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<sst xmlns="http://schemas.openxmlformats.org/spreadsheetml/2006/main" count="58442" uniqueCount="23650">
  <si>
    <t>Uploaded Date</t>
  </si>
  <si>
    <t>Channel</t>
  </si>
  <si>
    <t>Video URL</t>
  </si>
  <si>
    <t>Video Title</t>
  </si>
  <si>
    <t>Description</t>
  </si>
  <si>
    <t>Base URL</t>
  </si>
  <si>
    <t>Divider1</t>
  </si>
  <si>
    <t>Divider2</t>
  </si>
  <si>
    <t>Folder separator</t>
  </si>
  <si>
    <t>Youtube id</t>
  </si>
  <si>
    <t>End URL</t>
  </si>
  <si>
    <t>Transcript Link</t>
  </si>
  <si>
    <t>2023 06 23</t>
  </si>
  <si>
    <t>NASA</t>
  </si>
  <si>
    <t>https://youtu.be/18D_zr7Fdb0</t>
  </si>
  <si>
    <t>Showcasing Our New Earth Information Center on This Week @NASA – June 23, 2023</t>
  </si>
  <si>
    <t>Showcasing our new Earth Information Center, in search of an atmosphere around a rocky exoplanet, and getting ready for an important delivery … a few of the stories to tell you about – This Week at NASA!
Link to download this video: 
https://images.nasa.gov/details/Showcasing%20Our%20New%20Earth%20Information%20Center%20on%20This%20Week%20@NASA%20%E2%80%93%20June%2023,%202023
Video Producer: Andre Valentine
Video Editor: Andre Valentine
Narrator: Andre Valentine
Music: Universal Production Music
Credit: NASA</t>
  </si>
  <si>
    <t>https://files.afu.se/Downloads/Transcripts/0%20-%20Government/USA%20-%20NASA/</t>
  </si>
  <si>
    <t xml:space="preserve"> - </t>
  </si>
  <si>
    <t>_</t>
  </si>
  <si>
    <t>/</t>
  </si>
  <si>
    <t>18D_zr7Fdb0</t>
  </si>
  <si>
    <t xml:space="preserve"> - transcript (automated).pdf</t>
  </si>
  <si>
    <t>2023 06 21</t>
  </si>
  <si>
    <t>https://youtu.be/s3bffub-9UM</t>
  </si>
  <si>
    <t>Are There Earthquakes on Other Planets  We Asked a NASA Expert</t>
  </si>
  <si>
    <t>Are there earthquakes on other planets? There sure are, but we don’t call them earthquakes. Instead, “moonquakes” &amp; “marsquakes” are shaking things up in space. Dr. Jacob Richardson of NASA's Goddard Space Flight Center explains more about what otherworldly quakes can teach us about not only the interiors of planetary bodies, but also what's happening inside Earth.
Explore more: https://www.jpl.nasa.gov/news/nasas-insight-records-monster-quake-on-mars
Link to download this video: https://images.nasa.gov/details/Are%20There%20Earthquakes%20On%20Other%20Planets_%20-%20Horizontal%20Video
Producers: Jessica Wilde, Scott Bednar
Editor: James Lucas
Credit: NASA</t>
  </si>
  <si>
    <t>s3bffub-9UM</t>
  </si>
  <si>
    <t>2023 06 19</t>
  </si>
  <si>
    <t>https://youtu.be/FpxABPoGSA0</t>
  </si>
  <si>
    <t>NASA Astronaut Victor Glover Reflects on Juneteenth</t>
  </si>
  <si>
    <t>Join NASA astronaut Victor Glover as he imparts an inspiring message about Juneteenth, a day that honors the sacrifices and struggles of past generations by continuing to fight for justice, equality, and freedom for all. The message reminds us of our shared past while pushing us towards an inclusive future.
If you were moved by Victor’s incredible words, make sure to watch the full documentary The Color of Space. Join us as we revisit this extraordinary journey, which highlighted the depth of our shared humanity, and inspired us all to reach for the stars! https://www.youtube.com/watch?v=S6vYHdH0AeE
Producer: Jori Kates
Executive Producer: Brittany Brown 
Editors: Jori Kates and Sonnet Apple
Credit: NASA</t>
  </si>
  <si>
    <t>FpxABPoGSA0</t>
  </si>
  <si>
    <t>2023 06 16</t>
  </si>
  <si>
    <t>https://youtu.be/6U3WiUA2CEs</t>
  </si>
  <si>
    <t>Equipping the Space Station to Produce More Power on This Week @NASA – June 16, 2023</t>
  </si>
  <si>
    <t>Equipping the space station to produce more power, our newest experimental X-plane, and preparing to test a new laser communications system … a few of the stories to tell you about – This Week at NASA!
Link to download this video:
https://images.nasa.gov/details/Equipping%20the%20Space%20Station%20to%20Produce%20More%20Power%20on%20This%20Week%20@NASA%20%E2%80%93%20June%2016,%202023
Video Producer: Andre Valentine/Haley Reed
Video Editor: Haley Reed
Narrator: Jesse Carpenter
Music: Universal Production Music
Credit: NASA</t>
  </si>
  <si>
    <t>6U3WiUA2CEs</t>
  </si>
  <si>
    <t>https://youtu.be/2kOnlLlxhLA</t>
  </si>
  <si>
    <t>Earth Information Center Opening Ceremony at NASA Headquarters (Official NASA Broadcast)</t>
  </si>
  <si>
    <t>Watch the opening and ribbon-cutting ceremony for the Earth Information Center at NASA Headquarters in Washington. The exhibit is a hybrid – part physical, part online – effort that shows how viewing Earth from space can improve lives in the face of disasters, environmental challenges, and climate change. Speakers include NASA Administrator Bill Nelson; Kate Calvin, NASA chief scientist and senior climate advisor; and Karen St. Germain, the director of NASA’s Earth Sciences Division. Agency partner representatives will also speak.
NASA created the Earth Information Center with founding partners National Oceanic and Atmospheric Administration (NOAA), U.S. Geological Survey (USGS), U.S. Department of Agriculture (USDA), U.S. Agency for International Development (USAID), Environmental Protection Agency (EPA), and Federal Emergency Management Administration (FEMA).
Link to download this video: https://images.nasa.gov/details/NASA%20Holds%20Ribbon%20Cutting%20for%20New%20Earth%20Information%20Center
Image Credit: NASA Earth Observatory image by Joshua Stevens, using Suomi NPP VIIRS data from Miguel Román, NASA GSFC
Credit: NASA</t>
  </si>
  <si>
    <t>2kOnlLlxhLA</t>
  </si>
  <si>
    <t>2023 06 15</t>
  </si>
  <si>
    <t>https://youtu.be/yekfGi-JF0g</t>
  </si>
  <si>
    <t>Spacewalk with Astronauts Steve Bowen and Woody Hoburg (June 15, 2023) (Official NASA Broadcast)</t>
  </si>
  <si>
    <t>NASA astronauts Steve Bowen and Warren "Woody" Hoburg are taking a spacewalk on Thursday, June 15, to add a new solar panel to the International Space Station. 
Bowen and Hoburg are scheduled to install a second International Space Station Roll-Out Solar Array, or IROSA, on this spacewalk, after previously installing one on June 9. The new arrays will increase the power capacity of the orbiting laboratory. 
The spacewalk is scheduled to begin at 8:55 a.m. EDT (1255 UTC) and last about six hours. This is Bowen's tenth spacewalk and the second for Hoburg.
Follow our space station blog for more updates: https://blogs.nasa.gov/spacestation
Credit: NASA
#NASA #Astronaut #Spacewalk</t>
  </si>
  <si>
    <t>yekfGi-JF0g</t>
  </si>
  <si>
    <t>2023 06 09</t>
  </si>
  <si>
    <t>https://youtu.be/wS4z42KaeGk</t>
  </si>
  <si>
    <t>Spacewalk with Astronauts Steve Bowen and Woody Hoburg (June 9, 2023) (Official NASA Broadcast)</t>
  </si>
  <si>
    <t>NASA astronauts Steve Bowen and Warren "Woody" Hoburg are taking a spacewalk on Friday, June 9, to add a new unrolling solar panel to the International Space Station. 
Bowen and Hoburg are scheduled to install an International Space Station Roll-Out Solar Array, or IROSA, on today's spacewalk, with a second one to be installed on June 15. The new arrays will increase the power capacity of the orbiting laboratory. 
The spacewalk, known formally as U.S. EVA 87, is scheduled to begin at 9:15 a.m. EDT (1315 UTC) and last about six and a half hours. Bowen will wear a suit with red stripes and Hoburg will wear an unmarked suit. This is Bowen's ninth spacewalk and the first for Hoburg.
Follow our space station blog for more updates: https://blogs.nasa.gov/spacestation
Credit: NASA
#NASA #Astronaut #Spacewalk</t>
  </si>
  <si>
    <t>wS4z42KaeGk</t>
  </si>
  <si>
    <t>2023 06 05</t>
  </si>
  <si>
    <t>https://youtu.be/Z_h-ho2w_0Y</t>
  </si>
  <si>
    <t>Watch SpaceX's 28th Cargo Launch to the International Space Station (Official NASA Broadcast)</t>
  </si>
  <si>
    <t>SpaceX's 28th cargo resupply mission to the International Space Station is now scheduled to lift off at 11:47 a.m. EDT on Monday, June 5 (1547 UTC), from Launch Complex 39A at NASA's Kennedy Space Center in Florida.
This uncrewed launch of SpaceX's Dragon spacecraft will carry a new set of roll-out solar panels to boost the station's power capacity, along with medical research, student-developed technology demonstrations, and essential supplies for our astronauts living and working aboard the orbiting laboratory. 
Learn more about the science we're sending up on CRS-28: https://go.nasa.gov/43zTeW6
Get the full launch schedule: https://go.nasa.gov/3qjpfmV
Credit: NASA/Kim Shiflett
#NASA #SpaceStation #CRS28 #Science</t>
  </si>
  <si>
    <t>Z_h-ho2w_0Y</t>
  </si>
  <si>
    <t>2023 06 01</t>
  </si>
  <si>
    <t>https://youtu.be/EgWbeDNPD6o</t>
  </si>
  <si>
    <t>A Poem for Europa by U.S. Poet Laureate Ada Limón</t>
  </si>
  <si>
    <t>U.S. Poet Laureate Ada Limón wrote an original poem dedicated to NASA’s Europa Clipper mission to Jupiter's moon Europa, which is believed to harbor a vast ocean beneath its icy surface. 
Narrated by Limón herself, the poem is entitled “In Praise of Mystery: A Poem for Europa” and it connects two water worlds — Earth, yearning to reach out and understand what makes a world habitable, and Europa, waiting with secrets yet to be explored. The poem will be engraved on a plaque carried aboard the Europa Clipper spacecraft. 
The commissioned work was released on June 1, 2023, for NASA’s "Message in a Bottle" campaign, which invites people around the world to sign their names to the poem that will journey to another world. Participants’ names will travel 1.8 billion miles, or 2.89 billion kilometers, aboard the Europa Clipper spacecraft on its voyage to Jupiter and its moons. 
The mission is set to launch from NASA’s Kennedy Space Center in October 2024, and reach orbit around Jupiter by 2030. Over several years, it will conduct multiple flybys of Europa, gathering detailed measurements to determine if the moon has conditions suitable for life.
Read the poem, send your name to Europa, and create your own customizable souvenir artwork: https://go.nasa.gov/MessageInABottle 
For more information on the mission, visit: https://europa.nasa.gov
Credit: NASA/JPL-Caltech
Link to download this video: https://images.nasa.gov/details/NASA%20and%20U.S.%20Poet%20Laureate%20Ada%20Limon%20Unveil%20Her%20Poem%20for%20Europa
#SendYourName</t>
  </si>
  <si>
    <t>EgWbeDNPD6o</t>
  </si>
  <si>
    <t>2023 05 30</t>
  </si>
  <si>
    <t>https://youtu.be/KMB9fvH-EsM</t>
  </si>
  <si>
    <t>Science Launching on SpaceX's 28th Cargo Resupply Mission to the Space Station</t>
  </si>
  <si>
    <t>The 28th SpaceX commercial resupply mission to the International Space Station (CRS-28) is scheduled to launch from NASA’s Kennedy Space Center in Florida this June. 
The scientific experiments and technology demonstrations carried by the Dragon spacecraft include studies of how plants adapt to stress, measurements of genetic structures called telomeres, and satellite projects designed by students in Canada.
Details: https://go.nasa.gov/43zTeW6
Download link: https://images.nasa.gov/details/Science_Launching_on_SpaceX_CRS-28
Credit: NASA
#NASA #SpaceStation #Science</t>
  </si>
  <si>
    <t>KMB9fvH-EsM</t>
  </si>
  <si>
    <t>2023 05 26</t>
  </si>
  <si>
    <t>https://youtu.be/I69Cz4zJJes</t>
  </si>
  <si>
    <t>The Second All-Private Astronaut Mission to the Space Station on This Week @NASA – May 26, 2023</t>
  </si>
  <si>
    <t>The second all-private astronaut mission to the space station, completing the set of tiny severe weather trackers, and a robotic explorer – with a twist … a few of the stories to tell you about – This Week at NASA!
Download Link:
https://images.nasa.gov/details/The%20Second%20All-Private%20Astronaut%20Mission%20to%20the%20Space%20Station%20on%20This%20Week%20@NASA%20%E2%80%93%20May%2026,%202023
Video Producer: Andre Valentine
Video Editor: Andre Valentine
Narrator: Andre Valentine
Music: Universal Production Music
Credit: NASA</t>
  </si>
  <si>
    <t>I69Cz4zJJes</t>
  </si>
  <si>
    <t>2023 05 25</t>
  </si>
  <si>
    <t>https://youtu.be/KpyKqRV5FRc</t>
  </si>
  <si>
    <t>Honoring the 50th Anniversary of NASA’s Skylab  America's First Space Station</t>
  </si>
  <si>
    <t>America’s first space station and the first crewed research laboratory in space, Skylab, lifted off on May 14, 1973. 
Skylab helped pave the way for permanent operations in low-Earth orbit. Over the course of its human occupation from May 25, 1973, to Feb. 8, 1974, three crews visited Skylab, carrying out 270 scientific and technical investigations in astronauts’ physiological responses to long-duration space flight, Earth sciences, solar physics, and astronomy. 
The research conducted on Skylab helped prepare NASA for living and working in space on the International Space Station, and our journey to the Moon, Mars, and beyond. 
To learn more about Skylab, check out: https://www.nasa.gov/skylab
Link to download this video: https://images.nasa.gov/details/Honoring%20the%2050th%20Anniversary%20of%20NASA’s%20Skylab
Music: Universal Production
Video Producer: Haley Reed
Credit: NASA</t>
  </si>
  <si>
    <t>KpyKqRV5FRc</t>
  </si>
  <si>
    <t>2023 05 19</t>
  </si>
  <si>
    <t>https://youtu.be/333erymwPu4</t>
  </si>
  <si>
    <t>The Artemis II Moon Mission Crew Visits D.C. on This Week @NASA – May 19, 2023</t>
  </si>
  <si>
    <t>The Artemis II Moon mission crew visits D.C., another partner to land humans on the Moon, and preparing to get to the heart of “cosmic matter” … a few of the stories to tell you about – This Week at NASA!
Download Link:
https://images.nasa.gov/details/The%20Artemis%20II%20Moon%20Mission%20Crew%20Visits%20D.C.%20on%20This%20Week%20@NASA%20–%20May%2019,%202023
Video Producer: Andre Valentine
Video Editor: Andre Valentine
Narrator: Andre Valentine
Music: Universal Production Music
Credit: NASA</t>
  </si>
  <si>
    <t>333erymwPu4</t>
  </si>
  <si>
    <t>2023 05 17</t>
  </si>
  <si>
    <t>https://youtu.be/rRAzS1LCQVg</t>
  </si>
  <si>
    <t>Visible Together  An AANHPI Conversation with NASA</t>
  </si>
  <si>
    <t>NASA's Jonny Kim and Anita Dey sit down with historian Brian Odom to discuss how NASA is making the Asian American and Native Hawaiian/Pacific Islander community visible to the world, Kim’s experience with the space program growing up, and the impact of cultural stereotypes.
In addition to being an astronaut, Jonny Kim is also a Harvard-trained physician and U.S. Navy SEAL. Anita Dey serves as a strategic partnerships manager in NASA’s Science Mission Directorate.
Learn more about our diverse workforce: http://nasa.gov/faces-of-nasa
#AANHPI #nasa 
Link to download this video: https://images.nasa.gov/details/Visible%20Together-An%20AANHPI%20Conversation%20with%20NASA</t>
  </si>
  <si>
    <t>rRAzS1LCQVg</t>
  </si>
  <si>
    <t>2023 05 12</t>
  </si>
  <si>
    <t>https://youtu.be/UsGQ-36-Pzc</t>
  </si>
  <si>
    <t>A Spacecraft Changes Parking Spots at the Space Station on This Week @NASA – May 12, 2023</t>
  </si>
  <si>
    <t>A spacecraft changes parking spots at the space station, a surprising look at a star in another solar system, and small satellites that could be a big help tracking tropical storms … a few of the stories to tell you about – This Week at NASA!
Link to download this video:
https://images.nasa.gov/details/A%20Spacecraft%20Changes%20Parking%20Spots%20at%20the%20Space%20Station%20on%20This%20Week%20@NASA%20–%20May%2012,%202023
Video Producer: Andre Valentine
Video Editor: Andre Valentine
Narrator: Andre Valentine
Music: Universal Production Music
Credit: NASA</t>
  </si>
  <si>
    <t>UsGQ-36-Pzc</t>
  </si>
  <si>
    <t>2023 05 05</t>
  </si>
  <si>
    <t>https://youtu.be/pmocCQnMmNg</t>
  </si>
  <si>
    <t>Another Partner for Space Exploration on This Week @NASA – May 5, 2023</t>
  </si>
  <si>
    <t>Another partner for space exploration, a Mars experience right here on Earth, and a promising find outside our solar system … a few of the stories to tell you about – This Week at NASA!
Video Producer: Andre Valentine, Haley Reed
Video Editor: Andre Valentine
Narrator: Andre Valentine
Music: Universal Production Music
Credit: NASA</t>
  </si>
  <si>
    <t>pmocCQnMmNg</t>
  </si>
  <si>
    <t>2023 04 28</t>
  </si>
  <si>
    <t>https://youtu.be/82GAxDyjUvw</t>
  </si>
  <si>
    <t>Moving Ahead With Space Station Power Upgrades on This Week @NASA – April 28, 2023</t>
  </si>
  <si>
    <t>Moving ahead with space station power upgrades, some VIPs hear about some very important missions, and new eye-popping views of Earth from space … a few of the stories to tell you about – This Week at NASA!
Video Producer: Andre Valentine
Video Editor: Andre Valentine
Narrator: Andre Valentine
Music: Universal Production Music
Credit: NASA</t>
  </si>
  <si>
    <t>82GAxDyjUvw</t>
  </si>
  <si>
    <t>2023 04 27</t>
  </si>
  <si>
    <t>https://youtu.be/jrDv0OdMt5s</t>
  </si>
  <si>
    <t>NASA’s Artemis I Moon Mission  Launch to Splashdown Highlights</t>
  </si>
  <si>
    <t>Ride along with NASA’s Orion capsule on the Artemis I mission around the Moon and back.
At 1:47 a.m. EST (6:47 UTC) on Nov. 16, 2022, NASA’s Orion spacecraft launched atop the Space Launch System (SLS) rocket from historic Launch Pad 39B at NASA’s Kennedy Space Center on a path to the Moon, officially beginning the Artemis I mission. Over the course of 25.5 days, Orion performed two lunar flybys, coming within 80 miles (129 kilometers) of the lunar surface. At its farthest distance during the mission, Orion traveled nearly 270,000 miles (435,000 kilometers) from our home planet. NASA’s Orion spacecraft successfully completed a parachute-assisted splashdown in the Pacific Ocean at 9:40 a.m. PST (12:40 p.m. EST) as the final major milestone of the Artemis I mission.
Artemis I was the first integrated test of NASA’s deep space exploration systems – the Orion spacecraft, SLS rocket, and the supporting ground systems – and the first in a series of increasingly complex missions at the Moon. Over the course of the flight test, flight controllers tested Orion’s capabilities in the harsh environment of deep space to prepare for flying astronauts on Artemis II. Through Artemis missions, NASA will establish a long-term lunar presence for scientific discovery and prepare for human missions to Mars.
For more information about the Artemis program, visit https://www.nasa.gov/specials/artemis-ii/ 
Credit: NASA
Link to download this video:
https://images.nasa.gov/details/NASA’s%20Artemis%20I%20Moon%20Mission%20-%20Launch%20to%20Splashdown%20Highlights</t>
  </si>
  <si>
    <t>jrDv0OdMt5s</t>
  </si>
  <si>
    <t>2023 04 23</t>
  </si>
  <si>
    <t>https://youtu.be/dH_VIeB8jvU</t>
  </si>
  <si>
    <t>Some News About Our Moon to Mars Architecture on This Week @NASA – April 21, 2023</t>
  </si>
  <si>
    <t>Some news about our Moon to Mars Architecture, chalk up another one for our frequent flyer on Mars, and yes, this spacecraft “scan” find things in the sky … a few of the stories to tell you about – This Week at NASA!
Video Producer: Andre Valentine
Video Editor: Andre Valentine
Narrator: Andre Valentine
Music: Universal Production Music
Credit: NASA</t>
  </si>
  <si>
    <t>dH_VIeB8jvU</t>
  </si>
  <si>
    <t>https://youtu.be/_r1aWHWJCUU</t>
  </si>
  <si>
    <t>Vice President Kamala Harris talks with the NASA Artemis II Crew About How They Became Astronauts</t>
  </si>
  <si>
    <t>The Artemis II crew shared with Vice President Kamala Harris their journey and inspirations that lead them to become astronauts. NASA astronauts Reid Wiseman, Victor Glover, Christina H. Koch, and Canadian Space Agency astronaut Jeremy Hansen will travel around the moon on Artemis II, paving the way for future lunar surface missions.
Meet the crew: https://www.nasa.gov/specials/artemis-ii/
Producer: Shane Apple
Music: Universal Production</t>
  </si>
  <si>
    <t>_r1aWHWJCUU</t>
  </si>
  <si>
    <t>2023 04 21</t>
  </si>
  <si>
    <t>https://youtu.be/uFfFsOu7yqY</t>
  </si>
  <si>
    <t>Earthrise  A Conversation with Apollo 8 Astronaut Bill Anders (Official NASA Video)</t>
  </si>
  <si>
    <t>On Dec. 24, 1968, Apollo 8 astronauts Frank Borman, Jim Lovell, and Bill Anders became the first humans to orbit the Moon, and the first to witness the magnificent sight called "Earthrise." 
NASA’s Chief Scientist and Senior Climate Advisor Dr. Katherine Calvin sat down with Bill Anders to discuss the historic Earthrise photo.
To learn about how NASA continues to study the Earth, check out: https://nasa.gov/earth
Link to download this video: https://images.nasa.gov/details/Earthrise%20-%20A%20Conversation%20with%20Apollo%208%20Astronaut%20Bill%20Anders%20%28Official%20NASA%20Video%29
Music: Universal Production 
Video Producers: Shane &amp; Sonnet Apple 
Audio Engineer: Manny Cooper
Credit: NASA</t>
  </si>
  <si>
    <t>uFfFsOu7yqY</t>
  </si>
  <si>
    <t>2023 04 20</t>
  </si>
  <si>
    <t>https://youtu.be/dak8uzKba4k</t>
  </si>
  <si>
    <t>Post Malone Calls NASA Astronauts in Space for Earth Day</t>
  </si>
  <si>
    <t>Artist and music producer Post Malone spoke with NASA astronauts Steve Bowen and Woody Hoburg, who are currently living and working on the International Space Station.
In a special Earth Day conversation, Posty chatted with the astronauts about what it's like to see Earth from above and what makes our blue planet special. 
The space station is an orbiting laboratory traveling at a speed of 17,500 mph (25,000 kph), completing one trip around Earth about every 90 minutes. Crew members carry out research and conduct thousands of experiments that have contributed to medical and social benefits on our home planet, allowing us to find new ways to combat disease and develop technologies to deliver clean water to remote communities in need. More: https://nasa.gov/iss
Celebrate Earth Day with NASA: https://www.nasa.gov/earth-day-2023
Editor: Mitch Youts
Producers: Bert Ulrich, Dylan Mathis
Music from Universal Production Music
Credit: NASA</t>
  </si>
  <si>
    <t>dak8uzKba4k</t>
  </si>
  <si>
    <t>2023 04 14</t>
  </si>
  <si>
    <t>https://youtu.be/ugwa3g9jCiA</t>
  </si>
  <si>
    <t>A Milestone for Our Experimental Supersonic Airplane on This Week @NASA – April 14, 2023</t>
  </si>
  <si>
    <t>A milestone for our experimental supersonic airplane, stretching Orion’s wings before the next flight, and technologies to help fight wildfires … a few of the stories to tell you about – This Week at NASA!
Link to download this video:
https://images.nasa.gov/details/A%20Milestone%20for%20Our%20Experimental%20Supersonic%20Airplane%20on%20This%20Week%20@NASA%20–%20April%2014,%202023
Video Producer: Andre Valentine
Video Editor: Andre Valentine
Narrator: Andre Valentine
Music: Universal Production Music
Credit: NASA</t>
  </si>
  <si>
    <t>ugwa3g9jCiA</t>
  </si>
  <si>
    <t>2023 04 07</t>
  </si>
  <si>
    <t>https://youtu.be/vu-qFyWnrZY</t>
  </si>
  <si>
    <t>Introducing the Crew of our Artemis II Moon Mission on This Week @NASA – April 7, 2023</t>
  </si>
  <si>
    <t>Introducing the crew of our Artemis II Moon mission, lighting up an Artemis rocket engine, and a new image of a distant planet. A few of the stories to tell you about – This Week at NASA!
Link to download this video:
https://images.nasa.gov/details/Introducing%20the%20Crew%20of%20Our%20Artemis%20II%20Moon%20Mission%20on%20This%20Week%20@NASA%20–%20April%207,%202023
Video Producer: Andre Valentine
Video Editor: Andre Valentine
Narrator: Andre Valentine
Music: Universal Production Music
Credit: NASA</t>
  </si>
  <si>
    <t>vu-qFyWnrZY</t>
  </si>
  <si>
    <t>https://youtu.be/7XzhtWcepos</t>
  </si>
  <si>
    <t>Artemis II  Mission Overview</t>
  </si>
  <si>
    <t>The approximately 10-day Artemis II flight test will launch on the agency’s powerful Space Launch System (SLS) rocket, prove the Orion spacecraft’s life-support systems, and validate the capabilities and techniques needed for humans to live and work in deep space. 
The astronauts will launch from NASA Kennedy Space Center’s Launch Pad 39B atop the SLS rocket as it generates 8.8 million pounds of thrust, beginning their 600,000 mile journey. Once out of our atmosphere, these star sailors will conduct a targeting demonstration and check the Orion spacecraft’s systems near Earth before they head around the Moon and back to Earth, reentering our atmosphere at 30 times the speed of sound, before gently splashing down in the Pacific Ocean.
Artemis II's crew is comprised of NASA astronauts commander Reid Wiseman, pilot Victor Glover, mission specialist Christina Koch; and Canadian Space Agency astronaut and mission specialist Jeremy Hansen.
All about the mission: https://nasa.gov/specials/artemis-ii
Producer: Sami Aziz
Editor: Matt Murray
Credit: NASA
#Astronauts #NASA #Artemis</t>
  </si>
  <si>
    <t>7XzhtWcepos</t>
  </si>
  <si>
    <t>2023 04 03</t>
  </si>
  <si>
    <t>https://youtu.be/lPyl6d2FJGw</t>
  </si>
  <si>
    <t>Artemis II  Meet the Astronauts Who will Fly Around the Moon (Official NASA Video)</t>
  </si>
  <si>
    <t>Four astronauts have been selected for NASA’s Artemis II mission: Commander Reid Wiseman, pilot Victor Glover, and mission specialist Christina Koch from NASA, and mission specialist Jeremy Hansen from the Canadian Space Agency.  
Artemis II will be NASA’s first crewed flight test of the Space Launch System rocket and Orion spacecraft around the Moon to verify today’s capabilities for humans to explore deep space and pave the way for long-term exploration and science on the lunar surface.
More: https://www.nasa.gov/artemis-ii
Producers: Gary Jordan, Sami Aziz, Dane Turner
Video: Charles Clendaniel, Josh Valcarcel, Chase Gibson
Editor: Justin Herring
Audio: Daniel Tohill, Will Flato
Credit: NASA</t>
  </si>
  <si>
    <t>lPyl6d2FJGw</t>
  </si>
  <si>
    <t>2023 03 31</t>
  </si>
  <si>
    <t>https://youtu.be/oQTtuzU_eT8</t>
  </si>
  <si>
    <t>NASA Astronauts Share Their Space Station Experience on This Week @NASA – March 31, 2023</t>
  </si>
  <si>
    <t>NASA astronauts share their space station experience, our heavy-duty hauler crawls into the history books, and preparing for the return of some historic samples … a few of the stories to tell you about – This Week at NASA!
Video Producer: Andre Valentine
Video Editor: Andre Valentine
Music: Universal Production Music
Credit: NASA</t>
  </si>
  <si>
    <t>oQTtuzU_eT8</t>
  </si>
  <si>
    <t>https://youtu.be/yae96AxH7V0</t>
  </si>
  <si>
    <t>Artemis I Path to the Pad  Launch and Recovery</t>
  </si>
  <si>
    <t>On Nov. 16, 2022, NASA made history with the launch of our Space Launch System (SLS)  rocket and Orion spacecraft – our newest transportation system that will return humans to the Moon. Relive the powerful moment SLS rumbled away from Earth, beginning Orion’s three-week test flight around the Moon, and watch as we document Orion’s splashdown in the Pacific Ocean, closing the first chapter in America’s next deep space exploration story.
All about Artemis I: https://www.nasa.gov/specials/artemis-i/
Writer: Danielle Sempsrott
Editor: Francisco Martin
Producers: John Sackman, Michael Justice &amp; Madison Tuttle
Music courtesy of Gothic Storm Music
Credit: NASA</t>
  </si>
  <si>
    <t>yae96AxH7V0</t>
  </si>
  <si>
    <t>2023 03 28</t>
  </si>
  <si>
    <t>https://youtu.be/PFbNDSttnPQ</t>
  </si>
  <si>
    <t>Artemis II Astronaut Announcement  April 3, 2023 (Official NASA Trailer)</t>
  </si>
  <si>
    <t>Don't miss it! NASA and CSA (Canadian Space Agency) will announce during an event at 11 a.m. EDT on Monday, April 3, from NASA Johnson Space Center’s Ellington Field in Houston, the four astronauts who will venture around the Moon. Traveling aboard NASA’s Orion spacecraft during Artemis II, the mission is the first crewed flight test on the agency’s path to establishing a long-term scientific and human presence on the lunar surface.
The YouTube event is here: https://youtube.com/live/mua1Lysc_JQ?si=EnSIkaIECMiOmarE 
Producer/editor: Phil Sexton
Producers: Aly Lee, Sami Aziz, Radislav Sinyak
Credit: NASA</t>
  </si>
  <si>
    <t>PFbNDSttnPQ</t>
  </si>
  <si>
    <t>2023 03 24</t>
  </si>
  <si>
    <t>https://youtu.be/pQX5AhWOXg4</t>
  </si>
  <si>
    <t>The Artemis II Moon Rocket is Coming Together on This Week @NASA – March 24, 2023</t>
  </si>
  <si>
    <t>The Artemis II Moon Rocket is Coming Together, a high honor for some space explorers, and an intriguing find for the Webb Space Telescope … a few of the stories to tell you about – This Week at NASA!
Download Avail Link:
https://images.nasa.gov/details/The%20Artemis%20II%20Moon%20Rocket%20is%20Coming%20Together%20on%20This%20Week%20@NASA%20–%20March%2024,%202023</t>
  </si>
  <si>
    <t>pQX5AhWOXg4</t>
  </si>
  <si>
    <t>2023 03 17</t>
  </si>
  <si>
    <t>https://youtu.be/5nEnnsiHceo</t>
  </si>
  <si>
    <t>The President’s Budget Request for the Agency on This Week @NASA – March 17, 2023</t>
  </si>
  <si>
    <t>The President’s Budget Request for NASA, Crew-5 is safely back on Earth, and a look at a possible Moon mission spacesuit … a few of the stories to tell you about – This Week at NASA!
Download Link: 
https://images.nasa.gov/details/The%20President’s%20Budget%20Request%20for%20the%20Agency%20on%20This%20Week%20@NASA%20–%20March%2017,%202023
Video Producer: Andre Valentine
Music Credit: Universal Production Music
Credit: NASA</t>
  </si>
  <si>
    <t>5nEnnsiHceo</t>
  </si>
  <si>
    <t>https://youtu.be/qj6YsJqO6bA</t>
  </si>
  <si>
    <t>Adam Driver Asks NASA About Asteroids</t>
  </si>
  <si>
    <t>The dinosaurs went extinct by an asteroid impact many years ago. Here at NASA and around the world, there are teams of experts making sure we can actually do something about it if an asteroid were to ever threaten Earth. We’re studying these rocky, airless remnants to better understand the early formation of our solar system.
“65” actor Adam Driver and NASA Planetary Defender Kelly Fast discuss how we find, track, and monitor near-Earth asteroids, as well as test technologies that could one day be used to prevent a potential impact, should a hazardous asteroid be discovered in the future. The duo also talks about the OSIRIS-REx mission and the asteroid sample the spacecraft will bring to Earth this September. 
For more information on NASA’s Planetary Defense Coordination Office: https://www.nasa.gov/specials/pdco/index.html
For more on NASA’s OSIRIS-REx Mission: https://nasa.gov/osirisrex
Follow NASA’s Asteroid Watch on Twitter: https://twitter.com/AsteroidWatch
Follow NASA Solar System on Twitter, Facebook and Instagram: https://twitter.com/NASASolarSystem, https://www.facebook.com/NASASolarSystem/, https://www.instagram.com/nasasolarsystem/?hl=en
Producers: Scott Bednar, Jessica Wilde, Emily Furfaro, Josh Handal
Editor/Graphics: Matthew Schara
Movie Footage courtesy of Sony Pictures Entertainment 65
Credit: NASA</t>
  </si>
  <si>
    <t>qj6YsJqO6bA</t>
  </si>
  <si>
    <t>2023 03 10</t>
  </si>
  <si>
    <t>https://youtu.be/HvbI3nPsrh0</t>
  </si>
  <si>
    <t>Artemis Systems Are Ready to Fly Astronauts on This Week @NASA – March 10, 2023</t>
  </si>
  <si>
    <t>Artemis systems are ready to fly astronauts, a hot fire test of an Artemis rocket engine, and educating and inspiring the Artemis generation … a few of the stories to tell you about – This Week at NASA!
Download Avail Link: https://images.nasa.gov/details/Artemis%20Systems%20Are%20Ready%20to%20Fly%20Astronauts%20on%20This%20Week%20@NASA%20–%20March%2010,%202023</t>
  </si>
  <si>
    <t>HvbI3nPsrh0</t>
  </si>
  <si>
    <t>https://youtu.be/mPcoBfQ5j-k</t>
  </si>
  <si>
    <t>NASA, For the Benefit of All</t>
  </si>
  <si>
    <t>NASA explores the unknown in air and space, innovates for the benefit of humanity, and inspires the world through discovery.
To learn more about some of the NASA missions featured in this video, take a deep dive into these links:
[0:00] Exploring the Universe: https://universe.nasa.gov/
[0:12] Studying Climate Change: https://climate.nasa.gov/
[0:16] Earth Information Center to Visualize Our Home Planet: https://science.nasa.gov/earth-science/earth-information-center
[0:19] TEMPO - Tropospheric Emissions: Monitoring of Pollution: https://weather.msfc.nasa.gov/tropics/
[0:21] Crew Assignments for Artemis II Mission to the Moon: https://www.nasa.gov/specials/artemis-team/
[0:23] Commercial Lunar Payload Services:  https://www.nasa.gov/content/commercial-lunar-payload-services
[0:26] OSIRIS-REx Asteroid Sample Return to Earth: https://www.nasa.gov/osiris-rex
[0:30] Boeing Crew Flight Test to the Space Station: https://blogs.nasa.gov/oft-2/
[0:35] International Space Station Research and Technology: https://www.nasa.gov/mission_pages/station/research/index.html
[0:37] BioFabrication Facility to Print Organ-like Tissues in Microgravity: https://www.nasa.gov/mission_pages/station/research/experiments/explorer/Facility.html#id=7599
[:39] Tissue Chips Investigate Diseases and Test Drugs: https://www.nasa.gov/mission_pages/station/research/benefits/tissue-chips-investigate-diseases
[0:40] Cancer Moonshot Aims to Cut Cancer Death Rate: https://www.nasa.gov/feature/nasa-scientists-join-white-house-cancer-initiative
[0:42] X-59 Quesst Supersonic Low-boom Aircraft: https://www.nasa.gov/X59
[0:45] Sustainable Flight Demonstrator: https://www.nasa.gov/aeroresearch/programs/iasp/sfd
[0:52] Artemis Missions to Establish the First Long-term Presence on the Moon : https://www.nasa.gov/specials/artemis/
[0:59] Moon to Mars: https://www.nasa.gov/topics/moon-to-mars
Follow us on our journey. 
https://www.nasa.gov/ 
https://www.facebook.com/NASA 
https://twitter.com/NASA 
https://www.instagram.com/nasa/ 
https://www.youtube.com/channel/UCLA_DiR1FfKNvjuUpBHmylQ?sub_confirmation=1
Music: Universal Production 
Video Producer: Sonnet Apple 
Credit: NASA</t>
  </si>
  <si>
    <t>mPcoBfQ5j-k</t>
  </si>
  <si>
    <t>2023 03 09</t>
  </si>
  <si>
    <t>https://youtu.be/yTVxELrVfB0</t>
  </si>
  <si>
    <t>2023 ‘State of NASA’ Address from Administrator Bill Nelson</t>
  </si>
  <si>
    <t>NASA Administrator Bill Nelson delivers the State of NASA address for 2023. Learn about our plans to explore the Moon and Mars, monitor and protect the planet, sustain U.S. leadership in aviation and aerospace innovation, drive economic growth and promote equity and diversity within the agency and across the nation, while inspiring the next generation of explorers for the benefit of humanity.
To learn more visit: https://www.nasa.gov/news/budget/index.html
Credit: NASA</t>
  </si>
  <si>
    <t>yTVxELrVfB0</t>
  </si>
  <si>
    <t>2023 03 08</t>
  </si>
  <si>
    <t>https://youtu.be/OQ7t0eBBlG8</t>
  </si>
  <si>
    <t>NASA's SpaceX Crew-5  A Scientific Mission</t>
  </si>
  <si>
    <t>From growing tomatoes to studying cosmic rays to observing quantum mechanics, the four crew members of NASA's SpaceX Crew-5 mission contributed to more than 100 scientific investigations and technology demonstrations during their five months aboard the International Space Station. These experiments help prepare humans for future space exploration missions while bringing benefits for humanity back to Earth.
Learn more about the science of Crew-5 as our astronauts get ready to head home: https://go.nasa.gov/3T2gbgw
Credit: NASA
#NASA #SpaceStation #Science #Crew5</t>
  </si>
  <si>
    <t>OQ7t0eBBlG8</t>
  </si>
  <si>
    <t>2023 03 06</t>
  </si>
  <si>
    <t>https://youtu.be/iNVgnOXq-m8</t>
  </si>
  <si>
    <t>Science Launching on SpaceX's 27th Cargo Resupply Mission to the Space Station</t>
  </si>
  <si>
    <t>NASA's 27th SpaceX commercial resupply mission (CRS-27) is scheduled to launch to the International Space Station this March from NASA’s Kennedy Space Center in Florida. 
The scientific experiments and technology demonstrations carried by the Dragon spacecraft examine how the heart changes in space, test a student-designed camera mount, compare surfaces that control biofilm formation, and more.
Details: https://go.nasa.gov/3khJK0J  
Credit: NASA
#NASA #SpaceStation #Science</t>
  </si>
  <si>
    <t>iNVgnOXq-m8</t>
  </si>
  <si>
    <t>2023 03 04</t>
  </si>
  <si>
    <t>https://youtu.be/G77jdUMUj0Y</t>
  </si>
  <si>
    <t>A New Crew Heads to the Space Station on This Week at NASA – March 3, 2023</t>
  </si>
  <si>
    <t>The next crew heads to the space station, navigating the lunar landscape, and a view to look forward to. A few of the stories to tell you about – This Week at NASA!
Download Link:
https://images.nasa.gov/details/A%20New%20Crew%20Heads%20to%20the%20Space%20Station%20on%20This%20Week%20@NASA%20–%20March%203,%202023</t>
  </si>
  <si>
    <t>G77jdUMUj0Y</t>
  </si>
  <si>
    <t>2023 03 03</t>
  </si>
  <si>
    <t>https://youtu.be/pZp5-TFTlIY</t>
  </si>
  <si>
    <t>Paul Rudd Explores the Quantum Realm with NASA</t>
  </si>
  <si>
    <t>Journey into the quantum realm with Paul Rudd!
The “Ant-Man and the Wasp: Quantumania” actor and NASA quantum physicist Ethan Elliott discuss what the quantum realm is really like and how NASA studies it every day. Find out how NASA’s quantum science could help unlock insight into the universe’s biggest mysteries, while contributing to technologies that improve our lives on Earth &amp; advance space exploration.
For more on the quantum science conducted by NASA’s Biological &amp; Physical Sciences Division: https://science.nasa.gov/biological-physical 
Follow NASA's Biological &amp; Physical Sciences Division on Twitter: https://twitter.com/NASASpaceSci
For more on the Cold Atom Lab at NASA’s Jet Propulsion Laboratory: https://www.jpl.nasa.gov/missions/cold-atom-laboratory-cal 
Producers: Scott Bednar, Jessica Wilde, Bryana Quintana, Julie Lele
Editor/Graphics: Matthew Schara
Credit: NASA</t>
  </si>
  <si>
    <t>pZp5-TFTlIY</t>
  </si>
  <si>
    <t>2023 03 01</t>
  </si>
  <si>
    <t>https://youtu.be/vMu5bNadlGo</t>
  </si>
  <si>
    <t>NASA's DART Mission Confirms Crashing Spacecraft into Asteroids Can Deflect Them</t>
  </si>
  <si>
    <t>Since NASA’s Double Asteroid Redirection Test (DART) successfully impacted its target on Sept. 26, 2022  – altering the orbit of the asteroid moonlet Dimorphos by a whopping 33 minutes – the DART team has determined that the mission's kinetic impactor technique can be an effective way to change the trajectory of an asteroid. 
These findings were published in four papers in the journal Nature on March 1, 2023. Learn more: https://go.nasa.gov/3ZcTOae</t>
  </si>
  <si>
    <t>vMu5bNadlGo</t>
  </si>
  <si>
    <t>2023 02 24</t>
  </si>
  <si>
    <t>https://youtu.be/15Wgo65737Y</t>
  </si>
  <si>
    <t>The Next Crew Headed to the Space Station on This Week at NASA – February 24, 2023</t>
  </si>
  <si>
    <t>The next crew headed to the space station, black holes on a collision course, and an anniversary on Mars … a few of the stories to tell you about – This Week at NASA!
Video Producer: Andre Valentine
Video Editor: Shane Apple
Music: Universal Production Music
Credit: NASA</t>
  </si>
  <si>
    <t>15Wgo65737Y</t>
  </si>
  <si>
    <t>2023 02 23</t>
  </si>
  <si>
    <t>https://youtu.be/C1eTfdwYPg4</t>
  </si>
  <si>
    <t>NASA's SpaceX Crew-6 Mission to the Space Station (Official Trailer)</t>
  </si>
  <si>
    <t>NASA and SpaceX are targeting no earlier than 1:45 a.m. EST Monday, Feb. 27, 2023, for the launch of the agency’s Crew-5 mission to the International Space Station.
The four Crew-6 crewmates – Commander Stephen Bowen, Pilot Warren “Woody” Hoburg, Mission Specialist UAE (United Arab Emirates) astronaut Sultan Alneyadi, and Mission Specialist Roscosmos cosmonaut Andrey Fedyaev – will dock the Dragon spacecraft, named Endeavour, to the forward port on the space station’s Harmony module about 23 hours after liftoff.
Crew-6’s science mission includes cutting edge research aimed at keeping astronauts and spacecraft safe during deep space exploration, and studies that could lead to improved medical treatments for humans back on Earth. Experiments will include studies of how particular materials burn in microgravity, tissue chip research on heart, brain, and cartilage functions, and an investigation that will collect microbial samples from the outside of the space station. These are just some of the more than 200 science experiments and technology demonstrations that will take place during their mission.   
You can watch the launch live on NASA TV, NASA.gov, the NASA app, and on social media (@NASA).
Learn more about the Crew-6 mission here: https://blogs.nasa.gov/crew-6/
Music: Universal Production Music
Video Producer: Sonnet Apple
Credit: NASA</t>
  </si>
  <si>
    <t>C1eTfdwYPg4</t>
  </si>
  <si>
    <t>2023 02 22</t>
  </si>
  <si>
    <t>https://youtu.be/sz55xXsN8-U</t>
  </si>
  <si>
    <t>A Future in Orbit</t>
  </si>
  <si>
    <t>NASA’s investment in low-Earth orbit has launched a commercial economy in space. See how the private sector will expand the economic sphere with commercial cargo to space, commercial spaceflights, and commercial destinations in orbit, and how it will enable NASA to be one of many customers and advance human space exploration.
NASA Low-Earth Orbit Economy: https://www.nasa.gov/leo-economy/low-earth-orbit-economy
Video Producer: Shane Apple
Music: Universal Production Music
Credit: NASA</t>
  </si>
  <si>
    <t>sz55xXsN8-U</t>
  </si>
  <si>
    <t>2023 02 17</t>
  </si>
  <si>
    <t>https://youtu.be/wFW8KSEc1lg</t>
  </si>
  <si>
    <t>Naming a Mountain on the Moon This Week at NASA– February 17, 2023</t>
  </si>
  <si>
    <t>Naming a mountain on the Moon, watching and helping from space, and a sample wide shot from Mars … a few of the stories to tell you about – This Week at NASA!
Download Link:
https://images.nasa.gov/details/Naming%20a%20Mountain%20on%20the%20Moon%20on%20This%20Week%20@NASA%20–%20February%2017,%202023
Video Producer: Andre Valentine
Video Editor: Sonnet Apple
Music: Universal Production Music
Credit: NASA</t>
  </si>
  <si>
    <t>wFW8KSEc1lg</t>
  </si>
  <si>
    <t>2023 02 15</t>
  </si>
  <si>
    <t>https://youtu.be/FrIWSA1Blxo</t>
  </si>
  <si>
    <t>Have Humans Ever Visited Mars  We Asked a NASA Scientist</t>
  </si>
  <si>
    <t>Have humans ever visited Mars? Not yet, but we’ve sent lots of rovers, landers and orbiters to explore the Red Planet. 
NASA has two operating rovers — Curiosity and Perseverance — which are currently traversing the Martian terrain in search of rocks that could teach us about Mars’ ancient past. And with NASA Artemis, we’re working on new tech that could one day get humans to Mars. NASA scientist Dr. Mitch Schulte has more. https://mars.nasa.gov/
Producers: Scott Bednar, Jessica Wilde
Editor: Daniel Salazar
Credit: NASA</t>
  </si>
  <si>
    <t>FrIWSA1Blxo</t>
  </si>
  <si>
    <t>2023 02 10</t>
  </si>
  <si>
    <t>https://youtu.be/Ej_xIAAPgpQ</t>
  </si>
  <si>
    <t>Celebrating Diversity in Space and Technology on This Week at NASA – February 10, 2023</t>
  </si>
  <si>
    <t>News from around NASA this week:
Making space for all with the National Museum of African American History and Culture, celebrating the #DARTMission, and spotting a tiny asteroid with the James Webb Space Telescope.
Get all this and more info from our newsletter: http://nasa.gov/subscribe
For NASA en español: https://www.youtube.com/@nasa_es
Download Link:
https://images.nasa.gov/details-Celebrating%20Diversity%20in%20Space%20and%20Technology%20on%20This%20Week%20@NASA%20–%20February%2010,%202023
Credit: NASA</t>
  </si>
  <si>
    <t>Ej_xIAAPgpQ</t>
  </si>
  <si>
    <t>2023 02 08</t>
  </si>
  <si>
    <t>https://youtu.be/MDMM9MZNcco</t>
  </si>
  <si>
    <t>How Do We Communicate With Spacecraft  We Asked a NASA Expert</t>
  </si>
  <si>
    <t>How do we communicate with spacecraft? For decades, satellites have beamed data back to Earth by way of radio waves, with a network of ground-based antennas collecting the incoming information. Now, we're exploring laser communications, technology that will allow us to receive more data from farther than ever before -- faster, too. NASA space communications expert Risha George tells us more: https://www.nasa.gov/lasercomms
Producers: Scott Bednar, Jessica Wilde
Editor: James Lucas
Credit: NASA</t>
  </si>
  <si>
    <t>MDMM9MZNcco</t>
  </si>
  <si>
    <t>2023 02 03</t>
  </si>
  <si>
    <t>https://youtu.be/bjJFqhBEAKE</t>
  </si>
  <si>
    <t>Work to Do Outside the Space Station on This Week @NASA – February 3, 2023</t>
  </si>
  <si>
    <t>Work to do outside the space station, honoring a pair of former astronauts, and a milestone on Mars … a few of the stories to tell you about – This Week at NASA!
Download Link: https://images.nasa.gov/details-Work%20to%20Do%20Outside%20the%20Space%20Station%20on%20This%20Week%20@NASA%20%E2%80%93%20February%203,%202023
Video Producer: Andre Valentine
Video Editor: Haley Reed
Music: Universal Production Music
Credit: NASA</t>
  </si>
  <si>
    <t>bjJFqhBEAKE</t>
  </si>
  <si>
    <t>2023 02 01</t>
  </si>
  <si>
    <t>https://youtu.be/prACMnIDJ-M</t>
  </si>
  <si>
    <t>Is Polar Ice Melting  We Asked a NASA Expert</t>
  </si>
  <si>
    <t>Is polar ice melting? The sobering answer is yes, and it’s the number one contributor to sea level rise. NASA scientist Dr. Brooke Medley tells us how NASA studies the relationship between ice sheets and sea level to better understand our changing planet. Explore more: https://climate.nasa.gov/vital-signs/ice-sheets/
Producers: Scott Bednar, Jessica Wilde
Editor: Daniel Salazar
Credit: NASA</t>
  </si>
  <si>
    <t>prACMnIDJ-M</t>
  </si>
  <si>
    <t>https://youtu.be/MMdWjuGvJ9s</t>
  </si>
  <si>
    <t>Vice President Kamala Harris Honors Demo-2 Astronauts with Congressional Space Medal of Honor</t>
  </si>
  <si>
    <t>On Tuesday, Jan. 31 Vice President Kamala Harris awarded former NASA astronauts Douglas Hurley and Robert Behnken the Congressional Space Medal of Honor. Hurley and Behnken received the award for bravery in NASA’s SpaceX Demonstration Mission-2 (Demo-2) to the International Space Station in 2020.
NASA's Commercial Crew Program began a new era of human spaceflight as American astronauts launched from American soil on an American rocket to the International Space Station. Behnken and Hurley flew on SpaceX's Crew Dragon spacecraft, which lifted off on a Falcon 9 rocket on May 30, 2020, from Launch Complex 39A in Florida. This mission was the final flight test for SpaceX, validating the company's crew transportation system, including the launch pad, rocket, spacecraft, and operational capabilities.
Once in orbit, Behnken and Hurley were welcomed aboard the ISS, and became members of the Expedition 63 crew. They performed tests on Crew Dragon in addition to conducting research and other tasks with the space station crew. Upon conclusion of the mission, the Crew Dragon autonomously undocked, re-entered the Earth's atmosphere and splashed down just off Florida's Atlantic Coast. Demo-2 was the final step before NASA's Commercial Crew Program certified Crew Dragon for operational, long-duration missions to the space station, enabling NASA to continue important research and technology investigations onboard the station.
To learn more about NASA’s Commercial Crew Program visit: https://www.nasa.gov/exploration/commercial/crew/index.html
Watch the full medal ceremony: 
https://images.nasa.gov/details-Vice%20President%20Kamala%20Harris%20Awards%20Former%20NASA%20Astronauts%20Douglas%20Hurley%20and%20Robert%20Behnken%20the%20Congressional%20Space%20Medal%20of%20Honor
Credit: NASA</t>
  </si>
  <si>
    <t>MMdWjuGvJ9s</t>
  </si>
  <si>
    <t>2023 01 27</t>
  </si>
  <si>
    <t>https://youtu.be/EW5l4OU0-QA</t>
  </si>
  <si>
    <t>Honoring Our Fallen Heroes on This Week @NASA – January 27, 2023</t>
  </si>
  <si>
    <t>Honoring our fallen heroes, working on a nuclear option for space travel, and the next crewed mission to the space station … a few of the stories to tell you about – This Week at NASA!
Download Link: https://images.nasa.gov/details-NHQ_2023_0127_Honoring%20Our%20Fallen%20Heroes%20on%20This%20Week%20@NASA%20%E2%80%93%20January%2027,%202023
Video Producer: Andre Valentine
Video Editor: Haley Reed
Music: Universal Production Music
Credit: NASA</t>
  </si>
  <si>
    <t>EW5l4OU0-QA</t>
  </si>
  <si>
    <t>2023 01 26</t>
  </si>
  <si>
    <t>https://youtu.be/Hho8VboDRbE</t>
  </si>
  <si>
    <t>NASA Remembers Fallen Heroes</t>
  </si>
  <si>
    <t>NASA remembers the crews of Apollo 1, space shuttles Challenger and Columbia during the agency's Day of Remembrance on Jan. 26, 2023. Feb. 1 marks the 20th anniversary of the Columbia STS-107 accident.
NASA's Day of Remembrance honors all members of the NASA family who lost their lives while furthering the cause of exploration and discovery.
https://www.nasa.gov/dor
#NASARemembers
Producer Credit: Shane Apple
Music: Universal Production Music
Credit: NASA</t>
  </si>
  <si>
    <t>Hho8VboDRbE</t>
  </si>
  <si>
    <t>2023 01 25</t>
  </si>
  <si>
    <t>https://youtu.be/eWkGlHSWOMw</t>
  </si>
  <si>
    <t>Has COVID Affected Climate Change  – We Asked a NASA Scientist</t>
  </si>
  <si>
    <t>Greenhouse gas emissions decreased a little during the first year of COVID, but not enough to make a lasting impact.
Less travel and cars on the road meant improved air quality. But greenhouse gases that cause climate change only decreased a little because we were still heating and cooling our homes, so these gases continued to build up in our atmosphere. NASA climate change scientist Lesley Ott tells us more about what scientists discovered.
Explore more about the unexpected effects the pandemic had on our atmosphere: https://go.nasa.gov/3D1MoO5
Producers: Scott Bednar, Jessica Wilde
Editor: Daniel Salazar
Credit: NASA</t>
  </si>
  <si>
    <t>eWkGlHSWOMw</t>
  </si>
  <si>
    <t>2023 01 20</t>
  </si>
  <si>
    <t>https://youtu.be/7mnTimajPJg</t>
  </si>
  <si>
    <t>Preparing for a More Powerful Space Station on This Week @NASA – January 20, 2023</t>
  </si>
  <si>
    <t>Preparing for a more powerful space station, building a more fuel-efficient aircraft, and a way to possibly predict solar flares … a few of the stories to tell you about – This Week at NASA!
Download Link:
https://images.nasa.gov/details-Preparing%20for%20a%20More%20Powerful%20Space%20Station%20on%20This%20Week%20@NASA%20–%20January%2020,%202023</t>
  </si>
  <si>
    <t>7mnTimajPJg</t>
  </si>
  <si>
    <t>2023 01 18</t>
  </si>
  <si>
    <t>https://youtu.be/mn60n3jdI_8</t>
  </si>
  <si>
    <t>Is There Weather on the Moon  We Asked a NASA Scientist</t>
  </si>
  <si>
    <t>Is there weather on the Moon? Yes, but not the weather you’re used to. The Sun’s solar wind is a type of “space weather” that can have a big impact on the Moon due to its lack of atmosphere. It can also affect all sorts of things like satellites, electronics and communications. Better understanding how space weather interacts with the Moon will be critical as we send #Artemis astronauts to the lunar surface. https://go.nasa.gov/3WmUB69
Producers: Jessica Wilde, Scott Bednar
Editor: James Lucas
Credit: NASA</t>
  </si>
  <si>
    <t>mn60n3jdI_8</t>
  </si>
  <si>
    <t>2023 01 13</t>
  </si>
  <si>
    <t>https://youtu.be/ctRbUfeZRBs</t>
  </si>
  <si>
    <t>Continuing a Collaboration in Space Exploration on This Week @NASA – January 13, 2023</t>
  </si>
  <si>
    <t>Continuing a collaboration in space exploration, space station research heads back to Earth, and highlighting new science from NASA missions … a few of the stories to tell you about – This Week at NASA!
Download Link: https://images.nasa.gov/details-Continuing%20a%20Collaboration%20in%20Space%20Exploration%20on%20This%20Week%20@NASA%20–%20January%2013,%202023
Video Producer: Andre Valentine
Video Editor: Sonnet Apple
Music: Universal Production Music
Credit: NASA</t>
  </si>
  <si>
    <t>ctRbUfeZRBs</t>
  </si>
  <si>
    <t>2023 01 11</t>
  </si>
  <si>
    <t>https://youtu.be/WadD54Ywvz4</t>
  </si>
  <si>
    <t>Why is Sea Level Rising  We Asked a NASA Scientist</t>
  </si>
  <si>
    <t>Why is sea level rising? 
Global sea levels are rising as a result of human-caused global warming, with recent rates being unprecedented over the past 2,500-plus years. NASA JPL’s sea level rise expert Ben Hamlington explains how our warming planet is causing sea levels to rise. 
Learn more about how NASA monitors sea level rise: http://sealevel.nasa.gov/understanding-sea-level
Producers: Jessica Wilde, Scott Bednar
Editor: James Lucas
Credit: NASA</t>
  </si>
  <si>
    <t>WadD54Ywvz4</t>
  </si>
  <si>
    <t>2023 01 06</t>
  </si>
  <si>
    <t>https://youtu.be/gIkA3YkZiH4</t>
  </si>
  <si>
    <t>Orion is Back in Florida After Artemis I on This Week at NASA – January 6, 2023</t>
  </si>
  <si>
    <t>The Orion spacecraft is back in Florida after Artemis I, a direct deposit on Mars, and an insightful mission comes to an end. These are a few of the stories to tell you about – This Week at NASA!
Get more space in your inbox and subscribe to our weekly newsletter: https://nasa.gov/subscribe
En español: https://www.nasa.gov/suscribete
Download Link: https://images.nasa.gov/details-Orion%20is%20Back%20in%20Florida%20After%20Artemis%20I%20on%20This%20Week%20@NASA%20%E2%80%93%20January%206,%202023
Video Producer: Andre Valentine
Video Editor: David Anderson
Music: Universal Production Music
Credit: NASA</t>
  </si>
  <si>
    <t>gIkA3YkZiH4</t>
  </si>
  <si>
    <t>https://youtu.be/mdSj3vI8szI</t>
  </si>
  <si>
    <t>Arturo Campos  The Man Behind the Artemis Moonikin</t>
  </si>
  <si>
    <t>The Purposeful Passengers consist of one manikin and two phantoms that flew aboard the Orion spacecraft during the Artemis I mission in order to collect important data that will prepare astronauts for future Artemis missions.
The manikin was used to study vibrations and accelerations during the flight and was named Commander Moonikin Campos after NASA held a public naming contest in June 2021. The name "Campos" is a dedication to Arturo Campos, a Mexican-American electrical engineer who worked for NASA’s Johnson Space Center and contributed to the rescue of the Apollo 13 mission and crew.
Learn more about the Artemis I Moonikin: https://www.nasa.gov/feature/purposeful-passenger-artemis-i-manikin-helps-prepare-for-moon-missions-with-crew
Learn more about the Artemis I phantoms: https://www.nasa.gov/feature/orion-passengers-on-artemis-i-to-test-radiation-vest-for-deep-space-missions
Learn more about Arturo Campos: https://www.nasa.gov/moonikin/arturo-campos
Producer: Pedro Cota (GSFC)
Editor: Pedro Cota (GSFC)
Videographer: John Stoll (JSC)
Videographer: Gregory Wiseman (JSC)
Credit: NASA</t>
  </si>
  <si>
    <t>mdSj3vI8szI</t>
  </si>
  <si>
    <t>2023 01 04</t>
  </si>
  <si>
    <t>https://youtu.be/z8HB8jlWai8</t>
  </si>
  <si>
    <t>Why is Venus Called Earth’s Evil Twin  We Asked a NASA Scientist</t>
  </si>
  <si>
    <t>Why is Venus called Earth’s evil twin? The two planets actually have a lot in common, but somewhere along the way Venus and Earth took two very different paths. NASA Director of Planetary Science, Dr. Lori Glaze, explains how Venus became a hot, hellish, and unforgiving place. 
Explore more about Earth’s “evil” cosmic next-door neighbor: http://solarsystem.nasa.gov/venus
Producers: Jessica Wilde, Scott Bednar
Editor: Matthew Schara
Credit: NASA</t>
  </si>
  <si>
    <t>z8HB8jlWai8</t>
  </si>
  <si>
    <t>2022 12 31</t>
  </si>
  <si>
    <t>https://youtu.be/KjBisqblTLQ</t>
  </si>
  <si>
    <t>NASA in 2023  A Look Ahead</t>
  </si>
  <si>
    <t>In 2022, we made history. In 2023, we are preparing for our future by exploring the secrets of the universe. All for the benefit of humanity.
To learn more about the missions mentioned in this video, take a deep dive into these links:
[0:46] TEMPO - Tropospheric Emissions: Monitoring of Pollution: https://weather.msfc.nasa.gov/tropics/
[0:51] X-59 Quesst Supersonic Low-boom Aircraft: https://www.nasa.gov/X59
[0:56] X-57 All-Electric Aircraft: https://www.nasa.gov/specials/X57/
[0:58] Crew Assignments for Artemis II Mission to the Moon: https://www.nasa.gov/specials/artemis-team/
[1:06] Boeing Crew Flight Test to the Space Station: https://blogs.nasa.gov/oft-2/
[1:11] OSIRIS-REx Asteroid Sample Return to Earth: https://www.nasa.gov/osiris-rex
[1:17] Commercial Lunar Payload Services Robotic Lunar Delivery - Astrobotic Technology: https://www.nasa.gov/content/commercial-lunar-payload-services https://www.nasa.gov/image-feature/astrobotic-concept-for-a-commercial-lunar-lander
[1:21] Commercial Lunar Payload Services Robotic Lunar Delivery - Intuitive Machines Lunar Lander: https://www.nasa.gov/content/commercial-lunar-payload-services https://www.nasa.gov/image-feature/intuitive-machines-concept-for-a-commercial-lunar-lander
[1:25] Earth Information Center to Visualize our Home Planet: https://science.nasa.gov/earth-science/earth-information-center
[1:28] Sustainable Flight Demonstrator: https://www.nasa.gov/aeroresearch/programs/iasp/sfd
[1:31] Lunar Terrain Vehicle Services Contract Award: https://www.nasa.gov/feature/nasa-makes-progress-with-new-lunar-terrain-vehicle-moon-rover-services
[1:35] Crew and Cargo Launches to the International Space Station for Groundbreaking Science - Tissue Chips in Space: https://www.nasa.gov/mission_pages/station/research/benefits/tissue-chips-investigate-diseases
[1:38] Crew and Cargo Launches to the International Space Station for Groundbreaking Science - Cold Atom Lab Upgrades: https://coldatomlab.jpl.nasa.gov
[1:41] Psyche Launch to Study a Metal-Rich Asteroid: 
[1:43] Award for Human Lander System for Artemis Moon Missions: https://www.jpl.nasa.gov/missions/psyche
[1:48] Reveal of Spacesuit Prototype for Artemis Moon Missions: https://www.nasa.gov/press-release/nasa-partners-with-industry-for-new-spacewalking-moonwalking-services
[1:53] Jaw-Dropping New Imagery of the Universe: https://www.nasa.gov/mission_pages/webb/main/index.html
Follow us on our journey.  
https://www.nasa.gov/
https://www.facebook.com/NASA
https://twitter.com/NASA
https://www.instagram.com/nasa/
https://www.youtube.com/channel/UCLA_DiR1FfKNvjuUpBHmylQ?sub_confirmation=1
Download Link:
https://images.nasa.gov/details-NASA%20in%202023%20A%20Look%20Ahead
Music: Universal Production Music
Video Producer: Shane Apple
Credit: NASA</t>
  </si>
  <si>
    <t>KjBisqblTLQ</t>
  </si>
  <si>
    <t>2022 12 28</t>
  </si>
  <si>
    <t>https://youtu.be/T3-3RHYGjX4</t>
  </si>
  <si>
    <t>Is There Life on Mars  We Asked a NASA Scientist</t>
  </si>
  <si>
    <t>Is there life on Mars? No, we have never discovered life on the Red Planet, but we have found lots of evidence that suggests Mars could have once supported life in its ancient past. There’s even a chance that Mars could be habitable beneath its surface. NASA astrobiologist Heather Graham explains more. 
Keep up with all of NASA’s endeavors at the Red Planet: https://mars.nasa.gov
Producers: Scott Bednar, Jessica Wilde
Editor: Daniel Salazar
Credit: NASA</t>
  </si>
  <si>
    <t>T3-3RHYGjX4</t>
  </si>
  <si>
    <t>2022 12 23</t>
  </si>
  <si>
    <t>https://youtu.be/Z5cayPF5qeQ</t>
  </si>
  <si>
    <t>An Astronomical and Historic 2022 – What We Did This Year @ NASA – December 23, 2022</t>
  </si>
  <si>
    <t>In 2022, we launched our mega Moon rocket for the first time – sending the uncrewed Orion spacecraft around the Moon, we kicked off a new era in astronomy with record-breaking new imagery from the Webb Space Telescope, we moved an asteroid in humanity’s first ever planetary defense demonstration and much more. Here’s a look back at those and other things we did, this year @NASA!
Download Link: https://images.nasa.gov/details-NHQ_2022_1223_An%20Astronomical%20and%20Historic%202022%20%E2%80%93%20What%20We%20Did%20This%20Year%20@%20NASA%20%E2%80%93%20December%2023,%202022
Producer: Andre Valentine
Editor: Sonnet Apple
Music: Universal Production Music
Credit: NASA</t>
  </si>
  <si>
    <t>Z5cayPF5qeQ</t>
  </si>
  <si>
    <t>2022 12 22</t>
  </si>
  <si>
    <t>https://youtu.be/SA0SZkmD5vw</t>
  </si>
  <si>
    <t>What Happens to Old Satellites  We Asked a NASA Expert</t>
  </si>
  <si>
    <t>What happens to old satellites? Currently, they either burn up safely upon reentry into the atmosphere or they remain in space. But NASA is working on new technology that could make spaceflight more sustainable by refueling or upgrading satellites in space, greatly expanding their lifespans. 
Here's more about the On-orbit Servicing, Assembly and Manufacturing 1 (OSAM-1) Mission: https://go.nasa.gov/3FtsBHV
Producers: Jessica Wilde, Scott Bednar
Editor: Matthew Schara 
Credit: NASA</t>
  </si>
  <si>
    <t>SA0SZkmD5vw</t>
  </si>
  <si>
    <t>2022 12 19</t>
  </si>
  <si>
    <t>https://youtu.be/MvVxtFyTE0M</t>
  </si>
  <si>
    <t>Honoring the 50th Anniversary of NASA's Apollo 17 Moon Mission</t>
  </si>
  <si>
    <t>On Dec. 7, 1972, NASA astronauts Harrison Schmitt, Eugene Cernan, and Ronald Evans lifted off on Apollo 17—the final mission of the Apollo program. Cernan and Schmitt landed on the Moon on Dec. 11, spending three days on the lunar surface before rejoining Evans in orbit and returning to Earth, splashing down in the Pacific Ocean on Dec. 19.
Apollo 17 was the most recent mission to land humans on the Moon—and our next one isn't far away. As our Artemis missions prepare to return humans to the Moon and build a sustainable lunar presence, join us for a look back at Apollo 17.
Take a real-time journey through Apollo 17: https://apolloinrealtime.org/17/
Learn more about the Artemis missions: https://www.nasa.gov/specials/artemis/
Producer/Editor: Jori Kates
Music Credit: Universal Production Music
Credit: NASA</t>
  </si>
  <si>
    <t>MvVxtFyTE0M</t>
  </si>
  <si>
    <t>2022 12 14</t>
  </si>
  <si>
    <t>https://youtu.be/orpycPJKe4Q</t>
  </si>
  <si>
    <t>Where Did Our Moon Come From  We Asked a NASA Scientist</t>
  </si>
  <si>
    <t>Where did our Moon come from? Over the years, there have been several theories, but most scientists think it’s likely that a Mars-sized object smashed into Earth, creating what we now see in the sky.
NASA scientist Caitlin Ahrens shines a light on the Moon's mysterious origins: http://solarsystem.nasa.gov/moons/earths-moon
Producers: Jessica Wilde, Scott Bednar
Editor: Matthew Schara 
Credit: NASA</t>
  </si>
  <si>
    <t>orpycPJKe4Q</t>
  </si>
  <si>
    <t>https://youtu.be/FSJC7XvyMXY</t>
  </si>
  <si>
    <t>NASA 2022  A Year of Success</t>
  </si>
  <si>
    <t>Throughout America's story, there are defining days. Days when minds change, hearts fill and imagination soar.
NASA’s mission is to explore the unknown in air and space, innovate for the benefit of humanity, and inspire the world through discovery.
To learn more about the missions mentioned in this video, take a deep dive into these links:
[0:00] Artemis: https://www.nasa.gov/specials/artemis/
[0:17] Double Asteroid Redirection Test (DART): https://dart.jhuapl.edu/
[0:22] Quiet SuperSonic Technology (QueSST): https://www.nasa.gov/specials/Quesst/ 
[0:24] Low-Earth Orbit Flight Test of an Inflatable Decelerator (LOFTID): https://www.nasa.gov/mission_pages/tdm/loftid/index.html
[0:26] Cislunar Autonomous Positioning System Technology Operations and Navigation Experiment (CAPSTONE): https://www.nasa.gov/directorates/spacetech/small_spacecraft/capstone
[0:30] Europa Clipper: https://europa.nasa.gov/
[1:08] Perseverance Rover: https://mars.nasa.gov/mars2020/
[1:10] Mars Sample Return: https://mars.nasa.gov/msr/
[1:15] James Webb Space Telescope: https://webb.nasa.gov/
[1:22] International Space Station (ISS): https://www.nasa.gov/mission_pages/station/main/index.html
[1:26] Commercial Crew Program: https://www.nasa.gov/exploration/commercial/crew/index.html
[1:28] Laser Communications Relay Demonstration (LCRD): https://esc.gsfc.nasa.gov/projects/LCRD
Follow us on our journey.  
https://www.nasa.gov/
https://www.facebook.com/NASA
https://twitter.com/NASA
https://www.instagram.com/nasa/
https://www.youtube.com/channel/UCLA_DiR1FfKNvjuUpBHmylQ?sub_confirmation=1
CREDIT: NASA
MUSIC: Universal Production Music
Video Producer: Sonnet Apple</t>
  </si>
  <si>
    <t>FSJC7XvyMXY</t>
  </si>
  <si>
    <t>2022 12 07</t>
  </si>
  <si>
    <t>https://youtu.be/1m37B2MJKu8</t>
  </si>
  <si>
    <t>Are Wildfires Getting Worse  – We Asked a NASA Scientist</t>
  </si>
  <si>
    <t>Are wildfires getting worse? Unfortunately, yes. 
Changes in our climate, along with other factors, have led to wildfires increasing in intensity, severity, size and duration. NASA climate and wildfire expert Liz Hoy explains how and why NASA studies these events from the ground, air, and space to better understand the impacts they have on both a local and global scale. https://www.nasa.gov/fires
Producers: Jessica Wilde, Scott Bednar
Editor: Daniel Salazar 
Credit: NASA</t>
  </si>
  <si>
    <t>1m37B2MJKu8</t>
  </si>
  <si>
    <t>2022 12 02</t>
  </si>
  <si>
    <t>https://youtu.be/N0acoq5Uzfs</t>
  </si>
  <si>
    <t>NASA’s Women of Artemis</t>
  </si>
  <si>
    <t>NASA has a rich history of women pioneers. 
In 1922, Pearl Young became the first woman physicist hired by the National Advisory Committee for Aeronautics (NACA) which later became NASA. Since that time, women have been paving the way for future generations working as human computers, engineers, scientists and astronauts. Today, there are many women in leadership throughout NASA, including Artemis I Launch Director Charlie Blackwell-Thompson and Deputy Administrator Pam Melroy.
Artemis, the twin sister of Apollo and goddess of the Moon and the hunt, is a fitting symbol for NASA’s new missions through space. Through the Artemis program, we will see the first woman and first person of color walk on the surface of the Moon. Then, we will use what we learn on and around the Moon to take the next giant leap: sending the first astronauts to Mars.
Learn more: https://www.nasa.gov/women
https://www.nasa.gov/specials/artemis/
Producers: Sonnet Apple &amp; Sami Aziz
Music: Universal Production Music
Credit: NASA</t>
  </si>
  <si>
    <t>N0acoq5Uzfs</t>
  </si>
  <si>
    <t>2022 12 01</t>
  </si>
  <si>
    <t>https://youtu.be/470HQVrJiJU</t>
  </si>
  <si>
    <t>Exploring the Moon with NASA's Commercial Lunar Payload Services</t>
  </si>
  <si>
    <t>NASA’s Commercial Lunar Payload Services (CLPS) initiative allows NASA to send science investigations and technology demonstrations to the lunar surface. Under Artemis, NASA will study more of the Moon than ever before, and CLPS will demonstrate how NASA is working with commercial companies to achieve robotic lunar exploration.
Credit: NASA</t>
  </si>
  <si>
    <t>470HQVrJiJU</t>
  </si>
  <si>
    <t>2022 11 30</t>
  </si>
  <si>
    <t>https://youtu.be/fNSmLNWyojA</t>
  </si>
  <si>
    <t>Ride Along with Artemis Around the Moon (Official NASA Video)</t>
  </si>
  <si>
    <t>Cameras on NASA’s Space Launch System (SLS) rocket and Orion spacecraft give us amazing views of our adventure around the Moon. See up close views of the Moon from external cameras as well as the view from inside the capsule.
Orion is the only spacecraft capable of carrying humans from Earth on Artemis missions to deep space and bringing them back to Earth from the vicinity of the Moon. More than just a crew module, Orion has a launch abort system to keep astronauts safe if an emergency happens during launch, and a European-built service module that is the powerhouse that fuels and propels Orion and keeps astronauts alive with water, oxygen, power, and temperature control, as well as a heat shield that can handle high-speed returns from deep space. SLS is the most powerful rocket in the world and the only rocket capable of launching Orion with astronauts and their supplies on Artemis missions to the Moon.
Orion launched on the SLS rocket from Launch Pad 39B at NASA’s Kennedy Space Center in Florida Wednesday, Nov. 16, 2022. Artemis I is an uncrewed flight test of our SLS rocket, Orion spacecraft, and exploration ground systems for future Artemis missions—which will provide the foundation to send humans to the lunar surface, develop a long-term presence on and around the Moon, and pave the way for humanity to set foot on Mars.
More about Artemis: https://www.nasa.gov/specials/artemis-i/
Credit: NASA</t>
  </si>
  <si>
    <t>fNSmLNWyojA</t>
  </si>
  <si>
    <t>https://youtu.be/hr4J6GhoATs</t>
  </si>
  <si>
    <t>Is There Water on the Moon  We Asked a NASA Scientist</t>
  </si>
  <si>
    <t>Is there water on the Moon? Yes! But you won’t find pools of liquid H2O on the lunar surface — water on the Moon is mostly in the form of ice. 
Harvesting this water is a critical component of future human deep space exploration, which is why our golf cart-sized VIPER, or the Volatiles Investigating Polar Exploration Rover, will be traveling to the Moon’s South Pole to search for ice and other potential resources to determine where they came from. Explore more about this first-of-its-kind rover: https://www.nasa.gov/viper
Producers: Jessica Wilde, Scott Bednar
Editor: Seth Robinson 
Credit: NASA</t>
  </si>
  <si>
    <t>hr4J6GhoATs</t>
  </si>
  <si>
    <t>2022 11 29</t>
  </si>
  <si>
    <t>https://youtu.be/uDF4wCTZUHE</t>
  </si>
  <si>
    <t>Rocket Camera Footage from the World's Most Powerful Rocket</t>
  </si>
  <si>
    <t>Experience the Artemis I launch from the engine ignition to Orion's separation on it's journey to the Moon.</t>
  </si>
  <si>
    <t>uDF4wCTZUHE</t>
  </si>
  <si>
    <t>https://youtu.be/e8JQXMjPOpQ</t>
  </si>
  <si>
    <t>Highlights From the First 13 Days of NASA's Artemis I Moon Mission</t>
  </si>
  <si>
    <t>On Monday, Nov. 28, 2022, Artemis I reached the halfway point of its 26-day mission around the Moon, flying roughly 270,000 miles (434,000 km) from the Earth—farther from our home planet than any spacecraft designed to send humans to space and back has gone before.
From Artemis I's launch at NASA's Kennedy Space Center, to its first "Earthrise", to close-up views of the lunar surface, take a look back at some of the highlights from the first half of this mission. 
Artemis I is an uncrewed test of our Space Launch System rocket and Orion spacecraft for future Artemis missions—which will send humans to the lunar surface, develop a long-term, sustainable presence on and around the Moon, and pave the way for humanity to set foot on Mars.
More about Artemis: https://www.nasa.gov/specials/artemis-i/
Credit: NASA
#NASA #Artemis #Moon</t>
  </si>
  <si>
    <t>e8JQXMjPOpQ</t>
  </si>
  <si>
    <t>2022 11 28</t>
  </si>
  <si>
    <t>https://youtu.be/PIjZHWUMbo8</t>
  </si>
  <si>
    <t>NASA’s Artemis I 'Passengers'</t>
  </si>
  <si>
    <t>There may not be any humans traveling on Artemis I but that doesn't mean there aren’t any travelers aboard NASA’s Orion Spacecraft! Meet the three "passengers" that are collecting data to help us keep future NASA astronauts safe and understand what they will be experiencing on upcoming Artemis missions to the Moon. https://go.nasa.gov/3TDjPx5
The Artemis I mission consists of the Space Launch System rocket that is sending the uncrewed Orion spacecraft around the Moon and back to Earth to check out spacecraft systems before crew fly aboard on Artemis II. The Artemis I mission is one more step toward taking the next giant leap: sending the first astronauts to Mars. 
Keep up with this historic mission: https://nasa.gov/specials/artemis-i
Credits:
Producers: Jessica Wilde, Sami Aziz, Scott Bednar</t>
  </si>
  <si>
    <t>PIjZHWUMbo8</t>
  </si>
  <si>
    <t>2022 11 26</t>
  </si>
  <si>
    <t>https://youtu.be/nJhJyZo6h38</t>
  </si>
  <si>
    <t>Apollo to Artemis  NASA Returns to the Moon</t>
  </si>
  <si>
    <t>On Saturday, Nov. 26, at 8:42 a.m EST (13:42 UTC) the Orion spacecraft will break the record for farthest distance traveled by a spacecraft designed to carry humans to deep space and safely return them to Earth. This distance is currently held by the Apollo 13 spacecraft. In this video, Apollo astronauts and flight directors give their insights into the Apollo program, the nation’s reaction then, and how the Artemis program will benefit the nation today. As we go back to the Moon, Artemis will prepare us to travel even deeper into space.
Learn more: https://www.nasa.gov/specials/artemis-i
Credits:
Producer: Amy Leinart &amp; Sami Aziz
Music: Universal Production Music
Credit: NASA</t>
  </si>
  <si>
    <t>nJhJyZo6h38</t>
  </si>
  <si>
    <t>2022 11 23</t>
  </si>
  <si>
    <t>https://youtu.be/Kl1oxcXU2JQ</t>
  </si>
  <si>
    <t>Are There Rivers and Lakes on Other Worlds  We Asked a NASA Scientist</t>
  </si>
  <si>
    <t>Are there rivers and lakes on other worlds? You bet. Just like Earth, Saturn’s moon Titan is home to these fairly unique features, except these lakes and rivers aren’t filled with water. Planetary scientist Dr. Sarah Hörst spills the science tea: https://go.nasa.gov/2QzAAIt
Producers: Scott Bednar, Jessica Wilde
Editor: Matthew Schara
Credit: NASA</t>
  </si>
  <si>
    <t>Kl1oxcXU2JQ</t>
  </si>
  <si>
    <t>2022 11 22</t>
  </si>
  <si>
    <t>https://youtu.be/RE_IRuyXQCQ</t>
  </si>
  <si>
    <t>Earthrise after Orion Executes Outbound Powered Flyby</t>
  </si>
  <si>
    <t>The Earth is seen rising from behind the shadowed surface of the Moon in this video taken on the sixth day of the Artemis I mission by a camera on the tip of one of Orion’s solar arrays. The spacecraft had just successfully executed the Outbound Powered Flyby maneuver which brought it within 80 miles of the lunar surface, the closest approach of the uncrewed Artemis I mission, before moving into a distant retrograde orbit around the Moon. The spacecraft entered the lunar sphere of influence Sunday, Nov. 20, making the Moon, instead of Earth, the main gravitational force acting on the spacecraft. 
Credit: NASA</t>
  </si>
  <si>
    <t>RE_IRuyXQCQ</t>
  </si>
  <si>
    <t>https://youtu.be/vfRTlFCLzH4</t>
  </si>
  <si>
    <t>Earthset as Orion Prepares for Outbound Powered Flyby</t>
  </si>
  <si>
    <t>The Earth is seen setting from the far side of the Moon just beyond the Orion spacecraft in this video taken on the sixth day of the Artemis I mission by a camera on the tip of one of Orion’s solar arrays. The spacecraft was preparing for the Outbound Powered Flyby maneuver which would bring it within 80 miles of the lunar surface, the closest approach of the uncrewed Artemis I mission, before moving into a distant retrograde orbit around the Moon. The spacecraft entered the lunar sphere of influence Sunday, Nov. 20, making the Moon, instead of Earth, the main gravitational force acting on the spacecraft. 
Credit: NASA</t>
  </si>
  <si>
    <t>vfRTlFCLzH4</t>
  </si>
  <si>
    <t>2022 11 21</t>
  </si>
  <si>
    <t>https://youtu.be/BVR76K1riIY</t>
  </si>
  <si>
    <t>Happy Thanksgiving from the International Space Station</t>
  </si>
  <si>
    <t>Check in with NASA astronauts Frank Rubio, Josh Cassada, Nicole Mann, and JAXA astronaut Koichi Wakata to learn more about what the holiday means to them – and get a look at what Thanksgiving in space is like!
Download Link:
https://images.nasa.gov/details-Happy%20Thanksgiving%20from%20The%20International%20Space%20Station</t>
  </si>
  <si>
    <t>BVR76K1riIY</t>
  </si>
  <si>
    <t>https://youtu.be/BFqEfkzSrXo</t>
  </si>
  <si>
    <t>NASA's Artemis I Launch Rocket Camera Footage</t>
  </si>
  <si>
    <t>Raw NASA camera footage, taken from the Space Launch System's (SLS) core stage, shows the SLS separation of the solid rocket boosters two minutes and 11 seconds after liftoff.
At 1:47 am EST (6:47 UTC) on November 16, NASA’s Orion spacecraft launched aboard the SLS rocket from historic Launch Complex 39B at NASA’s Kennedy Space Center on a path to the Moon, officially beginning the Artemis I mission.
This mission is the first integrated test of NASA’s deep space exploration systems: the Orion spacecraft, the SLS rocket, and Kennedy Space Center ground systems.
More: https://nasa.gov/specials/artemis-i
Credits: NASA</t>
  </si>
  <si>
    <t>BFqEfkzSrXo</t>
  </si>
  <si>
    <t>2022 11 18</t>
  </si>
  <si>
    <t>https://youtu.be/Tbar2FaImJ4</t>
  </si>
  <si>
    <t>The Historic Launch of Our Artemis I Flight Test on This Week @NASA – November 18, 2022</t>
  </si>
  <si>
    <t>The historic launch of our Artemis I flight test, a powerwalk outside the space station, and the beginnings of a new star … a few of the stories to tell you about – This Week at NASA!
Download Link:
https://images.nasa.gov/details-The%20Historic%20Launch%20of%20Our%20Artemis%20I%20Flight%20Test%20on%20This%20Week%20@NASA%20–%20November%2018,%202022
Producer: Andre Valentine
Editor: Sonnet Apple
Music: Universal Production Music
Credit: NASA</t>
  </si>
  <si>
    <t>Tbar2FaImJ4</t>
  </si>
  <si>
    <t>2022 11 17</t>
  </si>
  <si>
    <t>https://youtu.be/5w8gTwDxeH8</t>
  </si>
  <si>
    <t>Where Do Moons Come From  We Asked a NASA Scientist</t>
  </si>
  <si>
    <t>Where do moons come from? From cataclysmic impacts to gravitational capture, NASA planetary scientist Joe Renaud walks us through some of the many theories of how the unique and captivating moons in our solar system came to be. https://solarsystem.nasa.gov/moons/overview/
Producers: Scott Bednar, Jessica Wilde
Editor: James Lucas
Credit: NASA</t>
  </si>
  <si>
    <t>5w8gTwDxeH8</t>
  </si>
  <si>
    <t>2022 11 16</t>
  </si>
  <si>
    <t>https://youtu.be/mYTvg2abusc</t>
  </si>
  <si>
    <t>Artemis I Launches to the Moon (Official NASA Recap)</t>
  </si>
  <si>
    <t>NASA’s Artemis I mission lifted off on Nov. 16, 2022, from Kennedy Space Center’s Launch Complex 39B. This video includes highlights from the event.
With 8.8 million pounds of thrust, the Space Launch System (SLS), is NASA’s most powerful rocket. It will send the uncrewed Orion spacecraft beyond the Moon, 280,000 miles from Earth, farther than any human-rated spacecraft has ever flown.
After 26 days and a total distance of over a million miles, Orion will return home faster and hotter than any spacecraft has before. 
The primary goals for Artemis I are to demonstrate Orion’s systems in a spaceflight environment and ensure a safe re-entry, descent, splashdown, and recovery prior to the first flight with crew on Artemis II.
The first in a series of increasingly complex missions, Artemis I will demonstrate our commitment and capability to build a long-term human presence at the Moon for decades to come.
Learn more at: https://www.nasa.gov/specials/artemis-i/
Download Link:
https://images.nasa.gov/details-Artemis%20I%20Launches%20to%20the%20Moon%20(Official%20NASA%20Recap)
Video Producer: Sonnet Apple
Music: Universal Production Music
Credit: NASA</t>
  </si>
  <si>
    <t>mYTvg2abusc</t>
  </si>
  <si>
    <t>2022 11 14</t>
  </si>
  <si>
    <t>https://youtu.be/mog9IyT0CPU</t>
  </si>
  <si>
    <t>NASA’s Artemis I Launch Set to Make History</t>
  </si>
  <si>
    <t>A quick recap of NASA’s history in space exploration segueing to Artemis serves as the opening video for the launch broadcast for the agency’s Artemis I mission. The broadcast originates from Kennedy Space Center in Florida, where NASA’s Space Launch System rocket and Orion spacecraft will lift off from Launch Complex 39B no earlier than November 16 on a mission beyond the Moon and back to Earth.
Credits: 
Music Courtesy of Gothic Storm Music
Produced and Edited by Oxcart and Sami Aziz</t>
  </si>
  <si>
    <t>mog9IyT0CPU</t>
  </si>
  <si>
    <t>2022 11 11</t>
  </si>
  <si>
    <t>https://youtu.be/zLhW6sxM7aI</t>
  </si>
  <si>
    <t>NASA Honors our Servicemembers this Veterans Day</t>
  </si>
  <si>
    <t>Our journey back to the Moon and onto Mars starts at home, and NASA’s Veterans are a big part of accomplishing that mission.  Veterans currently make up 12% of the NASA workforce. Many of the most iconic figures at the agency—our astronauts—have a strong veteran tie. In fact, all NASA astronauts were military pilots until 1965. Of the 385 total NASA Astronauts, 223 are Veterans! Veterans continue to have a sweeping impact on NASA, in every corner of our workforce. Thanks to all the men and women who have served in our armed forces. Have a safe and happy Veterans Day.
Credit: NASA</t>
  </si>
  <si>
    <t>zLhW6sxM7aI</t>
  </si>
  <si>
    <t>https://youtu.be/AQ1GBbti-SU</t>
  </si>
  <si>
    <t>The Move to the Launch Pad for Artemis I on This Week @NASA – November 11, 2022</t>
  </si>
  <si>
    <t>The move to the launch pad for Artemis I, a visual treat in the sky, and a NASA tech demo hitches a ride to space … a few of the stories to tell you about – This Week at NASA!
Download Link: https://images.nasa.gov/details-The%20Move%20to%20the%20Launch%20Pad%20for%20Artemis%20I%20on%20This%20Week%20@NASA%20–%20November%2011,%202022
Producer: Andre Valentine
Editor: Shane Apple
Music: Universal Production Music
Credit: NASA</t>
  </si>
  <si>
    <t>AQ1GBbti-SU</t>
  </si>
  <si>
    <t>2022 11 09</t>
  </si>
  <si>
    <t>https://youtu.be/0ayDBidFbDI</t>
  </si>
  <si>
    <t>Does Anything Orbit the Moon  We Asked a NASA Technologist</t>
  </si>
  <si>
    <t>Does anything orbit the Moon? Yes. There are a handful of satellites currently orbiting our closest celestial neighbor. On Nov. 13, 2022, they will welcome CAPSTONE, a CubeSat designed to test a new and unique halo-shaped orbit that will offer stability for long-term missions like our upcoming lunar Gateway space station. NASA Small Satellites Engineer Ahn Nguyen tells us about it. 
Keep up: https://nasa.gov/capstone
Producers: Scott Bednar, Jessica Wilde
Editor: James Lucas
Credit: NASA</t>
  </si>
  <si>
    <t>0ayDBidFbDI</t>
  </si>
  <si>
    <t>2022 11 04</t>
  </si>
  <si>
    <t>https://youtu.be/LdcvDoqVJXk</t>
  </si>
  <si>
    <t>An Update on Our Artemis I Moon Mission on This Week @NASA – November 4, 2022</t>
  </si>
  <si>
    <t>An update on our Artemis I Moon mission, the right moves for a small satellite mission, and a bright idea to search for water ice on the Moon … a few of the stories to tell you about – This Week at NASA!
Download Link:
https://images.nasa.gov/details-An%20Update%20on%20Our%20Artemis%20I%20Moon%20Mission%20on%20This%20Week%20@NASA%20–%20November%204,%202022
Producer: Andre Valentine
Editor: Sonnet Apple
Music: Universal Production Music
Credit: NASA</t>
  </si>
  <si>
    <t>LdcvDoqVJXk</t>
  </si>
  <si>
    <t>2022 11 02</t>
  </si>
  <si>
    <t>https://youtu.be/OFPRY6su9KA</t>
  </si>
  <si>
    <t>Science Launching on SpaceX's 26th Cargo Resupply Mission to the Space Station</t>
  </si>
  <si>
    <t>SpaceX's 26th commercial resupply mission (CRS-26) is scheduled to launch to the International Space Station from NASA's Kennedy Space Center in Florida on Nov. 18. 
The Dragon spacecraft carries dozens of scientific experiments and technology demonstrations, including investigations to explore growing plants in space, creating nutrients on-demand, and in-space construction.
Details: https://go.nasa.gov/3WqGhLu
Credit: NASA
#NASA #SpaceStation #Science</t>
  </si>
  <si>
    <t>OFPRY6su9KA</t>
  </si>
  <si>
    <t>https://youtu.be/YfWCUYX2_U0</t>
  </si>
  <si>
    <t>Why Does Climate Change Matter  We Asked a NASA Scientist</t>
  </si>
  <si>
    <t>Why does climate change matter? Because it's happening and we’re already feeling its effects around the world. But there's hope. NASA Chief Scientist and Senior Climate Advisor Dr. Kate Calvin explains how NASA collects data and develops tools that can help us better understand and prepare for climate change: https://climate.nasa.gov
Producer: Jessica Wilde
Editor: Scott Bednar
Credit: NASA</t>
  </si>
  <si>
    <t>YfWCUYX2_U0</t>
  </si>
  <si>
    <t>2022 10 31</t>
  </si>
  <si>
    <t>https://youtu.be/OCY3NGsDUGg</t>
  </si>
  <si>
    <t>Happy Halloween 2022 From NASA!</t>
  </si>
  <si>
    <t>It might be Halloween, but we have plenty of "Easter Eggs" from this video to share.
The building’s mural might say Galaxy of Horrors, but it is also a galaxy of wonders. Here, you can learn about all the images painted on the building:
The Sun as seen by our orbiting Solar Dynamics Observatory: https://go.nasa.gov/3Wh5wQ2
Tarantula Nebula: https://go.nasa.gov/3RD7Ldt
Witch Head Nebula: https://go.nasa.gov/2DbYWFo
Black Widow Nebula: https://go.nasa.gov/3DNJ1Lv
Helix Nebula: https://go.nasa.gov/3FwVxjB
Colliding galaxies: https://go.nasa.gov/36kPZ7M
Dead comet: https://go.nasa.gov/3zyPcka
The Andromeda Galaxy: https://go.nasa.gov/3SShuwA
The cat's eyes get their own nebula (Cat Eye Nebula): https://go.nasa.gov/2Olp55Z
Did you notice who signed the mural? That's Artemis, goddess of the Moon. Our #Artemis I mission is scheduled to launch around the Moon and back on November 14: https://www.nasa.gov/specials/artemis/
Whose portraits are in the building?
Lyman Strong Spitzer, the renowned astrophysicist for whom the Spitzer Space Telescope was named: https://go.nasa.gov/3UgNuMd
Nancy Grace Roman, the astronomer who is considered the "mother" of the Hubble Space Telescope: https://go.nasa.gov/2zfimsw
Posters on the buildings: The original Galaxy of Horrors. Download them here: https://exoplanets.nasa.gov/alien-worlds/galaxy-of-horrors/
Editor: Mark Hailey
Credit: NASA</t>
  </si>
  <si>
    <t>OCY3NGsDUGg</t>
  </si>
  <si>
    <t>2022 10 28</t>
  </si>
  <si>
    <t>https://youtu.be/9ptQmdRTB8c</t>
  </si>
  <si>
    <t>The Cause of a Christmas Eve Quake on Mars on This Week @ NASA – October 28, 2022</t>
  </si>
  <si>
    <t>The cause of a Christmas Eve quake on Mars, super sources of a climate-warming greenhouse gas, and images of Earth from a passing spacecraft … a few of the stories to tell you about – This Week at NASA!
https://nasa.gov/subscribe
AVAIL Download Link:
https://images.nasa.gov/details-The%20Cause%20of%20a%20Christmas%20Eve%20Quake%20on%20Mars%20on%20This%20Week%20@NASA%20–%20October%2028,%202022</t>
  </si>
  <si>
    <t>9ptQmdRTB8c</t>
  </si>
  <si>
    <t>2022 10 26</t>
  </si>
  <si>
    <t>https://youtu.be/29dr_l3-9lU</t>
  </si>
  <si>
    <t>How Do Spacecraft Slow Down  We Asked a NASA Technologist</t>
  </si>
  <si>
    <t>How do spacecraft slow down? Rigid heat shields and retropropulsion have been the favorites of engineers for years. Now NASA is testing a new inflatable heat shield technology that could allow us to carry even larger payloads to worlds with atmospheres: https://www.nasa.gov/loftid
Launching on Nov. 1 aboard a United Launch Alliance Atlas V rocket along with NOAA’s JPSS-2 mission, the Low-Earth Orbit Flight Test of an Inflatable Decelerator, or LOFTID, will demonstrate the heat shield’s ability to slow down and survive atmospheric entry: https://go.nasa.gov/3N7yzBG
Producers: Scott Bednar, Jessica Wilde
Editor: Daniel Salazar
Credit: NASA
#NASA #Technology #Spacecraft</t>
  </si>
  <si>
    <t>29dr_l3-9lU</t>
  </si>
  <si>
    <t>2022 10 21</t>
  </si>
  <si>
    <t>https://youtu.be/eeuNZTpMdWA</t>
  </si>
  <si>
    <t>The Webb Space Telescope’s New Look at a “Star Factory” on This Week @NASA – October 21, 2022</t>
  </si>
  <si>
    <t>A new look at a “star factory,” practicing Moonwalks here on Earth, and an Earthly assist for a NASA spacecraft … a few of the stories to tell you about – This Week at NASA!
Download Link:
https://images.nasa.gov/details-The%20Webb%20Space%20Telescope’s%20New%20Look%20at%20a%20“Star%20Factory”%20on%20This%20Week%20@NASA%20–%20October%2021,%202022</t>
  </si>
  <si>
    <t>eeuNZTpMdWA</t>
  </si>
  <si>
    <t>2022 10 20</t>
  </si>
  <si>
    <t>https://youtu.be/1XyTjY69umQ</t>
  </si>
  <si>
    <t>Audio from NASA’s Juno Mission  Europa Flyby</t>
  </si>
  <si>
    <t>In this video, measurements collected by the Waves instrument aboard NASA’s Juno spacecraft during its close flyby of Jupiter’s moon Europa on Sept. 29, 2022 have been converted to an audible frequency. As the white line moves across the spectrogram, which is a visual way of representing signal strength over time, the variation of frequency of the plasma waves observed near Europa can be heard as the plasma density varies. The video shows data collected over approximately 1.5 hours during the Europa flyby.
For more information about NASA’s Juno mission, visit: http://nasa.gov/juno and https://missionjuno.com 
Details about the Europa flyby can be found at: https://www.nasa.gov/feature/jpl/nasa-s-juno-will-perform-close-flyby-of-jupiter-s-icy-moon-europa
Credit: NASA/JPL-Caltech/SwRI/Univ of Iowa</t>
  </si>
  <si>
    <t>1XyTjY69umQ</t>
  </si>
  <si>
    <t>2022 10 19</t>
  </si>
  <si>
    <t>https://youtu.be/6GX2KBgK0CQ</t>
  </si>
  <si>
    <t>Are Hurricanes Getting Stronger  We Asked a NASA Scientist</t>
  </si>
  <si>
    <t>Are hurricanes getting stronger? Although we’ll never see a Category 6 hurricane, data does show that more hurricanes are becoming more severe. Hurricane and climate expert Mara Cordero-Fuentes of NASA's Goddard Space Flight Center tells us more about the connection between climate change and tropical cyclones. 
Learn more: https://go.nasa.gov/3yQ168I
Producers: Scott Bednar, Jessica Wilde
Editor: Daniel Salazar
Credit: NASA</t>
  </si>
  <si>
    <t>6GX2KBgK0CQ</t>
  </si>
  <si>
    <t>2022 10 17</t>
  </si>
  <si>
    <t>https://youtu.be/WvcSc-SicW4</t>
  </si>
  <si>
    <t>Science Launching on Northrop Grumman's CRS-18 Mission to the Space Station</t>
  </si>
  <si>
    <t>The 18th Northrop Grumman commercial resupply services mission to the International Space Station carries scientific investigations of topics such as 3D printing of knee cartilage, plant mutations, and mudflow structure—along with a demonstration of camera technology and small satellites from Japan, Uganda, and Zimbabwe. 
The Cygnus spacecraft carrying these investigations to the orbiting laboratory is scheduled for liftoff no earlier than Nov. 6, 2022 from the Mid-Atlantic Regional Spaceport at NASA's Wallops Flight Facility on Wallops Island, Virginia. Learn more about some of the scientific research traveling to the station on this mission: https://go.nasa.gov/3rYCjvA
CREDIT: NASA
#NASA #SpaceStation #Science</t>
  </si>
  <si>
    <t>WvcSc-SicW4</t>
  </si>
  <si>
    <t>2022 10 14</t>
  </si>
  <si>
    <t>https://youtu.be/7LF59gmJNog</t>
  </si>
  <si>
    <t>The Results of Our DART Planetary Defense Test on This Week @NASA – October 14, 2022</t>
  </si>
  <si>
    <t>The results of our DART planetary defense test, astronauts return safely from the space station, and more new imagery from the Webb Space Telescope … a few of the stories to tell you about – This Week at NASA!
Download Link:
https://images.nasa.gov/details-The%20Results%20of%20Our%20DART%20Planetary%20Defense%20Test%20on%20This%20Week%20@NASA%20–%20October%2014,%202022
Producer: Andre Valentine
Editor: Sonnet Apple
Music: Universal Production Music
Credit: NASA</t>
  </si>
  <si>
    <t>7LF59gmJNog</t>
  </si>
  <si>
    <t>2022 10 12</t>
  </si>
  <si>
    <t>https://youtu.be/HbDsM6c0R5Y</t>
  </si>
  <si>
    <t>NASA Explorers Season 5, Episode 4  The South Pole</t>
  </si>
  <si>
    <t>When Artemis astronauts land on the Moon, they’ll travel to sites never before visited by humans. Namely, they'll explore the South Pole region, home to the Moon’s largest crater, areas of near-constant light and deep shadows, and some of the coldest temperatures in the solar system.
Exploring the South Pole will teach us more about the Moon’s history, as well as the history of our solar system. It's home to frozen water, which is crucial for living sustainably on the lunar surface and exploring deeper into the solar system.
Artemis astronauts will explore the Moon on behalf of all of us and bring back lunar rocks and soil for analyses by generations of scientists who will help us gain unimaginable insights into our cosmic history.  
Series Executive Producers: Katy Mersmann/Lauren Ward 
Season Producers: Lonnie Shekhtman/Stephanie Sipila/James Tralie/Molly Wasser 
Explorers: Jose Aponte/Natalie Curran/Julie Mitchell/Adam Naids/Noah Petro/Kelsey Young/Jessica Watkins
Music:
a. “Daylight Falls” by Jay Price 
b. “Good Omens” by Count Zero and Rohan Stevenson 
c. “Lightspeed” by Gresby Race Nash 
d. “Wonders of Life” by Enrico Cacace and Lorzeno Castellarin 
e. “Hold Still” by Enrico Cacace 
f. “We Shall Overcome” by Laurent Couson 
Credit: NASA 
#NASAExplorers #Artemis #NASA-</t>
  </si>
  <si>
    <t>HbDsM6c0R5Y</t>
  </si>
  <si>
    <t>2022 10 11</t>
  </si>
  <si>
    <t>https://youtu.be/J61Y5AJ-Kog</t>
  </si>
  <si>
    <t>NASA's SpaceX Crew-4  A Scientific Journey</t>
  </si>
  <si>
    <t>After months aboard the International Space Station, the astronauts of NASA’s SpaceX Crew-4 mission are returning home. 
Traveling back to Earth inside a SpaceX Dragon capsule are NASA astronauts Kjell Lindgren, Robert Hines, and Jessica Watkins, along with ESA (European Space Agency) astronaut Samantha Cristoforetti. During their time aboard the orbiting laboratory, these crew members contributed to ongoing and new scientific investigations and technology demonstrations, work that is helping to prepare humans for future space exploration missions and generating innovations and benefits for humanity on Earth. 
Learn more: https://go.nasa.gov/3Sv0vkE
Credit: NASA
#space #iss #spacex</t>
  </si>
  <si>
    <t>J61Y5AJ-Kog</t>
  </si>
  <si>
    <t>2022 10 07</t>
  </si>
  <si>
    <t>https://youtu.be/c-D-tpvgTBg</t>
  </si>
  <si>
    <t>A New Crew Launches to the Space Station on This Week @NASA – October 7, 2022</t>
  </si>
  <si>
    <t>Launching a new crew to the space station, the plan moving forward for Artemis I, and Webb’s new look at a pair of galaxies … a few of the stories to tell you about – This Week at NASA!
Download Link:
https://images.nasa.gov/details-Onward%20and%20Upward!%20New%20Crew%20Launches%20to%20the%20Space%20Station%20on%20This%20Week%20@NASA%20–%20October%207,%202022
Producer: Andre Valentine
Editor: Lacey Young
Music: Universal Production Music
Credit: NASA</t>
  </si>
  <si>
    <t>c-D-tpvgTBg</t>
  </si>
  <si>
    <t>2022 10 05</t>
  </si>
  <si>
    <t>https://youtu.be/HbT9Xm-R3zc</t>
  </si>
  <si>
    <t>NASA Explorers Season 5, Episode 3  Space School</t>
  </si>
  <si>
    <t>Before Jessica Watkins was an astronaut, she was a geologist. Now working on the International Space Station, Jessica and her fellow astronauts are preparing to explore the Moon and beyond. 
But collecting and investigating rocks on other worlds is very different from digging dirt here on Earth. That’s where tools engineer Adam Naids comes in. Tools designed for Earth geologists may not work in the lower gravity and extreme temperatures of the Moon, and that’s before you bring in the bulky spacesuits! NASA Explorers come together at space school to train astronauts to conduct science on the Moon.
Series Executive Producers: Katy Mersmann/Lauren Ward
Season Producers: Lonnie Shekhtman/Stephanie Sipila/James Tralie/Molly Wasser 
Explorers: Jessica Watkins/Adam Naids/Kelsey Young 
Music: 
a. “Iced Planet” by Anthony Edwin Phillips and Samuel Karl Bohn 
b. “The Deep” by Paul Werner 
c. “Carpe Diem” by Michael James Burns 
d. “State of Matter” by Markus Gleissner 
e. “A Grand Enterprise” by Daniel Marantz and Dave Carr 
f. “Optimistic Attitude 1" by Joel Goodman and Vicente Julio Ortiz Gimeno 
g. “Dawn Beauty” Laurent Dury 
h. “Take it Lightly” by Carl David Harms 
i. “Imaginary Travel” by Claude Pelouse and Olivier Grim 
Credit: NASA
#NASAExplorers #Artemis #NASA</t>
  </si>
  <si>
    <t>HbT9Xm-R3zc</t>
  </si>
  <si>
    <t>2022 10 04</t>
  </si>
  <si>
    <t>https://youtu.be/40uEMAv3R90</t>
  </si>
  <si>
    <t>Snoopy is Going to Space on NASA's Artemis I Moon Mission</t>
  </si>
  <si>
    <t>There may not be any humans aboard NASA's #Artemis I flight test, but there will be a special canine: Snoopy! Learn why Astronaut Snoopy is flying to space when Artemis launches on its historic mission around the Moon and back.  
Artemis I is the first integrated flight test of the Space Launch System rocket that will send the uncrewed Orion spacecraft around the Moon and back to Earth. The mission will check out all spacecraft systems for the first time before crew fly aboard Artemis II. It's one more step toward taking the next giant leap: sending the first astronauts to Mars. Get all the info on this historic mission: https://nasa.gov/specials/artemis-i 
The history of Snoopy and NASA: https://go.nasa.gov/3cNgB65
Producers: Scott Bednar, Jessica Wilde, Sami Aziz
Videographer: Ben Smegelsky
Credit: NASA</t>
  </si>
  <si>
    <t>40uEMAv3R90</t>
  </si>
  <si>
    <t>2022 10 03</t>
  </si>
  <si>
    <t>https://youtu.be/AAzM1iugWoY</t>
  </si>
  <si>
    <t>NASA's SpaceX Crew-5 Mission to the Space Station (Official Trailer)</t>
  </si>
  <si>
    <t>NASA and SpaceX are targeting no earlier than noon EDT (1600 UTC) Wednesday, Oct. 5, 2022, for the launch of the agency’s Crew-5 mission to the International Space Station.
Crew-5 will carry NASA astronauts Nicole Mann and Josh Cassada, along with JAXA (Japan Aerospace Exploration Agency) astronaut Koichi Wakata, and Roscosmos cosmonaut Anna Kikina to the ISS.
Crew-5 will conduct new and exciting scientific research in areas including investigations to prepare for human exploration beyond low-Earth orbit and benefit life on Earth. Experiments will include studies on 3D biological printing of cells and tissues in space, understanding liquid behavior in lunar and Martian gravity, and multiple experiments aimed at better understanding heart disease. These are just some of the more than 200 science experiments and technology demonstrations that will take place during their mission.  
Mission Commander, Nicole Mann is the first indigenous woman for NASA to travel to space and the first female commander for a commercial crew launch.
You can watch the launch live on NASA TV, NASA.gov, the NASA app, and on social media (@NASA).
Learn more about the Crew-5 mission here: https://blogs.nasa.gov/crew-5/
Music: Universal Production Music
Video Producer: Sonnet Apple
Credit: NASA</t>
  </si>
  <si>
    <t>AAzM1iugWoY</t>
  </si>
  <si>
    <t>2022 09 30</t>
  </si>
  <si>
    <t>https://youtu.be/PcA_LQGFoi8</t>
  </si>
  <si>
    <t>The World’s First-Ever Planetary Defense Test on This Week @NASA – September 30, 2022</t>
  </si>
  <si>
    <t>The world’s first-ever planetary defense test is a big hit, a major hurricane spotted from space, and moving our mega Moon rocket back inside ahead of that storm … a few of the stories to tell you about – This Week at NASA!
Download Link:
https://images.nasa.gov/details-The%20World’s%20First-Ever%20Planetary%20Defense%20Test%20on%20This%20Week%20@NASA%20–%20September%2030,%202022</t>
  </si>
  <si>
    <t>PcA_LQGFoi8</t>
  </si>
  <si>
    <t>https://youtu.be/3Alao9m3E-U</t>
  </si>
  <si>
    <t>Explore our Home Planet and the Universe With NASA Podcasts</t>
  </si>
  <si>
    <t>Listen up! From long form interviews with astronauts and engineers to narrative shows that take you on a tour of the galaxy, NASA podcasts let you experience the thrill of space exploration without ever leaving Earth. Find your new favorite podcast at https://www.nasa.gov/podcasts. 
Producer/Editor: Lacey Young
Music: Universal Music Production
Credit: NASA</t>
  </si>
  <si>
    <t>3Alao9m3E-U</t>
  </si>
  <si>
    <t>2022 09 28</t>
  </si>
  <si>
    <t>https://youtu.be/EurVNGquxbA</t>
  </si>
  <si>
    <t>NASA Explorers Season 5, Episode 2  Moon Rocks</t>
  </si>
  <si>
    <t>Meet NASA’s rock detectives. Using tiny samples of lunar rock brought back by Apollo astronauts, these NASA Explorers are looking into the origins of our Moon, our planet, and ourselves. They might be among the first scientists to study samples from the Moon’s South Pole that will be delivered to Earth by Artemis astronauts. In episode 2 of “NASA Explorers: Artemis Generation,” we’re joining scientists like Natalie Curran and Jose Aponte, who are looking at clues buried in Moon rocks.
Series Executive Producers: Katy Mersmann/Lauren Ward
Season Producers: Lonnie Shekhtman/Stephanie Sipila/James Tralie/Molly Wasser 
Explorers: Natalie Curran/Jose Aponte
Music: 
1. “Darwin’s Extraordinary Journey” by Laurent Dury  
2. “From Small Beginnings” by Jay Price 
3. “Life Eternal” by Enrico Cacace and Lorenzo Castellarin  
4. “All is Good” by Anders Niska and Klas Johan Wahl 
5. “Hyperion” by Gresby Race Nash 
Credit: NASA
#NASAExplorers #Artemis #NASA</t>
  </si>
  <si>
    <t>EurVNGquxbA</t>
  </si>
  <si>
    <t>2022 09 26</t>
  </si>
  <si>
    <t>https://youtu.be/nHBuVbGkmBY</t>
  </si>
  <si>
    <t>NASA's DART Mission to an Asteroid (Official Mission Trailer)</t>
  </si>
  <si>
    <t>On Sept. 26, 2022, NASA's Double Asteroid Redirection Test (DART) spacecraft will intentionally crash into a small asteroid, Dimorphos, in a first-ever test of planetary defense, should we ever need it. The #DARTMission's target asteroid is NOT a threat to Earth before, during or after the impact event.
For more, visit: https://www.nasa.gov/dart
Credit: NASA
Producers: Scott Bednar &amp; Jessie Wilde
Editor: Matt Schara
Voice Actor: Paul Leon</t>
  </si>
  <si>
    <t>nHBuVbGkmBY</t>
  </si>
  <si>
    <t>2022 09 23</t>
  </si>
  <si>
    <t>https://youtu.be/2ygR1OeNV14</t>
  </si>
  <si>
    <t>A Critical Preflight Test for Artemis I on This Week @NASA – September 23, 2022</t>
  </si>
  <si>
    <t>A critical preflight test for Artemis I, the first trip to space for a NASA astronaut, and new Webb Space Telescope images of neighbors in our solar system … a few of the stories to tell you about – This Week at NASA!
Producer: Andre Valentine
Editor: Shane Apple
Music: Universal Production Music
Credit: NASA</t>
  </si>
  <si>
    <t>2ygR1OeNV14</t>
  </si>
  <si>
    <t>2022 09 21</t>
  </si>
  <si>
    <t>https://youtu.be/2eFHWuNuDSA</t>
  </si>
  <si>
    <t>NASA Explorers  Season 5, Episode 1</t>
  </si>
  <si>
    <t>These are our explorers. They're the people who will get us to the Moon, collect Moon rocks, deliver them to Earth safely, and ensure that we can study them for years to come. On episode one of “NASA Explorers: Artemis Generation," meet astronaut Jessica Watkins, engineer Adam Naids, Moon rock curator Julie Mitchell, and astrobiologist Jose Aponte. They each had a different path to NASA, from conducting hazardous kitchen chemistry experiments in Lima, Peru, to exploring the Louisiana Bayou, to dissecting a cow’s eye in a science program in Colorado. Each person is a vital part of NASA’s goal to conduct science on the Moon’s surface. 
Series Executive Producers: Katy Mersmann/Lauren Ward
Season Producers: Lonnie Shekhtman/Stephanie Sipila/James Tralie/Molly Wasser 
Explorers: Jose Aponte/Natalie Curran/Julie Mitchell/Adam Naids/Noah Petro/Kelsey Young/Jessica Watkins 
Music: 
a. “Blackbird” by Magnum Opus 
b. “Optimistic Attitude 1” by Joel Goodman and Vicente Julio Ortiz Gimeno 
c. “By the Moonlit Lake” by Mark Choi 
d. “Beside You” by Dominic Marsh and Giovanni Tria 
e. “Playground Intrigue” by Brice Davoli 
f. “Momentous” by Le Fat Club and Olivier Grim 
Credit: NASA
#NASAExplorers #Artemis #NASA</t>
  </si>
  <si>
    <t>2eFHWuNuDSA</t>
  </si>
  <si>
    <t>2022 09 16</t>
  </si>
  <si>
    <t>https://youtu.be/RI3G1UjBPkk</t>
  </si>
  <si>
    <t>Commemorating an Historic Event for Human Spaceflight on This Week @NASA – September 16, 2022</t>
  </si>
  <si>
    <t>Commemorating an historic event for human spaceflight, an update on plans for Artemis I, and what our Perseverance rover is up to on Mars … a few of the stories to tell you about – This Week at NASA!
Producer: Andre Valentine
Editor: Shane Apple
Music: Universal Production Music
Credit: NASA</t>
  </si>
  <si>
    <t>RI3G1UjBPkk</t>
  </si>
  <si>
    <t>2022 09 09</t>
  </si>
  <si>
    <t>https://youtu.be/DQICSmw_Yxs</t>
  </si>
  <si>
    <t>Teams Review Options for the Next Artemis I Launch Attempt on This Week @NASA – September 9, 2022</t>
  </si>
  <si>
    <t>Teams review options for the next Artemis I launch attempt, the National Space Council meets in Houston, and Webb captures a new image of a cosmic tarantula ... a few of the stories to tell you about – This Week at NASA!
Download Link: https://images.nasa.gov/details-NHQ_2022_0909_Teams%20Review%20Options%20for%20the%20Next%20Artemis%20I%20Launch%20Attempt%20on%20This%20Week%20@NASA%20%E2%80%93%20September%209,%202022
Producer: Lacey Young
Editor: Sonnet Apple
Music: Universal Production Music
Credit: NASA</t>
  </si>
  <si>
    <t>DQICSmw_Yxs</t>
  </si>
  <si>
    <t>https://youtu.be/_hRJJdSg8Hw</t>
  </si>
  <si>
    <t>A New Era of Earth Science (NASA Trailer)</t>
  </si>
  <si>
    <t>For more than 50 years, NASA has been collecting and providing data about Earth’s land, water, ice and atmosphere. Now, a new era of Earth Science has begun. NASA will launch a fleet of state-of-the-art satellites forming the Earth System Observatory, which will create a comprehensive 4D view of Earth like never before. NASA, working with federal partners, will equip decision makers with the information they need to mitigate, adapt and respond to climate change through the new Earth Information Center. A new satellite observatory in the sky and an information center here on Earth, protecting our planet for the next generation.
For more information about the Earth System Observatory, visit: https://science.nasa.gov/earth-science/earth-system-observatory
And for more details about the Earth Information Center, go to:
https://science.nasa.gov/earth-science/earth-information-center
Producers: Scott Bednar &amp; Jessie Wilde
Editor: Matt Schara
Credit: NASA</t>
  </si>
  <si>
    <t>_hRJJdSg8Hw</t>
  </si>
  <si>
    <t>2022 09 06</t>
  </si>
  <si>
    <t>https://youtu.be/uUaiMvnW6dY</t>
  </si>
  <si>
    <t xml:space="preserve">How Will We Know if NASA’s DART Mission Successfully Changed an Asteroid’s Orbit </t>
  </si>
  <si>
    <t>NASA’s Double Asteroid Redirection Test, also known as DART, is humanity’s first attempt to change the motion of a non-hazardous asteroid in space by intentionally crashing a spacecraft into it. After impact, ground-based observatories across the globe will turn their eyes to the skies to determine if this planetary defense test was successful. In this video, NASA visits Lowell Observatory to learn more about how astronomers have been tracking this double asteroid over the course of many years, and how they will document the orbital change post-impact.
DART is a spacecraft designed to impact an asteroid as a test of technology. DART’s target asteroid is NOT a threat to Earth. This asteroid system is a perfect testing ground to see if intentionally crashing a spacecraft into an asteroid is an effective way to change its course, should a hazardous asteroid be discovered in the future.
For more on DART, visit https://nasa.gov/dart.
Credit: NASA</t>
  </si>
  <si>
    <t>uUaiMvnW6dY</t>
  </si>
  <si>
    <t>2022 09 05</t>
  </si>
  <si>
    <t>https://youtu.be/Lp4YxG1MiPo</t>
  </si>
  <si>
    <t>NASA Explorers  The Artemis Generation</t>
  </si>
  <si>
    <t>It’s not rockets and satellites that make NASA soar. It’s people. On season 5 of #NASAExplorers, “Artemis Generation,” meet the scientists and engineers who are studying Moon rocks, building tools, working aboard NASA’s International Space Station, and training astronauts in preparation for landing humans on the surface of the Moon through NASA’s Artemis missions. #S5E0
Join the NASA Explorers community and access bonus content: https://www.facebook.com/NASAExplorersSeries</t>
  </si>
  <si>
    <t>Lp4YxG1MiPo</t>
  </si>
  <si>
    <t>2022 09 02</t>
  </si>
  <si>
    <t>https://youtu.be/jYE1xEzlX3Y</t>
  </si>
  <si>
    <t>An Update on Our Artemis I Moon Mission on This Week @NASA – September 2, 2022</t>
  </si>
  <si>
    <t>An update on our Artemis I Moon mission, a first for our James Webb Space Telescope, and a new target launch date for the next commercial crew mission … a few of the stories to tell you about – This Week at NASA!
Download Link:
https://images.nasa.gov/details-An%20Update%20on%20Our%20Artemis%20I%20Moon%20Mission%20on%20This%20Week%20@NASA%20%E2%80%93%20September%202,%202022
Producer: Andre Valentine
Editor: Lacey Young
Music: Universal Production Music
Credit: NASA</t>
  </si>
  <si>
    <t>jYE1xEzlX3Y</t>
  </si>
  <si>
    <t>2022 08 30</t>
  </si>
  <si>
    <t>https://youtu.be/_NjDi7VdEDg</t>
  </si>
  <si>
    <t>Artemis I Launch Attempt News Update (Aug. 29, 2022)</t>
  </si>
  <si>
    <t>At 1 p.m. EDT on Monday, Aug. 29, NASA leaders gave an update on the launch of the Artemis I flight test. Following tanking operations, engineers were troubleshooting an issue conditioning one of the RS-25 engines (engine 3) on the bottom of the rocket's core stage. All engines must reach a proper temperature range before they can be started. Teams are poring through the data and will set a new launch date and time. 
Artemis I is the first integrated flight test of the Space Launch System (SLS) and Orion spacecraft that will return humanity to the Moon. As NASA’s most powerful rocket ever built, SLS will launch the uncrewed Orion spacecraft on a six-to-eight-week mission around the Moon and back to Earth. Orion will travel 280,000 miles (450,000 km) from Earth and 40,000 miles (64,000 km) beyond the far side of the Moon, carrying science and technology payloads to expand our understanding of lunar science, technology developments, and deep space radiation.
For more information about Artemis, visit https://nasa.gov/specials/artemis</t>
  </si>
  <si>
    <t>_NjDi7VdEDg</t>
  </si>
  <si>
    <t>2022 08 27</t>
  </si>
  <si>
    <t>https://youtu.be/pIYqi2y4WlE</t>
  </si>
  <si>
    <t>NASA Leaders Surprise Students With First Look at Artemis Rocket and Orion Spacecraft</t>
  </si>
  <si>
    <t>"Best day of my whole life. Ever." Watch the reactions of a group of students, joined by NASA Administrator Bill Nelson and NASA Associate Administrator Bob Cabana, who hopped on a tour bus at Kennedy Space Center for an opportunity of a lifetime to view the Artemis I Space Launch System rocket and Orion spacecraft in the Vehicle Assembly Building's High Bay 3.
#Artemis I is scheduled to launch no earlier than Aug. 29 at 8:33 a.m. EDT from the center’s Launch Complex 39B on a flight test around the Moon and back to Earth.
All about Artemis I: https://www.nasa.gov/specials/artemis-i/
Music Courtesy of Gothic Storm Music
Editor: Christopher Chamberland
Producers: Sami Aziz and John Sackman
Song Credits: 
Existence from Gothic Storm
The Artemis Generation: Exploration, Discovery and the Unknowns, written by Doug Wallace and performed by the Cooper Middle School Band Percussion Section
Credit: NASA</t>
  </si>
  <si>
    <t>pIYqi2y4WlE</t>
  </si>
  <si>
    <t>2022 08 26</t>
  </si>
  <si>
    <t>https://youtu.be/PKgMCe1paJA</t>
  </si>
  <si>
    <t>Our Artemis I Flight Test is “Go for Launch” on This Week @NASA – August 26, 2022</t>
  </si>
  <si>
    <t>Our Artemis I flight test is “go for launch,” the first deep-space long-duration biology test, and the Webb Space Telescope captures new images of Jupiter … a few of the stories to tell you about – This Week at NASA!
Download Link:
https://images.nasa.gov/details-Our%20Artemis%20I%20Flight%20Test%20is%20%E2%80%9CGo%20for%20Launch%E2%80%9D%20on%20This%20Week%20@NASA%20%E2%80%93%20August%2026,%202022</t>
  </si>
  <si>
    <t>PKgMCe1paJA</t>
  </si>
  <si>
    <t>https://youtu.be/7h5Si9MBHJU</t>
  </si>
  <si>
    <t>Artemis I Path to the Pad  Roll to the Pad</t>
  </si>
  <si>
    <t>Before our Space Launch System (SLS) rocket and Orion spacecraft can launch our nation into a new era of spaceflight, the duo must first undergo a wet dress rehearsal at the launch pad prior to liftoff. 
Watch SLS and Orion continue on their path to the pad as they travel to Kennedy Space Center's Launch Pad 39B for a full countdown rehearsal - an operation involving hundreds of engineers stationed all across the nation.
All about Artemis I: https://www.nasa.gov/specials/artemis-i/
Credits:
Writer: Danielle Sempsrott 
Editor: Francisco Martin
Producers: John Sackman, Michael Justice &amp; Madison Tuttle
Music courtesy of Gothic Storm Music
Credit: NASA</t>
  </si>
  <si>
    <t>7h5Si9MBHJU</t>
  </si>
  <si>
    <t>https://youtu.be/qRWh13NUigk</t>
  </si>
  <si>
    <t>Apollo 11 Engineer JoAnn Morgan Sends Greeting for Artemis I Moon Mission</t>
  </si>
  <si>
    <t>JoAnn Morgan, former Apollo 11 engineer, expresses her excitement for Artemis I as launch day gets closer for NASA’s Space Launch System and Orion spacecraft. Morgan was the only woman working in the control room during launch of Apollo 11 to the Moon in 1969. She notes that more women now are leaders and contributors to NASA’s mission.
#Artemis I will launch no earlier than Aug. 29, 2022, at 8:33 a.m. EDT (12:33 UTC) from Kennedy Space Center’s Launch Complex 39B. 
Watch the NASA TV launch broadcast in 4K: https://youtu.be/CMLD0Lp0JBg
Editor: Frankie Martin 
Producers: Megan Cruz, Sami Aziz and John Sackman 
Music Courtesy of Gothic Storm Music 
Credit: NASA</t>
  </si>
  <si>
    <t>qRWh13NUigk</t>
  </si>
  <si>
    <t>https://youtu.be/PwgDpGSm_n4</t>
  </si>
  <si>
    <t>NASA’s Space Launch System Rocket Ready for Moon Launch on Artemis I</t>
  </si>
  <si>
    <t>Managers and engineers from NASA’s Marshall Space Flight Center in Alabama share their thoughts about the Space Launch System (SLS) rocket for #Artemis I. Van L. Strickland, SLS program operations manager; John Blevins, SLS chief engineer; and Sharon Cobb, SLS associate program manager, commend a diverse workforce for its effort and dedication to prepare the backbone of NASA’s return to the Moon. SLS will launch the Orion spacecraft on its mission beyond the Moon and back to Earth. Artemis I is scheduled to launch no earlier than Aug. 29, 2022, at 8:33 a.m. EDT from Kennedy Space Center’s Launch Complex 39B in Florida.  
Watch our live launch broadcast in 4K: https://youtu.be/CMLD0Lp0JBg
Music Courtesy of Gothic Storm Music 
Edited by Christopher Chamberland 
Produced by John Sackman and Sami Aziz
Credit: NASA</t>
  </si>
  <si>
    <t>PwgDpGSm_n4</t>
  </si>
  <si>
    <t>2022 08 24</t>
  </si>
  <si>
    <t>https://youtu.be/wKwoBudYIiI</t>
  </si>
  <si>
    <t>Artemis I  We Are Ready</t>
  </si>
  <si>
    <t>The journey of half a million miles – the first flight of the Artemis Generation – is about to begin. The uncrewed Artemis I mission will jump-start humanity’s return to the Moon with the thunderous liftoff of NASA’s powerful new Space Launch System rocket and Orion spacecraft. This critical flight test will send Orion farther than any human-rated spacecraft has ever flown, putting new systems and processes to the test and lighting the way for the crew missions to come. Artemis I is ready for departure – and, together with our partners around the world, we are ready to return to the Moon, with our sights on Mars and beyond.
Learn more: https://nasa.gov/specials/artemis-i
Producer: Lisa Allen, Barbara Zelon, Alysia Lee
Writer &amp; Director: Paul Wizikowski</t>
  </si>
  <si>
    <t>wKwoBudYIiI</t>
  </si>
  <si>
    <t>2022 08 19</t>
  </si>
  <si>
    <t>https://youtu.be/MWdvrhY-pYw</t>
  </si>
  <si>
    <t>The Move to the Launchpad Ahead of Our Artemis I Flight Test on This Week @NASA – August 19, 2022</t>
  </si>
  <si>
    <t>The move to the launchpad ahead of our Artemis I flight test, discussing priorities for national space activities, and cargo and science head home from the space station … a few of the stories to tell you about – This Week at NASA!</t>
  </si>
  <si>
    <t>MWdvrhY-pYw</t>
  </si>
  <si>
    <t>https://youtu.be/25Jhy_0fowo</t>
  </si>
  <si>
    <t>Artemis I Path to the Pad  The Spacecraft</t>
  </si>
  <si>
    <t>Named after one of the largest constellations in the night sky, Orion is the name given to the spacecraft that will carry the first woman and first person of color to the Moon. But before we fly astronauts aboard, the spacecraft, powered by our Space Launch System rocket, will travel tens of thousands of miles on a flight test around the Moon. Watch as teams at NASA's Kennedy Space Center prepare Orion for that journey, outfitting the spacecraft with its necessary components as it moves along its path to the pad.
All about Artemis I: https://www.nasa.gov/specials/artemis-i/
Writer: Danielle Sempsrott 
Editor: Francisco Martin
Producers: John Sackman, Michael Justice &amp; Madison Tuttle
Music courtesy of Gothic Storm Music
Credit: NASA</t>
  </si>
  <si>
    <t>25Jhy_0fowo</t>
  </si>
  <si>
    <t>2022 08 15</t>
  </si>
  <si>
    <t>https://youtu.be/Qxxb4YeBTug</t>
  </si>
  <si>
    <t>NASA to Send Science Experiments on the Artemis I Mission to the Moon and Back</t>
  </si>
  <si>
    <t>When #Artemis I launches to the Moon and back there will be *A LOT* of science hitching a ride! From CubeSats designed to hunt for water deposits on the lunar surface to experiments on how life responds to space – and so much more.
The Artemis I mission consists of the Space Launch System rocket that will send the uncrewed Orion spacecraft around the Moon and back to Earth to check out spacecraft systems before crew fly aboard on Artemis II. The Artemis I mission is one more step toward taking the next giant leap: sending the first astronauts to Mars. Get all the info on this historic mission: https://nasa.gov/specials/artemis-i
Producers: Jessica Wilde, Sami Aziz, Scott Bednar
Videographer: Frank Michaux
Credit: NASA</t>
  </si>
  <si>
    <t>Qxxb4YeBTug</t>
  </si>
  <si>
    <t>2022 08 13</t>
  </si>
  <si>
    <t>https://youtu.be/H1epJH9XIH8</t>
  </si>
  <si>
    <t>The Countdown to Our Artemis I Moon Mission on This Week @NASA – August 12, 2022</t>
  </si>
  <si>
    <t>The countdown to our Artemis I Moon mission, a Moon-observing small satellite hitching a ride on Artemis I, and some other tiny satellites that could help us better prepare for space weather … a few of the stories to tell you about – This Week at NASA!
Download Link: https://images.nasa.gov/details-NHQ_2022_0812_The%20Countdown%20to%20Our%20Artemis%20I%20Moon%20Mission%20on%20This%20Week%20@NASA%20%E2%80%93%20August%2012,%202022</t>
  </si>
  <si>
    <t>H1epJH9XIH8</t>
  </si>
  <si>
    <t>2022 08 12</t>
  </si>
  <si>
    <t>https://youtu.be/Gc_XtRnVLQ8</t>
  </si>
  <si>
    <t>Artemis I Path to the Pad  The Rocket</t>
  </si>
  <si>
    <t>Have you ever wondered what it takes to assemble the most powerful rocket NASA has ever built? Watch documentary footage of our Space Launch System (SLS) rocket's transformation into the over-300-foot-tall launch vehicle that will return humanity to the Moon.
Starting with manufacturing and ending with stacking operations inside NASA Kennedy Space Center's Vehicle Assembly Building, this is only the beginning of SLS's path to the pad.
All about Artemis I: https://www.nasa.gov/specials/artemis-i
Writer: Danielle Sempsrott
Editor: Francisco Martin
Producers: John Sackman, Michael Justice &amp; Madison Tuttle
Music courtesy of Gothic Storm Music
Credit: NASA
#Artemis #NASA #KennedySpaceCenter #Moon #Space #Orion #PathToThePad</t>
  </si>
  <si>
    <t>Gc_XtRnVLQ8</t>
  </si>
  <si>
    <t>https://youtu.be/JNCw3fUtwbs</t>
  </si>
  <si>
    <t>Thanks for All the Gravity Assists</t>
  </si>
  <si>
    <t>On NASA’s Gravity Assist podcast, we have interviewed dozens of scientists, engineers, and others dedicated to the mission of NASA space exploration. We have toured Earth, the solar system, and the universe beyond. We have asked big questions and met fascinating people investigating the possibilities for life elsewhere, building spacecraft, and doing other important behind-the-scenes work to understand our place in the cosmos. And we talked to them about their gravity assists, the boosts of support or inspiration they received in their careers.
After five years, the show is coming to a close. Here are some final thoughts and episode highlights from the podcast team. Listen to the full version of this episode at https://www.nasa.gov/mediacast/gravity-assist-finale-thanks-for-all-the-gravity-assists.
Did you know we have a whole universe of NASA podcasts? Get them here: (transcripts included): https://nasa.gov/podcasts
Producer Credit: Sonnet Apple and Elizabeth Landau 
Audio Engineer: Manny Cooper
Music: Universal Production Music
Credit: NASA</t>
  </si>
  <si>
    <t>JNCw3fUtwbs</t>
  </si>
  <si>
    <t>2022 08 11</t>
  </si>
  <si>
    <t>https://youtu.be/EZkcmCX--ow</t>
  </si>
  <si>
    <t>Artemis I Path to the Pad  NASA Series Trailer</t>
  </si>
  <si>
    <t>Through Artemis, NASA will once again land humans on the Moon. But before that can happen, we must first launch our Space Launch System (SLS) rocket—the most powerful rocket we've ever built—and Orion spacecraft on a flight test around the Moon. Join us as we document this moment in history and watch as we follow SLS and Orion on their path to the pad. The first episode of this series will premiere here on Aug. 12, 2022.
All about Artemis I: https://www.nasa.gov/specials/artemis-i/
Writer: Danielle Sempsrott 
Editor: Francisco Martin
Producers: John Sackman, Michael Justice &amp; Madison Tuttle
Credit: NASA
#Artemis #NASA #KennedySpaceCenter #Moon #Space #Orion #PathToThePad</t>
  </si>
  <si>
    <t>EZkcmCX--ow</t>
  </si>
  <si>
    <t>2022 08 08</t>
  </si>
  <si>
    <t>https://youtu.be/APPiEjHuxkI</t>
  </si>
  <si>
    <t>Artemis I Briefing with NASA Leadership</t>
  </si>
  <si>
    <t>Mission briefing for NASA's Artemis I mission around the Moon, launching no earlier than Aug. 29, 2022. An uncrewed Orion spacecraft will be tested on Artemis I and travel 40,000 miles past the Moon, farther than any spacecraft built for humans has gone before. Briefing participants are:
• NASA Administrator Bill Nelson
• Bhavya Lal, associate administrator for technology, policy, and strategy, NASA Headquarters 
• Mike Sarafin, Artemis I mission manager, NASA Headquarters 
• Charlie Blackwell-Thompson, Artemis I launch director, NASA’s Kennedy Space Center in Florida 
• John Honeycutt, Space Launch System program manager, NASA’s Marshall Space Flight Center in Huntsville, Alabama 
• Howard Hu, Orion program manager, NASA’s Johnson Space Center in Houston</t>
  </si>
  <si>
    <t>APPiEjHuxkI</t>
  </si>
  <si>
    <t>https://youtu.be/9rgOU1AIv-g</t>
  </si>
  <si>
    <t>Share Your %23NASAMoonSnap and Get Excited for Artemis I!</t>
  </si>
  <si>
    <t>Does the Moon inspire you to think creatively or wonder about the mysteries of the universe? 
NASA will soon be launching Artemis I, the first flight test of the integrated Orion spacecraft and the Space Launch System (SLS) rocket. Artemis I will fly 40,000 miles beyond the Moon and back, demonstrating our capability to send humans to lunar orbit on the second flight test, Artemis II.  
These flight tests will pave the way a new generation of highly talented and diverse corps of astronauts — including the first woman and the first person of color to step foot on the lunar surface during future Artemis missions. 
During the Artemis I mission, the Orion spacecraft's internal and external cameras will capture views of Earth and the Moon as it travels between the two. Are you excited to see some of these Moon Snaps? How about sharing some of your own Moon-inspired art? 
In anticipation of this monumental milestone, NASA wants to see, hear, and experience all of your Moon-inspired content — your Moon photographs, your Moon music, your Moon recipes, your Moon nail art, your Moon makeup tutorials. The sky is not the limit!
Learn more about #NASAMoonSnap: nasa.gov/nasamoonsnap
Learn more about the Artemis I mission: nasa.gov/specials/artemis-i
Producer: Thalia Patrinos and Sonnet Apple
Guest Appearance: Jack Black</t>
  </si>
  <si>
    <t>9rgOU1AIv-g</t>
  </si>
  <si>
    <t>2022 08 05</t>
  </si>
  <si>
    <t>https://youtu.be/vStwi-5nFLc</t>
  </si>
  <si>
    <t>A New Image From Our James Webb Space Telescope on This Week @NASA – August 5, 2022</t>
  </si>
  <si>
    <t>Previewing our Artemis I mission to the Moon, a new image from our James Webb Space Telescope, and an anniversary for one of our explorers on Mars … a few of the stories to tell you about – This Week at NASA!
Download Link:
https://images.nasa.gov/details-Previewing%20Our%20Artemis%20I%20Mission%20to%20the%20Moon%20on%20This%20Week%20@NASA%20–%20August%205,%202022
Producer: Andre Valentine
Editor: Lacey Young
Music: Universal Production Music
Credit: NASA</t>
  </si>
  <si>
    <t>vStwi-5nFLc</t>
  </si>
  <si>
    <t>2022 07 29</t>
  </si>
  <si>
    <t>https://youtu.be/SCwJ6Io6ldA</t>
  </si>
  <si>
    <t>The Benefits of Space Station Research and Development on This Week @NASA – July 29, 2022</t>
  </si>
  <si>
    <t>The benefits of space station research and development, refining the architecture for the Mars Sample Return mission, and test firing a solid-rocket booster for our mega Moon rocket … a few of the stories to tell you about – This Week at NASA!
Download Link:
https://images.nasa.gov/details-The%20Benefits%20of%20Space%20Station%20Research%20and%20Development%20on%20This%20Week%20@NASA%20–%20July%2029,%202022
Producer: Andre Valentine
Editor: Lacey Young
Music: Universal Production Music
Credit: NASA</t>
  </si>
  <si>
    <t>SCwJ6Io6ldA</t>
  </si>
  <si>
    <t>2022 07 23</t>
  </si>
  <si>
    <t>https://youtu.be/k9Bq1Z0DCMw</t>
  </si>
  <si>
    <t>A Commercial Cargo Spacecraft Safely Arrives at the Space Station on This Week @NASA – July 22, 2022</t>
  </si>
  <si>
    <t>A commercial cargo spacecraft safely arrives at the space station, space station crewmembers conduct a spacewalk, and an update on plans to launch our Artemis I mission … a few of the stories to tell you about – This Week at NASA!</t>
  </si>
  <si>
    <t>k9Bq1Z0DCMw</t>
  </si>
  <si>
    <t>2022 07 21</t>
  </si>
  <si>
    <t>https://youtu.be/FSyfFrMcuQI</t>
  </si>
  <si>
    <t>Artemis I Launching to the Moon  Official NASA Launch Trailer</t>
  </si>
  <si>
    <t>NASA’s Artemis I mission is targeted to launch no earlier than Aug. 29, 2022.
Artemis I will be the first integrated test of NASA’s deep space exploration systems: the Orion spacecraft, Space Launch System (SLS) rocket and the ground systems at Kennedy Space Center in Cape Canaveral, Florida. The first in a series of increasingly complex missions, Artemis I will be an uncrewed flight test that will provide a foundation for human deep space exploration, and demonstrate our commitment and capability to extend human existence to the Moon and beyond.
During this flight, the spacecraft will launch on the most powerful rocket in the world and fly farther than any spacecraft built for humans has ever flown. It will travel 280,000 miles from Earth, thousands of miles beyond the Moon over the course of about a four to six-week mission. Orion will stay in space longer than any ship for astronauts has done without docking to a space station and return home faster and hotter than ever before.
Learn more here: https://www.nasa.gov/artemis-1
Video Producer: Sonnet Apple
Music: Universal Production Music
Credit: NASA</t>
  </si>
  <si>
    <t>FSyfFrMcuQI</t>
  </si>
  <si>
    <t>2022 07 15</t>
  </si>
  <si>
    <t>https://youtu.be/6hHmkInZkMQ</t>
  </si>
  <si>
    <t>The Webb Space Telescope’s New Look at the Cosmos on This Week @NASA – July 15, 2022</t>
  </si>
  <si>
    <t>The Webb Space Telescope’s new look at the cosmos, technology used to fine tune Webb improves the vision of millions on Earth, and a new climate study heads to the space station … a few of the stories to tell you about – This Week at NASA!
Producer: Andre Valentine
Editor: Shane Apple
Music: Universal Production Music
Credit: NASA</t>
  </si>
  <si>
    <t>6hHmkInZkMQ</t>
  </si>
  <si>
    <t>2022 07 13</t>
  </si>
  <si>
    <t>https://youtu.be/yySCJykLNqU</t>
  </si>
  <si>
    <t>Science Launching on the Next SpaceX Cargo Resupply Mission to the Space Station</t>
  </si>
  <si>
    <t>The 25th SpaceX cargo resupply services mission (SpaceX CRS-25) carrying scientific research and technology demonstrations to the International Space Station is scheduled for launch July 14from NASA’s Kennedy Space Center in Florida. Experiments aboard the Dragon capsule include studies of the immune system, Earth’s oceans, soil communities, and cell-free biomarkers, along with mapping the composition of Earth’s dust and testing an alternative to concrete. 
More: https://go.nasa.gov/3PENKTO 
This video replaces a previous version that mentioned payloads that will now fly on a future cargo flight.</t>
  </si>
  <si>
    <t>yySCJykLNqU</t>
  </si>
  <si>
    <t>https://youtu.be/1C_zuHf6lP4</t>
  </si>
  <si>
    <t>Highlights  First Images from the James Webb Space Telescope (Official NASA Video)</t>
  </si>
  <si>
    <t>NASA revealed the first five full-color images and spectrographic data from the world's most powerful space telescope, the James Webb Space Telescope, a partnership with ESA (European Space Agency), and CSA (Canadian Space Agency). The world got its first look at the full capabilities of the mission at a live event streamed from the agency's Goddard Space Flight Center in Greenbelt, Maryland, on July 12, 2022.
The event showcased these targets:
- Carina Nebula: A landscape speckled with glittering stars and cosmic cliffs
- Stephan’s Quintet: An enormous mosaic with a visual grouping of five galaxies
- Southern Ring Nebula: A nebula with rings of gas and dust for thousands of years in all directions
- WASP 96-b: A distinct signature of water in the atmosphere of an exoplanet orbiting a distant Sun-like star
- SMACS 0723: The deepest and sharpest infrared image of the distant universe to date
The full set of the telescope’s first full-color images and spectroscopic data are available at: https://nasa.gov/webbfirstimages
Full-resolution images can be downloaded at: https://webbtelescope.org
Credit: NASA
Download Avail Link:
https://images.nasa.gov/details-First%20Images%20from%20the%20James%20Webb%20Space%20Telescope%20(Official%20NASA%20Highlights)
Production Credit:
Producer/Editor: Amy Leniarthtt</t>
  </si>
  <si>
    <t>1C_zuHf6lP4</t>
  </si>
  <si>
    <t>2022 07 08</t>
  </si>
  <si>
    <t>https://youtu.be/idL-_uWJC00</t>
  </si>
  <si>
    <t>Ready for the Webb Space Telescope’s First Full-Color Images on This Week @NASA – July 8, 2022</t>
  </si>
  <si>
    <t>Ready to showcase the Webb space telescope’s first full-color images, back in touch with a spacecraft on an important mission to the Moon, and our Artemis I Moon rocket and spacecraft move a step closer to launch … a few of the stories to tell you about – This Week at NASA!
Producer: Andre Valentine
Editor: Lacey Young
Music: Universal Production Music
Credit: NASA</t>
  </si>
  <si>
    <t>idL-_uWJC00</t>
  </si>
  <si>
    <t>2022 07 01</t>
  </si>
  <si>
    <t>https://youtu.be/R3UCTPK1ZGk</t>
  </si>
  <si>
    <t>Launching a New Mission Around the Moon on This Week @NASA – July 1, 2022</t>
  </si>
  <si>
    <t>Launching a new mission around the Moon, preparing the Space Launch System for its first flight, and undocking a resupply spacecraft from the space station … a few of the stories to tell you about – This Week at NASA! 
Download Link:  https://images.nasa.gov/details-Launching%20a%20New%20Mission%20Around%20the%20Moon%20on%20This%20Week%20@NASA%20%E2%80%93%20July%201,%202022
Producer: Lacey Young
Editor: Shane Apple
Narration: Kevin Cabral
Music: Universal Production Music
Credit: NASA</t>
  </si>
  <si>
    <t>R3UCTPK1ZGk</t>
  </si>
  <si>
    <t>2022 06 30</t>
  </si>
  <si>
    <t>https://youtu.be/s3gt0mGwke8</t>
  </si>
  <si>
    <t>Artemis I  We Are Capable</t>
  </si>
  <si>
    <t>Twin solid rocket boosters that will produce a combined 7.2 million pounds of thrust at liftoff, a towering core stage, and the only human-rated spacecraft in the world capable of deep space travel – together, NASA’s Space Launch System rocket and Orion spacecraft stand ready to usher in a new chapter of exploration. Now fully assembled at Kennedy Space Center in Florida, SLS and Orion will soon launch on the uncrewed Artemis I mission around the Moon, paving the way for astronauts. Artemis I represents a new generation of spaceflight capabilities and partnerships that will take humans back to the Moon and beyond.
Producer: Lisa Allen, Alysia Lee
Writer &amp; Director: Paul Wizikowski
Learn more: https://www.nasa.gov/specials/artemis-i/</t>
  </si>
  <si>
    <t>s3gt0mGwke8</t>
  </si>
  <si>
    <t>2022 06 27</t>
  </si>
  <si>
    <t>https://youtu.be/-d2J11_3PMQ</t>
  </si>
  <si>
    <t>Save the Date for Live Launch Coverage of NASA's CAPSTONE Mission to the Moon!</t>
  </si>
  <si>
    <t>CAPSTONE (Cislunar Autonomous Positioning System Technology Operations and Navigation Experiment) is a new small satellite that will explore a unique orbit around the Moon, and blaze a trail for future lunar exploration. CAPSTONE will test a near-rectilinear halo orbit around the Moon and lead the way for our future Artemis lunar space station, called Gateway. 
CAPSTONE is scheduled to launch on June 28 at 5:55 a.m. EDT (9:55 UTC) on a Rocket Lab Electron rocket from the company’s Launch Complex 1 in New Zealand. Watch live June 28 at 5 a.m. EDT (9 UTC) on NASA TV and on NASA social media. Live broadcast: https://youtu.be/JGx400xCDVY
Like Gateway, CAPSTONE continues the tradition of commercial partnerships, including American small businesses. The spacecraft was built and tested by Tyvak Nano-Satellite Systems, Inc., a Terran Orbital Corporation in Irvine, California, operated by Advanced Space, and will be launched by Rocket Lab of Long Beach, California.
Producer/Editor: David Anderson</t>
  </si>
  <si>
    <t>-d2J11_3PMQ</t>
  </si>
  <si>
    <t>2022 06 24</t>
  </si>
  <si>
    <t>https://youtu.be/oxdn7-FCTFE</t>
  </si>
  <si>
    <t>Looking to Power Surface Exploration on the Moon on This Week @NASA – June 24, 2022</t>
  </si>
  <si>
    <t>Looking to power surface exploration on the Moon, new imagery from the surface of Mars, and our newest flight directors … a few of the stories to tell you about – This Week at NASA!
Download Avail Link:
https://images.nasa.gov/details-Looking%20to%20Power%20Surface%20Exploration%20on%20the%20Moon%20on%20This%20Week%20@NASA%20–%20June%2024,%202022
Producer: Andre Valentine
Editor: Sonnet Apple
Music: Universal Production Music
0:00 Introduction
0:13 NASA Announces Artemis Concept Awards for Nuclear Power on Moon
0:48 Curiosity Captures Stunning Views of a Changing Mars Landscape
1:25 NASA Introduces New Flight Directors in Class of 2022
1:49 NASA Documentary Celebrates Black Space Explorers
2:33 Vice President Hosts NASA for Family STEM Event</t>
  </si>
  <si>
    <t>oxdn7-FCTFE</t>
  </si>
  <si>
    <t>2022 06 17</t>
  </si>
  <si>
    <t>https://youtu.be/M06575CEHGE</t>
  </si>
  <si>
    <t>The Next Prelaunch Rehearsal Before Our Artemis I Moon Mission on This Week @NASA – June 17, 2022</t>
  </si>
  <si>
    <t>The next prelaunch rehearsal before launch of our Artemis I Moon mission, news about some NASA astronomy missions, and a critical milestone for an Earth-observing satellite … a few of the stories to tell you about – This Week at NASA!
Download Link:
https://images.nasa.gov/details-The%20Next%20Prelaunch%20Rehearsal%20Before%20Our%20Artemis%20I%20Moon%20Mission%20on%20This%20Week%20@NASA%20June%2017,%202022
Producer: Andre Valentine
Editor: Lacey Young
Music: Universal Production Music
Credit: NASA</t>
  </si>
  <si>
    <t>M06575CEHGE</t>
  </si>
  <si>
    <t>2022 06 10</t>
  </si>
  <si>
    <t>https://youtu.be/XPe0EapVicw</t>
  </si>
  <si>
    <t>Our Artemis I Mega Moon Rocket is Rolled to the Launch Pad on This Week @NASA – June 10, 2022</t>
  </si>
  <si>
    <t>Our Artemis I mega Moon rocket is rolled to the launch pad, the astronauts of our Crew-2 mission come to Washington, and investigating the impact of dust on our climate … a few of the stories to tell you about – This Week at NASA!
Subscribe to our weekly NASA Newsletter for more space in your inbox: https://nasa.gov/subscribe</t>
  </si>
  <si>
    <t>XPe0EapVicw</t>
  </si>
  <si>
    <t>2022 06 03</t>
  </si>
  <si>
    <t>https://youtu.be/tVZbrBbZ16g</t>
  </si>
  <si>
    <t>An Important Target Date for the James Webb Space Telescope on This Week @NASA – June 3, 2022</t>
  </si>
  <si>
    <t>An important target date for the James Webb Space Telescope, an update about the next generation of spacesuits, and testing our lunar-roving robot … a few of the stories to tell you about – This Week at NASA!
Download Link:
https://images.nasa.gov/details-An%20Important%20Target%20Date%20for%20the%20James%20Webb%20Space%20Telescope%20on%20This%20Week%20@NASA%20–%20June%203,%202022</t>
  </si>
  <si>
    <t>tVZbrBbZ16g</t>
  </si>
  <si>
    <t>2022 06 01</t>
  </si>
  <si>
    <t>https://youtu.be/kr8XNrVCFUw</t>
  </si>
  <si>
    <t>Together We Rise</t>
  </si>
  <si>
    <t>This Pride Month, NASA celebrates the significant contributions of LGBTQ+ employees, respects the individuality of our employees, and recognizes their contributions to advance NASA’s priorities.
We support the positive movement to promote self-affirmation, dignity, equal rights, build community and create awareness for diversity and gender variance.
At NASA, we support our employees' authenticity in the workplace and treat authenticity with integrity. This includes pronoun usage and the shift to foster a culture based on the employee’s identification and build an inclusive workplace with pronoun usage as the rule for everyone. In an environment that promotes safety in being one’s whole self, employees can be seen, respected, and valued, which elevates collaboration, innovation, and performance.  
Despite the obstacles in achieving full acceptance and protections for the LGBTQ+ community, the progress made over the past decades has been significant, yet the work continues. Together we rise to achieve our goals as one NASA.
Download link:
https://images.nasa.gov/details-Together%20We%20Rise
CREDITS:
Producer/Editor: Amy Leniart</t>
  </si>
  <si>
    <t>kr8XNrVCFUw</t>
  </si>
  <si>
    <t>2022 05 27</t>
  </si>
  <si>
    <t>https://youtu.be/qUjZL6W9Bwk</t>
  </si>
  <si>
    <t>A Commercial Crew Spacecraft’s Historic Test Mission on This Week @NASA – May 27, 2022</t>
  </si>
  <si>
    <t>A commercial crew spacecraft’s historic test mission, recognizing the leadership of our James Webb Space Telescope team, and a small spacecraft prepares for a unique mission around the Moon … a few of the stories to tell you about – This Week at NASA!
Download Link:
https://images.nasa.gov/details-A%20Commercial%20Crew%20Spacecraft’s%20Historic%20Test%20Mission%20on%20This%20Week%20@NASA%20–%20May%2027,%202022
Producer: Andre Valentine
Editor: Sonnet Apple
Music: Universal Production Music
0:00 Introduction
0:15 Boeing’s CST-100 Starliner’s Historic Test Mission
1:28 NASA’s Webb Program Director Named to TIME100 List
2:01 CAPSTONE CubeSat Prepares for Lunar Flight
2:41 NASA-Supported Solar Sail Could Take Science to New Heights
3:09 Ingenuity Mars Helicopter Captures Video of Record Flight</t>
  </si>
  <si>
    <t>qUjZL6W9Bwk</t>
  </si>
  <si>
    <t>2022 05 20</t>
  </si>
  <si>
    <t>https://youtu.be/H2ZK1yhdOoE</t>
  </si>
  <si>
    <t>The Next Commercial Crew Test Mission to the Space Station on This Week @NASA – May 20, 2022</t>
  </si>
  <si>
    <t>The next commercial crew test mission to the space station, outlining the agency’s objectives for deep space exploration, and covering the total lunar eclipse on Earth and from space … a few of the stories to tell you about – This Week at NASA!
Download Link:
https://images.nasa.gov/details-The%20Next%20Commercial%20Crew%20Test%20Mission%20to%20the%20Space%20Station%20on%20This%20Week%20@NASA%20–%20May%2020,%202022
Producer: Andre Valentine
Editor: Lacey Young
Music: Universal Production Music
Credit: NASA</t>
  </si>
  <si>
    <t>H2ZK1yhdOoE</t>
  </si>
  <si>
    <t>https://youtu.be/fBamDgg4FPE</t>
  </si>
  <si>
    <t>NASA Astronaut Thomas Marshburn Reads “Goodnight Moon” in Space and Mark Vande Hei Answers Questions</t>
  </si>
  <si>
    <t>Watch as astronaut Thomas Marshburn reads out loud from the children’s book “Goodnight Moon” by Margaret Wise Brown while floating in microgravity aboard the International Space Station. Also, Astronaut Mark Vande Hei joins Thomas to answer questions sent to them. This video was featured as a part of the Crayola and Harper Kids “Read Along, Draw Along” event to commemorate the 75th anniversary of the book’s publication. Astronauts will return to the Moon as part of the Artemis program. Artemis I will be an important step in NASA’s goal to land the first woman and the first person of color on the Moon, and establish long-term lunar exploration. This mission will be the first flight test of the integrated Orion spacecraft and Space Launch System rocket.
For more information about Artemis, visit https://www.nasa.gov/specials/artemis-i/</t>
  </si>
  <si>
    <t>fBamDgg4FPE</t>
  </si>
  <si>
    <t>https://youtu.be/ZFbkHUq3Duo</t>
  </si>
  <si>
    <t>NASA Astronaut Thomas Marshburn Reads “Goodnight Moon” in Space</t>
  </si>
  <si>
    <t>Watch as astronaut Thomas Marshburn reads out loud from the children’s book “Goodnight Moon” by Margaret Wise Brown while floating in microgravity aboard the International Space Station. This video was featured as a part of the Crayola and Harper Kids “Read Along, Draw Along” event to commemorate the 75th anniversary of the book’s publication. Astronauts will return to the Moon as part of the Artemis program. Artemis I will be an important step in NASA’s goal to land the first woman and the first person of color on the Moon, and establish long-term lunar exploration. This mission will be the first flight test of the integrated Orion spacecraft and Space Launch System rocket.
For more information about Artemis, visit https://www.nasa.gov/specials/artemis-i/</t>
  </si>
  <si>
    <t>ZFbkHUq3Duo</t>
  </si>
  <si>
    <t>2022 05 18</t>
  </si>
  <si>
    <t>https://youtu.be/FvUaXmFNqU8</t>
  </si>
  <si>
    <t>Our Journey to 10 Million   NASA Gets a Diamond Play Button</t>
  </si>
  <si>
    <t>We reached 10 million subscribers on YouTube! NASA would like to thank all of YOU.  Thank you for supporting us, subscribing and embracing your love of science. 
So whether you’re interested in launches, flight innovations, climate science, investigating the wonders of the universe or sending humans to the Moon and Mars, we will continue to create the content you crave.
Join us as we explore the secrets of the universe for the benefit of ALL. https://nasa.gov
Video Producer: Sonnet Apple
Music: Universal Production Music
Credit: NASA</t>
  </si>
  <si>
    <t>FvUaXmFNqU8</t>
  </si>
  <si>
    <t>2022 05 17</t>
  </si>
  <si>
    <t>https://youtu.be/wSwJzy5LXb0</t>
  </si>
  <si>
    <t>NASA's CAPSTONE  Flying a New Path to the Moon</t>
  </si>
  <si>
    <t>How can a satellite the size of a microwave oven help shape human missions to the Moon and beyond?
CAPSTONE will fly in a unique, halo-shaped orbit around the Moon before the orbit is used by Gateway, NASA's future lunar outpost for our Artemis program. The CAPSTONE mission, short for Cislunar Autonomous Positioning System Technology Operations and Navigation Experiment, will validate navigation technologies and orbital dynamics for Gateway, which will one day serve as a staging area for missions to the Moon and potentially as a jumping point for missions to Mars.
The CubeSat will come within 1,000 miles of one lunar pole on its near pass and 43,500 miles from the other pole at its peak every seven days, requiring less propulsion capability for spacecraft flying to and from the Moon’s surface than other circular orbits. It's a six-month mission that will help launch a new era of exploration.
CAPSTONE will lift off aboard a Rocket Lab Electron rocket from New Zealand. The mission is targeted to launch no earlier than June 25, 2002.
More: https://go.nasa.gov/3FzSrcD
#Artemis</t>
  </si>
  <si>
    <t>wSwJzy5LXb0</t>
  </si>
  <si>
    <t>https://youtu.be/g7Tos0blK4s</t>
  </si>
  <si>
    <t>Starliner to Launch on NASA's Boeing Orbital Flight Test-2 (Official Trailer)</t>
  </si>
  <si>
    <t>Set to lift off on May 19, 2022, Starliner will launch on NASA's Boeing Orbital Flight Test-2 (OFT-2) headed for the International Space Station. OFT-2 will test end-to-end capabilities of the Starliner spacecraft and Atlas V rocket from launch to docking to a return to Earth in the desert of the western United States.
Starliner is expected to arrive at the space station for docking about 24 hours after launch with about 500 pounds of NASA cargo and crew supplies. After a successful docking, Starliner will spend five to 10 days aboard the orbiting laboratory before returning to Earth. The spacecraft will return with nearly 600 pounds of cargo, including reusable Nitrogen Oxygen Recharge System (NORS) tanks that provide breathable air to station crew members.
Following a successful completion of OFT-2, NASA and Boeing will determine a launch window for NASA’s Boeing Crew Flight Test, Starliner’s first flight with astronauts aboard.
This is the second uncrewed flight test of the company’s CST-100 Starliner spacecraft for NASA’s Commercial Crew Program. 
For more updates about the flight test, visit https://blogs.nasa.gov/oft-2/
Producer/Editor: Lacey Young 
Music: Universal Production Music
Credit: NASA</t>
  </si>
  <si>
    <t>g7Tos0blK4s</t>
  </si>
  <si>
    <t>2022 05 13</t>
  </si>
  <si>
    <t>https://youtu.be/K4QFiuZcxao</t>
  </si>
  <si>
    <t>The Webb Telescope is Closer to Starting Its Mission of Science on This Week @NASA – May 13, 2022</t>
  </si>
  <si>
    <t>The Webb Telescope is closer to starting its mission of science, an historic look at the center of our galaxy, and the Crew-3 astronauts reflect on their mission … a few of the stories to tell you about – This Week at NASA!
Download Link:
https://images.nasa.gov/details-The%20Webb%20Telescope%20is%20Closer%20to%20Starting%20Its%20Mission%20of%20Science%20on%20This%20Week%20@NASA%20–%20May%2013,%202022
Producer: Andre Valentine
Editor: Shane Apple
Music: Universal Production Music</t>
  </si>
  <si>
    <t>K4QFiuZcxao</t>
  </si>
  <si>
    <t>2022 05 06</t>
  </si>
  <si>
    <t>https://youtu.be/xhF2sYRr4jo</t>
  </si>
  <si>
    <t>The Crew-3 Astronauts Return From the Space Station on This Week @NASA – May 6, 2022</t>
  </si>
  <si>
    <t>The Crew-3 astronauts return from the space station, the spacecraft for another commercial crew mission is on the move, and discussing NASA’s budget … a few of the stories to tell you about – This Week at NASA!
Download Link:
https://images.nasa.gov/details-The%20Crew-3%20Astronauts%20Return%20From%20the%20Space%20Station%20on%20This%20Week%20@NASA%20–%20May%206,%202022
Producer: Andre Valentine
Editor: Lacey Young
Music: Universal Production Music</t>
  </si>
  <si>
    <t>xhF2sYRr4jo</t>
  </si>
  <si>
    <t>2022 05 05</t>
  </si>
  <si>
    <t>https://youtu.be/tAUbLVS243E</t>
  </si>
  <si>
    <t>NASA's Psyche Mission to an Asteroid  Official NASA Trailer</t>
  </si>
  <si>
    <t>Join the journey as NASA’s Psyche mission team launches in 2022 to explore a unique metallic asteroid orbiting the sun between Mars and Jupiter. The asteroid, likely made largely of nickel-iron metal mixed with rock, could contain metal from the core of a planetesimal (the building block of an early rocky planet) and may offer a unique window into the violent history of collisions and accretion that created the terrestrial planets like Earth. 
Arizona State University leads the Psyche mission. JPL, which is managed by Caltech for NASA, is responsible for the mission’s overall management, system engineering, integration and test, and mission operations. Maxar Technologies in Palo Alto, California, provided the high-power solar electric propulsion spacecraft chassis.
For more info about NASA's #MissionToPsyche, go to:
http://www.nasa.gov/psyche
and
https://psyche.asu.edu/</t>
  </si>
  <si>
    <t>tAUbLVS243E</t>
  </si>
  <si>
    <t>2022 05 03</t>
  </si>
  <si>
    <t>https://youtu.be/UJQIMO7Lso0</t>
  </si>
  <si>
    <t>NASA’s SpaceX Crew-3  Mission for Science</t>
  </si>
  <si>
    <t>After more than six months aboard the International Space Station, the astronauts of NASA’s SpaceX Crew-3 mission are returning home. The four crew members -- NASA astronauts Kayla Barron, Raja Chari, and Tom Marshburn, and ESA (European Space Agency) astronaut Matthias Maurer -- will travel back to Earth inside a SpaceX Crew Dragon capsule. These crew members contributed to hundreds of scientific investigations and technology demonstrations while aboard the orbiting laboratory. This valuable research helps to prepare humans for future space exploration missions while generating numerous innovations and benefits for humanity on Earth.
Check out their scientific journey: https://go.nasa.gov/3vQmSXL</t>
  </si>
  <si>
    <t>UJQIMO7Lso0</t>
  </si>
  <si>
    <t>2022 05 01</t>
  </si>
  <si>
    <t>https://youtu.be/RMz1AiQOp-Q</t>
  </si>
  <si>
    <t>What's on the Menu  Food and Culture on the Space Station</t>
  </si>
  <si>
    <t>In honor of Asian American and Native Hawaiian Pacific Islander Heritage Month, learn about the intersection of food and culture in space from NASA astronaut Sunita "Suni" Williams, whose father immigrated to the U.S. from India, and International Space Station (ISS) food scientist/system manager Xulei Wu, a first-generation Asian American born in China.
Hear their stories about cultural representation in space, the importance of food in Indian and Chinese cultures, and the inclusive standard menu aboard the ISS. What's one dish you would like to see aboard? Drop your suggestion in the comments below!
Producer/Editor: Lacey Young
Art Director: Mark Hailey
Music: Universal Production Music
Credit: NASA</t>
  </si>
  <si>
    <t>RMz1AiQOp-Q</t>
  </si>
  <si>
    <t>2022 04 29</t>
  </si>
  <si>
    <t>https://youtu.be/0hu0npYVcg0</t>
  </si>
  <si>
    <t>A New Crew Launches to the Space Station on This Week @NASA – April 29, 2022</t>
  </si>
  <si>
    <t>A new crew launches to the space station, another crew wraps up an historic mission to the station, and more time to explore for some planetary science missions … a few of the stories to tell you about – This Week at NASA!</t>
  </si>
  <si>
    <t>0hu0npYVcg0</t>
  </si>
  <si>
    <t>2022 04 25</t>
  </si>
  <si>
    <t>https://youtu.be/xO2K51hu8R4</t>
  </si>
  <si>
    <t>Vice President Kamala Harris Speaks to NASA Astronaut Mark Vande Hei</t>
  </si>
  <si>
    <t>Vice President Kamala Harris recently spoke to astronaut Mark Vande Hei after he returned home from spending 355 days in space — the longest single spaceflight for a NASA astronaut.
Mark's mission and research in space helps us better understand the effects of long-duration human spaceflight as we prepare for the Artemis missions to the Moon. As head of the National Space Council, VP Harris is working on our priorities in space, including building up America's STEM workforce, addressing the climate crisis, and promoting rules and norms that govern space.
Learn more about Celestial Immunity, space station research that may help us treat diseases: https://go.nasa.gov/3END1kY
Credit: NASA
Video Producer: Jason Clemons
Video Editor: Ed Toma</t>
  </si>
  <si>
    <t>xO2K51hu8R4</t>
  </si>
  <si>
    <t>2022 04 22</t>
  </si>
  <si>
    <t>https://youtu.be/HsNe0QoICXg</t>
  </si>
  <si>
    <t>The Next Crew of Astronauts Heading to the Space Station on This Week @NASA – April 22, 2022</t>
  </si>
  <si>
    <t>NASA's SpaceX Crew-4 astronauts prepare for launch, an update on our Artemis I mega Moon rocket and spacecraft, and celebrating our home planet for #EarthDay – just a few of the stories to tell you about This Week at NASA!
Download Link:
https://images.nasa.gov/details-The%20Next%20Crew%20of%20Astronauts%20Heading%20to%20the%20Space%20Station%20on%20This%20Week%20@NASA%20–%20April%2022,%202022
Want more? Subscribe to our NASA Newsletter and get a dose of space in your inbox every Friday.
https://nasa.gov/subscribe</t>
  </si>
  <si>
    <t>HsNe0QoICXg</t>
  </si>
  <si>
    <t>https://youtu.be/rahrw5vdj7s</t>
  </si>
  <si>
    <t>Eddie Vedder of Pearl Jam Speaks with Astronauts in Space</t>
  </si>
  <si>
    <t>Grammy-winning recording artist Eddie Vedder made a special long-distance phone call to the International Space Station (ISS), in celebration of Earth Day.
Orbiting more than 250 miles (402 kilometers) above Earth aboard the ISS, NASA astronauts Kayla Barron, Raja Chari, Thomas Marshburn, and Mark Vande Hei, as well as ESA (European Space Agency) astronaut Matthias Maurer, have enjoyed a unique view of our planet. They share their thoughts on having a front-row seat to the global effects of climate change, reflect on stewardship of our planet, as well as space’s remarkable ability to unite all of us in shared humanity. 
Download Link: https://images.nasa.gov/details-Eddie%20Vedder%20of%20Pearl%20Jam%20Speaks%20with%20Astronauts%20in%20Space 
Visit http://climate.nasa.gov/ for more information about our changing planet.
Credit: NASA
Video Producer: Sonnet Apple
Music: Eddie Vedder – "Invincible"</t>
  </si>
  <si>
    <t>rahrw5vdj7s</t>
  </si>
  <si>
    <t>2022 04 15</t>
  </si>
  <si>
    <t>https://youtu.be/mr24dCVNiWE</t>
  </si>
  <si>
    <t>Testing Our Mega Moon Rocket and Ground Systems on This Week @NASA – April 15, 2022</t>
  </si>
  <si>
    <t>Testing our mega Moon rocket and ground systems, preparing the James Webb Space telescope for science, and testing an instrument for future X-59 research … a few of the stories to tell you about – This Week at NASA! 
Download Link: https://images.nasa.gov/details-Testing%20Our%20Mega%20Moon%20Rocket%20and%20Ground%20Systems%20on%20This%20Week%20@NASA%20%E2%80%93%20April%2015,%202022
Producer: Lacey Young 
Editor: Shane Apple 
Voiceover: Pat Ryan 
Music: Universal Production Music</t>
  </si>
  <si>
    <t>mr24dCVNiWE</t>
  </si>
  <si>
    <t>2022 04 08</t>
  </si>
  <si>
    <t>https://youtu.be/dAud2oHQ_2Q</t>
  </si>
  <si>
    <t>Reflecting on a Record-Setting Spaceflight on This Week @NASA – April 8, 2022</t>
  </si>
  <si>
    <t>Reflecting on a record-setting spaceflight, an update on prelaunch activities for Artemis I, and launching the first private astronaut mission to the International Space Station … a few of the stories to tell you about – This Week at NASA!
Download Link:
https://images.nasa.gov/details-Reflecting%20on%20a%20Record-Setting%20Spaceflight%20on%20This%20Week%20@NASA%20–%20April%208,%202022
Producer: Andre Valentine
Editor: Shane Apple
Music: Universal Production Music</t>
  </si>
  <si>
    <t>dAud2oHQ_2Q</t>
  </si>
  <si>
    <t>2022 04 01</t>
  </si>
  <si>
    <t>https://youtu.be/sTHzcLrHkBU</t>
  </si>
  <si>
    <t>The President’s Budget and the State of NASA on This Week @NASA – April 1, 2022</t>
  </si>
  <si>
    <t>What the President’s budget means for NASA, a record-setting astronaut returns safely to Earth, and the next Commercial Crew mission to the space station … a few of the stories to tell you about – This Week at NASA!
Download Link:
https://images.nasa.gov/details-The%20President’s%20Budget%20and%20the%20State%20of%20NASA%20on%20This%20Week%20@NASA%20–%20April%201,%202022
Producer: Andre Valentine
Editor: Sonnet Apple
Music: Universal Production Music
0:00 Introduction
0:14 The President’s Budget and the State of NASA
1:21 Record-Setting U.S. Astronaut Returns to Earth
1:47 NASA Previews SpaceX Crew-4 Mission
2:16 Final Test Ahead of Artemis I Moon Mission
2:43 Hubble Spots Farthest Star Ever Seen</t>
  </si>
  <si>
    <t>sTHzcLrHkBU</t>
  </si>
  <si>
    <t>2022 03 31</t>
  </si>
  <si>
    <t>https://youtu.be/o4KQZmCyMko</t>
  </si>
  <si>
    <t>%23EZScience  Inspiring Women in Space and Science</t>
  </si>
  <si>
    <t>Meet astrophysicist Kelly Korreck and spaceflight engineer/website specialist Dana Bolles, both currently based at NASA Headquarters in Washington. The Smithsonian National Air and Space Museum featured statues of them as part of a program to inspire the next generation of women in science, technology, engineering, and mathematics. Learn about their journeys and their advice for achieving your dreams in this episode of #EZScience 
Learn more about the series: https://www.nasa.gov/ezscience</t>
  </si>
  <si>
    <t>o4KQZmCyMko</t>
  </si>
  <si>
    <t>2022 03 28</t>
  </si>
  <si>
    <t>https://youtu.be/H47_lOBQ1fQ</t>
  </si>
  <si>
    <t>NASA  We Dream Big, We Work Together</t>
  </si>
  <si>
    <t>NASA benefits all humanity and our workforce is key to making this happen. Take a look at the universe of NASA missions and projects made possible by our commitment to teamwork, collaboration, equity and inclusiveness.
Our exploration of the universe, our technology development, our work to help understand climate change, and the opportunities the agency creates make our nation more prosperous, stronger, more inclusive and inspired. NASA furthers the nation’s goals to address climate change, advance space exploration, promote equity and diversity and provide educational STEM opportunities. NASA keeps the United States at the forefront of innovation.
Producer/Editor: Amy Leniart
Credit: NASA</t>
  </si>
  <si>
    <t>H47_lOBQ1fQ</t>
  </si>
  <si>
    <t>https://youtu.be/wdqapiuJmbQ</t>
  </si>
  <si>
    <t>Exploring the Secrets of the Universe for the Benefit of All (%23StateOfNASA 2022 Highlights)</t>
  </si>
  <si>
    <t>NASA explores the unknown in air and space, innovates for the benefit of humanity, and inspires the world through discovery.
To learn more about some of the NASA missions featured in this video, take a deep dive into these links:
Mars sample return: https://mars.nasa.gov/msr/
Artemis I: https://www.nasa.gov/artemis-1
Commercial crew:  https://www.nasa.gov/exploration/commercial/crew/index.html
VIPER: https://www.nasa.gov/viper
CADRE: https://www.nasa.gov/directorates/spacetech/game_changing_development/projects/CADRE
CAPSTONE: https://www.nasa.gov/directorates/spacetech/small_spacecraft/capstone
Commercial Lunar Payload Services: https://www.nasa.gov/content/commercial-lunar-payload-services
James Webb Space Telescope: https://www.jwst.nasa.gov/ 
Psyche: https://www.jpl.nasa.gov/missions/psyche
Europa Clipper: https://europa.nasa.gov/
Solar Orbiter: https://www.nasa.gov/solar-orbiter
Earth System Observatory: https://science.nasa.gov/earth-science/earth-system-observatory
Landsat 9: https://landsat.gsfc.nasa.gov/satellites/landsat-9/
NASA Spinoffs: https://spinoff.nasa.gov/
DART: https://www.nasa.gov/dart 
X-57 Maxwell: https://www.nasa.gov/specials/X57/
X-59 QueSST: https://www.nasa.gov/specials/X59/
LOFTID: https://www.nasa.gov/mission_pages/tdm/loftid/index.html
Advanced Composite Solar Sail: https://www.nasa.gov/directorates/spacetech/small_spacecraft/ACS3
NASA STEM: https://www.nasa.gov/stem
Producer/Editor: Sonnet Apple 
Music: Universal Production Music</t>
  </si>
  <si>
    <t>wdqapiuJmbQ</t>
  </si>
  <si>
    <t>2022 03 25</t>
  </si>
  <si>
    <t>https://youtu.be/kIFDbuEJXwM</t>
  </si>
  <si>
    <t>Upgrade Work Continues Outside the Space Station on This Week @NASA – March 25, 2022</t>
  </si>
  <si>
    <t>Upgrade work continues outside the space station, an updated strategy for landing Artemis astronauts on the Moon, and unsealing pieces of the past … a few of the stories to tell you about – This Week at NASA!
Download Link:
https://images.nasa.gov/details-Upgrade%20Work%20Continues%20Outside%20the%20Space%20Station%20on%20This%20Week%20@NASA%20–%20March%2025,%202022
Producer: Andre Valentine
Editor: Lacey Young
Music: Universal Production Music</t>
  </si>
  <si>
    <t>kIFDbuEJXwM</t>
  </si>
  <si>
    <t>https://youtu.be/gc0AdfnaveQ</t>
  </si>
  <si>
    <t>Wally Funk &amp; the Mars Ingenuity Helicopter Team Awarded Michael Collins Trophies</t>
  </si>
  <si>
    <t>The Smithsonian’s National Air and Space Museum held its Michael Collins Trophy award ceremony March 24 at the museum’s Steven F. Udvar-hazy Center in Chantilly, VA. The 2022 recipients were Wally Funk for Lifetime Achievement and the Mars Ingenuity Helicopter Team for Current Achievement.
Ingenuity rode to the surface of Mars attached to the belly of the Perseverance rover on Feb 18, 2021. And several weeks later, on April 19, the rotorcraft achieved the very first powered, controlled flight on another planet.
While Ingenuity arrived on Mars as a technology demonstration, NASA has extended flight operations through September. The historic rotorcraft has successfully completed 23 flights and counting and will continue supporting the Perseverance rover’s upcoming science campaign exploring the ancient river delta of Jezero Crater.  Along the way, it will continue pushing its own capabilities to help inform the design of future Mars aerial vehicles.
Lifetime Achievement recipient, Wally Funk and 12 other women pilots underwent spaceflight training in the '60s as part of an unofficial program – even outperforming the men – but were denied the chance to fly.
Wally never abandoned her dream of going to space and at 82-years-old that dream came true when she launched aboard the FIRST crewed suborbital mission of Blue Origin’s New Shepard capsule.
For more information about the Mars Ingenuity Helicopter, visit https://mars.nasa.gov/technology/helicopter/
Video Producer/ Editor: Sonnet Apple
Videographer: Shane Apple
Audio: Manny Cooper
Music: Universal Production Music</t>
  </si>
  <si>
    <t>gc0AdfnaveQ</t>
  </si>
  <si>
    <t>2022 03 21</t>
  </si>
  <si>
    <t>https://youtu.be/OOwI3nTAHIc</t>
  </si>
  <si>
    <t>5,000 Exoplanets  Listen to the Sounds of Discovery (360 Video)</t>
  </si>
  <si>
    <t>On March 21, 2022, the number of known exoplanets passed 5,000 according to the NASA Exoplanet Archive. This 360-degree animation and sonification tracks humanity's discovery of the planets beyond our solar system over time. Turning NASA data into sounds allows users to hear the pace of discovery with additional information conveyed by the notes themselves. 
 As each exoplanet is discovered, a circle appears at its position in the sky. The size of the circle indicates the relative size of the planet's orbit and the color indicates which planet detection method was used to discover it. The music is created by playing a note for each newly discovered world. The pitch of the note indicates the relative orbital period of the planet. Planets that take a longer time to orbit their stars are heard as lower notes, while planets that orbit more quickly are heard as higher notes. 
Exoplanet detection methods: radial velocity (pink); transit (purple); imaging (orange); microlensing (green); timing variations (red); orbital brightness modulation (yellow); astrometry (gray); disk kinematics (blue).
Please note: Not all browsers support viewing 360 videos. YouTube supports their playback on computers using Chrome, Firefox, MS Edge, and Opera browsers. For the best experience on a mobile device, play this video in the YouTube app. 
Credit: NASA/JPL-Caltech/M. Russo, A. Santaguida (SYSTEM Sounds)</t>
  </si>
  <si>
    <t>OOwI3nTAHIc</t>
  </si>
  <si>
    <t>https://youtu.be/yv4DbU1CWAY</t>
  </si>
  <si>
    <t>5,000 Exoplanets  Listen to the Sounds of Discovery (NASA Data Sonification)</t>
  </si>
  <si>
    <t>On March 21, 2022, the number of known exoplanets passed 5,000 according to the NASA Exoplanet Archive. This animation and sonification tracks humanity's discovery of the planets beyond our solar system over time. Turning NASA data into sounds allows users to hear the pace of discovery, with additional information conveyed by the notes themselves. 
As each exoplanet is discovered, a circle appears at its position in the sky. The size of the circle indicates the relative size of the planet's orbit and the color indicates which planet detection method was used to discover it. The music is created by playing a note for each newly discovered world. The pitch of the note indicates the relative orbital period of the planet. Planets that take a longer time to orbit their stars are heard as lower notes, while planets that orbit more quickly are heard as higher notes. 
Credit: NASA/JPL-Caltech/M. Russo, A. Santaguida (SYSTEM Sounds)</t>
  </si>
  <si>
    <t>yv4DbU1CWAY</t>
  </si>
  <si>
    <t>2022 03 18</t>
  </si>
  <si>
    <t>https://youtu.be/NDmFz_Qe5A0</t>
  </si>
  <si>
    <t>Preparing the Space Station for Solar Array Upgrades on This Week @NASA – March 18, 2022</t>
  </si>
  <si>
    <t>Preparing the space station for solar array upgrades, rolling out the spacecraft for our Artemis I mission, and the Webb Space Telescope team reaches another milestone … a few of the stories to tell you about – This Week at NASA!
Producer: Andre Valentine
Editor: Lacey Young
Music: Universal Production Music</t>
  </si>
  <si>
    <t>NDmFz_Qe5A0</t>
  </si>
  <si>
    <t>2022 03 17</t>
  </si>
  <si>
    <t>https://youtu.be/WY7POkaxAX8</t>
  </si>
  <si>
    <t xml:space="preserve"> Invincible  by Eddie Vedder, featuring NASA's Artemis I Moon Mission (Official Video)</t>
  </si>
  <si>
    <t>Grammy-award winning artist Eddie Vedder's "Invincible" video collaboration with NASA is inspired by our Artemis I Moon mission.
The Space Launch System rocket and Orion spacecraft – the only human-rated spacecraft in the world capable of deep-space travel – are planned to lift off from Launch Pad 39B at NASA's Kennedy Space Center for the uncrewed Artemis I mission around the Moon. Through the Artemis missions, NASA will land the first woman and the first person of color on the Moon, paving the way for a long-term lunar presence, and serving as a steppingstone on the way to Mars. This video includes footage of various prelaunch tests, along with animations of launch, the orbit around the Moon, and the return to Earth.
Explore the mission: https://www.nasa.gov/specials/artemis-i/
Submit your name to fly aboard Artemis I: https://nasa.gov/wearegoing
Music: Eddie Vedder – "Invincible"
Video: NASA
Producer: Sami Aziz
Editor: Lacey Young</t>
  </si>
  <si>
    <t>WY7POkaxAX8</t>
  </si>
  <si>
    <t>2022 03 14</t>
  </si>
  <si>
    <t>https://youtu.be/mtsWDWCCSG0</t>
  </si>
  <si>
    <t>Artemis I Rollout Trailer</t>
  </si>
  <si>
    <t>Twin solid rocket boosters that will produce a combined 7.2 million pounds of thrust at liftoff, a towering core stage, and the only human-rated spacecraft in the world capable of deep-space travel – together, NASA’s Space Launch System rocket and Orion spacecraft stand ready to usher in a new chapter of exploration. Now fully assembled at Kennedy Space Center in Florida, SLS and Orion will soon roll to the launch pad.
Producer: Lisa Allen, Alysia Lee
Writer &amp; Director: Paul Wizikowski</t>
  </si>
  <si>
    <t>mtsWDWCCSG0</t>
  </si>
  <si>
    <t>2022 03 13</t>
  </si>
  <si>
    <t>https://youtu.be/51WbSe5Qww4</t>
  </si>
  <si>
    <t>People of Artemis</t>
  </si>
  <si>
    <t>The Moon has inspired and beckoned generations to explore. NASA’s Artemis I mission will forge a new path to the Moon, charting a course for a new, diverse generation of explorers. We’ll develop the cutting-edge technology we'll need to venture even farther – to Mars and beyond. The Artemis I rocket and spacecraft are now combined and undergoing final testing at Kennedy Space Center in Florida, where it will soon launch on the first in a series of increasingly ambitious missions. Thanks to the daily efforts of NASA and its international and industry team members, our dreams are poised to take flight. We are going.
Producer: Barbara Zelon, Alysia Lee
Writer &amp; Director: Paul Wizikowski
Editor: Phil Sexton
Sound Mix: Eric Land
Lunar Photography: Andrew McCarthy
Workforce Photography: NASA, ESA
Narrator: NASA Astronaut Victor Glover</t>
  </si>
  <si>
    <t>51WbSe5Qww4</t>
  </si>
  <si>
    <t>2022 03 11</t>
  </si>
  <si>
    <t>https://youtu.be/3pq8El88_XI</t>
  </si>
  <si>
    <t>Showcasing Our Efforts to Monitor Earth’s Climate on This Week @NASA – March 11, 2022</t>
  </si>
  <si>
    <t>Showcasing our efforts to monitor Earth’s climate, a spacecraft for an asteroid mission is close to its final configuration, and assembly of our Europa Clipper spacecraft is underway … a few of the stories to tell you about – This Week at NASA!
Producer: Andre Valentine
Editor: David Anderson
Music: Universal Production Music</t>
  </si>
  <si>
    <t>3pq8El88_XI</t>
  </si>
  <si>
    <t>2022 03 09</t>
  </si>
  <si>
    <t>https://youtu.be/_yUXG-Fk-X0</t>
  </si>
  <si>
    <t>NASA’s Exoplanet Superheroes</t>
  </si>
  <si>
    <t>A superhero team of space telescopes has been working tirelessly to discover exoplanets and unveil their secrets. Now, a new superhero joins the team—the James Webb Space Telescope. What will it find?
Over the past few decades, a team of now legendary space telescopes has been on a mission of exploration. Hubble, Chandra, Spitzer, Kepler, TESS and now, the Webb telescope all have powers to discover exoplanets or to tell us more about them.
Many of their “super powers,” of course, go far beyond detecting exoplanets. Hubble can look deep into the cosmic past, seeing light from the early universe and some of the most distant stars and galaxies ever observed. The Chandra X-ray Observatory, like Hubble one of NASA’s “Great Observatories,” examines the universe in X-rays. That has allowed it to peer into the tatters of exploded stars and the edges of our galaxy’s central, supermassive black hole.
Another Great Observatory, the Spitzer Space Telescope, viewed the cosmos in infrared light, observing structural details of disks around stars and the faint glow of distant galaxies.
Kepler and TESS, meanwhile, took on exoplanets as their main mission, both employing the transit method – searching for tiny dips in starlight as a planet crosses, or “transits,” the face of its star. TESS is still looking for new worlds!
Each telescope can reveal something different when studying the same planet. The James Webb Space Telescope will give us a closer look at exoplanets, and will be able to tell us something new. 
Credit: NASA/JPL-Caltech</t>
  </si>
  <si>
    <t>_yUXG-Fk-X0</t>
  </si>
  <si>
    <t>2022 03 04</t>
  </si>
  <si>
    <t>https://youtu.be/CI-_QT_u8mE</t>
  </si>
  <si>
    <t>Launching a New Earth-Observing Satellite on This Week @NASA – March 4, 2022</t>
  </si>
  <si>
    <t>Launching a new Earth-observing satellite, things continue to line up for the James Webb Space Telescope, and imagining the future of aviation … a few of the stories to tell you about – This Week at NASA!
Producer: Andre Valentine
Editor: Lacey Young
Music: Universal Production Music</t>
  </si>
  <si>
    <t>CI-_QT_u8mE</t>
  </si>
  <si>
    <t>2022 03 01</t>
  </si>
  <si>
    <t>https://youtu.be/7Ns64uz0-AQ</t>
  </si>
  <si>
    <t>Pioneers to New Frontiers  NASA Women Through the Decades</t>
  </si>
  <si>
    <t>Celebrate #WomensHistoryMonth with us as we pay tribute to scientists, engineers, astronauts, and leaders who continue to pave the way for future generations of explorers. 
Get to know some of their stories: nasa.gov/women
Featured women: 
Annie Easley (00:16) 
Helen Ling (00:32) 
Dr. Patricia Cowings (00:41) 
Jackie Quinn, Ph.D (1:03) 
Ginger Kerrick (1:27) 
Download Link: https://images.nasa.gov/details-NHQ_2022_0301_Pioneers%20to%20New%20Frontiers%20NASA%20Women%20Through%20the%20Decades
Producer/Editor: Lacey Young 
Host: Jori Kates 
Music: Universal Production Music</t>
  </si>
  <si>
    <t>7Ns64uz0-AQ</t>
  </si>
  <si>
    <t>2022 02 25</t>
  </si>
  <si>
    <t>https://youtu.be/EslP8R8hK88</t>
  </si>
  <si>
    <t>An Update on Our Artemis I Mission on This Week @NASA – February 25, 2022</t>
  </si>
  <si>
    <t>An update on our Artemis I mission, test firing an Artemis rocket engine, and a resupply mission delivers to the space station … a few of the stories to tell you about – This Week at NASA!
Download link:  https://images.nasa.gov/details-An%20Update%20on%20Our%20Artemis%20I%20Mission%20on%20This%20Week%20@NASA%20–%20February%2025,%202022
Producer: Andre Valentine
Editor: David Anderson
Music: Universal Production Music
0:00 Introduction
0:14 Update on Preparations for Artemis I Moon Mission 
0:59 Artemis Rocket Engine Test Series Continues
1:21 Commercial Mission Delivers Cargo to Space Station
1:58 The Next GOES Series Earth-Observing Satellite
2:37 60th Anniversary of Glenn’s Historic Flight on Friendship 7</t>
  </si>
  <si>
    <t>EslP8R8hK88</t>
  </si>
  <si>
    <t>2022 02 18</t>
  </si>
  <si>
    <t>https://youtu.be/KYNlp3AFZhw</t>
  </si>
  <si>
    <t>The Next Commercial Cargo Mission to the Space Station on This Week @NASA – February 18, 2022</t>
  </si>
  <si>
    <t>The next commercial cargo mission to the space station, celebrating the first year of Perseverance on Mars, and the first science images from a recently launched mission … a few of the stories to tell you about – This Week at NASA!
Download Link: : https://images.nasa.gov/details-The%20Next%20Commercial%20Cargo%20Mission%20to%20the%20Space%20Station%20on%20This%20Week%20@NASA%20–%20February%2018,%202022
Producer: Andre Valentine
Editor: Sonnet Apple
Music: Universal Production Music
0:00 Introduction
0:15 The Next Commercial Cargo Mission to the Space Station 
0:44 Russian Spacecraft Delivers Cargo to Space Station
1:12 Perseverance Marks One Year on Mars
1:55 IXPE Sends First Science Image
2:33 New Sea Level Rise Projections for U.S. Communities</t>
  </si>
  <si>
    <t>KYNlp3AFZhw</t>
  </si>
  <si>
    <t>2022 02 11</t>
  </si>
  <si>
    <t>https://youtu.be/4ELrOBFe_ZE</t>
  </si>
  <si>
    <t>Fine-Tuning the James Webb Space Telescope on This Week @NASA – February 11, 2022</t>
  </si>
  <si>
    <t>Fine-tuning the James Webb Space Telescope, a different view of Venus, and the science on an upcoming space station resupply mission … a few of the stories to tell you about – This Week at NASA!
Download Link:  https://images.nasa.gov/details-Fine-Tuning%20the%20James%20Webb%20Space%20Telescope%20on%20This%20Week%20@NASA%20–%20February%2011,%202022
Producer: Andre Valentine
Editor: Sonnet Apple
Music: Universal Production Music
0:00 Introduction
0:13 Aligning the James Webb Space Telescope
1:02 Parker Solar Probe’s First Visible Light Images of Venus’ Surface
1:34 Upcoming Commercial Resupply Mission to the Space Station
2:13 Airborne Science Mission Studying Snowstorms
2:45 RS-25 Engine Test Series Continues</t>
  </si>
  <si>
    <t>4ELrOBFe_ZE</t>
  </si>
  <si>
    <t>2022 02 04</t>
  </si>
  <si>
    <t>https://youtu.be/ntkpK9gwEU4</t>
  </si>
  <si>
    <t>A Milestone for an American Astronaut on the Space Station on This Week @NASA – February 4, 2022</t>
  </si>
  <si>
    <t>A milestone for a NASA astronaut, a plan for the future of the space station, and moving a step closer to an historic mission to the station … a few of the stories to tell you about – This Week at NASA!
Download Link:
https://images.nasa.gov/details-A%20Milestone%20for%20an%20American%20Astronaut%20on%20the%20Space%20Station%20on%20This%20Week%20@NASA%20–%20February%204,%202022</t>
  </si>
  <si>
    <t>ntkpK9gwEU4</t>
  </si>
  <si>
    <t>2022 02 03</t>
  </si>
  <si>
    <t>https://youtu.be/ttqTPtC0UGM</t>
  </si>
  <si>
    <t>Science Launching on Northrop Grumman CRS-17 Mission to the Space Station</t>
  </si>
  <si>
    <t>Scientific investigations on skin aging and tumor cells, along with tests of technology for oxygen production, batteries, and growing plants, all travel on the 17th Northrop Grumman commercial resupply services mission to the International Space Station. The Cygnus spacecraft is scheduled for liftoff no earlier than Saturday, Feb. 19, 2022, from NASA’s Wallops Flight Facility on Wallops Island, Virginia. More: https://go.nasa.gov/3KPKvpX</t>
  </si>
  <si>
    <t>ttqTPtC0UGM</t>
  </si>
  <si>
    <t>2022 02 01</t>
  </si>
  <si>
    <t>https://youtu.be/4DMYmoBI6k8</t>
  </si>
  <si>
    <t>Black History Month  NASA Honors the Stars of Our Past</t>
  </si>
  <si>
    <t>NASA honors Black History Month with a tribute to the past and present African Americans who have helped shape America's space program.
Celebrate with us all month: https://go.nasa.gov/2GrOoU3
Video credits:
Producer/Editor: Jori Kates
Music credits:
Universal Production Music</t>
  </si>
  <si>
    <t>4DMYmoBI6k8</t>
  </si>
  <si>
    <t>2022 01 28</t>
  </si>
  <si>
    <t>https://youtu.be/je64UK6Bo8M</t>
  </si>
  <si>
    <t>The Webb Space Telescope Reaches Its New Home on This Week @NASA – January 28, 2022</t>
  </si>
  <si>
    <t>The Webb Space Telescope reaches its new home, remembering our fallen heroes, and testing a VIPER in the sand … a few of the stories to tell you about – This Week at NASA!
Download Link: https://images.nasa.gov/details-The%20Webb%20Space%20Telescope%20Reaches%20Its%20New%20Home%20on%20This%20Week%20@NASA%20–%20January%2028,%202022
Producer: Andre Valentine
Editor: Sonnet Apple
Music: Universal Production Music</t>
  </si>
  <si>
    <t>je64UK6Bo8M</t>
  </si>
  <si>
    <t>2022 01 27</t>
  </si>
  <si>
    <t>https://youtu.be/NWxmJfXa304</t>
  </si>
  <si>
    <t>NASA remembers the crews of Apollo 1, space shuttles Challenger and Columbia during the agency's Day of Remembrance on Jan. 27, 2022, the 55th anniversary of the Apollo 1 tragedy. 
NASA's Day of Remembrance honors members of the NASA family who lost their lives while furthering the cause of exploration and discovery.
#NASARemembers
Producer Credit: Sonnet Apple
Music: Universal Production Music</t>
  </si>
  <si>
    <t>NWxmJfXa304</t>
  </si>
  <si>
    <t>2022 01 21</t>
  </si>
  <si>
    <t>https://youtu.be/S_hjXtzrhW8</t>
  </si>
  <si>
    <t>A Commercial Mission Returning Cargo from the Space Station on This Week @ NASA – January 21, 2022</t>
  </si>
  <si>
    <t>A commercial mission returning cargo from the space station, the first space station spacewalk of the year, and observing a massive volcanic eruption from space… a few of the stories to tell you about – This Week at NASA!
Download Link:
https://images.nasa.gov/details-A%20Commercial%20Mission%20Returning%20Cargo%20from%20the%20Space%20Station%20on%20This%20Week%20@NASA%20–%20January%2021,%202022</t>
  </si>
  <si>
    <t>S_hjXtzrhW8</t>
  </si>
  <si>
    <t>2022 01 14</t>
  </si>
  <si>
    <t>https://youtu.be/PR7FzjwFAVY</t>
  </si>
  <si>
    <t>A Major Milestone for the James Webb Space Telescope on This Week @NASA – January 14, 2022</t>
  </si>
  <si>
    <t>A major milestone for the James Webb Space Telescope, what astronomers could learn from a “mini” monster black hole, and the latest assessment of our planet’s global surface temperature … a few of the stories to tell you about – This Week at NASA!
Download Link:
https://images.nasa.gov/details-A%20Major%20Milestone%20for%20the%20James%20Webb%20Space%20Telescope%20on%20This%20Week%20@NASA%20–%20January%2014,%202022</t>
  </si>
  <si>
    <t>PR7FzjwFAVY</t>
  </si>
  <si>
    <t>2022 01 11</t>
  </si>
  <si>
    <t>https://youtu.be/a-flzdifn54</t>
  </si>
  <si>
    <t>ISS 2030  NASA Extends Operations of the International Space Station</t>
  </si>
  <si>
    <t>NASA announced the Biden-Harris Administration’s commitment to extend International Space Station (ISS) operations through 2030.
Over the past two decades, the United States has maintained a continuous human presence in orbit around the Earth to test technologies, conduct scientific research, and develop skills needed to explore farther than ever before. The unique microgravity laboratory has hosted more than 3,000 research investigations from over 4,200 researchers across the world and is returning enormous scientific, educational, and technological developments to benefit people on Earth.  Nearly 110 countries and areas have participated in activities aboard the station, including more than 1,500,000 students per year in STEM activities.
Extending operations through 2030 will continue another productive decade of research advancement and enable a seamless transition of capabilities in low-Earth orbit to one or more commercially owned and operated destinations in the late 2020s. 
Learn more here: https://blogs.nasa.gov/spacestation/2021/12/31/biden-harris-administration-extends-space-station-operations-through-2030/
Download Link: https://images.nasa.gov/details-ISS%202030%20NASA%20Extends%20Operations%20of%20the%20International%20Space%20Station.
Video Producer: Sonnet Apple
Music Credit: Universal Production Music</t>
  </si>
  <si>
    <t>a-flzdifn54</t>
  </si>
  <si>
    <t>2022 01 07</t>
  </si>
  <si>
    <t>https://youtu.be/aUGD9YcV5qo</t>
  </si>
  <si>
    <t>A Week of Deployments for the James Webb Space Telescope on This Week @NASA – January 7, 2022</t>
  </si>
  <si>
    <t>A week of deployments for the James Webb Space Telescope, another remarkable achievement for Hubble, and helping to improve launch safety … a few of the stories to tell you about – This Week at NASA!
Download Link: https://images.nasa.gov/details-A%20Week%20of%20Deployments%20for%20the%20James%20Webb%20Space%20Telescope%20on%20This%20Week%20@NASA%20–%20January%207,%202022
Producer: Andre Valentine
Editor: Shane Apple
Music: Universal Production Music</t>
  </si>
  <si>
    <t>aUGD9YcV5qo</t>
  </si>
  <si>
    <t>2022 01 02</t>
  </si>
  <si>
    <t>https://youtu.be/IDahq6brsSU</t>
  </si>
  <si>
    <t>We Asked a NASA Expert</t>
  </si>
  <si>
    <t>You’ve got questions, we’ve got answers! Is Mars habitable? Do aliens exist? Are there oceans on other worlds? Our "We Asked a NASA Expert" video series answers all of these questions and more. Tune in to our playlist to learn all about this solar system we call home: https://go.nasa.gov/32MVcs3
Producers: Jessica Wilde &amp; Scott Bednar
Editor: Matthew Schara</t>
  </si>
  <si>
    <t>IDahq6brsSU</t>
  </si>
  <si>
    <t>2021 12 31</t>
  </si>
  <si>
    <t>https://youtu.be/el7RFWBlFDU</t>
  </si>
  <si>
    <t>NASA 2022  The Future is Now</t>
  </si>
  <si>
    <t>Receiving the first images from the James Webb Space Telescope, sending the first uncrewed Artemis mission around the Moon and back to Earth, sending NASA science and technology to the surface of the Moon on three missions with our commercial partners, and flying our first quiet, supersonic plane are just a few of the things NASA has planned for 2022.
Download Link: https://images.nasa.gov/details-NASA%202022%20The%20Future%20is%20Now
To learn more about the missions mentioned in this video, take a deep dive into these links:
Explore Beyond [00:13]
James Webb Space Telescope: https://www.jwst.nasa.gov/ 
DART: https://www.nasa.gov/dart 
IXPE: https://www.nasa.gov/ixpe 
Psyche: https://www.jpl.nasa.gov/missions/psyche
GUSTO: https://www.nasa.gov/press-release/nasa-selects-mission-to-study-churning-chaos-in-our-milky-way-and-beyond
At the Moon [00:35]
Artemis I: https://www.nasa.gov/artemis-1
Commercial Lunar Payload Services: https://www.nasa.gov/content/commercial-lunar-payload-services
CAPSTONE: https://www.nasa.gov/directorates/spacetech/small_spacecraft/capstone
Humans in Space [00:51]
Mark Vande Hei's Record: https://www.youtube.com/watch?v=vsAAOuF2670
International Space Station Research and Technology: https://www.nasa.gov/mission_pages/station/research/index.html
Low-Earth Orbit Economy: https://www.nasa.gov/leo-economy/low-earth-orbit-economy
Boeing Starliner: https://www.nasa.gov/subject/11845/starliner/
SpaceX Crew Dragon: https://www.nasa.gov/subject/11844/crew-dragon/
Space Technology [1:13]
Low-Earth Orbit Flight Test of an Inflatable Decelerator: https://www.nasa.gov/mission_pages/tdm/loftid/index.html
Advanced Composite Solar Sail System: https://www.nasa.gov/directorates/spacetech/small_spacecraft/ACS3
Laser Communications Relay Demonstration: https://www.nasa.gov/mission_pages/tdm/lcrd/index.html
Deep Space Optical Communications: https://www.nasa.gov/mission_pages/tdm/dsoc/index.html
Future of Flight [1:29]
X-59 QueSST: https://www.nasa.gov/specials/X59/
X-57 Maxwell: https://www.nasa.gov/specials/X57/
Our Earth [1:41]
SWOT: https://swot.jpl.nasa.gov/
TEMPO: http://tempo.si.edu/
TROPICS: https://weather.msfc.nasa.gov/tropics/
EMIT: https://earth.jpl.nasa.gov/emit/
Earth System Observatory: https://science.nasa.gov/earth-science/earth-system-observatory
Producer/Editor: Lacey Young
Music: Universal Production Music
Video Credit: NASA</t>
  </si>
  <si>
    <t>el7RFWBlFDU</t>
  </si>
  <si>
    <t>2021 12 29</t>
  </si>
  <si>
    <t>https://youtu.be/w_eKC0bM6-M</t>
  </si>
  <si>
    <t>Are There Rainbows on Mars  We Asked a NASA Expert</t>
  </si>
  <si>
    <t>Are there rainbows on Mars? Sadly, no. But there are a whole lot of other conditions on Mars that we have right here on Earth! NASA scientist Mark Lemmon explains why the Red Planet is a rainbowless world. Get more Martian science: www.nasa.gov/mars
Producers: Jessica Wilde &amp; Scott Bednar
Editor: Matthew Schara</t>
  </si>
  <si>
    <t>w_eKC0bM6-M</t>
  </si>
  <si>
    <t>2021 12 22</t>
  </si>
  <si>
    <t>https://youtu.be/WLhlRUnzbTM</t>
  </si>
  <si>
    <t>Why Can You See the Moon During the Day  We Asked a NASA Scientist</t>
  </si>
  <si>
    <t>Why can you see the Moon during the day? Easy, because it’s there! It may seem odd to look up at the daytime sky and see the Moon but it’s perfectly natural. Planetary geologist Sarah Noble breaks it down so you know when to look up. Follow more Moon science: http://www.nasa.gov/moon
Producers: Jessica Wilde &amp; Scott Bednar
Editor: Seth Robinson</t>
  </si>
  <si>
    <t>WLhlRUnzbTM</t>
  </si>
  <si>
    <t>2021 12 21</t>
  </si>
  <si>
    <t>https://youtu.be/bw79tvdiARI</t>
  </si>
  <si>
    <t>We Did Some Amazing Things This Year @ NASA – December 21, 2021</t>
  </si>
  <si>
    <t>2021 was the busiest year yet for NASA in low-Earth orbit, we also made progress preparing for a flight test around the Moon, and had a very active year exploring space, studying Earth, testing technologies for next generation aircraft, and much more. Here’s a look back at those and other things we did this year at NASA.
Download Link: https://go.nasa.gov/3yM3so2
Producer/Writer: Andre Valentine
Editors: Sonnet Apple
               Shane Apple
Music: Universal Production Music
0:00 Introduction
0:27 SOLAR SYSTEM AND BEYOND
1:53 NEW LEADERSHIP
2:13 EARTH
3:51 HUMANS IN SPACE
5:32 MOON TO MARS
7:02 SPACE TECH
7:47 FLIGHT
9:04 DIVERSITY, EQUALITY, INCLUSION, AND ACCESSIBILITY
9:40 STEM ENGAGEMENT
10:38 BENEFITS TO YOU</t>
  </si>
  <si>
    <t>bw79tvdiARI</t>
  </si>
  <si>
    <t>https://youtu.be/69uT90tEJdE</t>
  </si>
  <si>
    <t>NASA's James Webb Space Telescope – Official Mission Trailer</t>
  </si>
  <si>
    <t>We don’t yet know what the James Webb Space Telescope will uncover. Will we get answers? Will we have more questions? One thing’s certain: The story of us is a never-ending quest for knowledge.
As Carl Sagan said: “We can’t help it.” #UnfoldTheUniverse
https://www.jwst.nasa.gov
Produced by Lindeman &amp; Associates
Voice of Carl Sagan courtesy of Druyan-Sagan Associates, Inc., used with permission
Imagery courtesy of NASA and ESA, with Druyan-Sagan Associates, Inc., used with permission</t>
  </si>
  <si>
    <t>69uT90tEJdE</t>
  </si>
  <si>
    <t>https://youtu.be/NVvDAbTfDaw</t>
  </si>
  <si>
    <t>Watch SpaceX Launch Science and Supplies to the Space Station</t>
  </si>
  <si>
    <t>Watch the 24th SpaceX cargo resupply mission to the International Space Station lift off from NASA's Kennedy Space Center.
Launch is targeted for 5:07 a.m. (10:07 UTC). On board are a variety of scientific investigations, including a protein crystal growth study that could improve how cancer treatment drugs are delivered to patients and a handheld bioprinter that could one day be used to print tissue directly onto wounds for faster healing.
There are also experiments from students at several universities as part of the Student Payload Opportunity with Citizen Science (SPOCS) program and an investigation that examines using clothes detergent in microgravity. Dragon will arrive to the space station the following day at about 4:30 a.m. (09:30 EST).
More about the science on board: https://go.nasa.gov/3oI4kqc</t>
  </si>
  <si>
    <t>NVvDAbTfDaw</t>
  </si>
  <si>
    <t>2021 12 20</t>
  </si>
  <si>
    <t>https://youtu.be/vidNfbTDgoE</t>
  </si>
  <si>
    <t>Season’s Greetings from NASA</t>
  </si>
  <si>
    <t>From the Moon to Mars to the solar system and beyond, season's greetings from all of us at NASA!
Producer: Mark Hailey</t>
  </si>
  <si>
    <t>vidNfbTDgoE</t>
  </si>
  <si>
    <t>https://youtu.be/gRG80Wr1ETo</t>
  </si>
  <si>
    <t>%23EZScience  Taking Light Apart with the James Webb Space Telescope</t>
  </si>
  <si>
    <t>NASA's James Webb Space Telescope is heading to space to explore the universe as no telescope has before. This observatory has both cameras and spectrographs, instruments that take light apart to reveal the chemical makeup of cosmic objects. 
Dr. Thomas Zurbuchen and Dr. Ellen Stofan discuss the upcoming launch, as well as the Hubble Space Telescope backup mirror and historical spectrographs on display at the Smithsonian’s National Air and Space Museum.
The James Webb Space Telescope is scheduled to lift off on Dec. 24, 2021, at 7:20 a.m. EST (12:20 UTC) from Europe's Spaceport in French Guiana. Watch live coverage starting at 6 a.m. EST (11:00 UTC): https://youtu.be/7nT7JGZMbtM</t>
  </si>
  <si>
    <t>gRG80Wr1ETo</t>
  </si>
  <si>
    <t>2021 12 15</t>
  </si>
  <si>
    <t>https://youtu.be/UPOQD6Pz79k</t>
  </si>
  <si>
    <t>Is There Water on Mars  We Asked a NASA Scientist</t>
  </si>
  <si>
    <t>Is there water on Mars? There sure is! It’s not exactly like water on Earth, but Martian H20 can tell us a lot about the planet’s distant past while potentially aiding explorers in the future. Some of the water is even trapped inside rocks! Hear from Mars scientist Eva Scheller who helped make that discovery using NASA data. Get more Martian science: www.nasa.gov/mars
 Producers: Jessica Wilde &amp; Scott Bednar
Editor: David Shelton</t>
  </si>
  <si>
    <t>UPOQD6Pz79k</t>
  </si>
  <si>
    <t>2021 12 10</t>
  </si>
  <si>
    <t>https://youtu.be/3xbRfU_kAlM</t>
  </si>
  <si>
    <t>A New Class of Astronaut Candidates on This Week @NASA – December 10, 2021</t>
  </si>
  <si>
    <t>A new class of astronaut candidates, highlighting the next era of space communications, and a new x-ray satellite mission … a few of the stories to tell you about – This Week at NASA!
Download Link:
https://images.nasa.gov/details-A%20New%20Class%20of%20Astronaut%20Candidates%20on%20This%20Week%20@NASA%20–%20December%2010,%202021</t>
  </si>
  <si>
    <t>3xbRfU_kAlM</t>
  </si>
  <si>
    <t>2021 12 08</t>
  </si>
  <si>
    <t>https://youtu.be/1p-SmukIL-M</t>
  </si>
  <si>
    <t>Are There Oceans on Other Worlds  We Asked a NASA Expert</t>
  </si>
  <si>
    <t>Are there oceans on other worlds? Yes! Earth is not alone. When you look deeper into our solar system, there are worlds we suspect have oceans hidden beneath their icy surfaces. NASA scientist Lucas Paganini is here to tell you more. Learn more about ocean worlds: https://go.nasa.gov/3rD0zlO  
Producers: Jessica Wilde &amp; Scott Bednar
Editor: Matthew Schara</t>
  </si>
  <si>
    <t>1p-SmukIL-M</t>
  </si>
  <si>
    <t>https://youtu.be/tBbdtV53OSc</t>
  </si>
  <si>
    <t>%23EZScience  Exploring the X-ray Universe</t>
  </si>
  <si>
    <t>By studying X-rays in deep space, we can learn about some of the most violent and extreme objects in the universe, such as black holes and the remains of stars that have exploded. NASA’s Imaging X-Ray Polarimetry Explorer, IXPE, will study these phenomena in a new way. Learn more in this episode of #EZScience, starring NASA associate administrator for science Dr. Thomas Zurbuchen and Smithsonian Under Secretary for Science and Research Dr. Ellen Stofan.
IXPE is set to launch Dec. 9 at 1:00 a.m. EST (06:00 UTC) from NASA's Kennedy Space Center. Watch the live broadcast: https://youtu.be/JGij0x0PA_Q
All about the mission: nasa.gov/ixpe</t>
  </si>
  <si>
    <t>tBbdtV53OSc</t>
  </si>
  <si>
    <t>2021 12 07</t>
  </si>
  <si>
    <t>https://youtu.be/J-9rLkJfhPI</t>
  </si>
  <si>
    <t>Science Launching on SpaceX's 24th Cargo Resupply Mission to the Space Station</t>
  </si>
  <si>
    <t>The 24th SpaceX cargo resupply services mission, targeted to launch in late December from NASA’s Kennedy Space Center in Florida, carries scientific research and technology demonstrations to the International Space Station. The experiments aboard include studies of bioprinting, crystallization of monoclonal antibodies, changes in immune function, plant gene expression changes, laundering clothes in space, processing alloys, and student citizen science projects. https://go.nasa.gov/339gHDD</t>
  </si>
  <si>
    <t>J-9rLkJfhPI</t>
  </si>
  <si>
    <t>2021 12 04</t>
  </si>
  <si>
    <t>https://youtu.be/5wPMlKG16QY</t>
  </si>
  <si>
    <t>Nichelle Nichols  Woman on a NASA Mission</t>
  </si>
  <si>
    <t>NASA celebrates the life and career of Nichelle Nichols, famous for her role of Lieutenant Uhura on Star Trek, as she retires from public life.  
Not only did Nichols portray a character that was an incredible role model, but in 1977, she also partnered with NASA to recruit minority and female personnel for the space agency's shuttle program.
Nichols symbolized to so many what was possible and inspired young minds to pursue science, technology, engineering, and mathematics careers. 
Video Producer: Sonnet Apple
Music: Universal Production Music</t>
  </si>
  <si>
    <t>5wPMlKG16QY</t>
  </si>
  <si>
    <t>2021 12 03</t>
  </si>
  <si>
    <t>https://youtu.be/_pzt9c0yKco</t>
  </si>
  <si>
    <t>Replacing a Space Station Communications Antenna on This Week @NASA – December 3, 2021</t>
  </si>
  <si>
    <t>Replacing a space station communications antenna, another round of testing for our lunar roving robot, and discussing space policy and priorities … a few of the stories to tell you about – This Week at NASA!
Download Link:
https://images.nasa.gov/details-Replacing%20a%20Space%20Station%20Communications%20Antenna%20on%20This%20Week%20@NASA%20–%20December%203,%202021</t>
  </si>
  <si>
    <t>_pzt9c0yKco</t>
  </si>
  <si>
    <t>https://youtu.be/KATEY1-dDh4</t>
  </si>
  <si>
    <t>NASA Astronauts Read Aloud  You Are Going</t>
  </si>
  <si>
    <t>With Artemis, NASA is going back to the Moon. And we want you to come along!
You Are Going, illustrated by former NASA intern Shane Tolentino, shares a glimpse into future Artemis missions. Learn all about the elements that will help make Artemis possible: the powerful Space Launch System rocket, the Orion spacecraft, the Gateway, and so much more.
In this story, NASA invites you—a member of the Artemis Generation—to feel connected to each Artemis mission and discover all of the exciting possibilities of going to space.
So, what are you waiting for? You Are Going!
Get your digital copy at: www.nasa.gov/youaregoing
Narration: Victor Glover, Mike Hopkins, Shannon Walker, Soichi Noguchi</t>
  </si>
  <si>
    <t>KATEY1-dDh4</t>
  </si>
  <si>
    <t>2021 12 01</t>
  </si>
  <si>
    <t>https://youtu.be/Bj2GDeHocUA</t>
  </si>
  <si>
    <t>What’s it Like Landing on Mars  We Asked a NASA Expert</t>
  </si>
  <si>
    <t>What’s it like landing on Mars? Tough! But every time we land, we learn more. 
When our Perseverance Mars rover descended toward the Red Planet, it was decked out with temperature and pressure sensors that collected critical data about entry and landing conditions. NASA engineer Alex Scammell tells us more. 
Learn more about MEDLI2: https://go.nasa.gov/3s3zYi0
Producers: Scott Bednar &amp; Jessica Wilde</t>
  </si>
  <si>
    <t>Bj2GDeHocUA</t>
  </si>
  <si>
    <t>2021 11 26</t>
  </si>
  <si>
    <t>https://youtu.be/x2V1YAlD8U0</t>
  </si>
  <si>
    <t>The Launch of Our First Planetary Defense Test Mission on This Week @NASA – November 26, 2021</t>
  </si>
  <si>
    <t>The launch of our first planetary defense test mission, a new docking module for the space station, and shielding the Orion spacecraft from the heat … a few of the stories to tell you about – This Week at NASA!
Download Link:
https://images.nasa.gov/details-The%20Launch%20of%20Our%20First%20Planetary%20Defense%20Test%20Mission%20on%20This%20Week%20@NASA%20–%20November%2026,%202021
Producer: Andre Valentine
Editor: Lacey Young
Music: Universal Production Music</t>
  </si>
  <si>
    <t>x2V1YAlD8U0</t>
  </si>
  <si>
    <t>2021 11 25</t>
  </si>
  <si>
    <t>https://youtu.be/eIufkTTj7Gs</t>
  </si>
  <si>
    <t>Happy Thanksgiving from NASA!</t>
  </si>
  <si>
    <t>Thanksgiving in space? We've been celebrating in orbit for longer than you might think, starting with the Skylab 4 crew in 1973!
From the International Space Station to your spice station, we wish you and yours a Happy Thanksgiving.
Producer: Mark Hailey</t>
  </si>
  <si>
    <t>eIufkTTj7Gs</t>
  </si>
  <si>
    <t>2021 11 24</t>
  </si>
  <si>
    <t>https://youtu.be/_f3xzT-JPaY</t>
  </si>
  <si>
    <t>What's the Difference Between Asteroids, Comets, and Meteors  We Asked a NASA Expert</t>
  </si>
  <si>
    <t>Asteroids, comets, and meteors: what's the difference? These space rocks each have their own unique attributes. But differences aside, these fascinating objects are all worthy of study. Just ask @NASAJPL scientist Ryan Park and he’ll agree. 
Here's more on what sets space rocks apart: https://go.nasa.gov/3i42jBm 
Producers: Scott Bednar &amp; Jessica Wilde
Editor: Thomas Shortridge</t>
  </si>
  <si>
    <t>_f3xzT-JPaY</t>
  </si>
  <si>
    <t>2021 11 19</t>
  </si>
  <si>
    <t>https://youtu.be/LBvgyXhLaWM</t>
  </si>
  <si>
    <t>The Space Station Crew is Safe Following a Debris Event on This Week @NASA – November 19, 2021</t>
  </si>
  <si>
    <t>The space station crew is safe following a debris event, our recently returned Crew-2 astronauts discuss their mission, and what our Crew-1 astronauts did in Washington … a few of the stories to tell you about – This Week at NASA!
Download Link: https://images.nasa.gov/details-The%20Space%20Station%20Crew%20is%20Safe%20Following%20a%20Debris%20Event%20on%20This%20Week%20@NASA%20–%20November%2019,%202021
Producer: Andre Valentine
Editor: Lacey Young
Music: Universal Production Music</t>
  </si>
  <si>
    <t>LBvgyXhLaWM</t>
  </si>
  <si>
    <t>2021 11 17</t>
  </si>
  <si>
    <t>https://youtu.be/w85djkEERUM</t>
  </si>
  <si>
    <t>Launching Soon  NASA's First Asteroid Deflection Test</t>
  </si>
  <si>
    <t>On Nov. 24, 2021, our Double Asteroid Redirection Test (DART) spacecraft will lift off on a ten-month journey to crash into a distant asteroid – on purpose.
As a test of NASA's planetary defense technologies, DART will collide with and slightly change the speed of Dimorphos, a small 'moonlet' orbiting the asteroid Didymos. Dimorphos will be over 6 million miles away at the time of impact and does not pose a threat to Earth, either before or after DART's collision. With nearby satellites and Earth-based telescopes, NASA and our international partners will track DART's effect on Dimorphos and use this data to help protect Earth from future asteroid impact threats.
DART's first launch attempt is scheduled for 1:20 a.m. EST (06:20 UTC) on Nov. 24. Launch coverage starts at 12:30 a.m. EST (05:30 UTC) on NASA TV, the NASA app, and @NASA social media. Be a part of DART's historic launch day by using the hashtag #DARTMission.
Producer/Editor: Lacey Young
Voiceover: Elena Adams, Michelle Chen, Kelly Fast, Andy Rivkin, Justyna Surowiec
Music: Universal Production Music</t>
  </si>
  <si>
    <t>w85djkEERUM</t>
  </si>
  <si>
    <t>https://youtu.be/vhpzke-2tGU</t>
  </si>
  <si>
    <t>Is NASA Really Crashing a Spacecraft into an Asteroid  We Asked a NASA Expert</t>
  </si>
  <si>
    <t>Are we really crashing a spacecraft into an asteroid? We sure are — all in the name of planetary defense. The #DARTMission is a technology test to see if an impactor could change the trajectory of an asteroid. Nancy Chabot of the Johns Hopkins University Applied Physics Laboratory tells us more. 
Learn more about this first-of-its-kind mission: https://www.nasa.gov/dartmission
Producers: Jessica Wilde &amp; Scott Bednar 
Editor: Matthew Schara</t>
  </si>
  <si>
    <t>vhpzke-2tGU</t>
  </si>
  <si>
    <t>2021 11 16</t>
  </si>
  <si>
    <t>https://youtu.be/quBrcCaJvr0</t>
  </si>
  <si>
    <t>‘Don’t Look Up’ Director Adam McKay Previews NASA’s DART Asteroid Mission</t>
  </si>
  <si>
    <t>Science fiction meets science fact – Netflix’s upcoming movie “Don’t Look Up” is a fictional story about three scientists warning the planet about a doomsday comet. NASA’s upcoming DART mission is a real spacecraft that will intentionally crash itself into an asteroid as a test to see if this could be a viable way to move its motion in space. Hear from movie director Adam McKay as he compares the two.
DART is a spacecraft designed to impact an asteroid as a test of technology. DART’s target asteroid is NOT a threat to Earth. This asteroid system is a perfect testing ground to see if intentionally crashing a spacecraft into an asteroid is an effective way to change its course, should an Earth-threatening asteroid be discovered in the future. 
For more about our #DARTMission, visit https://nasa.gov/dartmission.</t>
  </si>
  <si>
    <t>quBrcCaJvr0</t>
  </si>
  <si>
    <t>2021 11 13</t>
  </si>
  <si>
    <t>https://youtu.be/_Urv5OySYWE</t>
  </si>
  <si>
    <t>Our Crew-3 Mission Launches to the Space Station on This Week @NASA – November 12, 2021</t>
  </si>
  <si>
    <t>Our Crew-3 mission launches to the space station, Crew-2 makes a splash at the end of its record-setting mission, and a big honor for our deputy administrator … a few of the stories to tell you about – This Week at NASA!
Producer/Writer: Andre Valentine
Editor: Shane Apple
Music: Universal Production Music
Download Link:
https://images.nasa.gov/details-Our%20Crew-3%20Mission%20Launches%20to%20the%20Space%20Station%20on%20This%20Week%20@NASA%20–%20November%2012,%202021</t>
  </si>
  <si>
    <t>_Urv5OySYWE</t>
  </si>
  <si>
    <t>2021 11 12</t>
  </si>
  <si>
    <t>https://youtu.be/wFHce6TXVTQ</t>
  </si>
  <si>
    <t>Astronauts Show How NASA's DART Mission Will Change an Asteroid's Motion in Space</t>
  </si>
  <si>
    <t>NASA’s DART spacecraft will intentionally crash into an asteroid to test if impacting an object is a viable way to deflect an asteroid, should a threat ever be discovered in the future. Watch as NASA astronaut Shane Kimbrough and European Space Agency astronaut Thomas Pesquet demonstrate how DART’s mission will work. Spoiler alert: it’s like a pillow fight in microgravity.
DART is a spacecraft designed to impact an asteroid as a test of technology. DART’s target asteroid is NOT a threat to Earth. This asteroid system is a perfect testing ground to see if intentionally crashing a spacecraft into an asteroid is an effective way to change its course, should an Earth-threatening asteroid be discovered in the future.
Credit: NASA
Editor: Jessica Wilde, NASA 360</t>
  </si>
  <si>
    <t>wFHce6TXVTQ</t>
  </si>
  <si>
    <t>2021 11 10</t>
  </si>
  <si>
    <t>https://youtu.be/2CnpeAkuxOQ</t>
  </si>
  <si>
    <t>Is NASA Aware of Any Earth-Threatening Asteroids  We Asked a NASA Expert</t>
  </si>
  <si>
    <t>Is NASA aware of any Earth-threatening asteroids? Luckily there are no known asteroid threats to Earth for at least 100 years. But that doesn’t mean we’re not looking. Asteroid expert Davide Farnocchia of our@NASAJPL breaks it down. 
Learn about how we track asteroids: https://www.nasa.gov/asteroids
Producer/Editor: James Lucas
Producers: Scott Bednar, Jessica Wilde</t>
  </si>
  <si>
    <t>2CnpeAkuxOQ</t>
  </si>
  <si>
    <t>2021 11 09</t>
  </si>
  <si>
    <t>https://youtu.be/s2rt73vr5Dk</t>
  </si>
  <si>
    <t>Watch NASA’s SpaceX Crew-3 Mission Launch (Trailer)</t>
  </si>
  <si>
    <t>On Nov. 10 at 9:03 p.m. EST (02:03 UTC Nov. 11), the Crew-3 flight will carry NASA astronauts Raja Chari, mission commander; Tom Marshburn, pilot; and Kayla Barron, mission specialist; as well as ESA (European Space Agency) astronaut Matthias Maurer, who will serve as a mission specialist, to the International Space Station for a six-month science mission. Once there, they will perform space station upgrades, conduct science experiments to benefit life on Earth, and continue preparing humanity for future missions to the Moon – and eventually Mars. This is the third crew rotation mission with four astronauts flying on a commercial spacecraft.
Video Producer/Editor: Amy Leniart</t>
  </si>
  <si>
    <t>s2rt73vr5Dk</t>
  </si>
  <si>
    <t>2021 11 07</t>
  </si>
  <si>
    <t>https://youtu.be/eON997EWVWA</t>
  </si>
  <si>
    <t>Vice President Kamala Harris Visits NASA to See Climate Change Work</t>
  </si>
  <si>
    <t>The urgency of Earth science and climate studies took the spotlight Friday, Nov. 5, as U.S. Vice President Kamala Harris visited NASA’s Goddard Space Flight Center in Greenbelt, Maryland. Alongside NASA Administrator Bill Nelson, the vice president received a firsthand look at how NASA studies climate change and provides crucial information to understand our planet’s changes and their impacts on our lives. 
The vice president met with scientists and engineers to discuss:
• The first images captured by the Landsat 9 satellite, a joint mission of NASA and the U.S. Geological Survey (USGS) that launched in late September to monitor the Earth’s land surface. 
• A new Earth science mission entitled Investigation of Convective Updrafts (INCUS) that will study the behavior of tropical storms and thunderstorms, including their impacts on weather and climate models.
• The Plankton, Aerosol, Cloud, ocean Ecosystem (PACE) mission, which involves an instrument currently under construction at Goddard for a 2022 launch. PACE will extend and improve NASA's record of satellite observations of global ocean biology, aerosols (tiny particles suspended in the atmosphere), and clouds.
• The GOES-R program, whose GOES-T satellite is scheduled to launch for NOAA in February 2022 to improve weather forecasts. 
Learn more about NASA’s Earth science work at: https://climate.nasa.gov/  
Video Producer: Rich Melnick 
Video Editor: Mike Randazzo</t>
  </si>
  <si>
    <t>eON997EWVWA</t>
  </si>
  <si>
    <t>2021 11 06</t>
  </si>
  <si>
    <t>https://youtu.be/_tNQUKRmbCk</t>
  </si>
  <si>
    <t>The Vice President Checks Out New Earth Science Work on This Week @NASA – November 5, 2021</t>
  </si>
  <si>
    <t>The Vice President checks out new Earth Science work, two decades and counting of continuous human presence in space, and 29 days on the edge for the Webb Space Telescope team … a few of the stories to tell you about – This Week at NASA!
Download Link: https://images.nasa.gov/details-The%20Vice%20President%20Checks%20Out%20New%20Earth%20Science%20Work%20on%20This%20Week%20@NASA%20–%20November%205,%202021</t>
  </si>
  <si>
    <t>_tNQUKRmbCk</t>
  </si>
  <si>
    <t>2021 11 03</t>
  </si>
  <si>
    <t>https://youtu.be/yxoua8dWoIE</t>
  </si>
  <si>
    <t>When Was the Last Time an Asteroid Hit Earth  We Asked a NASA Expert</t>
  </si>
  <si>
    <t>When was the last time an asteroid hit Earth? Small asteroids and other tiny particles bombard our planet daily, but almost all of them burn up safely in the atmosphere. Bigger impacts are extremely rare, but scientists like Marina Brozovic are keeping their eyes on the sky. 
Explore more: https://www.nasa.gov/planetarydefense
Producers: Scott Bednar, Jessica Wilde
Editor: Matthew Schara</t>
  </si>
  <si>
    <t>yxoua8dWoIE</t>
  </si>
  <si>
    <t>2021 11 02</t>
  </si>
  <si>
    <t>https://youtu.be/AtjR-gHufxg</t>
  </si>
  <si>
    <t>NASA’s SpaceX Crew-2 Astronauts Advance Research in Space</t>
  </si>
  <si>
    <t>After more than six months aboard the International Space Station, the astronauts of NASA’s SpaceX Crew-2 mission are returning home. The four crew members -- NASA astronauts Shane Kimbrough and Megan McArthur, JAXA (Japan Aerospace Exploration Agency) astronaut Akihiko Hoshide, and ESA (European Space Agency) astronaut Thomas Pesquet -- will travel back to Earth inside a SpaceX Crew Dragon capsule.
These crew members contributed to hundreds of scientific investigations and technology demonstrations while aboard the orbiting laboratory. This valuable scientific research helps to prepare humans for future space exploration missions while generating numerous innovations and benefits for humanity on Earth. Here is a look at some of the scientific milestones accomplished during the Crew-2 mission.
https://go.nasa.gov/3bygmel</t>
  </si>
  <si>
    <t>AtjR-gHufxg</t>
  </si>
  <si>
    <t>2021 10 29</t>
  </si>
  <si>
    <t>https://youtu.be/larBkDpbgx0</t>
  </si>
  <si>
    <t>The Crew-3 Astronauts Arrive at the Launch Site on This Week @NASA – October 29, 2021</t>
  </si>
  <si>
    <t>The Crew-3 astronauts arrive at the launch site, a critical milestone for our water-hunting lunar robot, and a deeper, more full view down into Jupiter’s atmosphere … a few of the stories to tell you about – This Week at NASA!
Producer/Writer: Andre Valentine
Editor: Shane Apple
Music: Universal Production Music
Download Link:
https://images.nasa.gov/details-The%20Crew-3%20Astronauts%20Arrive%20at%20the%20Launch%20Site%20on%20This%20Week%20@NASA%20–%20October%2029,%202021mp4</t>
  </si>
  <si>
    <t>larBkDpbgx0</t>
  </si>
  <si>
    <t>2021 10 27</t>
  </si>
  <si>
    <t>https://youtu.be/Lvet4-oHR7U</t>
  </si>
  <si>
    <t>How Did Perseverance Pick its Landing Spot  We Asked a NASA Expert</t>
  </si>
  <si>
    <t>How did the Perseverance Mars rover pick its exact landing spot? Believe it or not, the rover made the decision on precisely where to land just moments before it touched down. How?! Thanks to the work of engineers like Swati Mohan and a new technology called Terrain Relative Navigation, Perseverance landed in the most challenging landscape ever attempted on Mars: https://go.nasa.gov/3yutGdH
Producers: Scott Bednar &amp; Jessica Wilde
Editor: Thomas Shortridge</t>
  </si>
  <si>
    <t>Lvet4-oHR7U</t>
  </si>
  <si>
    <t>2021 10 24</t>
  </si>
  <si>
    <t>https://youtu.be/pm02i3uALXo</t>
  </si>
  <si>
    <t>Behind the Spacecraft  Justyna Surowiec</t>
  </si>
  <si>
    <t>NASA searches the skies every night to find, track and catalogue near-Earth objects. But what would they do if there were a threat? NASA is launching its first planetary defense test mission — DART — and Johns Hopkins APL public affairs officer Justyna Surowiec wants to make sure you know all about it. Explore the #DARTmission: www.nasa.gov/DART
The DART mission is a test of a technique that could be used to mitigate the threat of an asteroid on a collision course with Earth should one be discovered in the future. DART’s target is not a threat to Earth. While no known asteroid larger than 140 meters in size has a significant chance to hit Earth for the next 100 years, only about 40 percent of those asteroids have been found as of October 2021.</t>
  </si>
  <si>
    <t>pm02i3uALXo</t>
  </si>
  <si>
    <t>https://youtu.be/LADoWKci4hs</t>
  </si>
  <si>
    <t>Behind the Spacecraft  Elena Adams</t>
  </si>
  <si>
    <t>Before NASA’s #DARTmission slams into an asteroid — in the name of science — it has to be designed, built, launched, and flown. Johns Hopkins APL systems engineer Elena Adams has made sure that the mission will hit the mark. Stay tuned for launch and impact: www.nasa.gov/DART
The DART mission is a test of a technique that could be used to mitigate the threat of an asteroid on a collision course with Earth should one be discovered in the future. DART’s target is not a threat to Earth. While no known asteroid larger than 140 meters in size has a significant chance to hit Earth for the next 100 years, only about 40 percent of those asteroids have been found as of October 2021.</t>
  </si>
  <si>
    <t>LADoWKci4hs</t>
  </si>
  <si>
    <t>https://youtu.be/T0fHMWFMKWo</t>
  </si>
  <si>
    <t>Behind the Spacecraft  Kelly Fast</t>
  </si>
  <si>
    <t>NASA planetary defender Dr. Kelly Fast has a hard and fast rule: “Find asteroids before they find us.” Working in NASA’s Planetary Defense Coordination Office, Kelly is helping send a first-of-its-kind mission to test what it would take to “nudge” an asteroid in space. Find out more about the #DARTmission: www.nasa.gov/DART
The DART mission is a test of a technique that could be used to mitigate the threat of an asteroid on a collision course with Earth should one be discovered in the future. DART’s target is not a threat to Earth. While no known asteroid larger than 140 meters in size has a significant chance to hit Earth for the next 100 years, only about 40 percent of those asteroids have been found as of October 2021.
"</t>
  </si>
  <si>
    <t>T0fHMWFMKWo</t>
  </si>
  <si>
    <t>https://youtu.be/WDWbemWdbAI</t>
  </si>
  <si>
    <t>Behind the Spacecraft  Michelle Chen</t>
  </si>
  <si>
    <t>NASA’s #DARTmission will purposely crash a spacecraft into an asteroid to change its orbital period. But in order to hit the mark, this test mission needs to locate its target first. That's why Johns Hopkins APL engineer Michelle Chen helped develop new autonomous navigation techniques that will ensure a bullseye. Follow DART: www.nasa.gov/DART 
The DART mission is a test of a technique that could be used to mitigate the threat of an asteroid on a collision course with Earth should one be discovered in the future. DART’s target is not a threat to Earth. While no known asteroid larger than 140 meters in size has a significant chance to hit Earth for the next 100 years, only about 40 percent of those asteroids have been found as of October 2021.</t>
  </si>
  <si>
    <t>WDWbemWdbAI</t>
  </si>
  <si>
    <t>https://youtu.be/g7zdeQ-Uw8k</t>
  </si>
  <si>
    <t>Behind the Spacecraft  NASA's DART, the Double Asteroid Redirection Test</t>
  </si>
  <si>
    <t>NASA is crashing a spacecraft into an asteroid… on purpose! Our #DARTmission is a first-of-its-kind #PlanetaryDefense test to change the motion of an asteroid in space so that we could use this technique if an asteroid were ever discovered to be a threat to Earth. Follow DART: www.nasa.gov/DART
The DART mission is a test of a technique that could be used to mitigate the threat of an asteroid on a collision course with Earth should one be discovered in the future. DART’s target is not a threat to Earth. While no known asteroid larger than 140 meters in size has a significant chance to hit Earth for the next 100 years, only about 40 percent of those asteroids have been found as of October 2021.
Producer/Editor: Jessica Wilde
Producer: Scott Bednar
Videographers: James Lucas and Seth Robinson</t>
  </si>
  <si>
    <t>g7zdeQ-Uw8k</t>
  </si>
  <si>
    <t>https://youtu.be/OnrP1FTixOw</t>
  </si>
  <si>
    <t>Behind the Spacecraft  Andy Rivkin</t>
  </si>
  <si>
    <t>NASA’s #DARTmission is crashing a spacecraft into an asteroid to try to change its motion in space. But how will we know if this test worked? That’s where Johns Hopkins APL scientist Andy Rivkin comes in. He’ll be studying the precise change in the asteroid’s motion right here from Earth. In fact, Andy loves DART so much, he even wrote a song about it. Follow DART: www.nasa.gov/DART
The DART mission is a test of a technique that could be used to mitigate the threat of an asteroid on a collision course with Earth should one be discovered in the future. DART’s target is not a threat to Earth. While no known asteroid larger than 140 meters in size has a significant chance to hit Earth for the next 100 years, only about 40 percent of those asteroids have been found as of October 2021.</t>
  </si>
  <si>
    <t>OnrP1FTixOw</t>
  </si>
  <si>
    <t>2021 10 22</t>
  </si>
  <si>
    <t>https://youtu.be/dP4KkSEdvjM</t>
  </si>
  <si>
    <t>The Orion Spacecraft for Artemis I Is on the Move on This Week @NASA – October 22, 2021</t>
  </si>
  <si>
    <t>The Orion spacecraft for Artemis I is on the move, critical hardware for Artemis II is delivered, and a new telescope to study our Milky Way … a few of the stories to tell you about – This Week at NASA!
Producer/Writer: Andre Valentine
Editor: Shane Apple
Music: Universal Production Music</t>
  </si>
  <si>
    <t>dP4KkSEdvjM</t>
  </si>
  <si>
    <t>2021 10 20</t>
  </si>
  <si>
    <t>https://youtu.be/ug-FHsOYP5Y</t>
  </si>
  <si>
    <t>Building NASA's NEXT Generation Spacesuits</t>
  </si>
  <si>
    <t>NASA is partnering with industry for revolutionary NEW spacesuits for exploration like we've never seen before. 
These personalized spaceships will be more high-tech and modern, provide a better fit for a larger range of sizes, adapt to a more diverse group of astronauts and have better protection from the harsh environment of space. With enhanced mobility, our astronauts will be more nimble than ever before. 
New spacesuits will be used at the International Space Station, during Artemis lunar surface missions, at Gateway orbiting the Moon, and will prepare us for humanity's next giant leap - sending astronauts to Mars.
Video Producer: Sonnet Apple
Music: "The First Heist"/Universal Production Music</t>
  </si>
  <si>
    <t>ug-FHsOYP5Y</t>
  </si>
  <si>
    <t>https://youtu.be/NwSISlnoy9w</t>
  </si>
  <si>
    <t>What if an Asteroid Were Going to Hit Earth  We Asked a NASA Scientist</t>
  </si>
  <si>
    <t>There are no known threats to Earth, but NASA asteroid expert Dr. Kelly Fast says it’s important to find the asteroids before they find us. That’s why NASA’s Planetary Defense Coordination Office keeps its eyes on the skies. 
This November, we're launching the Double Asteroid Redirection Test, or DART. The test mission will attempt to change the course of an asteroid that is currently no threat to our planet. Get more info at nasa.gov/PlanetaryDefense.
Producer: Scott Bednar
Producer/Editor: Jessica Wilde</t>
  </si>
  <si>
    <t>NwSISlnoy9w</t>
  </si>
  <si>
    <t>2021 10 16</t>
  </si>
  <si>
    <t>https://youtu.be/n_aI22YkGVU</t>
  </si>
  <si>
    <t>The First Mission to the Trojan Asteroids on This Week @NASA – October 16, 2021</t>
  </si>
  <si>
    <t>The first mission to the Trojan asteroids, a prelaunch milestone for our Artemis I mission, and highlighting a few of our NASA centers … a few of the stories to tell you about – This Week at NASA!
Download Link: https://images.nasa.gov/details-The%20First%20Mission%20to%20the%20Trojan%20Asteroids%20on%20This%20Week%20@NASA%20%E2%80%93%20October%2016,%202021
Producer: Andre Valentine
Editor: Shane Apple
Music: Universal Production Music</t>
  </si>
  <si>
    <t>n_aI22YkGVU</t>
  </si>
  <si>
    <t>2021 10 13</t>
  </si>
  <si>
    <t>https://youtu.be/RKLGK8Co0Xo</t>
  </si>
  <si>
    <t>Did Mars Ever Look Like Earth  We Asked a NASA Scientist</t>
  </si>
  <si>
    <t>Did Mars ever look like Earth? We think it did! Ancient Mars may have been wetter and warmer — similar to our home planet. So what happened? Scientists like Dr. Becky McCauley Rench are trying to find out. Keep up with our Martian exploration efforts: www.nasa.gov/Mars</t>
  </si>
  <si>
    <t>RKLGK8Co0Xo</t>
  </si>
  <si>
    <t>2021 10 08</t>
  </si>
  <si>
    <t>https://youtu.be/3tOP7olHDmU</t>
  </si>
  <si>
    <t>A Change of Command Aboard the Space Station on This Week @NASA – October 8, 2021</t>
  </si>
  <si>
    <t>A change of command aboard the space station, getting curious for World Space Week, and expanding commercial opportunities in space … a few of the stories to tell you about – This Week at NASA!
Download Link:
https://images.nasa.gov/details-A%20Change%20of%20Command%20Aboard%20the%20Space%20Station%20on%20This%20Week%20@NASA%20–%20October%208,%202021</t>
  </si>
  <si>
    <t>3tOP7olHDmU</t>
  </si>
  <si>
    <t>https://youtu.be/35ANRDXESqw</t>
  </si>
  <si>
    <t>Launching Lucy, NASA's First Mission to the Trojan Asteroids</t>
  </si>
  <si>
    <t>On Oct. 16, 2021, our Lucy spacecraft will begin its journey to visit a record-breaking number of asteroids. The 12-year mission starts from NASA's Kennedy Space Center where it'll launch aboard a United Launch Alliance Atlas V 401 rocket. From there, Lucy will be the first spacecraft to visit a record number of destinations in independent orbits around the sun – one main belt asteroid and seven of Jupiter's Trojan Asteroids. Like the mission's namesake – the fossilized human ancestor, "Lucy," whose skeleton provided unique insight into humanity's evolution – Lucy will revolutionize our knowledge of planetary origins and the formation of the solar system.
Lucy’s first launch attempt in its 21-day launch window is scheduled for 5:34 a.m. EDT on Oct. 16. Launch coverage starts at 5 a.m. EDT on NASA TV, the NASA app, and @NASA social media. Be a part of Lucy's historic launch day by using the hashtag #LucyMission!
Producer/Editor: Lacey Young
Music: Universal Production Music</t>
  </si>
  <si>
    <t>35ANRDXESqw</t>
  </si>
  <si>
    <t>2021 10 07</t>
  </si>
  <si>
    <t>https://youtu.be/wFsQvxSzsA8</t>
  </si>
  <si>
    <t>NASA Celebrates Hispanic Heritage  El Ayer y El Mañana</t>
  </si>
  <si>
    <t>Join host and award-winning journalist Soledad O’Brien for NASA’s “Hispanic Heritage: El Ayer y El Mañana” (The Past and the Future) event, a conversation about the upcoming Smithsonian National Museum of the American Latino, NASA's influence on Hispanic-American culture, and the pioneering spirit of Latinos.
Participants include Dr. Ellen R. Stofan, under secretary for Science and Research at the Smithsonian Institution, and Dr. Marla Pérez-Davis, director of NASA’s Glenn Research Center. NASA astronauts Frank Rubio and Joe Acaba join other voices from across the agency, and Administrator Bill Nelson delivers closing remarks.
00:00-00:15 Show open
00:15-2:15 Host Soledad O'Brien's opening remarks
2:15-12:13 Conversation with Smithsonian's Dr. Ellen R. Stofan about the National Museum of the American Latino
12:13-17:27 Remarks from Dr. Marla Pérez-Davis, Center Director at NASA Glenn Research Center
17:27-22:50 Remarks from Debbie Martínez, Marlyn Andino, Miguel Alvarez, Gaudy Bezos-O'Connor, and George Altamirano at NASA Langley Research Center
22:50-27:03 Remarks from Sandra Cauffman, Earth Science Deputy Director
27:03-30:47 Remarks from Gisela Muñoz, Crew Systems Astronaut Instructor at NASA Johnson Space Center
30:47-34:22 Continued conversation about the National Museum of the American Latino
34:22-42:24 Conversation with NASA astronauts Dr. Frank Rubio and Joe Acaba
42:24-46:09 Continued conversation about the National Museum of the American Latino
46:09-50:35 Workforce remarks from Liliana Villarreal at NASA Kennedy Space Center, Elio Morillo at NASA Jet Propulsion Laboratory, and Cesar Acosta at NASA Ames Research Center
50:35-52:33 Continued conversation about the National Museum of the American Latino
52:33-54:29 Host Soledad O'Brien's closing remarks
54:25-55:44 Closing remarks from NASA's Hispanic Outreach and Leadership Alliance
55:44-57:32 Closing remarks from NASA Administrator Bill Nelson
Producers: Lacey Young, David Anderson
Editor: David Anderson
Music: Universal Production Music</t>
  </si>
  <si>
    <t>wFsQvxSzsA8</t>
  </si>
  <si>
    <t>https://youtu.be/Wlxq4S-4CCY</t>
  </si>
  <si>
    <t>Vice President Kamala Harris and an Astronaut  What A Day!   Get Curious with Vice President Harris</t>
  </si>
  <si>
    <t>In honor of World Space Week, we’re visiting the Naval Observatory in Washington to talk to none other than Vice President Kamala Harris about the National Space Council. We also hear from NASA astronaut Shane Kimbrough, who joins us from the International Space Station - that’s right, from space! Plus, we’re building a DIY telescope that you can make yourself at home. 
To learn more about space-related educational activities, head over to nasa.gov/stem.</t>
  </si>
  <si>
    <t>Wlxq4S-4CCY</t>
  </si>
  <si>
    <t>2021 10 06</t>
  </si>
  <si>
    <t>https://youtu.be/fTVN19h4nMg</t>
  </si>
  <si>
    <t>What are Lagrange Points  We Asked a NASA Scientist</t>
  </si>
  <si>
    <t>Lagrange points are places around a planet where the pull of its gravity, the Sun's gravity and the motion of the orbit are balanced. Things at these points take very little energy to stay in place. NASA’s Lucy mission will visit Lagrange points where "Trojan asteroids" have been trapped for billions of years, holding clues to the formation of our solar system. NASA’s Dr. Adriana Ocampo has more. 
Learn more about Lagrange Points: https://go.nasa.gov/3jzTNti
All about the Lucy mission: nasa.gov/lucy 
All about the James Webb Space Telescope: https://webb.nasa.gov/
Credits: NASA
Producer: Scott Bednar
Producer/Editor: Jessica Wilde</t>
  </si>
  <si>
    <t>fTVN19h4nMg</t>
  </si>
  <si>
    <t>2021 10 01</t>
  </si>
  <si>
    <t>https://youtu.be/y_pmDf8jKns</t>
  </si>
  <si>
    <t>NASA Science Live  Landsat - A Legacy of Seeing Earth from Space</t>
  </si>
  <si>
    <t>Earth is changing, and these changes can be seen from space. A series of satellites built by NASA and operated by the U.S. Geological Survey (USGS) have been monitoring and tracking changes across our planet for almost 50 years. Adding to this legacy circling the globe every 99 minutes and collecting images of the Earth landscapes and coastal regions, Landsat 9 will continue to answer the many questions we have about Earth’s climate change, population growth and even your very own food supply. Join experts on #NASAScience Live Thursday, Sept. 30 at 3:00 p.m. ET to learn more. Submit your questions by using #Landsat
Meet the experts: 
Your host for this episode is Jacob Richmond, the Earth Science Communications Manager at NASA’s Goddard Space Flight Center. Jacob joined NASA after retiring from the Air Force after 20 years of service. In his spare time he loves to hike and travel with his family. 
Dr. Liz Hoy is a Senior Scientist at NASA Goddard and is our fire expert for this episode. Dr. Hoy started her graduate studies in remote sensing science where she went to Alaska, hiked around and took tree and soil measurements to compare them with NASA satellite observations. She really enjoys working with a group of scientists all focused on the same goal – to better study the Earth system. In her spare time, Dr. Hoy enjoys outdoor activities – hiking, biking, boating, swimming, and taking her dog for a walk.
Ms. Nikki Tulley is a Research Assistant with NASA’s Wester Water Applications Office (WWAO). Her time at NASA began when she was selected for a summer internship with the WWAO Navajo Nation Drought Severity Evaluation Tool (DSET) project in 2020. In this role, Ms. Tulley was able to create important connections to the community where DSET would be used through developing language connections through the Navajo Language. Her favorite part of working with NASA is that she gets to break down stereotypes and let people know how accessible data is to help their communities. In her spare time and every chance she gets, Ms. Tulley travels home back to the Navajo Nation.</t>
  </si>
  <si>
    <t>y_pmDf8jKns</t>
  </si>
  <si>
    <t>https://youtu.be/CFY_hDUWm80</t>
  </si>
  <si>
    <t>A New Earth-Observing Mission Launches to Space on This Week @NASA – October 1, 2021</t>
  </si>
  <si>
    <t>A new Earth-observing mission launches to space, a move to make room aboard the space station, and some valuable space station science returns to Earth … a few of the stories to tell you about – This Week at NASA!
Download Link: https://images.nasa.gov/details-A%20New%20Earth-Observing%20Mission%20Launches%20to%20Space%20on%20This%20Week%20@NASA%20%E2%80%93%20October%201,%202021
Video Credits:
Producer/Writer: Andre Valentine
Editor: Amy Leniart</t>
  </si>
  <si>
    <t>CFY_hDUWm80</t>
  </si>
  <si>
    <t>2021 09 30</t>
  </si>
  <si>
    <t>https://youtu.be/9UFpXW018JQ</t>
  </si>
  <si>
    <t>What are the Trojan Asteroids  We Asked a NASA Scientist</t>
  </si>
  <si>
    <t>What are the Trojan asteroids? These mysterious space rocks have been gravitationally trapped in Jupiter’s orbit around the Sun for billions of years and hold clues to the formation of our solar system. NASA’s Lucy mission will be the first spacecraft to study these ancient relics up close. Scientist Audrey Martin at Northern Arizona University has the details.
Learn more about Lucy's mission to the Trojans, launching Oct. 16: 
Producers: Jessica Wilde &amp; Scot Bednar
Editor: Matthew Schara</t>
  </si>
  <si>
    <t>9UFpXW018JQ</t>
  </si>
  <si>
    <t>2021 09 24</t>
  </si>
  <si>
    <t>https://youtu.be/IZtP1vGafsM</t>
  </si>
  <si>
    <t>Positioning the Agency for Future Success on This Week @NASA – September 24, 2021</t>
  </si>
  <si>
    <t>Positioning the agency for future success, a lunar landing site selected for a robotic explorer, and highlighting diversity on the Moon … a few of the stories to tell you about – This Week at NASA!
Download Link: https://images.nasa.gov/details-Positioning%20the%20Agency%20for%20Future%20Success%20on%20This%20Week%20@NASA%20%E2%80%93%20September%2024,%202021
Producer: Andre Valentine
Editor: Sonnet Apple
Music: Universal Production Music</t>
  </si>
  <si>
    <t>IZtP1vGafsM</t>
  </si>
  <si>
    <t>2021 09 22</t>
  </si>
  <si>
    <t>https://youtu.be/n1viNk1eNnM</t>
  </si>
  <si>
    <t>Is There Oxygen on Mars  We Asked a NASA Technologist</t>
  </si>
  <si>
    <t>Is there oxygen on Mars? Technically yes, but it’s nothing like the amount we have on Earth. So breathing is out of the question. However, there IS a lot of carbon dioxide (CO2) on Mars. Now a new technology — MOXIE — has proven that we can convert Martian CO2 into oxygen for use by future explorers. NASA engineer Asad Aboobaker tells us more. Learn more about MOXIE: https://go.nasa.gov/37ujwOl
Producers: Jessica Wilde &amp; Scott Bednar
Editor: Matthew Schara</t>
  </si>
  <si>
    <t>n1viNk1eNnM</t>
  </si>
  <si>
    <t>2021 09 21</t>
  </si>
  <si>
    <t>https://youtu.be/KVnYKu4_2TQ</t>
  </si>
  <si>
    <t>The Future of NASA</t>
  </si>
  <si>
    <t>NASA’s future will continue to be a story of human exploration, science, engineering and technology. Working together, we define the future, achieve the impossible and discover the unknown.
With our Artemis missions, NASA will land the first woman and first person of color on the Moon, using innovative technologies to explore more of the lunar surface than ever before. We will collaborate with commercial and international partners and establish the first long-term presence on the Moon. Then, we will use what we learn on and around the Moon to take the next giant leap: sending the first astronauts to Mars.
We will continue to nurture the development of a vibrant low-Earth orbit economy that builds on the work done to date by the International Space Station. Commercial companies will play an increasing role in the space industry: launching rockets and satellites, transporting cargo and crew, building infrastructure in low-Earth orbit.
NASA research and missions are essential to the future of Earth. The unique vantage point of space allows us to better understand Earth’s systems and use that knowledge to live sustainably on our home planet, protect life around the world, and adapt to natural and human-caused changes. Our data and observations will help protect our home planet.
Our James Webb Space Telescope will peer farther into the Universe than ever before. Our scientists will work to increase an understanding of our planet, our solar system and our place in the universe. We will continue to try to answer the question, “Are we alone?”
Download Link: https://images.nasa.gov/details-The%20Future%20of%20NASA
Video Credits:
Producer/Editor: Amy Leniart</t>
  </si>
  <si>
    <t>KVnYKu4_2TQ</t>
  </si>
  <si>
    <t>2021 09 17</t>
  </si>
  <si>
    <t>https://youtu.be/8cbPBle1ME0</t>
  </si>
  <si>
    <t>Preparing the Space Station for a Future Power Boost on This Week @NASA – September 17, 2021</t>
  </si>
  <si>
    <t>Preparing the space station for a future power boost, a mission extension for a couple of station crew members, and a spaceflight first for one of our commercial partners … a few of the stories to tell you about – This Week at NASA!
Download Link: https://images.nasa.gov/details-Preparing%20the%20Space%20Station%20for%20a%20Future%20Power%20Boost%20on%20This%20Week%20@NASA%20%E2%80%93%20September%2017,%202021
Producer: Andre Valentine
Editor: Lacey Young
Music: Universal Production Music</t>
  </si>
  <si>
    <t>8cbPBle1ME0</t>
  </si>
  <si>
    <t>2021 09 15</t>
  </si>
  <si>
    <t>https://youtu.be/DyA5PJCrxoM</t>
  </si>
  <si>
    <t>Does NASA Know About All the Asteroids  We Asked a NASA Scientist</t>
  </si>
  <si>
    <t>Does NASA know about ALL the asteroids? We know about the vast majority of larger ones and none of those pose a threat, but space is big, so we're always on the lookout. NASA asteroid expert Dr. Amy Mainzer explains. Learn more: nasa.gov/planetarydefense
Producer: Scott Bednar
Producer/Editor: Jessica Wilde</t>
  </si>
  <si>
    <t>DyA5PJCrxoM</t>
  </si>
  <si>
    <t>2021 09 10</t>
  </si>
  <si>
    <t>https://youtu.be/2MQuQB5w07w</t>
  </si>
  <si>
    <t>An Historic Milestone for Perseverance on This Week @NASA – September 10, 2021</t>
  </si>
  <si>
    <t>An historic milestone for Perseverance, a busy week of activity at the space station, and a target launch date for the Webb Space Telescope … a few of the stories to tell you about – This Week at NASA!
Download Link:
https://images.nasa.gov/details-An%20Historic%20Milestone%20for%20Perseverance%20on%20This%20Week%20@NASA%20–%20September%2010,%202021</t>
  </si>
  <si>
    <t>2MQuQB5w07w</t>
  </si>
  <si>
    <t>https://youtu.be/EQEPrJjk1pM</t>
  </si>
  <si>
    <t>Priming NASA's Artemis I for Launch to the Moon</t>
  </si>
  <si>
    <t>Every element of NASA’s Orion spacecraft, Space Launch System rocket, and ground systems is now at Kennedy Space Center -- the final stop on planet Earth before the uncrewed Artemis I mission around the Moon. These critical components are being primed for flight through final assembly, stacking, and fueling operations. The first in a series of increasingly complex missions, the Artemis I flight test will provide a foundation for human deep space exploration, and demonstrate our commitment and capability to extend human existence to the Moon and beyond.
For more information, check out: https://www.nasa.gov/artemis/
Producer: Barb Zelon, Aly Lee, and Lisa Allen
Writer &amp; Director: Paul Wizikowski
Editor: Phil Sexton
Music by: Eric Land</t>
  </si>
  <si>
    <t>EQEPrJjk1pM</t>
  </si>
  <si>
    <t>2021 09 08</t>
  </si>
  <si>
    <t>https://youtu.be/iWrTGAReUdE</t>
  </si>
  <si>
    <t>Do Aliens Exist  We Asked a NASA Scientist</t>
  </si>
  <si>
    <t>Do aliens exist? Extraterrestrial life has never been discovered. However, that doesn’t mean it doesn’t exist. And at NASA, astrobiologists like Dr. Lindsay Hays are trying to answer one of the most profound questions ever: Is there life beyond Earth? Explore more: https://astrobiology.nasa.gov/
Producer: Scott Bednar
Producer/Editor: Jessica Wilde</t>
  </si>
  <si>
    <t>iWrTGAReUdE</t>
  </si>
  <si>
    <t>https://youtu.be/TgVorJfM8BM</t>
  </si>
  <si>
    <t>NASA Psyche Mission  Charting a Metallic World</t>
  </si>
  <si>
    <t>In this artist’s rendition, we explore a metallic world named Psyche, an asteroid that offers a unique window into the building blocks of planet formation. The NASA Psyche mission launches in 2022 and will arrive at the asteroid Psyche, which orbits the Sun between Mars and Jupiter, in 2026. The spacecraft, also named Psyche, will spend 21 months orbiting the asteroid, mapping it and studying its properties. The mission is led by Principal Investigator Lindy Elkins-Tanton of Arizona State University. NASA’s Jet Propulsion Laboratory is responsible for the mission’s overall management, system engineering, integration and test, and mission operations. Maxar Technologies is providing a high-power solar electric propulsion spacecraft chassis.</t>
  </si>
  <si>
    <t>TgVorJfM8BM</t>
  </si>
  <si>
    <t>2021 09 04</t>
  </si>
  <si>
    <t>https://youtu.be/yFPWjQca9bY</t>
  </si>
  <si>
    <t>A Long-Distance Call to Space on This Week @NASA – September 3, 2021</t>
  </si>
  <si>
    <t>A long-distance call to space, space station cameras capture Hurricane Ida, and another successful cargo delivery to the station … a few of the stories to tell you about – This Week at NASA!
Download Link: https://images.nasa.gov/details-A%20Long-Distance%20Call%20to%20Space%20on%20This%20Week%20@NASA%20–%20September%203,%202021
Producer: Andre Valentine
Editor: Lacey Young
Music: Universal Production Music</t>
  </si>
  <si>
    <t>yFPWjQca9bY</t>
  </si>
  <si>
    <t>2021 09 01</t>
  </si>
  <si>
    <t>https://youtu.be/yegahZGsixU</t>
  </si>
  <si>
    <t>Is there Weather on Mars  We Asked a NASA Technologist</t>
  </si>
  <si>
    <t>Is there weather on Mars? Short answer: yes! And just like on Earth it varies wildly. Now, thanks to the Mars Environmental Dynamics Analyzer, or MEDA instrument on NASA’s Perseverance Mars Rover, we're learning even more about Martian meteorology with daily weather reports. Over to José Antonio Rodríguez-Manfredi at the Spanish Astrobiology Center for more. Find out more about MEDA: https://go.nasa.gov/3lNuKWK
Producer: Scott Bednar
Producer/Editor: Jessica Wilde</t>
  </si>
  <si>
    <t>yegahZGsixU</t>
  </si>
  <si>
    <t>2021 08 31</t>
  </si>
  <si>
    <t>https://youtu.be/b6r5m-IeAwQ</t>
  </si>
  <si>
    <t>Get in Astronaut, We're Going Exploring</t>
  </si>
  <si>
    <t>NASA will send the first woman and the first person of color to the lunar surface and establish a long-term presence at the Moon as part of Artemis. A lunar terrain vehicle (LTV) will enable Artemis astronauts to expand their exploration zone at the Moon’s South Pole. Built specifically for crew to use while wearing their spacesuits, astronauts using the LTV will explore farther and conduct more science experiments when on missions over 200,000 miles away from Earth. NASA is asking industry for their feedback on LTV concepts now through Oct. 1, 2021.
For more information about NASA’s Artemis lunar exploration program, visit: https://www.nasa.gov/artemisprogram 
Video Credits: 
Producer/Editor: Amy Leniart
Animations: Mark Hailey</t>
  </si>
  <si>
    <t>b6r5m-IeAwQ</t>
  </si>
  <si>
    <t>2021 08 28</t>
  </si>
  <si>
    <t>https://youtu.be/AG1y2Zdb8_c</t>
  </si>
  <si>
    <t>Highlighting the value of NASA on This Week @NASA – August 28, 2021</t>
  </si>
  <si>
    <t>Highlighting the value of NASA, the next resupply mission to the space station, and a milestone for the James Webb Space Telescope … a few of the stories to tell you about – This Week at NASA!</t>
  </si>
  <si>
    <t>AG1y2Zdb8_c</t>
  </si>
  <si>
    <t>2021 08 27</t>
  </si>
  <si>
    <t>https://youtu.be/ixwuJfZliiY</t>
  </si>
  <si>
    <t>International Space Station Crew Previews SpaceX CRS-23 Science</t>
  </si>
  <si>
    <t>The astronauts aboard the International Space Station are ready for a big delivery of science experiments and supplies! From seeds to a robotic arm, NASA astronauts Megan McArthur and Shane Kimbrough discuss the investigations they are excited to welcome aboard station during SpaceX’s 23nd commercial resupply mission.
The SpaceX CRS-23 mission is scheduled to arrive at the orbiting laboratory on August 29.
Learn more about the science on this mission: https://go.nasa.gov/3lZ2Qa4</t>
  </si>
  <si>
    <t>ixwuJfZliiY</t>
  </si>
  <si>
    <t>2021 08 25</t>
  </si>
  <si>
    <t>https://youtu.be/cBG1KYa95JY</t>
  </si>
  <si>
    <t>Will an Asteroid Ever Hit Earth  We Asked a NASA Scientist</t>
  </si>
  <si>
    <t>Will an asteroid ever hit Earth? There are no known impact threats, but tiny meteors burn up in Earth’s atmosphere all the time! NASA asteroid expert Dr. Kelly Fast tells us more. Learn more about NASA’s planetary defense efforts: nasa.gov/planetarydefense</t>
  </si>
  <si>
    <t>cBG1KYa95JY</t>
  </si>
  <si>
    <t>2021 08 24</t>
  </si>
  <si>
    <t>https://youtu.be/bmC-FwibsZg</t>
  </si>
  <si>
    <t xml:space="preserve">Why the Moon </t>
  </si>
  <si>
    <t>The Artemis missions will build a community on the Moon, driving a new lunar economy and inspiring a new generation. Narrator Drew Barrymore and NASA team members explain why returning to the Moon is the natural next step in human exploration, and how the lessons learned from Artemis will pave the way to Mars and beyond. As NASA prepares to launch the Orion spacecraft and Space Launch System rocket on the uncrewed Artemis I mission around the Moon, we’ve already begun to take the next step.
Video Credits:
Writer: Paul Wizikowski 
Directors: Paul Wizikowski and Ryan Cristelli
Editor: Phil Sexton
Producers: Barbara Zelon and Aly Lee</t>
  </si>
  <si>
    <t>bmC-FwibsZg</t>
  </si>
  <si>
    <t>2021 08 20</t>
  </si>
  <si>
    <t>https://youtu.be/uxn3LruBDIM</t>
  </si>
  <si>
    <t>Highlighting an Upcoming Earth-Observing Mission on This Week @NASA – August 20, 2021</t>
  </si>
  <si>
    <t>Highlighting an upcoming Earth-observing mission, the science on the next resupply mission to the space station, and testing a new material to help future spacecraft land on distant worlds … a few of the stories to tell you about – This Week at NASA!
Download Link: https://images.nasa.gov/details-Highlighting%20an%20Upcoming%20Earth-Observing%20Mission%20on%20This%20Week%20@NASA%20–%20August%2020,%202021
Producer: Andre Valentine
Editor: Lacey Young
Music: Universal Production Music</t>
  </si>
  <si>
    <t>uxn3LruBDIM</t>
  </si>
  <si>
    <t>2021 08 19</t>
  </si>
  <si>
    <t>https://youtu.be/2-3MTPMBLDw</t>
  </si>
  <si>
    <t>Celebrating Gene Roddenberry  Star Trek's Bridge and NASA</t>
  </si>
  <si>
    <t>Star Trek has served as inspiration to generations of scientists, engineers and sci-fi fans around the world. Join Rod Roddenberry, Gene Roddenberry’s son and Roddenberry Entertainment CEO, George Takei, actor and activist, Administrator Bill Nelson and some of NASA’s best and brightest as they honor Star Trek creator Gene Roddenberry’s 100th birthday with a conversation about diversity and inspiration. NASA panelists include: Hortense Diggs, Director of the Office of Communication and Public Engagement at NASA’s Kennedy Space Center,  Tracy Drain, Europa Clipper Flight Systems Engineer, astronaut Jonny Kim, and Swati Mohan, Mars 2020 Guidance and Controls Operations Lead.
00:00-2:55 Administrator Nelson’s opening remarks
2:55-5:23 Rod Roddenberry’s opening remarks 
5:23-6:30 Rod Roddenberry introduces panelists
6:30-10:25 George Takei recalls his experience with Star Trek
10:25-20:29 Panelists discuss what inspires them
20:29-29:03 Q/A from George Takei
29:03-41:21 Panelists discuss how they got to where they are today
41:21-43:17 Rod Roddenberry’s closing remarks
Producer/Editor: Lacey Young</t>
  </si>
  <si>
    <t>2-3MTPMBLDw</t>
  </si>
  <si>
    <t>2021 08 16</t>
  </si>
  <si>
    <t>https://youtu.be/KtjhHoSigVA</t>
  </si>
  <si>
    <t>Science Launching on SpaceX's 23rd Cargo Resupply Mission to the Space Station</t>
  </si>
  <si>
    <t>The 23rd SpaceX cargo resupply mission carrying scientific research and technology demonstrations launches to the International Space Station from NASA’s Kennedy Space Center in Florida in late August. Experiments aboard include an investigation of protecting bone health with vegetal byproducts, testing a way to monitor crew eye health, demonstrating improved dexterity of robots, exposing materials to the harsh environment of space, mitigating stress in plants, and more. 
Learn more about the science launching to the space station: https://go.nasa.gov/3lZ2Qa4</t>
  </si>
  <si>
    <t>KtjhHoSigVA</t>
  </si>
  <si>
    <t>2021 08 13</t>
  </si>
  <si>
    <t>https://youtu.be/DU5cGnkHjPU</t>
  </si>
  <si>
    <t>A Commercial Resupply Mission to the Space Station on This Week @NASA – August 13, 2021</t>
  </si>
  <si>
    <t>A Commercial Resupply Mission to the Space Station, honoring a spaceflight icon, and an out of this world experience, right here on Earth … a few of the stories to tell you about – This Week at NASA!
Download Link: 
https://images.nasa.gov/details-A%20Commercial%20Resupply%20Mission%20to%20the%20Space%20Station%20on%20This%20Week%20@NASA%20–%20August%2013,%202021</t>
  </si>
  <si>
    <t>DU5cGnkHjPU</t>
  </si>
  <si>
    <t>2021 08 12</t>
  </si>
  <si>
    <t>https://youtu.be/_R3z_01FTG8</t>
  </si>
  <si>
    <t>Dedicating The Neil A. Armstrong Facility for an American Hero</t>
  </si>
  <si>
    <t>NASA’s Glenn Research Center held a dedication ceremony for its Neil A. Armstrong Test Facility in Sandusky, Ohio, on Wednesday, Aug. 11. Formerly called Plum Brook Station, the facility is home to some of the world’s most powerful and capable space simulation chambers that support NASA’s Artemis program and commercial spaceflight testing.
Located on 6,400 acres, the facility includes the Space Environments Complex, which houses innovative simulation technologies like vacuum and acoustic chambers and a spacecraft shaker system. Also on-site is the NASA Electric Aircraft Testbed, where engineers are ushering in the future of sustainable flight, and the In-Space Propulsion Facility, which performs complex testing of full-scale in-space vehicles and rocket engines.
Neil Armstrong, the first man on the Moon, began his NASA career at Glenn Research Center (called the Lewis Flight Propulsion Laboratory at the time) as a test pilot in 1955. He flew aircraft like the F-82 Twin Mustang and C-47 Skytrain before eventually transitioning to the agency’s High Speed Flight Station in California and later becoming an astronaut.
Download Link:
https://images.nasa.gov/details-Dedicating%20the%20Neil%20A.%20Armstrong%20Test%20Facility%20for%20An%20American%20Hero
Video Credits:
Producer/Editor: Amy Leniart</t>
  </si>
  <si>
    <t>_R3z_01FTG8</t>
  </si>
  <si>
    <t>2021 08 06</t>
  </si>
  <si>
    <t>https://youtu.be/ZlPpHILyEl4</t>
  </si>
  <si>
    <t>%23Tokyo2020  Highlights from the first-ever space Olympics!</t>
  </si>
  <si>
    <t>To celebrate the Summer Games in Tokyo, astronauts and cosmonauts held the very first-ever space games aboard the International Space Station. Team Soyuz took on Team Dragon in a friendly competition of synchronized floating, no-hand ball, and more!
The station’s Expedition 65 crew split up into teams based on which spacecraft they took to the orbiting laboratory. NASA astronaut Mark Vande Hei and cosmonauts Oleg Novitskiy and Pyotr Dubrov of the Russian space agency Roscosmos were on Team Soyuz. NASA astronauts Shane Kimbrough and Megan McArthur, JAXA (Japan Aerospace Exploration Agency) astronaut Akihiko Hoshide, and ESA (European Space Agency) astronaut Thomas Pesquet were on Team Dragon for the SpaceX Crew Dragon spacecraft. Both spacecraft arrived in April to deliver the seven-member crew for a six-month science mission in microgravity. 
Involving the U.S., Russia, Canada, Japan, and the participating countries of ESA, people have been living and working aboard the International Space Station for more than 20 years in one of the most ambitious international collaborations ever attempted. People from 19 countries have visited the unique microgravity laboratory, which has hosted more than 3,000 research investigations from scientists, researchers, and students from more than 108 countries and areas.
Learn more at https://www.nasa.gov/station
Follow Team ISS on Twitter @Space_Station and Instagram and Facebook @ISS.
Download Link: https://images.nasa.gov/details-Tokyo2020%20Highlights%20from%20the%20first%20ever%20space%20Olympics
Video Producer: Sonnet Apple
Music: Universal Production Music
#ISS #Olympics</t>
  </si>
  <si>
    <t>ZlPpHILyEl4</t>
  </si>
  <si>
    <t>https://youtu.be/7r_LULyrhbM</t>
  </si>
  <si>
    <t>Firing Up the Engine for our Artemis Moon Rocket on This Week @NASA – August 6, 2021</t>
  </si>
  <si>
    <t>The engine for our Artemis Moon rocket is all fired up, final launch preparations for an historic mission, and how you can hear back billions of years into the past … a few of the stories to tell you about – This Week at NASA!
Download Link: https://images.nasa.gov/details-Firing%20Up%20the%20Engine%20for%20our%20Artemis%20Moon%20Rocket%20on%20This%20Week%20@NASA%20–%20August%206,%202021</t>
  </si>
  <si>
    <t>7r_LULyrhbM</t>
  </si>
  <si>
    <t>2021 07 30</t>
  </si>
  <si>
    <t>https://youtu.be/HpeEIyfQXCc</t>
  </si>
  <si>
    <t>The Next Commercial Crew Test Flight to the Space Station on This Week @NASA – July 30, 2021</t>
  </si>
  <si>
    <t>The next commercial crew test flight to the space station, a new space station module, and another astronomical discovery by Hubble … a few of the stories to tell you about – This Week at NASA!
 https://images.nasa.gov/details-The%20Next%20Commercial%20Crew%20Test%20Flight%20to%20the%20Space%20Station%20on%20This%20Week%20@NASA%20–%20July%2030,%202021
Producer Credit: Andre Valentine
Editor: Sonnet Apple
Music: Universal Production Music/"Another Way of Winning"
Contents:
0:00 Introduction
0:13 Next Commercial Crew Mission to Space Station
0:43 Arrival of New Space Station Module
1:25 First Evidence of Water Vapor at Jupiter’s Moon Ganymede
1:52  Tropical Rainforest Vulnerability Index
2:22 NASA Announces Winners of Future of Flight Challenge
2:58 50th Anniversary of Apollo 15</t>
  </si>
  <si>
    <t>HpeEIyfQXCc</t>
  </si>
  <si>
    <t>2021 07 26</t>
  </si>
  <si>
    <t>https://youtu.be/1Mqsd0ru_pc</t>
  </si>
  <si>
    <t xml:space="preserve">Apollo 15   Never Been on a Ride like this Before </t>
  </si>
  <si>
    <t>Our first wheels on the Moon. On the Apollo 15 mission, the Lunar Roving Vehicle allowed the astronauts to cover a much greater distance on the Moon than the previous three flights had accomplished. This year marks the 50th anniversary of the Apollo 15 mission. On July 26, 1971, David R. Scott (Commander), James B. Irwin (Lunar Module Pilot) and Alfred M. Worden (Command Module Pilot) launched from Kennedy Space Center’s Launch Complex 39A.
Apollo 15 set several new records for crewed spaceflight: heaviest payload in a lunar orbit of approximately 107,000 pounds, maximum radial distance traveled on the lunar surface away from the spacecraft of about 17.5 miles, most lunar surface moonwalks (three) and longest total of duration for lunar surface moonwalk (18 hours, 37 minutes), longest time in lunar orbit (about 145 hours), longest crewed lunar mission (295 hours), longest Apollo mission, the first satellite placed in lunar orbit by a crewed spacecraft, and first deep space and operational spacewalk.
For more information:
https://www.nasa.gov/mission_pages/apollo/missions/apollo15.html
Executive Producer: Sami Aziz
Video Editor: Chris Chamberland 
Music courtesy of Gothic Storm Music</t>
  </si>
  <si>
    <t>1Mqsd0ru_pc</t>
  </si>
  <si>
    <t>2021 07 25</t>
  </si>
  <si>
    <t>https://youtu.be/R-jc-dTdK5g</t>
  </si>
  <si>
    <t>Science Launching on Northrop Grumman CRS-16 Mission to the Space Station</t>
  </si>
  <si>
    <t>Experiments that demonstrate 3D printing with dust, use engineered tissue to study muscle loss, and analyze growth of slime mold, along with other scientific studies and supplies, are headed to the International Space Station on Northrop Grumman’s 16th commercial resupply services mission (NG CRS-16). Launch of the Cygnus spacecraft is targeted for August 10 from NASA’s Wallops Flight Facility in Virginia. The experiments carried by this spacecraft add to a long list of studies conducted during more than 20 years of continuous human habitation of the orbiting lab, helping researchers explore farther into space and benefiting humans back on Earth. 
Learn more: https://www.nasa.gov/iss-science</t>
  </si>
  <si>
    <t>R-jc-dTdK5g</t>
  </si>
  <si>
    <t>2021 07 23</t>
  </si>
  <si>
    <t>https://youtu.be/oZXkXsRtj24</t>
  </si>
  <si>
    <t>Relocating a Commercial Spacecraft at the Space Station on This Week @NASA – July 23, 2021</t>
  </si>
  <si>
    <t>Relocating a commercial spacecraft at the space station, while another one gets ready to launch to the station, and Perseverance prepares for a mission milestone on Mars … a few of the stories to tell you about – This Week at NASA!
Download Link: https://images.nasa.gov/details-Relocating%20a%20Commercial%20Spacecraft%20at%20the%20Space%20Station%20on%20This%20Week%20@NASA%20%E2%80%93%20July%2023,%202021</t>
  </si>
  <si>
    <t>oZXkXsRtj24</t>
  </si>
  <si>
    <t>2021 07 21</t>
  </si>
  <si>
    <t>https://youtu.be/HskXf74S5xg</t>
  </si>
  <si>
    <t>The Shuttle's Last Flight   An End. A New Beginning.</t>
  </si>
  <si>
    <t>Ten years ago, the last shuttle mission (STS-135) dropped out of the predawn darkness and landed at Kennedy's Shuttle Landing Facility Runway 15 for the final time. 
Over the course of the more than eight days, Commander Chris Ferguson, Pilot Doug Hurley, and Mission Specialists Sandy Magnus and Rex Walheim had spent much of their time delivering a stockpile of supplies and parts to the space station.  
The end of their mission aboard Atlantis may have been the end of the shuttle era, but it was the beginning a new stage of exploration. 
For more information on STS-135, visit: https://www.nasa.gov/mission_pages/shuttle/shuttlemissions/sts135
Video Producer: Sonnet Apple
Music: Universal Production Music
Download link: https://images.nasa.gov/details-The%20Shuttles%20Last%20Flight.%20An%20end.%20A%20new%20beginning
▬ Contents of this video  ▬▬▬▬▬▬▬▬▬▬
0:00 - Intro
0:24 Preparing to launch
2:48 Launch delay
3:34 Launch
4:01 Arrive at the International Space Station
5:51 Returning Home
7:04 Landing
8:51 New Beginnings</t>
  </si>
  <si>
    <t>HskXf74S5xg</t>
  </si>
  <si>
    <t>2021 07 18</t>
  </si>
  <si>
    <t>https://youtu.be/8QlPNKGO-m4</t>
  </si>
  <si>
    <t>NASA Honors the 100th Anniversary of John Glenn's Birth</t>
  </si>
  <si>
    <t>NASA honors the 100th anniversary of the birth of space pioneer John Glenn. Glenn was one of NASA's original seven Mercury astronauts, served four terms as a U.S. senator from Ohio, and flew on the space shuttle Discovery at the age of 77.
His flight on Friendship 7 on Feb. 20, 1962, showed the world that America was a serious contender in the space race with the Soviet Union. It also made Glenn an instant hero as the first American to orbit Earth.
After retiring from NASA in 1965,  Glenn took an active part in Ohio politics and environmental protection efforts. He won his Senate seat in 1974, carrying all 88 counties of Ohio. He was re-elected in 1980 with the largest margin in Ohio history.
Ohio returned him to the Senate for a third term in 1986, again with a substantial majority. In 1992 he was elected again, becoming the first popularly elected senator from his state to win four consecutive terms.
In 1998, Glenn flew on the STS-95 Discovery shuttle flight, a 9-day mission during which the crew supported a variety of research payloads including deployment of the Spartan solar-observing spacecraft, the Hubble Space Telescope Orbital Systems Test Platform, and Glenn's investigations on space flight and the aging process.</t>
  </si>
  <si>
    <t>8QlPNKGO-m4</t>
  </si>
  <si>
    <t>2021 07 16</t>
  </si>
  <si>
    <t>https://youtu.be/i2Socj4Nvhw</t>
  </si>
  <si>
    <t>Installing a Critical System for Our Orion Spacecraft on This Week @NASA – July 16, 2021</t>
  </si>
  <si>
    <t>Installing a critical system for our Orion spacecraft, the latest engine test for our Artemis Moon missions, and working to give spacecraft propulsion a boost … a few of the stories to tell you about – This Week at NASA!
https://images.nasa.gov/details-Installing%20a%20Critical%20System%20for%20Our%20Orion%20Spacecraft%20on%20This%20Week%20@NASA%20%E2%80%93%20July%2016,%202021
Producer: Andre Valentine
Editor: Lacey Young
Music: Universal Production Music</t>
  </si>
  <si>
    <t>i2Socj4Nvhw</t>
  </si>
  <si>
    <t>2021 07 15</t>
  </si>
  <si>
    <t>https://youtu.be/DR4JZ3yTpo0</t>
  </si>
  <si>
    <t>Mercury Rising   Discussion with NASA Administrator Bill Nelson joined author Jeff Shesol</t>
  </si>
  <si>
    <t>NASA Administrator Bill Nelson joined author Jeff Shesol for a discussion on the life of the late U.S. senator and former astronaut John Glenn during a virtual panel that aired on NASA Television’s Public Channel and the agency’s website. Glenn Center Director Dr. Marla Pérez-Davis and acting Chief Historian Dr. Brian Odom gave opening remarks at the event.
Download link:https://images.nasa.gov/details-Mercury%20Rising%20Discussion%20with%20NASA%20Administrator%20Bill%20Nelson%20joined%20author%20Jeff%20Shesol</t>
  </si>
  <si>
    <t>DR4JZ3yTpo0</t>
  </si>
  <si>
    <t>2021 07 14</t>
  </si>
  <si>
    <t>https://youtu.be/CC7OJ7gFLvE</t>
  </si>
  <si>
    <t>Juno Flies Past the Moon Ganymede and Jupiter, With Music by Vangelis</t>
  </si>
  <si>
    <t>On June 7, 2021, NASA’s Juno spacecraft flew closer to Jupiter’s ice-encrusted moon Ganymede than any spacecraft in more than two decades. Less than a day later, Juno made its 34th flyby of Jupiter. This animation provides a “starship captain” point of view of each flyby. For both worlds, JunoCam images were orthographically projected onto a digital sphere and used to create the flyby animation. Synthetic frames were added to provide views of approach and departure for both Ganymede and Jupiter.
Visit http://www.nasa.gov/juno &amp; http://missionjuno.swri.edu to learn more.
Animation: Koji Kuramura, Gerald Eichstädt, Mike Stetson
Music: Vangelis 
Producer: Scott J. Bolton
Credit: NASA/JPL-Caltech/SwRI/MSSS</t>
  </si>
  <si>
    <t>CC7OJ7gFLvE</t>
  </si>
  <si>
    <t>2021 07 13</t>
  </si>
  <si>
    <t>https://youtu.be/FbaFJD5X32o</t>
  </si>
  <si>
    <t>Mission Equity  Making NASA Accessible to All</t>
  </si>
  <si>
    <t>NASA Administrator Bill Nelson and other agency officials and guests discuss the recently issued request for information (RFI). The RFI is part of NASA’s Mission Equity, a comprehensive effort to assess agency programs, procurements, grants, and policies, and examine what potential barriers and challenges may exist for communities that are historically underrepresented and underserved.
The information submitted in response to the RFI will help foster NASA's vision to benefit the quality of life for all on Earth; NASA's mission to explore, use and enable the development of space for human enterprise through research, development and transfer of advanced aeronautics, space and related technologies, economic growth and security, and educational excellence; and NASA's goal to enrich our nation's society and economy with a fair and equitable approach.
Five specific avenues of participation and partnership with the agency include:
• NASA’s Internship Program:  https://youtu.be/A_hO40YiAYw 
• Science Competition Process: https://youtu.be/Yb-8K066O1o 
• Grants &amp; Cooperative Agreements: https://youtu.be/uNGQP7YdPLA
• Procurement/Contracting Strategies: https://youtu.be/mX8RSDOJ4Tc
• Early-Stage Innovations &amp; Partnerships: https://youtu.be/1cks9fqccYo
For more information visit: https://www.nasa.gov/mission-equity 
Video Producer: Jori Kates
Music Credit: Universal Production Music</t>
  </si>
  <si>
    <t>FbaFJD5X32o</t>
  </si>
  <si>
    <t>2021 07 12</t>
  </si>
  <si>
    <t>https://youtu.be/l6j1Q6AYRS0</t>
  </si>
  <si>
    <t>Deputy Administrator Pam Melroy Honors Space Shuttle Closeout Crew Lead</t>
  </si>
  <si>
    <t>NASA Deputy Administrator Pam Melroy visited the Smithsonian National Air and Space Museum, Steven F. Udvar-Hazy Center in Chantilly, VA. Melroy met with Travis Thompson, former Closeout Crew Lead who served for nearly 100 missions, as they view Thompson's uniform at its exhibit on July 9, 2021. Commander Melroy presented Thompson with a plaque for the occasion and surprised him by showing him she had kept the gift he gave to her many years ago. It was an emotional moment that celebrated not just the heroes who venture out into space, but also those who make sure they come home safely. 
In 1983, Travis Thompson joined the United Space Alliance as the Closeout Crew Lead and served in that role for almost 100 missions. His first assignment supported the crew of Challenger’s STS-8 mission, and later became the Closeout Crew Chief for the last ten years of Shuttle missions. His service included final checks of the astronauts’ launch entry suits before boarding, assisting crews into their seats, launch pad safety and evacuation trainings for the astronauts and launch pad crew members, and strapping in astronauts in for launch. Thompson donated his complete uniform to the National Air and Space Museum after the final Shuttle launch in 2011.
Video Credits
Producer/Editor/Camera: Amy Leniart</t>
  </si>
  <si>
    <t>l6j1Q6AYRS0</t>
  </si>
  <si>
    <t>2021 07 09</t>
  </si>
  <si>
    <t>https://youtu.be/IDeMqkdT6pA</t>
  </si>
  <si>
    <t>A Commercial Cargo Spacecraft Departs the Space Station on This Week @NASA – July 9, 2021</t>
  </si>
  <si>
    <t>A commercial cargo spacecraft leaves the space station, watching an Atlantic storm from space, and the Artemis I rocket moves closer to launch … a few of the stories to tell you about – This Week at NASA!
Download Link: https://images.nasa.gov/details-A%20Commercial%20Cargo%20Spacecraft%20Departs%20the%20Space%20Station%20on%20This%20Week%20@NASA%20%E2%80%93%20July%209,%202021
Producer: Andre Valentine
Editor: Lacey Young
Music: Universal Production Music</t>
  </si>
  <si>
    <t>IDeMqkdT6pA</t>
  </si>
  <si>
    <t>2021 07 08</t>
  </si>
  <si>
    <t>https://youtu.be/7_SNFrTr_oo</t>
  </si>
  <si>
    <t>NASA's Final Space Shuttle Launch 10th Anniversary Replay</t>
  </si>
  <si>
    <t>Ten years ago, Atlantis rose from the launch pad on a plume of fire and parted the high clouds on its way to the International Space Station and to its place in history. The 11:29 a.m. EDT liftoff on July 8, 2011, marked the last time a space shuttle would climb from Kennedy's seaside launch complex to soar toward the heavens. 
The crew of four veteran astronauts aboard Atlantis -- Commander Chris Ferguson, Pilot Doug Hurley, and Mission Specialists Sandy Magnus and Rex Walheim -- set off on the STS-135 mission to deliver a stockpile of supplies and parts to the space station.
Download Link:
https://images.nasa.gov/details-NHQ_2021_0708_NASA's%20Final%20Space%20Shuttle%20Launch%2010th%20Anniversary%20Replay</t>
  </si>
  <si>
    <t>7_SNFrTr_oo</t>
  </si>
  <si>
    <t>2021 07 02</t>
  </si>
  <si>
    <t>https://youtu.be/NOOz2U5TVgE</t>
  </si>
  <si>
    <t>A U.S. Commercial Spacecraft Departs the Space Station on This Week @NASA – July 2, 2021</t>
  </si>
  <si>
    <t>A U.S. commercial spacecraft departs the space station, more supplies and hardware are delivered to the station, and a moniker for the Artemis I mission’s “Moonikin” … a few of the stories to tell you about – This Week at NASA!
Download Link: 
https://images.nasa.gov/details-A%20U.S.%20Commercial%20Spacecraft%20Departs%20the%20Space%20Station%20on%20This%20Week%20@NASA%20-%20July%202,%202021
Producer: Andre Valentine
Editor: Lacey Young
Music: Universal Production Music</t>
  </si>
  <si>
    <t>NOOz2U5TVgE</t>
  </si>
  <si>
    <t>https://youtu.be/COZ5E_MsgwA</t>
  </si>
  <si>
    <t>A Message from NASA Deputy Administrator Col. Pam Melroy to the NASA Workforce</t>
  </si>
  <si>
    <t>NASA’s new deputy administrator Col. Pam Melroy shares her vision for NASA’s future.
One of only two women to command a space shuttle, Melroy logged more than 38 days in space. She served as pilot on two flights, STS-92 in 2000 and STS-112 in 2002, and was the mission commander on STS-120 in 2007. All three of her missions were assembly missions to build the International Space Station.
After graduating from United States Air Force Test Pilot School, Melroy logged more than 6,000 flight hours in more than 50 different aircraft. She is a veteran of Operation Desert Shield/Desert Storm and Operation Just Cause, with more than 200 combat and combat support hours.
After serving more than two decades in the Air Force and as a NASA astronaut, Melroy took on a number of leadership roles, including at Lockheed Martin, the Federal Aviation Administration, the Defense Advanced Research Projects Agency, Nova Systems Pty, Australia, and as an advisor to the Australian Space Agency. She also served as an independent consultant and a member of the National Space Council’s Users Advisory Group.
Producer/Editor: Lacey Young
Music: Universal Production Music</t>
  </si>
  <si>
    <t>COZ5E_MsgwA</t>
  </si>
  <si>
    <t>2021 06 30</t>
  </si>
  <si>
    <t>https://youtu.be/uxVc2VEPff0</t>
  </si>
  <si>
    <t>Meet NASA’s Psyche Team Who Will Measure the Asteroid’s Magnetic Field</t>
  </si>
  <si>
    <t>NASA’s Psyche team will measure the asteroid’s magnetic field using a magnetometer. This instrument is composed of two identical high-sensitivity magnetic field sensors located at the middle and outer end of a 6-foot (2-meter) boom on the spacecraft. The magnetometer team is based at the Massachusetts Institute of Technology and Technical University of Denmark. 
The Psyche mission is led by Principal Investigator Lindy Elkins-Tanton of Arizona State University. NASA’s Jet Propulsion Laboratory is responsible for the mission’s overall management, system engineering, integration and test, and mission operations. Maxar Technologies is providing a high-power solar electric propulsion spacecraft chassis.</t>
  </si>
  <si>
    <t>uxVc2VEPff0</t>
  </si>
  <si>
    <t>2021 06 29</t>
  </si>
  <si>
    <t>https://youtu.be/qn09Ohs_kOw</t>
  </si>
  <si>
    <t>The NASA Family and Your Family  Moving Forward Safely</t>
  </si>
  <si>
    <t>Staying safe and healthy moves us forward – for your family and the NASA family.
We prioritize the safety of our employees and our communities. All employees are strongly encouraged to monitor vaccine availability in their local communities while the agency updates its capabilities to support vaccine distribution and works with states to get vaccine for our mission-critical workforce.
Download Link: https://images.nasa.gov/details-The%20NASA%20Family%20and%20Your%20Family%20-%20Moving%20Forward%20Safely
Video Credits
Producer/Editor: Amy Leniart</t>
  </si>
  <si>
    <t>qn09Ohs_kOw</t>
  </si>
  <si>
    <t>2021 06 25</t>
  </si>
  <si>
    <t>https://youtu.be/hQrm-akse7I</t>
  </si>
  <si>
    <t>Spacewalking Astronauts Work Outside the Space Station on This Week @NASA – June 25, 2021</t>
  </si>
  <si>
    <t>Spacewalking astronauts work outside the space station, NASA’s new deputy administrator is sworn-in, and putting another piece of our Artemis I Moon rocket in place … a few of the stories to tell you about – This Week at NASA!
Download Link: https://images.nasa.gov/details-Spacewalking%20astronauts%20work%20outside%20the%20space%20station%20%E2%80%A6</t>
  </si>
  <si>
    <t>hQrm-akse7I</t>
  </si>
  <si>
    <t>2021 06 23</t>
  </si>
  <si>
    <t>https://youtu.be/wJw_aBRKHFo</t>
  </si>
  <si>
    <t>Explore our Home Planet and the Universe with NASA</t>
  </si>
  <si>
    <t>At NASA, there is space for everybody! Subscribe to NASA's official YouTube channel to explore the universe and discover our home planet. Visit https://www.nasa.gov for more! 
Producer/Editor: Lacey Young
Music: Universal Production Music</t>
  </si>
  <si>
    <t>wJw_aBRKHFo</t>
  </si>
  <si>
    <t>2021 06 21</t>
  </si>
  <si>
    <t>https://youtu.be/8P5i9hSqHBI</t>
  </si>
  <si>
    <t>Pam Melroy Sworn in as NASA Deputy Administrator</t>
  </si>
  <si>
    <t>NASA Deputy Administrator Pam Melroy took office Monday after she was given the oath of office by NASA Administrator Bill Nelson during a ceremony at the Mary W. Jackson NASA Headquarters building in Washington on June 21, 2021. 
Melroy was nominated in April by President Biden and confirmed by the Senate on June 17. Along with Nelson, Melroy is responsible for providing overall leadership, planning, and policy direction for NASA.
One of only two women to command a space shuttle, Melroy logged more than 38 days in space. All three of her missions were assembly missions to build the International Space Station. After serving more than two decades in the Air Force and as a NASA astronaut, Melroy took on a number of leadership roles, including at Lockheed Martin, the Federal Aviation Administration, the Defense Advanced Research Projects Agency, Nova Systems Pty, Australia, and as an advisor to the Australian Space Agency. She currently is an independent consultant and a member of the National Space Council’s Users Advisory Group.
Video Producer: Lacey Young
Music Credit: Universal Production Music</t>
  </si>
  <si>
    <t>8P5i9hSqHBI</t>
  </si>
  <si>
    <t>2021 06 18</t>
  </si>
  <si>
    <t>https://youtu.be/wJESXw7SaYU</t>
  </si>
  <si>
    <t>Installing New Solar Arrays for the Space Station on This Week @NASA – June 18, 2021</t>
  </si>
  <si>
    <t>Installing new solar arrays for the space station, updating launch and landing dates for Commercial Crew, and NASA’s new deputy administrator is confirmed … a few of the stories to tell you about – This Week at NASA!
Download Link: https://images.nasa.gov/details-Installing%20New%20Solar%20Arrays%20for%20the%20Space%20Station%20on%20This%20Week%20@NASA%20%E2%80%93%20June%2018,%202021
Producer: Andre Valentine
Editor: Lacey Young
Music: Universal Production Music</t>
  </si>
  <si>
    <t>wJESXw7SaYU</t>
  </si>
  <si>
    <t>2021 06 17</t>
  </si>
  <si>
    <t>https://youtu.be/NJAtLrRhkfg</t>
  </si>
  <si>
    <t>Join NASA Astronauts on Mission Equity</t>
  </si>
  <si>
    <t>NASA has issued a Request for Information (RFI) to receive input from the public on NASA’s mission directorates’ programs, procurements, grants, regulations and policies.  NASA will use this information to evaluate, implement, modify, expand, and streamline its programs, procurements, grants, regulations and policies to remove systemic inequitable barriers and challenges facing underserved communities.  
Through the RFI process, NASA hopes to initiate vibrant, meaningful, and ongoing dialogues that will help the agency build and improve current agency policies, practices, and programs. The deadline for public comments to this RFI is Monday, July 12, but we encourage submission of comments as soon as possible to enable early analysis and follow-up discussions.
Video Producer: Sonnet Apple
Music Credit: Universal Production Music</t>
  </si>
  <si>
    <t>NJAtLrRhkfg</t>
  </si>
  <si>
    <t>2021 06 15</t>
  </si>
  <si>
    <t>https://youtu.be/4wKrqzfrRs8</t>
  </si>
  <si>
    <t>Name the Artemis Moonikin</t>
  </si>
  <si>
    <t>Choose your player! NASA is holding a naming contest beginning Wednesday, June 16 for the manikin that will fly on an upcoming mission around the Moon. 
As NASA gears up for the Artemis I mission around the Moon that will pave the way to send the first woman and the first person of color to the lunar surface, we have an important task for you (yes, you!). Artemis I will be an uncrewed flight test of the Space Launch System rocket and the Orion spacecraft ahead of the first flight with crew on Artemis II. We want your help to select a name for the suited manikin, or Moonikin in this case, that will fly aboard Orion to help gather data before missions with astronauts!
We have eight names to choose from, but only one can win. Every other day starting Wednesday, June 16, we will be asking you on @NASAArtemis Twitter, Facebook, and Instagram, to vote between one of two names. The winners of each bracket compete with one another until the final showdown on Monday, June 28.
The final name of the Moonikin will be announced on Tuesday, June 29!
For more information, go to: nasa.gov/namethemoonikin</t>
  </si>
  <si>
    <t>4wKrqzfrRs8</t>
  </si>
  <si>
    <t>2021 06 11</t>
  </si>
  <si>
    <t>https://youtu.be/8xs98fr0M6M</t>
  </si>
  <si>
    <t>'Why Does NASA Exist ' – William Shatner Reads Ray Bradbury</t>
  </si>
  <si>
    <t>William Shatner, Star Trek's Captain Kirk, reads Ray Bradbury's poem 'Witness and Celebrate NASA's Future.' The poem was written by Bradbury in 2000 for the NASA Art Program.
Editor: Lacey Young
Music: Universal Production Music</t>
  </si>
  <si>
    <t>8xs98fr0M6M</t>
  </si>
  <si>
    <t>https://youtu.be/vxD_iE0Uko8</t>
  </si>
  <si>
    <t>Making Progress on Our Artemis Moon Rocket on This Week @NASA – June 11, 2021</t>
  </si>
  <si>
    <t>Making progress on our Artemis Moon rocket, images from a close encounter with a Jovian moon, and a ring of fire for our Moon … a few of the stories to tell you about – This Week at NASA!
Download Link: https://images.nasa.gov/details-Making%20Progress%20on%20Our%20Artemis%20Moon%20Rocket%20on%20This%20Week%20@NASA%20%E2%80%93%20June%2011,%202021
Video Credits
Producer/Writer: Andre Valentine
Editor: Amy Leniart</t>
  </si>
  <si>
    <t>vxD_iE0Uko8</t>
  </si>
  <si>
    <t>2021 06 07</t>
  </si>
  <si>
    <t>https://youtu.be/HUZYnvpElk8</t>
  </si>
  <si>
    <t>NASA  We Are American Ingenuity</t>
  </si>
  <si>
    <t>NASA is more than astronauts. We are scientists, engineers, IT specialists, human resources specialists, accountants, writers, technicians, and many other kinds of people working together to break barriers to achieve the seemingly impossible.
Learn more here: https://www.nasa.gov/careers
Download Link: https://images.nasa.gov/details-We%20Are%20American%20Ingenuity
CREDITS:
Producer/Editor: Amy Leniart
Music Credit: Universal Production Music</t>
  </si>
  <si>
    <t>HUZYnvpElk8</t>
  </si>
  <si>
    <t>2021 06 04</t>
  </si>
  <si>
    <t>https://youtu.be/xvN3ZqS0cdg</t>
  </si>
  <si>
    <t>New Venus Missions Announced on This Week @NASA – June 4, 2021</t>
  </si>
  <si>
    <t>Learn about two new future missions to Venus and other reasons why the State of NASA is strong and exciting, launching supplies to the space station, and more good news for OSIRIS-REx … a few of the stories to tell you about – This Week at NASA!
Download Link: https://images.nasa.gov/details-New%20Venus%20Missions%20Announced%20on%20This%20Week%20@%20NASA%20-%20June%204,%202021
Producer: Andre Valentine
Editor: Lacey Young
Music: Universal Production Music</t>
  </si>
  <si>
    <t>xvN3ZqS0cdg</t>
  </si>
  <si>
    <t>https://youtu.be/FUq5d7dqlVY</t>
  </si>
  <si>
    <t>Introducing NASA’s NEW Earth System Observatory</t>
  </si>
  <si>
    <t>NASA is introducing the Earth System Observatory – an array of satellites, instruments and missions that are going to collect a series of critical observations. These observations will better inform us of how our planet is changing with greater precision on unimaginable scales – from entire continents down to individual trees.
Each mission in itself will deliver important environmental measurements.  Taken together, as a single Observatory, we will have a holistic, 3-dimensional understanding of our Earth’s systems – how they work together, how one change can influence another. 
Learn more here: 
https://www.nasa.gov/press-release/new-nasa-earth-system-observatory-to-help-address-mitigate-climate-change
Download Link: https://images.nasa.gov/details-Introducing%20NASA%E2%80%99s%20NEW%20Earth%20System%20Observatory
Voice Over: Soledad O'Brien
Video Producer: Sonnet Apple
Music Credit: Universal Production Music</t>
  </si>
  <si>
    <t>FUq5d7dqlVY</t>
  </si>
  <si>
    <t>2021 06 03</t>
  </si>
  <si>
    <t>https://youtu.be/a_veIjIazqY</t>
  </si>
  <si>
    <t>SpaceX's CRS-22 Mission to the Space Station  What's On Board</t>
  </si>
  <si>
    <t>Scientists and students shared their work that is launching on SpaceX’s 22nd commercial resupply mission to the International Space Station during a What’s on Board briefing at Kennedy Space Center in Florida. Studies include an investigation of how microscopic water bears react to life in microgravity, and an experiment aimed at giving scientists fundamental knowledge of how good microbes interact with animal tissue. Students from the Robertsville Middle School in Oak Ridge, Tennessee discussed RamSat, a student-built CubeSat designed to track vegetation regrowth after wildfires. 
The SpaceX CRS-22 mission is scheduled to launch to the orbiting laboratory on June 3.
Learn more about the science on this mission: https://www.nasa.gov/mission_pages/station/research/news/spacex-22-research-highlights/</t>
  </si>
  <si>
    <t>a_veIjIazqY</t>
  </si>
  <si>
    <t>2021 06 02</t>
  </si>
  <si>
    <t>https://youtu.be/Rf-nOV9LCRM</t>
  </si>
  <si>
    <t>NASA's Return to Venus</t>
  </si>
  <si>
    <t>Venus, our planetary neighbor, is a hot, hellish unforgiving world and NASA has selected two bold new missions to study this inferno-like planet: DAVINCI+ and VERITAS. Are Venus and Earth fundamentally unique worlds? Or are the differences between these ‘twins’ only cosmetic? Answering this question is key to understanding what makes other rocky planets habitable and, ultimately, emerge with life. 
Download Link: https://images.nasa.gov/details-NASA's%20Return%20to%20Venus
Learn more about NASA’s newest Discovery missions: https://go.nasa.gov/NewVenusMissions</t>
  </si>
  <si>
    <t>Rf-nOV9LCRM</t>
  </si>
  <si>
    <t>2021 05 28</t>
  </si>
  <si>
    <t>https://youtu.be/TgbxbIfdFug</t>
  </si>
  <si>
    <t>The Release of NASA’s Budget Request on This Week @NASA – May 28, 2021</t>
  </si>
  <si>
    <t>The release of NASA’s budget request, a new set of Earth-focused missions, and new research findings about Jupiter’s moon Europa … a few of the stories to tell you about – This Week at NASA!
Download Link: https://images.nasa.gov/details-The%20Release%20of%20NASA's%20Budget%20Request%20on%20This%20Week%20@NASA%20-%20May%2028,%202021</t>
  </si>
  <si>
    <t>TgbxbIfdFug</t>
  </si>
  <si>
    <t>2021 05 21</t>
  </si>
  <si>
    <t>https://youtu.be/85tvmSV8DsE</t>
  </si>
  <si>
    <t>An Addition to a Future Commercial Crew Mission on This Week @NASA – May 21, 2021</t>
  </si>
  <si>
    <t>An addition to a future Commercial Crew mission, our administrator discusses the budget request for NASA, and NASA’s deputy administrator nominee appears before the Senate … a few of the stories to tell you about – This Week at NASA!
Download Link: https://images.nasa.gov/details-An%20Addition%20to%20a%20Future%20Commercial%20Crew%20Mission%20on%20This%20Week%20@NASA%20%E2%80%93%20May%2021,%202021</t>
  </si>
  <si>
    <t>85tvmSV8DsE</t>
  </si>
  <si>
    <t>https://youtu.be/coFE7-E6LRg</t>
  </si>
  <si>
    <t>Gravity Assist  Listening to the Universe</t>
  </si>
  <si>
    <t>NASA spacecraft deliver stunning visual imagery of the cosmos, but we can also experience that data by turning it into sound. Kim Arcand at the Chandra X-Ray Observatory has helped develop many different sonifications including from galaxies, black holes, nebulae and more. Kim chats with NASA’s Chief Scientist Jim Green about her process of choosing instruments to represent different kinds of light, and plays a few examples of these cosmic sounds. Kim developed these sonifications in collaboration with astrophysicist Matt Russo and musician Andrew Santaguida, both of the SYSTEM Sound project. Check out the full series of sonifications at chandra.si.edu/sound and listen to the rest of this Gravity Assist podcast episode at nasa.gov/gravityassist.
Download Link: https://images.nasa.gov/details-Gravity%20Assist%20Listening%20to%20the%20Universe
Producer Credit: Lacey Young and Elizabeth Landau
Audio Engineer: Manny Cooper
Music Credit: Universal Production Music</t>
  </si>
  <si>
    <t>coFE7-E6LRg</t>
  </si>
  <si>
    <t>https://youtu.be/tuDPzaiD6qQ</t>
  </si>
  <si>
    <t>NASA Astronauts Celebrate Asian American &amp; Pacific Islander Heritage Month</t>
  </si>
  <si>
    <t>Each May, NASA commemorates #AAPIHeritageMonth to recognize the significant contributions of the Asian and Pacific Islander community. 
This year, NASA Administrator Sen. Bill Nelson and NASA astronauts Raja Chari, Jonny Kim, Kjell Lindgren, and Sunita Williams bring their perspectives around this year’s theme of Advancing Leaders Through Purpose-Driven Service. Hear their stories of resilience, leading with values, and making a difference by serving others and focusing on a bigger mission to make the world a better place.
Discover more stories: https://www.nasa.gov/image-gallery/asian-pacific-american-heritage</t>
  </si>
  <si>
    <t>tuDPzaiD6qQ</t>
  </si>
  <si>
    <t>2021 05 20</t>
  </si>
  <si>
    <t>https://youtu.be/TibXxwEZ4gY</t>
  </si>
  <si>
    <t>Science Launching on SpaceX's 22nd Cargo Resupply Mission to the Space Station</t>
  </si>
  <si>
    <t>The 22nd SpaceX cargo resupply mission carrying scientific research and technology demonstrations launches to the International Space Station from NASA’s Kennedy Space Center in Florida no earlier than June 3. Experiments aboard include studying how water bears tolerate space, whether microgravity affects symbiotic relationships, analyzing the formation of kidney stones, and more. Learn more: https://go.nasa.gov/3tZdUV3</t>
  </si>
  <si>
    <t>TibXxwEZ4gY</t>
  </si>
  <si>
    <t>2021 05 15</t>
  </si>
  <si>
    <t>https://youtu.be/mplLzUMYKuM</t>
  </si>
  <si>
    <t>Samples of an Asteroid are Headed Back to Earth on This Week @NASA – May 14, 2021</t>
  </si>
  <si>
    <t>Samples of an asteroid are headed back to Earth, a key prelaunch milestone for the Webb space telescope, and adding a third dimension to some cool imagery … a few of the stories to tell you about – This Week at NASA!
Download Link: https://images.nasa.gov/details-Samples%20of%20an%20Asteroid%20are%20Headed%20Back%20to%20Earth%20on%20This%20Week%20@NASA%20-%20May14,2021
Producer Credit: Andre Valentine
Editor: Sonnet Apple
Music: Universal Production Music/"Another Way of Winning"
Contents:
0:00 Introduction
0:13 Osiris-Rex heads to Earth
0:49 Webb's mirror opened one last time on Earth
1:19 Jurczyk retires
1:47  First private astronaut mission to space station
2:10 See Ingenuity fly in 3D
2:39 Viewing storm clouds in 3D</t>
  </si>
  <si>
    <t>mplLzUMYKuM</t>
  </si>
  <si>
    <t>2021 05 07</t>
  </si>
  <si>
    <t>https://youtu.be/4RRCD07Jips</t>
  </si>
  <si>
    <t>A Record-Breaking Spaceflight for the Crew-1 Mission on This Week @NASA – May 7, 2021</t>
  </si>
  <si>
    <t>A record-breaking spaceflight for the Crew-1 mission, swearing-in NASA’s new administrator, and the anniversary of the first American in space … a few of the stories to tell you about – This Week at NASA!
Download Link: https://images.nasa.gov/details-A%20Record-Breaking%20Spaceflight%20for%20the%20Crew-1%20mission%20on%20This%20Week%20@%20NASA%20May%207,%202021
Producer Credit: Andre Valentine
Editor: Sonnet Apple
Music: Universal Production Music/"Another Way of Winning"</t>
  </si>
  <si>
    <t>4RRCD07Jips</t>
  </si>
  <si>
    <t>2021 05 05</t>
  </si>
  <si>
    <t>https://youtu.be/cpbKsFutOCI</t>
  </si>
  <si>
    <t>A Message from NASA Administrator Sen. Bill Nelson to the NASA Workforce</t>
  </si>
  <si>
    <t>NASA's new administrator Sen. Bill Nelson shares his vision for NASA's future.
Nelson has an extensive history of working with NASA and has been integral to the agency’s current successes. Prior to his nomination, was a member-at-large on NASA’s advisory council. From 2001 to 2019, Nelson represented Florida in the U.S. Senate, where he served as ranking member of the Committee on Commerce, Science and Transportation and led its Subcommittee on Science and Space. 
Previously, Nelson represented Florida’s 9th and 11th districts in the U.S. House of Representatives. While chair of the House space subcommittee, Nelson flew aboard the space shuttle Columbia as a payload specialist on the STS-61C mission in 1986. The mission also included Bolden, as pilot.</t>
  </si>
  <si>
    <t>cpbKsFutOCI</t>
  </si>
  <si>
    <t>https://youtu.be/YMptAi6Z8io</t>
  </si>
  <si>
    <t>60 Years of Human Spaceflight  Launching The First American into Space</t>
  </si>
  <si>
    <t>Sixty years ago, on May 5, 1961, NASA astronaut Alan Shepard Jr. launched on the Freedom 7 mission, powered by a Mercury-Redstone rocket to become the first American in space. Shepard's flight lasted 15 minutes, 22 seconds. He later made it to the Moon on Apollo 14.</t>
  </si>
  <si>
    <t>YMptAi6Z8io</t>
  </si>
  <si>
    <t>2021 05 04</t>
  </si>
  <si>
    <t>https://youtu.be/4IXYp9Fse44</t>
  </si>
  <si>
    <t>Exoplanets  Weird, Wondrous Worlds</t>
  </si>
  <si>
    <t>There's a huge amount of variety among exoplanets – planets outside our solar system. There are water worlds, lava planets, egg-shaped worlds, planets with multiple suns, and even planets with no sun at all! What can we learn from all this weird, wondrous variety? What does it tell us about both the exoplanets themselves and our own home planet?
Credit: NASA/JPL-Caltech</t>
  </si>
  <si>
    <t>4IXYp9Fse44</t>
  </si>
  <si>
    <t>https://youtu.be/0XAWja5ncI0</t>
  </si>
  <si>
    <t>NASA Astronauts Share Teacher Appreciation Week Message From the Space Station</t>
  </si>
  <si>
    <t>NASA astronauts Shane Kimbrough and Megan McArthur share a special message during Teacher Appreciation Week while aboard the International Space Station, orbiting 200 miles above the Earth's surface.
Producer/Editor: Lacey Young
Music: Universal Production Music</t>
  </si>
  <si>
    <t>0XAWja5ncI0</t>
  </si>
  <si>
    <t>https://youtu.be/YJd3eZIT2XY</t>
  </si>
  <si>
    <t>NASA Celebrates Asian American and Pacific Islander (AAPI) Heritage Month 2021</t>
  </si>
  <si>
    <t>Each May, NASA commemorates Asian American and Pacific Islander (AAPI) Heritage Month to recognize the significant contributions of past and present employees of AAPI descent. Each of them embody the enduring and resilient spirit this community brings to advancing science, research, and discovery. Hear their stories. 
Featured in the video: 
Anthony Arviola – Langley Research Center
Han Woong (Brian) Bae – Marshall Space Flight Center
Kelly Busquets – Goddard Space Flight Center
Sarat Calmur – Langley Research Center
Gemma Flores – NASA Headquarters
Wensheng Huang – Glenn Research Center
Miki Kenji – Glenn Research Center
Alex Lin – Langley Research Center
Rita Melvin – Goddard Space Flight Center
Kartik Sheth – NASA Headquarters
Steve Shih – NASA Headquarters
Emilie Siochi – Langley Research Center
Jenny Staggs – Armstrong Flight Research Center
Githika Tondapu – Marshall Space Flight Center
Sara Tsui – Kennedy Space Center
Jennifer Turner – Johnson Space Center
Video Credit: NASA 360 -  Jessica Wilde, David Shelton, and Scott Bednar</t>
  </si>
  <si>
    <t>YJd3eZIT2XY</t>
  </si>
  <si>
    <t>2021 05 03</t>
  </si>
  <si>
    <t>https://youtu.be/4Wbcf2LCjok</t>
  </si>
  <si>
    <t>Vice President Harris Swears in NASA Administrator Sen. Bill Nelson</t>
  </si>
  <si>
    <t>Sen. Bill Nelson took office as the 14th administrator of NASA on May 3, 2021, after he was given the oath of office by Vice President Kamala Harris during a ceremony at the Eisenhower Executive Office Building in Washington.
As part of the swearing-in ceremony, Vice President Harris and Nelson were joined via video conference by Jim Bridenstine, who preceded Nelson as administrator, and in-person by Charles F. Bolden, who served as administrator from 2009 to 2017. Nelson’s family and Pam Melroy, nominee for NASA deputy administrator, were guests at the ceremony.
The U.S. Senate confirmed Nelson to serve as the NASA administrator April 29. 
Nelson has an extensive history of working with NASA and has been integral to the agency’s current successes. Prior to his nomination, was a member-at-large on NASA’s advisory council. From 2001 to 2019, Nelson represented Florida in the U.S. Senate, where he served as ranking member of the Committee on Commerce, Science and Transportation and led its Subcommittee on Science and Space. 
Previously, Nelson represented Florida’s 9th and 11th districts in the U.S. House of Representatives. While chair of the House space subcommittee, Nelson flew aboard the space shuttle Columbia as a payload specialist on the STS-61C mission in 1986. The mission also included Bolden, as pilot.
Download Link: https://images.nasa.gov/details-Vice%20President%20Harris%20Swears%20in%20NASA%20Administrator%20Sen.%20Bill%20Nelson</t>
  </si>
  <si>
    <t>4Wbcf2LCjok</t>
  </si>
  <si>
    <t>2021 05 01</t>
  </si>
  <si>
    <t>https://youtu.be/6lEzFykAFVE</t>
  </si>
  <si>
    <t>With Much Ingenuity, We Soar Together</t>
  </si>
  <si>
    <t>May is Asian American and Pacific Islander Heritage Month. Honoring the culture, tradition, and diversity of the Asian American and Pacific Islander community, NASA celebrates the achievements of individuals and teams that support our missions every day. 
With the recent milestone of performing the first-ever controlled, powered flight on another planet, Ingenuity Mars Helicopter Project Manager MiMi Aung shares her experience and hopes for the younger generation.
Video Credits:
Producer/Editor: Jori Kates</t>
  </si>
  <si>
    <t>6lEzFykAFVE</t>
  </si>
  <si>
    <t>https://youtu.be/PnEvu9jpkeE</t>
  </si>
  <si>
    <t>Confirming the Nomination of NASA’s Next Administrator on This Week @NASA – April 30, 2021</t>
  </si>
  <si>
    <t>Confirming the nomination of NASA’s next administrator, an update on a commercial crew mission, and remembering a spaceflight pioneer … a few of the stories to tell you about – This Week at NASA!
Download Link: https://images.nasa.gov/details-Confirming%20the%20Nomination%20of%20NASA%E2%80%99s%20Next%20Administrator%20on%20This%20Week%20@NASA%20%E2%80%93%20April%2030,%202021</t>
  </si>
  <si>
    <t>PnEvu9jpkeE</t>
  </si>
  <si>
    <t>2021 04 29</t>
  </si>
  <si>
    <t>https://youtu.be/BqvDIB5pSBc</t>
  </si>
  <si>
    <t>NASA's 100 Days</t>
  </si>
  <si>
    <t>It's been a busy 100 days! Since Jan. 20, we've landed our Perseverance rover on Mars, and  flown our Ingenuity helicopter, a technology demonstration that caught a ride with the rover to the Red Planet. A ceremony marked the naming of our Mary W. Jackson Headquarters in Washington after the agency's first Black female engineer, honoring her contributions to our mission of exploration. Vice President Harris spoke with NASA astronauts on the International Space Station. Our Artemis program to return astronauts to the Moon completed a successful Green Run hot fire test for our Space Launch System rocket core stage, which arrived this week at Kennedy Space Center. NASA's SpaceX Crew-2 mission launched four astronauts to the space station, and we selected SpaceX as partner to build landers for Artemis missions. We made addressing climate change a priority, and celebrated Earth Day on and off the planet.
Read more: https://www.nasa.gov/press-release/biden-harris-administration-shows-strong-support-for-nasa-in-first-100-days
Producer: Lacey Young
Editors: Lacey Young, Sonnet Apple
Music: Universal Production Music</t>
  </si>
  <si>
    <t>BqvDIB5pSBc</t>
  </si>
  <si>
    <t>2021 04 28</t>
  </si>
  <si>
    <t>https://youtu.be/E4mnpHvK8yM</t>
  </si>
  <si>
    <t>NASA Remembers Apollo Astronaut Michael Collins</t>
  </si>
  <si>
    <t>We are heartbroken to share that astronaut Michael Collins, the command module pilot of the historic Apollo 11 mission to the Moon, has passed away at the age of 90.
Collins was one of the third group of astronauts named by NASA in October 1963. In 1966, he served as the pilot on the 3-day Gemini 10 mission, during which he set a world altitude record and became the nation's third spacewalker, completing two extravehicular activities. His second flight was as command module pilot of the historic Apollo 11 mission in July 1969. He remained in lunar orbit while Neil Armstrong and Buzz Aldrin became the first men to walk on the Moon.</t>
  </si>
  <si>
    <t>E4mnpHvK8yM</t>
  </si>
  <si>
    <t>2021 04 26</t>
  </si>
  <si>
    <t>https://youtu.be/J04YN9azln8</t>
  </si>
  <si>
    <t xml:space="preserve">What Is the Habitable Zone </t>
  </si>
  <si>
    <t>There's a helpful concept we use to help understand what distance from a given star you might expect to find planets with liquid water on their surface – liquid water being essential for life as we know it. It's called the habitable zone. Every star has a habitable zone, but where that zone lies is different for stars of different sizes and brightness. 
Credit: NASA/JPL-Caltech</t>
  </si>
  <si>
    <t>J04YN9azln8</t>
  </si>
  <si>
    <t>2021 04 24</t>
  </si>
  <si>
    <t>https://youtu.be/mUdd2Sm1h_I</t>
  </si>
  <si>
    <t>The Next Commercial Crew Mission to The Space Station on This Week @NASA – April 24, 2021</t>
  </si>
  <si>
    <t>The next commercial crew mission to the space station, a historic milestone on Mars, and a hearing to confirm NASA’s next administrator … a few of the stories to tell you about – This Week at NASA!
Download Link: https://images.nasa.gov/details-The%20Next%20Commercial%20Crew%20Mission%20to%20The%20Space%20Station%20on%20This%20Week%20@NASA%20%E2%80%93%20April%2024,%202021</t>
  </si>
  <si>
    <t>mUdd2Sm1h_I</t>
  </si>
  <si>
    <t>2021 04 23</t>
  </si>
  <si>
    <t>https://youtu.be/_HqZn1BePqM</t>
  </si>
  <si>
    <t>How Ingenuity Talks to Us From Mars</t>
  </si>
  <si>
    <t>The Ingenuity helicopter made history on April 19, 2021, with the first powered, controlled flight of an aircraft on another planet. How do engineers talk to a helicopter all the way out on Mars? We’ll hear about it from Nacer Chahat of NASA’s Jet Propulsion Laboratory, who worked on the helicopter’s antenna and telecommunication system. He chats with NASA’s Chief Scientist Jim Green in this episode of the “Gravity Assist” podcast. Subscribe and listen to the full episode at https://www.nasa.gov/gravityassist.
 https://images.nasa.gov/details-How%20Ingenuity%20Talks%20to%20Us%20From%20Mars
Producer Credit: Elizabeth Landau &amp; Sonnet Apple
Audio Engineer: Manny Cooper 
Music Credit: Universal Production Music</t>
  </si>
  <si>
    <t>_HqZn1BePqM</t>
  </si>
  <si>
    <t>https://youtu.be/-4jQQu8eyUw</t>
  </si>
  <si>
    <t>NASA’s SpaceX Crew-2 Astronauts Headed to International Space Station</t>
  </si>
  <si>
    <t>NASA’s SpaceX Crew-2 astronauts are in orbit following their early morning launch bound for the International Space Station for the second commercial crew rotation mission aboard the microgravity laboratory. The international crew of astronauts lifted off at 5:49 a.m. EDT Friday from Launch Complex 39A at NASA’s Kennedy Space Center in Florida.
The SpaceX Falcon 9 rocket propelled the Crew Dragon spacecraft with NASA astronauts Shane Kimbrough and Megan McArthur, along with JAXA (Japan Aerospace Exploration Agency)  astronaut Akihiko Hoshide and ESA (European Space Agency) astronaut Thomas Pesquet, into orbit to begin a six-month science mission on the space station.
During Crew Dragon’s flight, SpaceX will command the spacecraft from its mission control center in Hawthorne, California, and NASA teams will monitor space station operations throughout the flight from Mission Control Center at the agency’s Johnson Space Center in Houston. 
“It has been an incredible year for NASA and our Commercial Crew Program, with three crewed launches to the space station since last May,” said NASA Acting Administrator Steve Jurczyk. “This is another important milestone for NASA, SpaceX, and our international partners at ESA and JAXA, and for the future of scientific research on board the space station. It will be an exciting moment to see our crews greet one another on station for our first crew handover under the Commercial Crew Program.”
The Crew Dragon spacecraft, named Endeavour, will dock autonomously to the forward port of the station’s Harmony module about 5:10 a.m. Saturday, April 24. NASA Television, the NASA App, and the agency’s website are providing ongoing live coverage through docking, hatch opening, and the ceremony to welcome the crew aboard the orbital outpost.
Download link: https://images.nasa.gov/details-Nasas%20SpaceX%20Crew%202%20Astronauts%20Headed%20to%20International%20Space%20Station</t>
  </si>
  <si>
    <t>-4jQQu8eyUw</t>
  </si>
  <si>
    <t>https://youtu.be/IkXIdup6vqo</t>
  </si>
  <si>
    <t>Meet Akihiko Hoshide, Crew-2 Mission Specialist</t>
  </si>
  <si>
    <t>"I have dreamt of becoming an astronaut since my childhood."
Japan Aerospace Exploration Agency astronaut Akihiko Hoshide was born on December 28th, 1968 in Tokyo, Japan. He received a bachelor's degree in Mechanical Engineering from Keio University in 1992, and a Master of Science in Aerospace Engineering from the University of Houston, Cullen College of Engineering in 1997. He is the third Japanese astronaut to walk in space and has flown on both the Space Shuttle and Soyuz spacecraft. He launches on April 23rd at 5:49 a.m. aboard the NASA SpaceX Crew-2 mission to the International Space Station.</t>
  </si>
  <si>
    <t>IkXIdup6vqo</t>
  </si>
  <si>
    <t>https://youtu.be/OCETx0Lyy2M</t>
  </si>
  <si>
    <t>Meet Thomas Pesquet, Crew-2 Mission Specialist</t>
  </si>
  <si>
    <t>"I like new experiences. I like to learn all the time."
Born in Rouen, France, Thomas Pesquet is a European Space Agency Astronaut and is assigned as a Crew-2 Mission Specialist.
Thomas was selected as an ESA astronaut in May 2009. In 2016, he launched to the International Space Station for his six-month Proxima mission, as a flight engineer for Expeditions 50 and 51. His busy mission was the first to see all four cargo vehicles in operation at the time (HTV, Cygnus, Dragon and Progress). He tracked and captured two of them using the Station's robotic arm.
During his stay in space, he took part in over 50 experiments and the six crew members set a record for hours of time spent working on science. Other highlights of his mission included two spacewalks to maintain the Station: one to replace batteries on an electrical channel, and one to fix a cooling leak and service the robotic arm.
Thomas is a black belt in judo and enjoys basketball, jogging, swimming, squash and outdoor sports such as mountain biking, kite surfing, sailing, skiing and mountaineering. He also has extensive experience in scuba diving and skydiving. His other interests include travelling, playing the saxophone and reading. Get to know Thomas Pesquet, Crew-2 Mission Specialist.
VIDEO CREDITS
Producer/Editor: Amy Leniart</t>
  </si>
  <si>
    <t>OCETx0Lyy2M</t>
  </si>
  <si>
    <t>https://youtu.be/3elbEt0lohM</t>
  </si>
  <si>
    <t>Meet Megan McArthur, Crew-2 Pilot</t>
  </si>
  <si>
    <t>"It's all about exploration"
Born in Honolulu, Hawaii, NASA Astronaut Megan McArthur is currently assigned as Pilot of the NASA SpaceX Crew-2 mission to the International Space Station.  
Her previous spaceflight experience includes STS-125 for the servicing of the Hubble Space Telescope.  McArthur worked as the flight engineer and robotic arm operator. She carefully retrieved the Hubble Space telescope and placed it in the shuttle’s cargo bay. The STS-125 mission was accomplished in 12 days, 21 hours, 37 minutes and 9 seconds, traveling 5,276,000 miles in 197 Earth orbits.
Megan enjoys SCUBA diving, backpacking, and cooking. Get to know Megan McArthur, Crew-2 Pilot.</t>
  </si>
  <si>
    <t>3elbEt0lohM</t>
  </si>
  <si>
    <t>https://youtu.be/Fc3dV87zloY</t>
  </si>
  <si>
    <t>Meet Shane Kimbrough, Crew-2 Commander</t>
  </si>
  <si>
    <t>"I love it, it doesn't matter what I'm flying, it's just incredible."
NASA astronaut Shane Kimbrough was born June 4, 1967, in Killeen, Texas. He graduated from The Lovett School, Atlanta, Georgia, in 1985; received a Bachelor of Science degree in Aerospace Engineering from the United States Military Academy, West Point, New York, in 1989 and a Master of Science degree in Operations Research from the Georgia Institute of Technology in 1998. He has completed 6 spacewalks and logged 189 days in space. He has flown on both the Space Shuttle and Soyuz spacecraft. He launches on April 23nd at 5:49 a.m. aboard the NASA SpaceX Crew-2 mission to the International space station.</t>
  </si>
  <si>
    <t>Fc3dV87zloY</t>
  </si>
  <si>
    <t>2021 04 22</t>
  </si>
  <si>
    <t>https://youtu.be/UnxhawYoKCI</t>
  </si>
  <si>
    <t>What Will the Crew-2 Astronauts Do on the Space Station  Science!</t>
  </si>
  <si>
    <t>While launch day is a blast, we go to space to do science and research! After Crew-2 astronauts Megan McArthur, Shane Kimbrough, Akihiko Hoshide , and Thomas Pesquet arrive at the International Space Station, they'll spend a lot of their time conducting science experiments that are not possible on Earth, and testing technologies to help us explore beyond.
Producer/Editor: Lacey Young
Music: Universal Production Music</t>
  </si>
  <si>
    <t>UnxhawYoKCI</t>
  </si>
  <si>
    <t>https://youtu.be/8DQeFmWUyd8</t>
  </si>
  <si>
    <t>Our Planet, Our Home┃ An Earth Day Perspective</t>
  </si>
  <si>
    <t>We are all connected to and by Earth --- whether it's the trees and plants that give us the oxygen we breathe, the snow-capped mountains that provide the water we drink, or the breathtaking geophysical forces that shape the land beneath our feet. NASA has over 20 satellites measuring the height of oceans and inland water, clouds and precipitation, carbon dioxide and much more. By understanding our changing world, we improve lives and safeguard our future.
https://images.nasa.gov/details-Our%20Planet%20Our%20Home%20An%20Earth%20Day%20Perspective_S
Video Credits:
Producer/Editor: Amy Leniart
Writer: Jim Wilson
Co-Writers: Karen Fox, Amy Leniart, Tylar Greene</t>
  </si>
  <si>
    <t>8DQeFmWUyd8</t>
  </si>
  <si>
    <t>2021 04 21</t>
  </si>
  <si>
    <t>https://youtu.be/bFUoXFbS5RI</t>
  </si>
  <si>
    <t>April 23, 2021  Astronauts to Launch on NASA and SpaceX Crew-2 Mission</t>
  </si>
  <si>
    <t>On April 23, 2021, NASA astronauts Shane Kimbrough and Megan McArthur, ESA astronaut Thomas Pesquet, and JAXA astronaut Akihiko Hoshide will launch on NASA's SpaceX Crew-2 mission headed for the International Space Station. Once there, they will perform space station upgrades, conduct science experiments to benefit life on Earth, and continue preparing humanity for future missions to the Moon – and eventually Mars.
This is the second crew rotation mission with four astronauts flying on a commercial spacecraft, and the first with two international partners. It's time to #LaunchAmerica! 
Producer/Editor: Lacey Young
Music: Universal Production Music</t>
  </si>
  <si>
    <t>bFUoXFbS5RI</t>
  </si>
  <si>
    <t>2021 04 20</t>
  </si>
  <si>
    <t>https://youtu.be/WpJT54UrM00</t>
  </si>
  <si>
    <t>E.Z. Science  Studying Earth from Space</t>
  </si>
  <si>
    <t>Earth science is an important priority for NASA. To understand our planet’s climate and how it is changing we need to study the Earth from all angles. In the latest episode of #EZScience, NASA associate administrator for science Dr. Thomas Zurbuchen and Smithsonian Under Secretary for Science and Research Dr. Ellen Stofan discuss NASA’s Earth observation satellites, including the recently-launched Sentinel-6 Michael Freilich satellite.
Learn more about the series: https://www.nasa.gov/ezscience
#S2E4</t>
  </si>
  <si>
    <t>WpJT54UrM00</t>
  </si>
  <si>
    <t>2021 04 18</t>
  </si>
  <si>
    <t>https://youtu.be/TiUvXmRDwEQ</t>
  </si>
  <si>
    <t>The International Space Station  A Laboratory in Space</t>
  </si>
  <si>
    <t>We're doing science at 17,500 miles per hour! The International Space Station is a state-of-the-art microgravity laboratory that is unlocking discoveries not possible on Earth, and helping us push farther into deep space. We’re testing technologies that are critical to our return to the Moon and great leap to Mars. Station research has contributed to medical and social benefits on our home planet, allowing us to find new ways to combat disease back on Earth, and develop technologies to deliver clean water to remote communities in need. We’re inspiring future generations, from a platform that is one of the largest international collaborations of our time.
Learn more about the research being conducted on station: https://www.nasa.gov/iss-science   
Follow Twitter updates on the science conducted aboard the space station: https://twitter.com/iss_research</t>
  </si>
  <si>
    <t>TiUvXmRDwEQ</t>
  </si>
  <si>
    <t>2021 04 17</t>
  </si>
  <si>
    <t>https://youtu.be/NH44vP7R_58</t>
  </si>
  <si>
    <t>Safe Return to Earth from the Space Station on This Week @NASA – April 17, 2021</t>
  </si>
  <si>
    <t>A safe return to Earth from the space station, greeting the astronauts of the next Commercial Crew flight, and an update on the development of a human lunar landing system … a few of the stories to tell you about – This Week at NASA!
Download Link: https://images.nasa.gov/details-Safe%20Return%20to%20Earth%20from%20the%20Space%20Station%20on%20This%20Week%20@NASA%20%E2%80%93%20April%2017,%202021</t>
  </si>
  <si>
    <t>NH44vP7R_58</t>
  </si>
  <si>
    <t>2021 04 16</t>
  </si>
  <si>
    <t>https://youtu.be/y-sA3R4MWjA</t>
  </si>
  <si>
    <t>NASA Picks SpaceX for Artemis Human Lunar Lander Development</t>
  </si>
  <si>
    <t>NASA is getting ready to send astronauts to explore more of the Moon as part of the Artemis program, and the agency has selected SpaceX to continue development of the first commercial human lander that will safely carry the next two American astronauts to the lunar surface. 
The agency’s powerful Space Launch System rocket will launch four astronauts aboard the Orion spacecraft for their multi-day journey to lunar orbit. There, two crew members will transfer to the SpaceX human landing system (HLS) for the final leg of their journey to the surface of the Moon. After approximately a week exploring the surface, they will board the lander for their short trip back to orbit where they will return to Orion and their colleagues before heading back to Earth.</t>
  </si>
  <si>
    <t>y-sA3R4MWjA</t>
  </si>
  <si>
    <t>2021 04 13</t>
  </si>
  <si>
    <t>https://youtu.be/k1UcseLVNVc</t>
  </si>
  <si>
    <t>Exoplanet Types  Worlds Beyond Our Solar System</t>
  </si>
  <si>
    <t>When we describe different types of exoplanets – planets outside our solar system – what do we mean by "hot Jupiters," "warm Neptunes," and "super-Earths"? Since we're still surveying and learning about the variety of worlds out there among the stars, it's sometimes helpful to refer to characteristics they share with planets we're familiar with in our own planetary system.
Credit: NASA/JPL-Caltech</t>
  </si>
  <si>
    <t>k1UcseLVNVc</t>
  </si>
  <si>
    <t>2021 04 12</t>
  </si>
  <si>
    <t>https://youtu.be/XKr09ZbXYUo</t>
  </si>
  <si>
    <t>Space Shuttle’s 40th Anniversary   'Something Just Short of a Miracle'</t>
  </si>
  <si>
    <t>On April 12, 1981, space shuttle Columbia launched for the first time with NASA astronauts John Young and Bob Crippen aboard.
With 10 years of design and development, the shuttle was the first of its kind — a reusable vehicle for travel to low-Earth orbit.
The STS-1 Mission would demonstrate safe launch into orbit and safe return of the orbiter and crew and verify the combined performance of the entire shuttle vehicle - orbiter, solid rocket boosters and external tank. Commander John Young called the flight “something just short of a miracle.”
The success of the STS-1 Mission was the beginning of an era and over the course of three decades, the space shuttle program redefined what we know about living in a microgravity environment.
Learn more at: https://www.nasa.gov/press-release/retired-astronaut-bob-crippen-on-the-40th-anniversary-of-sts-1-and-the-beginning-of/
Producer Credit: Sonnet Apple
Music: Universal Production Music</t>
  </si>
  <si>
    <t>XKr09ZbXYUo</t>
  </si>
  <si>
    <t>2021 04 09</t>
  </si>
  <si>
    <t>https://youtu.be/66RYpY_adnw</t>
  </si>
  <si>
    <t>The President’s Funding Request for NASA on This Week @NASA – April 9, 2021</t>
  </si>
  <si>
    <t>The President’s funding request for NASA, preparing for first flight on another world, and a new crew heads to the space station … a few of the stories to tell you about – This Week at NASA!
Download Link: https://images.nasa.gov/details-The%20President%E2%80%99s%20Funding%20Request%20for%20NASA%20on%20This%20Week%20@NASA%20%E2%80%93%20April%209,%202021
Producer: Andre Valentine
Editor: Lacey Young
Music: Universal Production Music</t>
  </si>
  <si>
    <t>66RYpY_adnw</t>
  </si>
  <si>
    <t>https://youtu.be/VdDK_eIEO-o</t>
  </si>
  <si>
    <t>NASA 2022  A Year of Innovation</t>
  </si>
  <si>
    <t>With a budget increase of more than 6% from the previous year, NASA will continue to boost its ingenuity in exploration, technology, aeronautics and science. This is a year of innovation.
This budget increases our ability to better understand Earth as a system –allowing us to tackle climate change in new ways. We will develop more climate-friendly aviation systems, like the X-57 Maxwell, and launch the James Webb Space Telescope that will enable groundbreaking research. Including a diverse and more inclusive workforce, we will continue pushing the boundaries of human exploration with Artemis, with goals of landing the first woman and the first person of color on the Moon, as well as fostering our international and commercial partnerships that help to make it all possible.
We look forward to continuing our legacy of inspiring the nation and the next generation of scientists, engineers and explorers, who will help us accomplish the ambitious goals that we’ve set out for NASA.
Producer/Editor: Lacey Young
Music: Universal Production Music</t>
  </si>
  <si>
    <t>VdDK_eIEO-o</t>
  </si>
  <si>
    <t>https://youtu.be/4pkhD96dMdg</t>
  </si>
  <si>
    <t>Gravity Assist Podcast  Season 5 Trailer</t>
  </si>
  <si>
    <t>Go behind the scenes at NASA with Chief Scientist Jim Green in the Gravity Assist podcast. We’ll talk to people who work in lots of different areas to make space missions and scientific investigations happen. How does someone become an astronaut, or an engineer working on the Ingenuity helicopter, or a science communicator? Everyone has a gravity assist – that person, place, or thing that inspired them to do what they’re doing now. New episodes will be released on Fridays. Check out the podcast at https://www.nasa.gov/gravityassist.
https://images.nasa.gov/details-Gravity%20Assist%20Podcast%20Season%205%20Trailer
Producer Credit: Sonnet Apple &amp; Elizabeth Landau
Audio Engineer: Manny Cooper
Music: Universal Production Music/ "Blue Moons"</t>
  </si>
  <si>
    <t>4pkhD96dMdg</t>
  </si>
  <si>
    <t>https://youtu.be/Xh2IU9EWwFw</t>
  </si>
  <si>
    <t>In the Midst of Segregation, She Persevered   Remembering Mary W. Jackson on her 100th Birthday</t>
  </si>
  <si>
    <t>NASA trailblazer and “Hidden Figure”, Mary W. Jackson was born April 9, 1921 in Hampton, VA. Despite segregation and difficult odds, she became the first black female engineer at NASA.
Jackson began her career with the agency in the segregated West Area Computing Unit of NASA’s Langley Research Center in Hampton, Virginia. The mathematician and aerospace engineer went on to lead programs influencing the hiring and promotion of women in NASA's science, technology, engineering, and mathematics careers. In 2019, she was posthumously awarded the Congressional Gold Medal.
Learn more at https://www.nasa.gov/content/mary-w-jackson-biography
https://images.nasa.gov/details-In%20the%20Midst%20of%20Segregation,%20She%20Persevered%20%20Remembering%20Mary%20W.%20Jackson%20on%20her%20100th%20Birthday
Producer Credit: Sonnet Apple
Music: Universal Production Music/ "Yeah Oh Yeah"</t>
  </si>
  <si>
    <t>Xh2IU9EWwFw</t>
  </si>
  <si>
    <t>2021 04 07</t>
  </si>
  <si>
    <t>https://youtu.be/GgmRAV8HNKE</t>
  </si>
  <si>
    <t>Artemis I  NASA’s Plans to Travel Beyond the Moon</t>
  </si>
  <si>
    <t>Artemis 1 will be the first integrated test of NASA’s deep space exploration systems: the Orion spacecraft, Space Launch System (SLS) rocket and the ground systems at Kennedy Space Center in Cape Canaveral, Florida. The first in a series of increasingly complex missions, Artemis I will be an uncrewed flight test that will provide a foundation for human deep space exploration, and demonstrate our commitment and capability to extend human existence to the Moon and beyond.
During this flight, the spacecraft will launch on the most powerful rocket in the world and fly farther than any spacecraft built for humans has ever flown. It will travel 280,000 miles from Earth, thousands of miles beyond the Moon over the course of about a three-week mission. Orion will stay in space longer than any ship for astronauts has done without docking to a space station and return home faster and hotter than ever before.
With this first exploration mission, NASA is leading the next steps of human exploration into deep space where astronauts will build and begin testing the systems near the Moon needed for lunar surface missions and exploration to other destinations farther from Earth, including Mars. 
Learn more at: https://www.nasa.gov/artemis-1
#artemis
Download link: https://images.nasa.gov/details-Artemis%20I%20NASA%E2%80%99s%20Plans%20to%20Travel%20Beyond%20the%20Moon
Editor: Sonnet Apple
Music: Universal Production Music/"The Wraith"</t>
  </si>
  <si>
    <t>GgmRAV8HNKE</t>
  </si>
  <si>
    <t>2021 04 05</t>
  </si>
  <si>
    <t>https://youtu.be/0ZOhJe_7GrE</t>
  </si>
  <si>
    <t xml:space="preserve">What Is an Exoplanet </t>
  </si>
  <si>
    <t>Exoplanets – planets outside our solar system – are everywhere. But why do we study them? What makes them so interesting? At NASA, we're surveying and studying exoplanets to learn all about their weirdness, their variety, and all the fascinating things they can tell us about how planets form and develop.
Credit: NASA/JPL-Caltech</t>
  </si>
  <si>
    <t>0ZOhJe_7GrE</t>
  </si>
  <si>
    <t>2021 04 02</t>
  </si>
  <si>
    <t>https://youtu.be/g4tld6ppv7Q</t>
  </si>
  <si>
    <t>Preparing a Small Satellite to Conduct Some Big Science on This Week @NASA – April 2, 2021</t>
  </si>
  <si>
    <t>Preparing a small satellite to conduct some big science, an update on our upcoming mission to a metal-rich asteroid, and a new director for the International Space Station … a few of the stories to tell you about – This Week at NASA!
Download Link: https://images.nasa.gov/details-NHQ_2021_0402_TW@N_GENERAL%20USE
Producer: Andre Valentine
Editor: Lacey Young
Music: Universal Production Music</t>
  </si>
  <si>
    <t>g4tld6ppv7Q</t>
  </si>
  <si>
    <t>2021 03 26</t>
  </si>
  <si>
    <t>https://youtu.be/qTtP9NKuxxY</t>
  </si>
  <si>
    <t>Preparing for First Flight on Mars on This Week @NASA – March 26, 2021</t>
  </si>
  <si>
    <t>Preparing for first flight on Mars, making a splash with Orion, and the space station’s next crew prepares for launch … a few of the stories to tell you about – This Week at NASA!
Download Link: https://images.nasa.gov/details-NHQ_2021_0326_TW@N
Producer Credit: Andre Valentine
Editor: Sonnet Apple
Music: Universal Production Music/"Another Way of Winning"</t>
  </si>
  <si>
    <t>qTtP9NKuxxY</t>
  </si>
  <si>
    <t>2021 03 25</t>
  </si>
  <si>
    <t>https://youtu.be/cr4nZkw0k28</t>
  </si>
  <si>
    <t>%23EZScience  Women in Astronomy</t>
  </si>
  <si>
    <t>The history of women in astronomy is fascinating and inspiring— women like Caroline Herschel, Phoebe Waterman Haas and Vera Rubin have been making discoveries and contributions in astronomy for over 200 years. In the latest episode of #EZScience, NASA associate administrator for science Dr. Thomas Zurbuchen and Smithsonian Under Secretary for Science and Research Dr. Ellen Stofan celebrate Women’s History Month and discuss the upcoming Vera C. Rubin Observatory.
Learn more about the series: https://www.nasa.gov/ezscience
#S2E3</t>
  </si>
  <si>
    <t>cr4nZkw0k28</t>
  </si>
  <si>
    <t>2021 03 24</t>
  </si>
  <si>
    <t>https://youtu.be/dpQUTSPGz-0</t>
  </si>
  <si>
    <t>Vice President Kamala Harris Calls NASA Astronauts Shannon Walker and Kate Rubins</t>
  </si>
  <si>
    <t>U.S. Vice President Kamala Harris placed a special phone call to Shannon Walker and Kate Rubins aboard the International Space Station to find out what it's like to do science in space.
During the month of March, NASA celebrates and pays tribute to the many women who have played an essential role in shaping the history of the agency.
Learn more about Shannon Walker by visiting: https://www.nasa.gov/astronauts/biographies/walker-shannon
Learn more about Kate Rubins by visiting: 
https://www.nasa.gov/astronauts/biographies/kathleen-rubins
#WomensHistoryMonth #WomenAtNASA
Download link: https://images.nasa.gov/details-NHQ_2021_0324_VPOTUS%20Women's%20History_NO%20TEXT
Producer Credit: Sonnet Apple
Music: Universal Production Music/ "The Dream Within"</t>
  </si>
  <si>
    <t>dpQUTSPGz-0</t>
  </si>
  <si>
    <t>2021 03 20</t>
  </si>
  <si>
    <t>https://youtu.be/nPmQbhlVeMs</t>
  </si>
  <si>
    <t>Firing up the Rocket for the Artemis Moon Missions on This Week @NASA – March 19, 2021</t>
  </si>
  <si>
    <t>Firing up the rocket for the Artemis Moon missions, a nomination for NASA’s next administrator, and making room for the space station’s next crew … a few of the stories to tell you about – This Week at NASA!
Download Link: https://images.nasa.gov/details-Firing%20up%20the%20Rocket%20for%20the%20Artemis%20Moon%20Missions%20on%20This%20Week%20@NASA%20%E2%80%93%20March%2019,%202021
Producer credit: Andre Valentine
Editor: Sonnet Apple
Music: Universal Production Music</t>
  </si>
  <si>
    <t>nPmQbhlVeMs</t>
  </si>
  <si>
    <t>https://youtu.be/t_oorb24lrg</t>
  </si>
  <si>
    <t>NASA Remembers Legendary Flight Director Glynn Lunney</t>
  </si>
  <si>
    <t>Legendary NASA Flight Director Glynn Lunney, 84, died Friday, March 19.
Lunney was a flight director for the Apollo 11 Moon landing mission, and was lead flight director for Apollo 7, the first crewed Apollo flight, and Apollo 10, the dress rehearsal for the first Moon landing, in NASA’s Mission Control Center in Houston. He led the mission control team credited with key actions that made it possible to save three Apollo 13 astronauts aboard a spacecraft disabled on the way to the Moon.
Read more: https://www.nasa.gov/press-release/nasa-remembers-legendary-flight-director-glynn-lunney
Video produced by David Anderson</t>
  </si>
  <si>
    <t>t_oorb24lrg</t>
  </si>
  <si>
    <t>2021 03 18</t>
  </si>
  <si>
    <t>https://youtu.be/OvzeB1TI5qw</t>
  </si>
  <si>
    <t>Smoke &amp; Fire! NASA Tests the World's Most Powerful Rocket</t>
  </si>
  <si>
    <t>NASA's Space Launch System (SLS) rocket's core stage fired all four of its RS-25 engines on March 18th at Stennis Space Center near Bay St. Louis, Mississippi.
The core stage includes the liquid hydrogen tank and liquid oxygen tank, four RS-25 engines, and the computers, electronics, and avionics that serve as the “brains” of the rocket. 
The hot fire was the final test of the Green Run series. The term “green” refers to the new hardware that will work together to power the stage, and “run” refers to operating all the components together simultaneously for the first time. For the test, the 212-foot core stage generated 1.6 million pounds of thrust, while anchored in the B-2 Test Stand at NASA’s Stennis Space Center near Bay St. Louis, Mississippi. The hot fire test included loading 733,000 gallons of liquid oxygen and liquid hydrogen – mirroring the launch countdown procedure – and igniting the engines.
Artemis I will be the first in series of increasingly complex missions, testing the SLS rocket and Orion spacecraft as an integrated system ahead of crewed flights to the Moon. Under the Artemis program, NASA is working to land the first woman and the next man on the Moon. SLS is the only rocket that can send Orion, astronauts, and supplies to the Moon on a single mission.
Learn more here: https://www.nasa.gov/exploration/systems/sls/index.html
Download link: https://images.nasa.gov/details-NHQ_2021_0318_Green%20Run%20Wrap
Producer Credit: Sonnet Apple
Music: Universal Production Music/"I Gotta Rise Up"</t>
  </si>
  <si>
    <t>OvzeB1TI5qw</t>
  </si>
  <si>
    <t>2021 03 15</t>
  </si>
  <si>
    <t>https://youtu.be/t2AgFb4jL1M</t>
  </si>
  <si>
    <t xml:space="preserve">%23AskNASA​​┃ What’s Out There </t>
  </si>
  <si>
    <t>Volcanic moons, asteroids and robots on Mars — journey into the solar system.
Join NASA Planetary Science Division Director, Lori Glaze, as she answers your most popular questions about space. Lori explains the importance of studying other planets and why we send spacecraft to explore. From volcanic moons to asteroids, Lori shares amazing facts about our solar system.
Send your questions to our experts using: #AskNASA​​. For more information about Artemis: https://www.nasa.gov/what-is-artemis​
VIDEO CREDITS:
Producers: Jori Kates and Amy Leniart
Editor: Amy Leniart</t>
  </si>
  <si>
    <t>t2AgFb4jL1M</t>
  </si>
  <si>
    <t>2021 03 12</t>
  </si>
  <si>
    <t>https://youtu.be/b__IE2vtInQ</t>
  </si>
  <si>
    <t>Perseverance Sends More Sounds From Mars on This Week @NASA – March 12, 2021</t>
  </si>
  <si>
    <t>Perseverance sends more sounds from Mars, the rocket boosters for Artemis I are all stacked up, and preview of a weekend spacewalk … a few of the stories to tell you about – This Week at NASA!
https://images.nasa.gov/details-Perseverance%20Sends%20More%20Sounds%20From%20Mars%20on%20This%20Week%20@NASA%20%E2%80%93%20March%2012,%202021
Producer: Andre Valentine
Editor: Lacey Young
Music: Universal Production Music</t>
  </si>
  <si>
    <t>b__IE2vtInQ</t>
  </si>
  <si>
    <t>https://youtu.be/bxqoMwUTcj0</t>
  </si>
  <si>
    <t>WE ARE RESILIENT  A Message from NASA Astronauts</t>
  </si>
  <si>
    <t>It has been one year since the United States began its battle against the COVID-19 pandemic.
This year has been tough and has changed the way all of us live. And yet despite extraordinary circumstances, NASA still accomplished extraordinary things.
Aboard the International Space Station, NASA Astronauts Mike Hopkins and Victor Glover have a message for all of us: Take care of each other and we'll get through this together.
https://images.nasa.gov/details-NHQ_2021_0312_ISS%20COVID%20MESSAGE%20_everyone
Producer Credit: Sonnet Apple
Music: "All I Need"/ Universal Production Music</t>
  </si>
  <si>
    <t>bxqoMwUTcj0</t>
  </si>
  <si>
    <t>2021 03 06</t>
  </si>
  <si>
    <t>https://youtu.be/Dqk3HbwNo1g</t>
  </si>
  <si>
    <t>Presidential Congratulations for Perseverance Rover Team This Week @NASA – March 5, 2021</t>
  </si>
  <si>
    <t>Presidential congratulations for the Mars Perseverance rover team, the rover makes its first drive on the Red Planet, and a pair of spacewalks outside the space station … a few of the stories to tell you about – This Week at NASA!
Download Link: https://images.nasa.gov/details-Presidential%20Congratulations%20for%20Perseverance%20Rover%20Team%20This%20Week%20@NASA%20%E2%80%93%20March%205,%202021
Producer: Andre Valentine
Editor: Lacey Young
Music: Universal Production Music</t>
  </si>
  <si>
    <t>Dqk3HbwNo1g</t>
  </si>
  <si>
    <t>2021 03 02</t>
  </si>
  <si>
    <t>https://youtu.be/OsIhTw0CK8U</t>
  </si>
  <si>
    <t>Artemis  We Are Focused</t>
  </si>
  <si>
    <t>Deep space exploration begins on American factory floors.
The launch of Artemis I will bring together the world’s most powerful rocket, NASA’s Space Launch System and the Orion Spacecraft, to prepare us to land the first woman and the next man on the lunar surface.</t>
  </si>
  <si>
    <t>OsIhTw0CK8U</t>
  </si>
  <si>
    <t>2021 03 01</t>
  </si>
  <si>
    <t>https://youtu.be/fIvSACh46YM</t>
  </si>
  <si>
    <t>Women of NASA Drive Exploration and Discovery</t>
  </si>
  <si>
    <t>March is Women's History Month. Women at NASA contribute every day to the success of our current missions and pave the way for future generations to reach for the stars.
To learn more:
https://www.nasa.gov/women
Video Credits:
Producer/Editor: Amy Leniart</t>
  </si>
  <si>
    <t>fIvSACh46YM</t>
  </si>
  <si>
    <t>2021 02 28</t>
  </si>
  <si>
    <t>https://youtu.be/ldRl10hMm9U</t>
  </si>
  <si>
    <t>How it Looks to Land on Mars on This Week @NASA – February 27, 2021</t>
  </si>
  <si>
    <t>How it looks to land on Mars, previewing space station spacewalks, and supplies and cargo delivered for the station crew … a few of the stories to tell you about – This Week at NASA!
Download Link:  https://images.nasa.gov/details-How%20it%20Looks%20to%20Land%20on%20Mars%20on%20This%20Week%20at%20NASA%20February%2027,%202021</t>
  </si>
  <si>
    <t>ldRl10hMm9U</t>
  </si>
  <si>
    <t>2021 02 27</t>
  </si>
  <si>
    <t>https://youtu.be/-A58krE7bBE</t>
  </si>
  <si>
    <t>Vice President Kamala Harris Calls NASA Astronaut Victor Glover</t>
  </si>
  <si>
    <t>U.S. Vice President Kamala Harris placed a special phone call to space this week when she spoke with astronaut Victor Glover who is aboard the International Space Station.
Glover, a crew member of NASA’s SpaceX Crew-1 mission, is the first African American astronaut to fly on a commercial spacecraft, and the first African American to fly a long-term mission aboard the orbiting laboratory. This is his first spaceflight since being selected as a NASA astronaut in 2013.
Learn more about Glover by visiting https://www.nasa.gov/astronauts/biographies/victor-j-glover/biography 
Download Link: https://images.nasa.gov/details-Vice%20President%20Kamala%20Harris%20Calls%20NASA%20Astronaut%20Victor%20Glover
Producer Credit: Sonnet Apple
Music: "Say So"/Universal Production Music</t>
  </si>
  <si>
    <t>-A58krE7bBE</t>
  </si>
  <si>
    <t>2021 02 26</t>
  </si>
  <si>
    <t>https://youtu.be/JPqjGLcGbyU</t>
  </si>
  <si>
    <t>NASA Headquarters Unveils New Name  Mary W. Jackson Headquarters Building</t>
  </si>
  <si>
    <t>NASA paid tribute to a "Hidden Figure" by holding a ceremony officially naming the NASA Headquarters building in Washington, D.C. in honor of Mary W. Jackson Friday, Feb 26. 
Mary W. Jackson, the first African American female engineer at NASA, began her career with the agency in the segregated West Area Computing Unit of NASA’s Langley Research Center in Hampton, Virginia. The mathematician and aerospace engineer went on to lead programs influencing the hiring and promotion of women in NASA's science, technology, engineering, and mathematics careers. In 2019, she was awarded the Congressional Gold Medal posthumously. 
In addition to unveiling a building sign with Jackson’s name, the event featured video tributes with reflections on Jackson’s career and legacy from current and former NASA employees and astronauts, celebrities, elected officials and others. 
Learn more at: https://www.nasa.gov/content/mary-w-jackson-biography
Producer Credit: Sonnet Apple 
Music: "Back to Basics"/Universal Production Music</t>
  </si>
  <si>
    <t>JPqjGLcGbyU</t>
  </si>
  <si>
    <t>2021 02 24</t>
  </si>
  <si>
    <t>https://youtu.be/-kaysm_xhM8</t>
  </si>
  <si>
    <t>Honoring a 'Hidden Figure'  NASA to Unveil the Mary W. Jackson Headquarters Building</t>
  </si>
  <si>
    <t>Mary W. Jackson, the first African American female engineer at NASA, began her career with the agency in the segregated West Area Computing Unit of NASA’s Langley Research Center in Hampton, Virginia. The mathematician and aerospace engineer went on to lead programs influencing the hiring and promotion of women in NASA's science, technology, engineering, and mathematics careers. In 2019, she was awarded the Congressional Gold Medal posthumously. 
Acting NASA Administrator Steve Jurczyk will lead a ceremony at 1 p.m. EST Friday, Feb 26, officially naming the NASA Headquarters building in Washington in honor of Mary W. Jackson. 
The event will air live on NASA Television and the agency’s website and will stream live on the agency’s flagship social media accounts. and the NASA app.\
In addition to unveiling a building sign with Jackson’s name, the event will feature video tributes with reflections on Jackson’s career and legacy from current and former NASA employees and astronauts, celebrities, elected officials and others. The event will also feature a video of poet Nikki Giovanni reading an excerpt from her poem “Quilting the Black-Eyed Pea,” which is about space and civil rights.
Producer Credit: Sonnet Apple
Music: "My One and Only"/Universal Production Music</t>
  </si>
  <si>
    <t>-kaysm_xhM8</t>
  </si>
  <si>
    <t>2021 02 23</t>
  </si>
  <si>
    <t>https://youtu.be/GUqsH5y1j1M</t>
  </si>
  <si>
    <t>Watch NASA's Perseverance Rover Land   Video from Mars!</t>
  </si>
  <si>
    <t>New video from NASA’s Mars 2020 Perseverance rover chronicles major milestones during the final minutes of its entry, descent and landing (EDL) on the Red Planet on Feb. 18 as the spacecraft plummeted, parachuted, and rocketed toward the surface of Mars. 
From the moment of parachute inflation, the camera system covers the entirety of the descent process, showing some of the rover’s intense ride to Mars’ Jezero Crater. The footage from high-definition cameras aboard the spacecraft starts 7 miles (11 kilometers) above the surface, showing the supersonic deployment of the most massive parachute ever sent to another world and ends with the rover’s touchdown in the crater.
Producer Credit: Sonnet Apple
Music: "DMC 12"/Universal Production Music</t>
  </si>
  <si>
    <t>GUqsH5y1j1M</t>
  </si>
  <si>
    <t>2021 02 22</t>
  </si>
  <si>
    <t>https://youtu.be/irbigpycU8w</t>
  </si>
  <si>
    <t>Panorama of Mars from Perseverance Rover</t>
  </si>
  <si>
    <t>This panorama, taken on Feb. 20, 2021, by the Navigation Cameras, or Navcams, aboard NASA’s Perseverance Mars rover, was stitched together from six individual images after they were sent back to Earth. 
A key objective for Perseverance’s mission on Mars is astrobiology, including the search for signs of ancient microbial life. The rover will characterize the planet’s geology and past climate, pave the way for human exploration of the Red Planet, and be the first mission to collect and cache Martian rock and regolith.
Subsequent missions, currently under consideration by NASA in cooperation with ESA (European Space Agency), would send spacecraft to Mars to collect these cached samples from the surface and return them to Earth for in-depth analysis.
The Mars 2020 Perseverance mission is part of NASA’s Moon to Mars exploration approach, which includes Artemis missions to the Moon that will help prepare for human exploration of the Red Planet.
NASA’s Jet Propulsion Laboratory in Southern California built and manages operations of the Mars 2020 Perseverance rover for NASA.
For more information about the mission, go to: https://mars.nasa.gov/mars2020
Credit: NASA/JPL-Caltech</t>
  </si>
  <si>
    <t>irbigpycU8w</t>
  </si>
  <si>
    <t>https://youtu.be/4czjS9h4Fpg</t>
  </si>
  <si>
    <t>Perseverance Rover’s Descent and Touchdown on Mars (Official NASA Video)</t>
  </si>
  <si>
    <t>NASA's Mars 2020 Perseverance mission captured thrilling footage of its rover landing in Mars' Jezero Crater on Feb. 18, 2021.  The real footage in this video was captured by several cameras that are part of the rover's entry, descent, and landing suite. The views include a camera looking down from the spacecraft's descent stage (a kind of rocket-powered jet pack that helps fly the rover to its landing site), a camera on the rover looking up at the descent stage, a camera on the top of the aeroshell (a capsule protecting the rover) looking up at that parachute, and a camera on the bottom of the rover looking down at the Martian surface.
The audio embedded in the video comes from the mission control call-outs during entry, descent, and landing. 
For more information about Perseverance, visit https://mars.nasa.gov/perseverance
Credit: NASA/JPL-Caltech</t>
  </si>
  <si>
    <t>4czjS9h4Fpg</t>
  </si>
  <si>
    <t>2021 02 21</t>
  </si>
  <si>
    <t>https://youtu.be/vaB7eZ5jNn4</t>
  </si>
  <si>
    <t>Our Perseverance Rover Takes up Residence on Mars on This Week @NASA – February 20, 2021</t>
  </si>
  <si>
    <t>Our Perseverance rover takes up residence on Mars, the space station’s next commercial resupply mission, and a new date for a commercial crew test flight … a few of the stories to tell you about – This Week at NASA!
Download Link: https://images.nasa.gov/details-Our%20Perseverance%20Rover%20Takes%20up%20Residence%20on%20Mars%20on%20This%20Week%20@NASA%20%E2%80%93%20February%2020,%202021</t>
  </si>
  <si>
    <t>vaB7eZ5jNn4</t>
  </si>
  <si>
    <t>2021 02 20</t>
  </si>
  <si>
    <t>https://youtu.be/TIHDSfOlSKc</t>
  </si>
  <si>
    <t>President Biden Congratulates NASA on the Perseverance Mars Rover Touchdown</t>
  </si>
  <si>
    <t>President Joe Biden called acting NASA Administrator Steve Jurczyk on Feb. 18, 2021, just after the Perseverance rover touched down on Mars to congratulate the agency's team on the successful landing.
Learn more about the mission at: https://mars.nasa.gov/mars2020/
Video Credit: The White House</t>
  </si>
  <si>
    <t>TIHDSfOlSKc</t>
  </si>
  <si>
    <t>2021 02 19</t>
  </si>
  <si>
    <t>https://youtu.be/AKA9FeqX_ns</t>
  </si>
  <si>
    <t>Is Mars Habitable  We Asked a NASA Scientist</t>
  </si>
  <si>
    <t>Is Mars habitable? Could ancient life once have existed on the Red Planet? Is there potential for life today deep beneath the Martian crust? NASA Mars expert Ell Bogat is here to give us the details.</t>
  </si>
  <si>
    <t>AKA9FeqX_ns</t>
  </si>
  <si>
    <t>2021 02 18</t>
  </si>
  <si>
    <t>https://youtu.be/5peaq6aKIvI</t>
  </si>
  <si>
    <t>Q A  International Partnerships are Getting Perseverance to Mars, Here's How</t>
  </si>
  <si>
    <t>Space agencies across the globe have helped make the Perseverance Mars Rover mission a reality. Join the European Space Agency, France, Italy, Norway and Spain, for a Q/A on topics like Perseverance’s first picture in the Jezero Crater, or some of humanity’s biggest questions like: Is there life on Mars? 
After a 7-month journey to the Red Planet, Perseverance will land in Mars’ Jezero Crater on February 18, 2021. Live coverage on NASA TV, the NASA app, and @NASA social media channels starts at 2:15 p.m. EST with landing at 3:55 p.m. EST. 
Producer/Editor: Lacey Young  
Music: Universal Production Music</t>
  </si>
  <si>
    <t>5peaq6aKIvI</t>
  </si>
  <si>
    <t>https://youtu.be/RmQpLuc0MtE</t>
  </si>
  <si>
    <t>60 Years of Mars Exploration Has Led to This</t>
  </si>
  <si>
    <t>Watch live on February 18, 2021, as our Perseverance Mars Rover touches down on the Red Planet. 
60 years ago, NASA started sending robotic explorers to Mars, but none have been as sophisticated as Perseverance. It will gather samples from the Martian surface for possible later return to Earth, and fly a drone for the first time on any planetary body. Watch it touch down live and use the hashtag #CountdownToMars for the latest updates and news.
Producer/Editor: David Anderson
Music: Universal Production Music</t>
  </si>
  <si>
    <t>RmQpLuc0MtE</t>
  </si>
  <si>
    <t>2021 02 17</t>
  </si>
  <si>
    <t>https://youtu.be/TgcI8ur72x0</t>
  </si>
  <si>
    <t>Feb. 18  Our Perseverance Rover &amp; Ingenuity Helicopter Arrive at Mars</t>
  </si>
  <si>
    <t>On Feb. 18, join us in welcoming our Perseverance Mars rover to its new home on Mars. After the entry into Mars' atmosphere and descent to landing, it will touch down in a basin called Jezero Crater. The rover will search for signs of ancient microbial life &amp; collect samples for future missions to return. It's brought a friend to Mars as well - the Ingenuity Mars helicopter, a technology demonstration that will attempt the first-ever powered flight on another planet. 
Credit: NASA
Producer/Editor: Mark Hailey</t>
  </si>
  <si>
    <t>TgcI8ur72x0</t>
  </si>
  <si>
    <t>2021 02 16</t>
  </si>
  <si>
    <t>https://youtu.be/uMjXb7T-evE</t>
  </si>
  <si>
    <t>Could Microbes Survive a Trip to Mars  We Asked a NASA Scientist</t>
  </si>
  <si>
    <t>Could Earth-based microbes survive a trip to Mars? Yes! That’s why we made sure our Perseverance Mars rover met cleanliness requirements before leaving our home planet. Dr. Moogega Cooper from the NASA Jet Propulsion Laboratory is here to fill us in. #CountdownToMars</t>
  </si>
  <si>
    <t>uMjXb7T-evE</t>
  </si>
  <si>
    <t>2021 02 15</t>
  </si>
  <si>
    <t>https://youtu.be/8MbcriX4dks</t>
  </si>
  <si>
    <t>Feb. 18  We're Landing a Rover on Mars!</t>
  </si>
  <si>
    <t>On February 18, 2021, the Perseverance Mars Rover will touch down on the Red Planet. The rover will seek signs of ancient life and collect samples of rock and regolith (broken rock and soil) for possible return to Earth.
Similar in size to a car, Perseverance is the heaviest rover we've ever sent to the surface of Mars, carrying a variety of out-of-this-world experiments that will help prepare us for future human exploration.
Producer/Editor: Lacey Young
Music: Universal Production Music</t>
  </si>
  <si>
    <t>8MbcriX4dks</t>
  </si>
  <si>
    <t>2021 02 12</t>
  </si>
  <si>
    <t>https://youtu.be/AK0blY50X5c</t>
  </si>
  <si>
    <t>Tracking Our Next Mars Landing on This Week @NASA – February 12, 2021</t>
  </si>
  <si>
    <t>Tracking our next Mars landing, the science on the next station resupply mission, and the newest space station flight directors … a few of the stories to tell you about – This Week at NASA!
Download Link: https://images.nasa.gov/details-Tracking%20Our%20Next_Mars%20Landing%20on%20This%20Week%20@NASA%20%E2%80%93%20February_12,%202021</t>
  </si>
  <si>
    <t>AK0blY50X5c</t>
  </si>
  <si>
    <t>2021 02 10</t>
  </si>
  <si>
    <t>https://youtu.be/iqRRWse9DaY</t>
  </si>
  <si>
    <t>The Power of African American Leadership in NASA</t>
  </si>
  <si>
    <t>Spanning missions from Apollo to Artemis, “The Power of African American Leadership in NASA” will look at how African Americans in leadership roles have influenced change and helped drive mission success through lessons learned and discussions shared by current and past NASA leaders. The panel discussion, moderated by NASA associate administrator for Small Business Programs Glenn Delgado, will feature:
• Brenda Manuel, retired NASA associate administrator for Diversity and Equal Opportunity
• Clayton Turner, director, NASA's Langley Research Center
• Hildreth (Hal) Walker Jr., NASA “Hidden Figure,” who led the manufacturing, testing, and operation of the KORAD K-1500 ruby laser system for the lunar laser ranging experiment as part of the Apollo 11 Moon landing
• Dr. Woodrow Whitlow, retired NASA associate administrator for Mission Support
• Vanessa Wyche, deputy center director, NASA’s Johnson Space Center</t>
  </si>
  <si>
    <t>iqRRWse9DaY</t>
  </si>
  <si>
    <t>2021 02 07</t>
  </si>
  <si>
    <t>https://youtu.be/iHlMyvBvVTE</t>
  </si>
  <si>
    <t>Spot the Station Over the Super Bowl</t>
  </si>
  <si>
    <t>The International Space Station’s orbital path will take it within sighting range of Tampa, Florida at 7:15 p.m. EST on Sunday, Feb. 7. Weather permitting, the sighting opportunity will be about the same time two football teams will be competing to win Super Bowl LV.
"Spot the Station" where you live, visit: https://spotthestation.nasa.gov
See the path the station will follow visit: https://www.nasa.gov/football
The station's trajectory passes over more than 90 percent of Earth's population. NASA's "Spot the Station" is designed to only notify users of passes that are high enough in the sky to be easily visible over trees, buildings and other objects on the horizon. NASA's Johnson Space Center calculates the sighting information several times a week for more than 4,600 locations worldwide.
Producer Credit: Sonnet Apple
Music: "My Moment"/Universal Production Music</t>
  </si>
  <si>
    <t>iHlMyvBvVTE</t>
  </si>
  <si>
    <t>2021 02 06</t>
  </si>
  <si>
    <t>https://youtu.be/vwfe-KQJwNc</t>
  </si>
  <si>
    <t>We are Family  NASA Honors Black History Month</t>
  </si>
  <si>
    <t>NASA celebrates Black History Month by honoring the accomplishments and contributions of African Americans across the agency.
This year, NASA pays tribute to The Black Family: Representation, Identity, and Diversity, the theme for 2021.
Each year during February, NASA highlights the African American community's significant achievements, whose creativity and innovations have done much to advance science &amp; technology and made our lives more enriched.
Video Credits:
Producer/Editor: Jori Kates
Writer: Jori Kates and Andre Valentine</t>
  </si>
  <si>
    <t>vwfe-KQJwNc</t>
  </si>
  <si>
    <t>2021 02 05</t>
  </si>
  <si>
    <t>https://youtu.be/UnRwCRWeLqw</t>
  </si>
  <si>
    <t>A New Source of Power for the Space Station on This Week @NASA – February 5, 2021</t>
  </si>
  <si>
    <t>A new source of power for the space station, targeting a second Green Run hot fire test, and another major boost for our Space Launch System rocket … a few of the stories to tell you about – This Week at NASA!
Download Link: https://images.nasa.gov/details-A%20New%20Source%20of%20Power%20for%20the%20Space%20Station%20on%20This%20Week%20@NASA%20%E2%80%93%20February%205,%202021</t>
  </si>
  <si>
    <t>UnRwCRWeLqw</t>
  </si>
  <si>
    <t>2021 02 04</t>
  </si>
  <si>
    <t>https://youtu.be/7xXWHklpOqI</t>
  </si>
  <si>
    <t>Science Launching on Northrop Grumman's 15th Resupply Mission</t>
  </si>
  <si>
    <t>Experiments using worms to study muscle weakening, examining how astronauts sleep, and testing high-powered computers in space will be launching, along with more scientific experiments and supplies, to the International Space Station on a Northrop Grumman Cygnus spacecraft. This Cygnus is named the S.S. Katherine Johnson, after the NASA mathematician whose calculations were critical to the success of our early human spaceflight missions. 
The vehicle launches no earlier than Feb. 20 from our Wallops Flight Facility in Virginia. Many of the experiments launching on this spacecraft build on previous studies conducted during the more than 20 years of continuous human habitation of the International Space Station, helping us explore farther in to space, and benefiting humans back on Earth. 
Learn more about the research being conducted on station: https://www.nasa.gov/iss-scienceFollow 
Twitter updates on the science conducted aboard the space station: https://twitter.com/iss_research</t>
  </si>
  <si>
    <t>7xXWHklpOqI</t>
  </si>
  <si>
    <t>2021 01 31</t>
  </si>
  <si>
    <t>https://youtu.be/l7MMTm1-DAA</t>
  </si>
  <si>
    <t>Apollo 14  ‘A Wild Place Up Here’</t>
  </si>
  <si>
    <t>Apollo 14 was the eighth crewed Apollo mission and the third to land on the Moon. On January 31, 1971, Apollo 14 launched from Kennedy Space Center with a crew of commander Alan B. Shepard, command module pilot Stuart A. Roosa, and lunar module pilot Edgar D. Mitchell. 
The crew experienced challenges in docking with the lunar module Antares and six attempts were required before a "hard dock" was achieved. 
On February 5, 1971, Antares made the most precise landing to date in the hilly uplands of the Fra Mauro crater.
Shepard and Mitchell spent a total of 33.5 hours on the Moon and performed two extra-vehicular activities (EVAs, or “moonwalks”), totaling 9 hours and 23 minutes. During the first EVA, they deployed several science experiments. Among these was a reflector that continues to be used to measure the distance from the Earth to the Moon. They also deployed a seismometer, which detected thousands of moonquakes and helped to determine the structure of the Moon’s interior. Other instruments measured the composition of the solar wind and the Moon’s tenuous atmosphere and plasma environment. Shepard and Mitchell collected 95 pounds of lunar rock and soil samples.
 The command module Kitty Hawk splashed down safely on February 9, 1971, exactly nine days and two minutes after launch. The mission duration from liftoff to splashdown was 216 hours, two minutes.
Download Link: https://images.nasa.gov/details-Apollo%2014%20%E2%80%98A%20Wild%20Place%20Up%20Here%E2%80%99
Video Credits:
Producer/Writer/Editor: Amy Leniart</t>
  </si>
  <si>
    <t>l7MMTm1-DAA</t>
  </si>
  <si>
    <t>2021 01 29</t>
  </si>
  <si>
    <t>https://youtu.be/KA-aYSyeBB0</t>
  </si>
  <si>
    <t>The First Space Station Spacewalk of the New Year on This Week @NASA – January 29, 2021</t>
  </si>
  <si>
    <t>The first space station spacewalk of the new year, a new date for a commercial crew test flight, and our next landing on Mars is fast approaching … a few of the stories to tell you about – This Week at NASA!
Download Link: https://images.nasa.gov/details-The%20First%20Space%20Station%20Spacewalk%20of%20the%20New%20Year%20on%20This%20Week%20@NASA%20%E2%80%93%20January%2029,%202021</t>
  </si>
  <si>
    <t>KA-aYSyeBB0</t>
  </si>
  <si>
    <t>https://youtu.be/t3uLFB5IxRk</t>
  </si>
  <si>
    <t>NASA Day of Remembrance at Arlington National Cemetery</t>
  </si>
  <si>
    <t>On Thursday, Jan. 28, wreaths were laid at Arlington National Cemetery in Virginia in memory of the fallen astronauts of Apollo 1, space shuttles Challenger and Columbia, and other members of the NASA family who lost their lives in the quest for space exploration. A limited number of senior agency officials and others from NASA Headquarters joined family members for the small family gathering on the annual Day of Remembrance.
https://www.nasa.gov/specials/dor2021/
Producer Credit: Amy Leniart &amp; Sonnet Apple</t>
  </si>
  <si>
    <t>t3uLFB5IxRk</t>
  </si>
  <si>
    <t>2021 01 26</t>
  </si>
  <si>
    <t>https://youtu.be/jhbL9JtTIQg</t>
  </si>
  <si>
    <t>NASA Astronauts Share Inauguration Message From the Space Station</t>
  </si>
  <si>
    <t>NASA astronauts Shannon Walker, Victor Glover, Kate Rubins and Mike Hopkins shared a special inaugural message while aboard the International Space Station, orbiting 200 miles above the Earth's surface.
Download this video from NASA's image and video library: https://images.nasa.gov/details-NASA%20Astronauts%20Share%20Their%20Inauguration%20Message%20From%20The%20Space%20Station
Editor: Lacey Young</t>
  </si>
  <si>
    <t>jhbL9JtTIQg</t>
  </si>
  <si>
    <t>2021 01 22</t>
  </si>
  <si>
    <t>https://youtu.be/0hSdAvJhpm4</t>
  </si>
  <si>
    <t>An Update on the Recent Green Run Hot Fire Test on This Week @NASA – January 22, 2021</t>
  </si>
  <si>
    <t>An update on the recent Green Run hot fire test, preflight preparations continue with the Orion spacecraft, and a new view of small solar structures … a few of the stories to tell you about – This Week at NASA!
Download Link: https://images.nasa.gov/details-An%20Update%20on%20the%20Recent%20Green%20Run%20Hot%20Fire%20Test%20on%20This%20Week%20@NASA%20%E2%80%93%20January%2022,%202021
Producer: Andre Valentine
Editor: Sonnet Apple
Music: Universal Production Music</t>
  </si>
  <si>
    <t>0hSdAvJhpm4</t>
  </si>
  <si>
    <t>2021 01 15</t>
  </si>
  <si>
    <t>https://youtu.be/sxajQGQp4-s</t>
  </si>
  <si>
    <t>The Annual Assessment of Global Temperatures on This Week @NASA – January 15, 2021</t>
  </si>
  <si>
    <t>The annual assessment of global temperatures, a first-of-its-kind undocking from the space station, and a look at what goes into the Green Run hot fire test … a few of the stories to tell you about – This Week at NASA!
Download Link: https://images.nasa.gov/details-The%20Annual%20Assessment%20of%20Global%20Temperatures%20on%20This%20Week%20@NASA%20%E2%80%93%20January%2015,%202021
Producer: Andre Valentine
Editor: Lacey Young
Music: Universal Production Music</t>
  </si>
  <si>
    <t>sxajQGQp4-s</t>
  </si>
  <si>
    <t>https://youtu.be/iZ3pNJlozLY</t>
  </si>
  <si>
    <t>NASA Administrator Jim Bridenstine  A Look Back</t>
  </si>
  <si>
    <t>A look back at Administrator Jim Bridenstine's time at NASA and all the incredible things accomplished during his tenure. From introducing the Artemis Generation to renaming NASA headquarters after hidden figure Mary W. Jackson, there have been so many highlights to appreciate. 
Producer/Editor: David Anderson
Music: Universal Production Music</t>
  </si>
  <si>
    <t>iZ3pNJlozLY</t>
  </si>
  <si>
    <t>2021 01 12</t>
  </si>
  <si>
    <t>https://youtu.be/PapBjpzRhnA</t>
  </si>
  <si>
    <t>Jan. 16  Artemis I Hot Fire Test</t>
  </si>
  <si>
    <t>NASA is targeting the final test in the Green Run series, the hot fire, for Sat., Jan.16. The hot fire is the culmination of the Green Run test series, an eight-part test campaign that gradually brings the core stage of the Space Launch System (SLS) — the deep space rocket that will power the Artemis program's human missions to the Moon — to life for the first time. All four of the stage’s RS-25 engines will be fired simultaneously for up to eight minutes to simulate the core stage’s performance during launch. 
The next time this core stage will be fired is during the launch of Artemis I, the first integrated flight of SLS and Orion, and the first mission of the agency’s Artemis program.
For more information about the Artemis program, please visit https://www.nasa.gov/artemis/
Producer/Editor: Lacey Young
Music: Universal Production Music</t>
  </si>
  <si>
    <t>PapBjpzRhnA</t>
  </si>
  <si>
    <t>2021 01 08</t>
  </si>
  <si>
    <t>https://youtu.be/aDhvP6qEvVM</t>
  </si>
  <si>
    <t>An Update on the Green Run Hot Fire Test for Artemis I on This Week @NASA – January 8, 2021</t>
  </si>
  <si>
    <t>An update on the Green Run hot fire test for Artemis I, a commercial cargo spacecraft leaves the space station, and innovative ideas for exploring unexplored areas of the Moon … a few of the stories to tell you about – This Week at NASA!
Download Link: https://images.nasa.gov/details-An%20Update%20on%20the%20Green%20Run%20Hot%20Fire%20Test%20for%20Artemis%20I%20on%20This%20Week%20@NASA%20%E2%80%93%20January%208,%202021
Producer: Andre Valentine
Editor: Sonnet Apple
Music: Universal Production Music</t>
  </si>
  <si>
    <t>aDhvP6qEvVM</t>
  </si>
  <si>
    <t>2021 01 01</t>
  </si>
  <si>
    <t>https://youtu.be/DIkqs9_FK28</t>
  </si>
  <si>
    <t>Down to Earth  The Astronaut’s Perspective</t>
  </si>
  <si>
    <t>Ever wonder what it’s like to see our planet from space? NASA’s astronauts will take you on a journey to the International Space Station, exploring the life-changing experience of an orbital perspective. View Earth as you’ve never seen it before: through the eyes of an astronaut.</t>
  </si>
  <si>
    <t>DIkqs9_FK28</t>
  </si>
  <si>
    <t>2020 12 31</t>
  </si>
  <si>
    <t>https://youtu.be/_fRSaLAEW2s</t>
  </si>
  <si>
    <t>NASA 2021  Let's Go to the Moon</t>
  </si>
  <si>
    <t>Sending the first Artemis mission to the Moon in preparation for human missions, landing a new rover on Mars, and launching the James Webb Space Telescope into space, expanding our ability to see deep into the universe, are just a few of the things NASA has planned for 2021. 
To learn more about the missions mentioned in this video, take a deep dive into these links: 
To the Moon [00:12]
Space Launch System: https://www.nasa.gov/sls  
Artemis I: https://www.nasa.gov/artemis  
Commercial Lunar Payload Services: https://www.nasa.gov/clps  
Human Landing System: https://www.nasa.gov/content/humans-on-the-moon-0  
Artemis Accords: https://www.nasa.gov/artemisaccords  
Exploring Beyond [00:47]
Perseverance: https://www.nasa.gov/perseverance  
MOXIE: https://mars.nasa.gov/mars2020/spacecraft/instruments/moxie/  
Ingenuity: https://mars.nasa.gov/technology/helicopter/#Overview 
James Webb Space Telescope: https://www.nasa.gov/jwst  
DART: https://www.nasa.gov/dart  
LUCY: https://www.nasa.gov/lucy  
Landsat 9: https://landsat.gsfc.nasa.gov/landsat-9/landsat-9-overview
Humans in Space [1:38]
International Space Station: https://www.nasa.gov/iss  
Commercial Crew: https://www.nasa.gov/commercialcrew  
Astronaut Candidates: https://www.nasa.gov/astronauts  
Space Technology [2:07] 
CAPSTONE: https://www.nasa.gov/directorates/spacetech/small_spacecraft/capstone  
Laser Communications Relay Demonstration: https://www.nasa.gov/spacetech  
Pioneering Flight [2:28]
X-57 Maxwell: https://www.nasa.gov/aero  
Advanced Air Mobility: https://www.nasa.gov/aero 
X-59 QUESST: https://www.nasa.gov/subject/7565/future-aircraft/
Producer/Editor: Lacey Young
Music: Universal Production Music</t>
  </si>
  <si>
    <t>_fRSaLAEW2s</t>
  </si>
  <si>
    <t>2020 12 29</t>
  </si>
  <si>
    <t>https://youtu.be/I5c0a6mBF8k</t>
  </si>
  <si>
    <t>What You Need to Know from NASA</t>
  </si>
  <si>
    <t>Want to know more about our solar system but don’t know where to start? We’ve got you covered. Our What You Need to Know series takes you on a tour across the solar system, exploring some of the most intriguing features about our tiny slice of the Milky Way galaxy. 
From moons that hide vast liquid oceans to asteroids that hold the secrets of our universe to worlds that could be friendly to life, tune in to find out What You Need to Know.
Binge watch the whole series here: https://youtube.com/playlist?list=PL2aBZuCeDwlQJ-UyJfwEbX9YJGSpzPcdg</t>
  </si>
  <si>
    <t>I5c0a6mBF8k</t>
  </si>
  <si>
    <t>2020 12 28</t>
  </si>
  <si>
    <t>https://youtu.be/49-2VDRBRX4</t>
  </si>
  <si>
    <t>Season's Greetings from NASA</t>
  </si>
  <si>
    <t>It's winter in the Northern Hemisphere on Earth, but we're not the only place with ice and snow! From the frozen polar craters of Mercury to methane frost on the mountains of Pluto, enjoy season's greetings from around the solar system.</t>
  </si>
  <si>
    <t>49-2VDRBRX4</t>
  </si>
  <si>
    <t>2020 12 21</t>
  </si>
  <si>
    <t>https://youtu.be/HgHr_1DOrrU</t>
  </si>
  <si>
    <t>We Persevered This Year @NASA – December 21, 2020</t>
  </si>
  <si>
    <t>2020 was historic for NASA. We launched humans to the International Space Station from America again, made progress on our plans to return humans to the Moon and explore Mars, had an unprecedented encounter with an asteroid, and displayed perseverance and resilience in space and on Earth … all, while helping the country deal with a global crisis. Here’s a look back at highlights from those and other things we did this year at NASA.
Download Link: https://images.nasa.gov/details-NASA%20Discoveries,%20R%20andD,%20Moon%20to%20Mars%20Exploration%20Plans%20Persevere%20This%20Year%20atNASA%20%E2%80%93%20December%2021,%202020
Producer: Andre Valentine
Editor: Sonnet Apple
Music: Universal Production Music</t>
  </si>
  <si>
    <t>HgHr_1DOrrU</t>
  </si>
  <si>
    <t>2020 12 19</t>
  </si>
  <si>
    <t>https://youtu.be/GtgxGhXLDBQ</t>
  </si>
  <si>
    <t>Gravity Assist  The Bright Spot of the Asteroid Belt, with Britney Schmidt</t>
  </si>
  <si>
    <t>Between the orbits of Mars and Jupiter is a mysterious dwarf planet called Ceres. Its surface is dark and muddy, but has hundreds of patches of bright material. The salt-covered dome and other bright features in Occator Crater are so reflective that they looked like flashlights in distant images. NASA’s Dawn spacecraft got a close look at Ceres and pointed scientists to the idea that liquid brine has come up from the interior, forming the Occator dome and other bright features. Ceres’ crust also contains a significant amount of ice. Astrobiologist Britney Schmidt discusses the implications, as well as her fieldwork in Antarctica.
Listen to the full episode and subscribe: https://www.nasa.gov/gravityassist
Producer Credit: Elizabeth Landau &amp; Sonnet Apple 
Music Credit: Universal Production Music</t>
  </si>
  <si>
    <t>GtgxGhXLDBQ</t>
  </si>
  <si>
    <t>2020 12 18</t>
  </si>
  <si>
    <t>https://youtu.be/3yumLKlB_Ww</t>
  </si>
  <si>
    <t>The International Space Station  International Partnerships</t>
  </si>
  <si>
    <t>The International Space Station is one of the most ambitious international collaborations ever attempted, and is a convergence of science, technology and human innovation that provides humanity a one-of-a-kind proving ground for Artemis as we go forward to the Moon and on to Mars. International collaboration in space exploration serves as an unparalleled and inspiring example of what humanity can do when it comes together to achieve a common goal for the common good. NASA’s partnerships with the Canadian Space Agency, European Space Agency, Japan Aerospace Exploration Agency, and Roscosmos aboard the space station have led to an unprecedented continuous human presence in space for nearly 20 years. 
In recognition of the 20th anniversary of continuous human presence aboard the International Space Station, listen as Space Foundation Board Member Jeanne Meserve sits down the International Space Station partner leaders as they discuss what it has taken to keep this global partnership successful. Joining the conversation is the International Space Station Partner Leadership consisting of Joel Montalbano of the National Aeronautics and Space Administration, Sergei Krikalev of Roscosmos, Luc Dubé of the Canadian Space Agency, Frank De Winne of the European Space Agency, and Junichi Sakai of the Japanese Aerospace Exploration Agency.</t>
  </si>
  <si>
    <t>3yumLKlB_Ww</t>
  </si>
  <si>
    <t>2020 12 16</t>
  </si>
  <si>
    <t>https://youtu.be/TURJhJB9F-Y</t>
  </si>
  <si>
    <t>NASA Science Live  You Too Can Do NASA Science</t>
  </si>
  <si>
    <t>No matter who you are or where you are, YOU can participate in the science done at NASA and make new discoveries alongside NASA scientists. Watch #NASAScience Live on Wednesday, Dec. 16 at 3:00 p.m. EST to hear from people around the globe about how they’re doing NASA science and learn how you too can get involved with NASA’s citizen science projects.</t>
  </si>
  <si>
    <t>TURJhJB9F-Y</t>
  </si>
  <si>
    <t>2020 12 15</t>
  </si>
  <si>
    <t>https://youtu.be/YSXIOxFhLiM</t>
  </si>
  <si>
    <t>What You Need to Know About Trojan Asteroids</t>
  </si>
  <si>
    <t>You’ve heard of asteroids… But have you heard of Trojan asteroids? 
Our upcoming Lucy mission will study these time capsules from the birth of our solar system for the first time ever. Find out what you need to know about Trojan Asteroids.
For more information about Lucy, check out this episode of NASA Science Live: Lucy in the Sky with Asteroids: https://youtu.be/180pFU_h5Eg</t>
  </si>
  <si>
    <t>YSXIOxFhLiM</t>
  </si>
  <si>
    <t>2020 12 11</t>
  </si>
  <si>
    <t>https://youtu.be/kbS6gzmvrpY</t>
  </si>
  <si>
    <t>Introducing the Artemis Team of Astronauts on This Week @NASA – December 11, 2020</t>
  </si>
  <si>
    <t>The Vice President introduces the Artemis team of astronauts, progress on hardware for upcoming Artemis missions, and the science priorities for our next human mission on the Moon … a few of the stories to tell you about – This Week at NASA!
Download Link: https://images.nasa.gov/details-Introducing%20the%20Artemis%20Team%20of%20Astronauts%20on%20This%20Week%20@NASA%20%E2%80%93%20December%2011,%202020</t>
  </si>
  <si>
    <t>kbS6gzmvrpY</t>
  </si>
  <si>
    <t>https://youtu.be/iIlAkbUKHKU</t>
  </si>
  <si>
    <t>Meet Artemis Team Member Kate Rubins</t>
  </si>
  <si>
    <t>NASA astronaut Kate Rubins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Video Credits:
Producer: Paul Wizikowski
Directors: Ryan Cristelli and Paul Wizikowski 
Editor: Hunter Brothers</t>
  </si>
  <si>
    <t>iIlAkbUKHKU</t>
  </si>
  <si>
    <t>2020 12 10</t>
  </si>
  <si>
    <t>https://youtu.be/180pFU_h5Eg</t>
  </si>
  <si>
    <t>NASA Science Live  Lucy in the Sky with Asteroids</t>
  </si>
  <si>
    <t>Asteroids are prehistoric treasures that hold the lost tales about the origin of our solar system. We are slowly starting to unfold this story and NASA’s Lucy mission will launch in about a year to venture on a 12-year tour studying diverse primordial worlds. Join mission experts on #NASAScience Live and learn about the first ever spacecraft to study the swarm of asteroids associated with Jupiter, known as the Trojans. 
This episode was originally broadcast live on Thursday, Dec. 3, 2020.</t>
  </si>
  <si>
    <t>180pFU_h5Eg</t>
  </si>
  <si>
    <t>2020 12 09</t>
  </si>
  <si>
    <t>https://youtu.be/8WO2JzzJPVQ</t>
  </si>
  <si>
    <t>Meet Artemis Team Member Raja Chari</t>
  </si>
  <si>
    <t>NASA astronaut Raja Chari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https://go.nasa.gov/3r13rIo
Video Credits:
Producer: Paul Wizikowski
Directors: Ryan Cristelli and Paul Wizikowski 
Editor: Phillip Sexton</t>
  </si>
  <si>
    <t>8WO2JzzJPVQ</t>
  </si>
  <si>
    <t>https://youtu.be/IdP-RFD9Plc</t>
  </si>
  <si>
    <t>Meet Artemis Team Member Christina Koch</t>
  </si>
  <si>
    <t>NASA astronaut Christina Koch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https://go.nasa.gov/387gcIP
Video Credits:
Producer: Paul Wizikowski
Directors: Ryan Cristelli and Paul Wizikowski 
Editor: Aaron Barfus</t>
  </si>
  <si>
    <t>IdP-RFD9Plc</t>
  </si>
  <si>
    <t>https://youtu.be/szkJlHqriDY</t>
  </si>
  <si>
    <t>Meet Artemis Team Member Jonny Kim</t>
  </si>
  <si>
    <t>NASA astronaut Jonny Kim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https://go.nasa.gov/34hT9Kp
Video Credits:
Producer: Paul Wizikowski
Directors: Ryan Cristelli and Paul Wizikowski 
Editor: Hunter Brothers</t>
  </si>
  <si>
    <t>szkJlHqriDY</t>
  </si>
  <si>
    <t>https://youtu.be/3jQuovAcUm4</t>
  </si>
  <si>
    <t>Meet Artemis Team Member Matthew Dominick</t>
  </si>
  <si>
    <t>NASA astronaut Matthew Dominick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https://go.nasa.gov/381RauG
Video Credits:
Producer: Paul Wizikowski
Directors: Ryan Cristelli and Paul Wizikowski 
Editor: Phillip Sexton</t>
  </si>
  <si>
    <t>3jQuovAcUm4</t>
  </si>
  <si>
    <t>https://youtu.be/5VEkTuD3NIk</t>
  </si>
  <si>
    <t>Meet Artemis Team Member Kjell Lindgren</t>
  </si>
  <si>
    <t>NASA astronaut Kjell Lindgren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https://go.nasa.gov/383kr8s
Video Credits:
Producer: Paul Wizikowski
Directors: Ryan Cristelli and Paul Wizikowski 
Editor: Amy Leniart</t>
  </si>
  <si>
    <t>5VEkTuD3NIk</t>
  </si>
  <si>
    <t>https://youtu.be/BC5khqpKovU</t>
  </si>
  <si>
    <t>Meet the Artemis Team</t>
  </si>
  <si>
    <t>At NASA, we have always answered the innate call to explore and our achievements have changed the course of history. Now, we’re returning to the Moon under the Artemis program to learn to live and work on another world for the benefit of humanity.
NASA has selected an initial team of astronauts – the Artemis Team – to help pave the way for our next human missions on and around the Moon. The Artemis program includes sending the first woman and next man to walk on the lunar surface. Let's meet the team!
Learn more: https://www.nasa.gov/specials/artemis-team/
Video Credits:
Producer: Paul Wizikowski</t>
  </si>
  <si>
    <t>BC5khqpKovU</t>
  </si>
  <si>
    <t>https://youtu.be/CW5-q-JxC3o</t>
  </si>
  <si>
    <t>Meet Artemis Team Member Frank Rubio</t>
  </si>
  <si>
    <t>NASA astronaut Frank Rubio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https://go.nasa.gov/34bUfXW
Video Credits:
Producer: Paul Wizikowski
Directors: Ryan Cristelli and Paul Wizikowski 
Editor: Phillip Sexton</t>
  </si>
  <si>
    <t>CW5-q-JxC3o</t>
  </si>
  <si>
    <t>https://youtu.be/GqAheEDtWK4</t>
  </si>
  <si>
    <t>Meet Artemis Team Member Scott Tingle</t>
  </si>
  <si>
    <t>NASA astronaut Scott Tingle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https://go.nasa.gov/3r06hxy
Video Credits:
Producer: Paul Wizikowski
Directors: Ryan Cristelli and Paul Wizikowski 
Editor: Aaron Barfus</t>
  </si>
  <si>
    <t>GqAheEDtWK4</t>
  </si>
  <si>
    <t>https://youtu.be/M_UBqIsUL1A</t>
  </si>
  <si>
    <t>Meet Artemis Team Member Victor Glover</t>
  </si>
  <si>
    <t>NASA astronaut Victor Glover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https://go.nasa.gov/34eE2Bn
Video Credits:
Producer: Paul Wizikowski
Directors: Ryan Cristelli and Paul Wizikowski 
Editor: Phillip Sexton</t>
  </si>
  <si>
    <t>M_UBqIsUL1A</t>
  </si>
  <si>
    <t>https://youtu.be/N7mz_xz5RN0</t>
  </si>
  <si>
    <t>Meet Artemis Team Member Kayla Barron</t>
  </si>
  <si>
    <t>NASA astronaut Kayla Barron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https://go.nasa.gov/383ZMRz
Video Credits:
Producer: Paul Wizikowski
Directors: Ryan Cristelli and Paul Wizikowski 
Editor: David Anderson</t>
  </si>
  <si>
    <t>N7mz_xz5RN0</t>
  </si>
  <si>
    <t>https://youtu.be/NcMCxIbPyws</t>
  </si>
  <si>
    <t>Meet Artemis Team Member Jasmin Moghbeli</t>
  </si>
  <si>
    <t>NASA astronaut Jasmin Moghbeli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https://go.nasa.gov/34wPdpl
Video Credits:
Producer: Paul Wizikowski
Directors: Ryan Cristelli and Paul Wizikowski 
Editor: Jamie Quinn</t>
  </si>
  <si>
    <t>NcMCxIbPyws</t>
  </si>
  <si>
    <t>https://youtu.be/bSKc8xvvd80</t>
  </si>
  <si>
    <t>Meet Artemis Team Member Anne McClain</t>
  </si>
  <si>
    <t>NASA astronaut Anne McClain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https://go.nasa.gov/383m1qU
Video Credits:
Producer: Paul Wizikowski
Directors: Ryan Cristelli and Paul Wizikowski 
Editor: Amy Leniart</t>
  </si>
  <si>
    <t>bSKc8xvvd80</t>
  </si>
  <si>
    <t>https://youtu.be/cyePTXNJ1p4</t>
  </si>
  <si>
    <t>Meet Artemis Team Member Nicole Mann</t>
  </si>
  <si>
    <t>NASA astronaut Nicole Mann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https://go.nasa.gov/2K6I7ke
Video Credits:
Producer: Paul Wizikowski
Directors: Ryan Cristelli and Paul Wizikowski 
Editor: Jason Clemons</t>
  </si>
  <si>
    <t>cyePTXNJ1p4</t>
  </si>
  <si>
    <t>https://youtu.be/jo-TeN2_lxE</t>
  </si>
  <si>
    <t>Meet Artemis Team Member Jessica Watkins</t>
  </si>
  <si>
    <t>NASA astronaut Jessica Watkins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https://go.nasa.gov/34hZiGj
Video Credits:
Producer: Paul Wizikowski
Directors: Ryan Cristelli and Paul Wizikowski 
Editor: Dexter Herbert</t>
  </si>
  <si>
    <t>jo-TeN2_lxE</t>
  </si>
  <si>
    <t>https://youtu.be/pyGrcfUK2Ts</t>
  </si>
  <si>
    <t>Meet Artemis Team Member Stephanie Wilson</t>
  </si>
  <si>
    <t>NASA astronaut Stephanie Wilson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https://go.nasa.gov/2K6ef7z
Video Credits:
Producer: Paul Wizikowski
Directors: Ryan Cristelli and Paul Wizikowski 
Editor: Aaron Barfus</t>
  </si>
  <si>
    <t>pyGrcfUK2Ts</t>
  </si>
  <si>
    <t>https://youtu.be/lSKw3R0e97Y</t>
  </si>
  <si>
    <t>Meet Artemis Team Member Woody Hoburg</t>
  </si>
  <si>
    <t>NASA astronaut Woody Hoburg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https://go.nasa.gov/2IQ2Gkc
Video Credits:
Producer: Paul Wizikowski
Directors: Ryan Cristelli and Paul Wizikowski 
Editor: Tristan McKnight</t>
  </si>
  <si>
    <t>lSKw3R0e97Y</t>
  </si>
  <si>
    <t>https://youtu.be/u1stIxjQV-Q</t>
  </si>
  <si>
    <t>Meet Artemis Team Member Jessica Meir</t>
  </si>
  <si>
    <t>NASA astronaut Jessica Meir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https://go.nasa.gov/3aegTCT
Video Credits:
Producer: Paul Wizikowski
Directors: Ryan Cristelli and Paul Wizikowski 
Editor: Amy Leniart</t>
  </si>
  <si>
    <t>u1stIxjQV-Q</t>
  </si>
  <si>
    <t>https://youtu.be/xJpbemMjqQo</t>
  </si>
  <si>
    <t>Meet Artemis Team Member Joe Acaba</t>
  </si>
  <si>
    <t>NASA astronaut Joe Acaba is a member of the Artemis Team, a select group of astronauts charged with focusing on the development and training efforts for early Artemis missions.
Through the Artemis program NASA and a coalition of international partners will return to the Moon to learn how to live on other worlds for the benefit of all. With Artemis missions NASA will send the first woman and the next man to the Moon in 2024 and about once per year thereafter.
Through the efforts of humans and robots, we will explore more of the Moon than ever before; to lead a journey of discovery that benefits our planet with life changing science, to use the Moon and its resources as a technology testbed to go even farther and to learn how to establish and sustain a human presence far beyond Earth. 
Learn more: www.nasa.gov/ArtemisTeam
This video is available for download from NASA's Image and Video Library:
https://go.nasa.gov/3oVSxSA
Video Credits:
Producer: Paul Wizikowski
Directors: Ryan Cristelli and Paul Wizikowski 
Editor: Phillip Sexton</t>
  </si>
  <si>
    <t>xJpbemMjqQo</t>
  </si>
  <si>
    <t>2020 12 05</t>
  </si>
  <si>
    <t>https://youtu.be/ydRjW7keLGo</t>
  </si>
  <si>
    <t>Critical Cargo on the Next Space Station Resupply Mission on This Week @NASA – December 5, 2020</t>
  </si>
  <si>
    <t>Critical cargo on the next space station resupply mission, NASA is at a virtual Earth and space science meeting, and a key piece of hardware installed on the Orion spacecraft … a few of the stories to tell you about – This Week at NASA!
Download Link: https://images.nasa.gov/details-Critical%20Cargo%20on%20the%20Next%20Space%20Station%20Resupply%20Mission%20on%20This%20Week%20@NASA%20%E2%80%93%20December%205,%202020</t>
  </si>
  <si>
    <t>ydRjW7keLGo</t>
  </si>
  <si>
    <t>2020 12 04</t>
  </si>
  <si>
    <t>https://youtu.be/9Xx0IRlh4hw</t>
  </si>
  <si>
    <t>Gravity Assist  Set Sail for Europa</t>
  </si>
  <si>
    <t>NASA’s Europa Clipper mission will give us the most detailed look yet at Jupiter’s extraordinary moon Europa. Smaller than our own Moon, Europa is one of the prime candidates for life beyond Earth because it has a deep ocean under its icy shell. The Europa Clipper spacecraft, named for speedy 19th century merchant ships, will map the surface, learn more about the ocean using ice-penetrating radar, and see if there are plumes of water shooting out from the cracks in the ice, among many other scientific activities. Project scientist Bob Pappalardo discusses this mission as well as the possibility of life on Europa and how it would be able to survive without sunlight. Subscribe to listen to the full podcast at https://www.nasa.gov/gravityassist.
Producer Credit: Elizabeth Landau &amp; Sonnet Apple 
Music Credit: Universal Production Music</t>
  </si>
  <si>
    <t>9Xx0IRlh4hw</t>
  </si>
  <si>
    <t>2020 12 01</t>
  </si>
  <si>
    <t>https://youtu.be/orXKd7kTWiw</t>
  </si>
  <si>
    <t>What You Need to Know About Organic Molecules</t>
  </si>
  <si>
    <t>Organic molecules, the building blocks of life, are found all throughout the universe, including planets, moons and asteroids in our own solar system.
But what does “organic” really mean? Find out what you need to know about organic molecules.</t>
  </si>
  <si>
    <t>orXKd7kTWiw</t>
  </si>
  <si>
    <t>2020 11 27</t>
  </si>
  <si>
    <t>https://youtu.be/zMYbirKXmSY</t>
  </si>
  <si>
    <t>Making Ready for the First Artemis Mission Around the Moon on This Week @NASA – November 27, 2020</t>
  </si>
  <si>
    <t>Making ready for the first Artemis mission around the Moon and back, the space station is getting a new doorway to space, and how to know when and where you can look up to spot the station … a few of the stories to tell you about – This Week at NASA!
Download Link: https://images.nasa.gov/details-Making%20Ready%20for%20the%20First%20Artemis%20Mission%20Around%20the%20Moon%20on%20This%20Week%20@NASA%20%E2%80%93%20November%2027,%202020
Producer: Andre Valentine
Editor: Sonnet Apple
Music: Universal Production Music</t>
  </si>
  <si>
    <t>zMYbirKXmSY</t>
  </si>
  <si>
    <t>2020 11 26</t>
  </si>
  <si>
    <t>https://youtu.be/UeIcDAhcQA8</t>
  </si>
  <si>
    <t>Thanksgiving in Zero-G  Preparing Meals at the International Space Station</t>
  </si>
  <si>
    <t>Thanksgiving dinner aboard the International Space Station is a little different than one here on Earth. Watch this video to learn how astronauts living and working in space can enjoy holiday meals, thanks to the NASA Nutritional Lab at Johnson Space Center.
Read more about celebrating Thanksgiving in space: https://nasa.tumblr.com/post/189349377874/celebrating-thanksgiving-in-space</t>
  </si>
  <si>
    <t>UeIcDAhcQA8</t>
  </si>
  <si>
    <t>2020 11 25</t>
  </si>
  <si>
    <t>https://youtu.be/lr4r70DWShk</t>
  </si>
  <si>
    <t>What You Need to Know About Saturn's Moon Titan</t>
  </si>
  <si>
    <t>Earth is not the only place in the solar system with rain, rivers, lakes and seas. Saturn’s moon Titan has them, too — not of water, but of liquid methane and ethane. This Earth-like world even hides an ocean of liquid water deep beneath its surface! Find out what you need to know about Titan.</t>
  </si>
  <si>
    <t>lr4r70DWShk</t>
  </si>
  <si>
    <t>2020 11 21</t>
  </si>
  <si>
    <t>https://youtu.be/qzpct7J4wfo</t>
  </si>
  <si>
    <t>The Journey of Resilience to The Space Station on This Week @NASA – November 21, 2020</t>
  </si>
  <si>
    <t>The journey of Resilience to the space station, the next ocean-observing satellite, and an update on a critical rocket test series for our Artemis missions … a few of the stories to tell you about – This Week at NASA!
Download link: images-assets.nasa.gov/video/The Journey of Resilience to The Space Station on This Week @NASA – November 21 2020/The Journey of Resilience to The Space Station on This Week @NASA – November 21 2020~orig.mp4
Producer: Andre Valentine
Editor: Sonnet Apple
Music: Universal Production Music</t>
  </si>
  <si>
    <t>qzpct7J4wfo</t>
  </si>
  <si>
    <t>https://youtu.be/G3yNvuCWDtU</t>
  </si>
  <si>
    <t>Launch of Sentinel-6 Michael Freilich Satellite</t>
  </si>
  <si>
    <t>On Nov. 21, 2020, the U.S.-European oceanographic satellite Sentinel-6 Michael Freilich launched to orbit aboard a SpaceX Falcon 9 rocket. During a five-and-a-half-year prime mission, it will collect the most accurate data yet on global sea level and how our ocean is  rising in response to climate change. The mission will also collect precise data of atmospheric temperature and humidity that will help improve weather forecasts and climate models.</t>
  </si>
  <si>
    <t>G3yNvuCWDtU</t>
  </si>
  <si>
    <t>2020 11 17</t>
  </si>
  <si>
    <t>https://youtu.be/Dcy4yZb13fE</t>
  </si>
  <si>
    <t>SpaceX's CRS-21 Mission to the Space Station  What's On Board</t>
  </si>
  <si>
    <t>The 21st SpaceX cargo resupply mission that will launch from NASA’s Kennedy Space Center in Florida carries a variety of critical research and technology demonstrations to the International Space Station. The mission will be the first on an upgraded version of the company’s Dragon cargo spacecraft that can carry more science payloads to and from the orbiting laboratory. The craft's cargo includes critical materials that support research ranging from heart disease to asteroid mining and a new commercial airlock as part of NASA’s goal to achieve a sustainable economy in low-Earth orbit. Learn more here: https://go.nasa.gov/3pzkkt8</t>
  </si>
  <si>
    <t>Dcy4yZb13fE</t>
  </si>
  <si>
    <t>https://youtu.be/QgPXtQQnQ-k</t>
  </si>
  <si>
    <t>NASA's SpaceX Crew-1 Launch</t>
  </si>
  <si>
    <t>The SpaceX Crew Dragon Resilience successfully docked to the International Space Station at 11:01 p.m. EST Monday, transporting NASA astronauts Michael Hopkins, Victor Glover, Shannon Walker, and Japan Aerospace Exploration Agency (JAXA) astronaut Soichi Noguchi.
NASA’s SpaceX Crew-1 mission lifted off Sunday, Nov. 15, at 7:27 p.m. on the SpaceX Falcon 9 rocket and Crew Dragon spacecraft from Launch Complex 39A at NASA’s Kennedy Space Center in Florida. The mission is the first of six certified, crew missions NASA and SpaceX will fly as a part of the agency’s Commercial Crew Program.
The crew will conduct science and maintenance during a six-month stay aboard the orbiting laboratory and will return in spring 2021. It is scheduled to be the longest human space mission launched from the United States. The Crew Dragon spacecraft is capable of staying in orbit for at least 210 days, as a NASA requirement.
Producer Credit: Sonnet Apple
Music: Willpower/Universal Production Music</t>
  </si>
  <si>
    <t>QgPXtQQnQ-k</t>
  </si>
  <si>
    <t>https://youtu.be/rOvt25CYSb4</t>
  </si>
  <si>
    <t>NASA Science Live  Rising Seas</t>
  </si>
  <si>
    <t>Sea levels across the globe are rising as a result of a changing climate — and the rate at which they are rising is accelerating. Watch NASA Science Live Tuesday, Nov. 17 at 12:30 p.m. EST to meet NASA researchers studying these changes, and learn how the next mission launching to space will continue the nearly 30-year record of monitoring Earth’s ocean from space.</t>
  </si>
  <si>
    <t>rOvt25CYSb4</t>
  </si>
  <si>
    <t>2020 11 16</t>
  </si>
  <si>
    <t>https://youtu.be/PYLhLA_sv6E</t>
  </si>
  <si>
    <t>Liftoff of NASA's SpaceX Crew-1 Mission</t>
  </si>
  <si>
    <t>At 7:27 p.m. EST on Sunday, Nov. 15, 2020, the SpaceX Falcon 9 rocket and Crew Dragon "Resilience" spacecraft lifted off from Launch Complex 39A at NASA's Kennedy Space Center in Florida. Aboard are astronauts Michael Hopkins, Shannon Walker, and Victor Glover of NASA and Soichi Noguchi of JAXA (Japan Aerospace Exploration Agency). The four are on the way to the International Space Station for a six-month science mission.
Download Link: https://images.nasa.gov/details-NASA-SpaxeX%20Crew-1%20Liftoff</t>
  </si>
  <si>
    <t>PYLhLA_sv6E</t>
  </si>
  <si>
    <t>2020 11 15</t>
  </si>
  <si>
    <t>https://youtu.be/jAXm_J0KALc</t>
  </si>
  <si>
    <t>Meet Mike Hopkins, Crew-1 Commander</t>
  </si>
  <si>
    <t>"My family means everything to me. It is the most important part of my life." 
Born in Lebanon, Missouri, NASA astronaut Mike Hopkins has spent 166 days in space and is about to launch on his second mission on Nov. 15, 2020, when he and his three crew mates lift off aboard the NASA SpaceX Crew-1 mission to the International Space Station. Hopkins has a bachelor's degree in aerospace engineering from the University of Illinois and a master's degree in aerospace engineering from Stanford University.
Get to know Mike Hopkins, Crew-1 commander.</t>
  </si>
  <si>
    <t>jAXm_J0KALc</t>
  </si>
  <si>
    <t>https://youtu.be/jD0QlR_J8vE</t>
  </si>
  <si>
    <t>Meet Victor Glover, Crew-1 Pilot</t>
  </si>
  <si>
    <t>"It's just been amazing." 
NASA astronaut Victor Glover is launching to space for the first time on Nov. 15 when the NASA SpaceX Crew-1 mission lifts off from Kennedy Space Center. Glover is a graduate of the U.S. Air Force Test Pilot School, holds three master of science degrees, and was selected as a NASA astronaut in 2013.
Get to know Victor.</t>
  </si>
  <si>
    <t>jD0QlR_J8vE</t>
  </si>
  <si>
    <t>https://youtu.be/9zj5-KzHJrY</t>
  </si>
  <si>
    <t>Meet Shannon Walker, Crew-1 Mission Specialist</t>
  </si>
  <si>
    <t>"I do believe that human spaceflight is an imperative for our planet, and to be a part of that -- to keep the progress going -- I find very inspiring."
NASA astronaut Dr. Shannon Walker holds a bachelor of arts degree in physics, a master of science and a doctorate of philosophy in space physics from Rice University. She launches on Nov. 15 at 7:27 p.m. aboard the NASA SpaceX Crew-1 mission, the first crew rotation flight of NASA's Commercial Crew Program. 
Get to know Shannon.</t>
  </si>
  <si>
    <t>9zj5-KzHJrY</t>
  </si>
  <si>
    <t>https://youtu.be/FWPyBmd1Cv0</t>
  </si>
  <si>
    <t>Meet Soichi Noguchi, Crew-1 Mission Specialist</t>
  </si>
  <si>
    <t>"The vehicle is definitely like a living creature. All the pipes, all the pipelines are alive."
Japanese astronaut Soichi Noguchi of JAXA (Japan Aerospace Exploration Agency) is set to become the first international crew member to fly on a commercial crew mission on Nov. 15 at 7:27 p.m. EST, when the NASA SpaceX Crew-1 mission lifts off to the International Space Station.
Get to know Soichi.</t>
  </si>
  <si>
    <t>FWPyBmd1Cv0</t>
  </si>
  <si>
    <t>2020 11 13</t>
  </si>
  <si>
    <t>https://youtu.be/zYGnnfhq8ek</t>
  </si>
  <si>
    <t>The Next Space Station Crew Launching From America on This Week @NASA – November 13, 2020</t>
  </si>
  <si>
    <t>The next space station crew launching from America, a mission milestone for our next Mars rover, and an update on a future Mars sample return mission … a few of the stories to tell you about – This Week at NASA!
Download Link  https://images.nasa.gov/details-The%20Next%20Space%20Station%20Crew%20Launching%20From%20America%20on%20This%20Week%20@NASA%20%E2%80%93%20November%2013,%202020</t>
  </si>
  <si>
    <t>zYGnnfhq8ek</t>
  </si>
  <si>
    <t>https://youtu.be/RzDFkmqbZBA</t>
  </si>
  <si>
    <t>Mars Takes a Breath, with Jen Eigenbrode</t>
  </si>
  <si>
    <t>The Curiosity rover has been probing the secrets of Mars since its arrival in 2012. Its discoveries include chemical signatures that could be related to life – or, alternatively, to geological processes. The Sample Analysis at Mars (SAM) instrument has found organic molecules, which are fundamental building blocks of life on Earth, but can also be produced in nonbiological ways. Scientists have also observed sudden rises and falls in methane, a gas also associated with life, but which can be geological in nature, too. But with such a thin atmosphere, cold temperatures and scathing radiation from the Sun, the surface of Mars would be hostile to life. Where could life be hiding, if it were on Mars? Jen Eigenbrode, astrobiologist at NASA Goddard Space Flight Center, discusses. 
Listen to the full episode and subscribe to this podcast at: https://www.nasa.gov/gravityassist
Producer Credit: Sonnet Apple &amp; Elizabeth Landau
Music Credit: Universal Production Music</t>
  </si>
  <si>
    <t>RzDFkmqbZBA</t>
  </si>
  <si>
    <t>https://youtu.be/T0_RJ4fbWA4</t>
  </si>
  <si>
    <t>Thank You For Sharing Your %23NASAMoonKit With Us!</t>
  </si>
  <si>
    <t>We are getting ready for an important #Artemis milestone: The Green Run Hot Fire Test. This test will be the last step before the core stage is fully integrated into the Space Launch System — the most powerful rocket ever built.  
We are one step closer to landing the first woman and the next man on the Moon, and so we would like to know: what would you take with you to the Moon?  
Submit your entry with the hashtag #NASAMoonKit for a chance to be featured on social media or during the Green Run broadcast!
Details here: https://www.nasa.gov/nasamoonkit</t>
  </si>
  <si>
    <t>T0_RJ4fbWA4</t>
  </si>
  <si>
    <t>2020 11 10</t>
  </si>
  <si>
    <t>https://youtu.be/k2MSw-_hxgg</t>
  </si>
  <si>
    <t>All Aboard Crew-1  Get Your %23LaunchAmerica Boarding Pass</t>
  </si>
  <si>
    <t>T-minus 4 days until we're a 'GO' to #LaunchAmerica for the second time! Grab your boarding pass using the link below, and show us how you are getting ready for launch day: https://go.nasa.gov/CrewBoardingPass. From building your own rocket to binge-watching launch coverage, share a video, photo or simply your thoughts for a chance to be featured on NASA TV and social media.
NASA Astronauts Victor Glover, Michael Hopkins, Shannon Walker, and astronaut Soichi Noguchi of the Japan Aerospace Exploration Agency are set to launch on the NASA SpaceX Crew-1 mission, the first fully certified crew rotation flight of our Commercial Crew Program, on Saturday, Nov. 14 at 7:49 p.m. EST. Watch live NASA TV coverage on our YouTube channel starting at 3:30 p.m. EST.
Click here for terms and conditions: https://www.nasa.gov/nasa-invites-you-to-launchamerica
To personalize your own Crew-1 boarding pass, click here: https://go.nasa.gov/CrewBoardingPass
This video is available for download from NASA's Image and Video Library: https://images.nasa.gov/details-NHQ_2020_1110__All%20Aboard%20Crew-1%20Get%20Your%20LaunchAmerica%20Boarding%20Pass
Producer/Editor: Lacey Young
Music: Universal Production Music</t>
  </si>
  <si>
    <t>k2MSw-_hxgg</t>
  </si>
  <si>
    <t>2020 11 06</t>
  </si>
  <si>
    <t>https://youtu.be/X2XJm8LfaP8</t>
  </si>
  <si>
    <t>Marking 20 Years of Humans Aboard the Space Station on This Week @NASA – November 6, 2020</t>
  </si>
  <si>
    <t>Marking 20 years of humans aboard the space station, getting out the vote from space, and preparations continue for NASA and SpaceX’s next crew launch … a few of the stories to tell you about – This Week at NASA!
Download Link: https://images.nasa.gov/details-Marking%2020%20Years%20of%20Humans%20Aboard%20the%20Space%20Station%20on%20This%20Week%20@NASA%20%E2%80%93%20November%206,%202020</t>
  </si>
  <si>
    <t>X2XJm8LfaP8</t>
  </si>
  <si>
    <t>2020 11 04</t>
  </si>
  <si>
    <t>https://youtu.be/6Wj-5d3mE9U</t>
  </si>
  <si>
    <t xml:space="preserve">%23LaunchAmerica  Ready for the Next NASA and SpaceX Mission </t>
  </si>
  <si>
    <t>It's not just Mission Control counting down – how are you getting ready for the next #LaunchAmerica mission? From building your own rocket to binge-watching launch coverage, share a video, photo or simply your thoughts for a chance to be featured on NASA TV and social media, as we prepare for Crew-1, the first certified mission under NASA's Commercial Crew Program.
Click here for terms and conditions: https://www.nasa.gov/nasa-invites-you-to-launchamerica
Producer/Editor: Lacey Young
Music: Universal Production Music</t>
  </si>
  <si>
    <t>6Wj-5d3mE9U</t>
  </si>
  <si>
    <t>2020 10 30</t>
  </si>
  <si>
    <t>https://youtu.be/XkzB4UZe1JE</t>
  </si>
  <si>
    <t>An International Agreement to Collaborate on Artemis on This Week @NASA – October 30, 2020</t>
  </si>
  <si>
    <t>An international agreement to collaborate on Artemis, an intriguing discovery on the Moon, and an update on OSIRIS-REx … a few of the stories to tell you about – This Week at NASA!
Download Link: https://images.nasa.gov/details-An%20International%20Agreement%20to%20Collaborate%20on%20Artemis%20on%20This%20Week%20@NASA%20October%2030,%202020</t>
  </si>
  <si>
    <t>XkzB4UZe1JE</t>
  </si>
  <si>
    <t>https://youtu.be/v2GJwEOUsM4</t>
  </si>
  <si>
    <t>How To Make Your Own Falcon 9 Straw Rocket</t>
  </si>
  <si>
    <t>Would you like to learn how to make your own Flacon 9 straw rocket to launch in your home? Watch this tutorial to learn how.
All you will need is paper, markers, scissors, tape, yarn or ribbon (optional) and a straw.
Don't miss four astronauts launching to the International Space Station from Kennedy Space Center in Florida on this very rocket Nov. 14! 
Feeling excited about the next #LaunchAmerica mission ? From building your own rocket to binge-watching launch videos, share a video, a photo or simply your thoughts using #LaunchAmerica for a chance to be featured on NASA TV or our social media platforms. Details: https://www.nasa.gov/nasa-invites-you-to-launchamerica</t>
  </si>
  <si>
    <t>v2GJwEOUsM4</t>
  </si>
  <si>
    <t>https://youtu.be/2st9aoYj1ZM</t>
  </si>
  <si>
    <t>Gravity Assist  The History of the Future, with Steven Dick</t>
  </si>
  <si>
    <t>Listen to the full episode and subscribe to this podcast at: https://www.nasa.gov/gravityassist
People have long wondered whether there is life beyond Earth, but it is only recently that scientists have been able to apply the tools of space exploration to go after this question. In 1996, the Allan Hills Meteorite shook the world as scientists debated whether it had tiny fossils inside of it that came from Mars. The consensus is that this rock does not contain Martian fossils, but the questions it raised energized many researchers. Today, the field of astrobiology is looking at how life arose on Earth and where else in the solar system and beyond life could exist. Beyond these scientific investigations, there are also philosophical questions one could ask. Would we be ready as a society for such a groundbreaking discovery? Astronomer and historian Steven Dick tells us there are many approaches to consider and many questions we should ask ourselves to get ready, in case extraterrestrial life is found. 
Download link: images-assets.nasa.gov/video/NHQ_2020_1030_Gravity Assist_Steven Dick/NHQ_2020_1030_Gravity Assist_Steven Dick~orig.mp4
Producer Credit: Sonnet Apple &amp; Elizabeth Landau
Music Credit: Universal Production Music</t>
  </si>
  <si>
    <t>2st9aoYj1ZM</t>
  </si>
  <si>
    <t>2020 10 29</t>
  </si>
  <si>
    <t>https://youtu.be/3OpDe4v9MbI</t>
  </si>
  <si>
    <t>International Space Station Expedition 1  The Beginning</t>
  </si>
  <si>
    <t>In recognition of the 20th anniversary of continuous human presence aboard the International Space Station, listen as Space Foundation board member Jeanne Meserve sits down with the Expedition 1 crew, William Shepherd (NASA astronaut and Commander of Expedition 1), Sergei Krikalev (Russian cosmonaut and Flight Engineer of Expedition 1), and Yuri Gidzenko (Russian cosmonaut and Soyuz Commander of Expedition 1), as they discuss what it was like to be the first ever crewed expedition to the International Space Station. Also joining the conversation are George Abbey, who was director of NASA’s Johnson Space Center at the time, and Ginger Kerrick, the Russian Training Integration Instructor for Expedition 1.</t>
  </si>
  <si>
    <t>3OpDe4v9MbI</t>
  </si>
  <si>
    <t>2020 10 28</t>
  </si>
  <si>
    <t>https://youtu.be/zjJc8vSPNyk</t>
  </si>
  <si>
    <t>Nov. 14, 2020  Astronauts to Launch on NASA and SpaceX Crew-1 Mission</t>
  </si>
  <si>
    <t>On Nov. 14, 2020, NASA astronauts Mike Hopkins, Victor Glover, Shannon Walker and JAXA astronaut Soichi Noguchi will launch on NASA's SpaceX Crew-1 mission bound for the International Space Station. Once there, they will perform space station upgrades, conduct science experiments to benefit life on Earth, and continue preparing humanity for future missions to the Moon -- and eventually Mars.
This is the first crew rotation mission with four astronauts flying on a commercial spacecraft, and the first including an international partner. Get on board. It's #LaunchAmerica time!
Learn more: https://www.nasa.gov/subject/18971/crew1/
Producer/Editor: Lacey Young
Music: Universal Production Music</t>
  </si>
  <si>
    <t>zjJc8vSPNyk</t>
  </si>
  <si>
    <t>https://youtu.be/ipxY_1Q2MWo</t>
  </si>
  <si>
    <t>International Space Station Flyover of Hurricane Zeta</t>
  </si>
  <si>
    <t>On Wed., Oct. 28, 2020, cameras aboard the International Space Station captured this imagery as the station flew above Hurricane Zeta, seen here moving toward the U.S Gulf Coast.</t>
  </si>
  <si>
    <t>ipxY_1Q2MWo</t>
  </si>
  <si>
    <t>https://youtu.be/0K61rP6t0L8</t>
  </si>
  <si>
    <t>%23EZScience  International Space Station – Our Home in Space for 20 Years</t>
  </si>
  <si>
    <t>This November, we celebrate 20 years of continuous human presence on the International Space Station — an incredible example of international cooperation. In our latest episode of #EZScience, NASA associate administrator for science Dr. Thomas Zurbuchen and National Air and Space Museum director Dr. Ellen Stofan discuss the incredible science that has been conducted on the orbiting laboratory and what’s next for human spaceflight.
Learn more about the series: https://www.nasa.gov/ezscience
#S2E2</t>
  </si>
  <si>
    <t>0K61rP6t0L8</t>
  </si>
  <si>
    <t>2020 10 26</t>
  </si>
  <si>
    <t>https://youtu.be/__OCgKch7AI</t>
  </si>
  <si>
    <t>NASA Science Live  Our First Attempt to Sample Asteroid Bennu</t>
  </si>
  <si>
    <t>NASA has touched the surface of asteroid Bennu to collect the agency’s first ever asteroid sample, which will one day shed new insights on the history of our solar system… so what’s next? Join NASA's OSIRIS-REx Asteroid Sample Return Mission experts and ask them your questions! Submit them using #ToBennuAndBack and tune in today at 6:15 p.m. ET as they walk you through new images and videos captured by the spacecraft as it descended down to the asteroid's surface.</t>
  </si>
  <si>
    <t>__OCgKch7AI</t>
  </si>
  <si>
    <t>2020 10 23</t>
  </si>
  <si>
    <t>https://youtu.be/fvjfhFNN4M8</t>
  </si>
  <si>
    <t>A Touch of History for Asteroid Sample Return Mission on This Week @NASA – October 23, 2020</t>
  </si>
  <si>
    <t>A touch of history for our first asteroid sample return mission, a safe return from the International Space Station, and a big move in preparation for Artemis I … a few of the stories to tell you about – This Week at NASA!
Download Link: https://images.nasa.gov/details-A%20Touch%20of%20History%20for%20Asteroid%20Sample%20Return%20Mission%20on%20This%20Week%20@NASA%20October%2023,%202020</t>
  </si>
  <si>
    <t>fvjfhFNN4M8</t>
  </si>
  <si>
    <t>2020 10 18</t>
  </si>
  <si>
    <t>https://youtu.be/FnYDx1RvtIc</t>
  </si>
  <si>
    <t>Show Us Your %23NASAMoonKit</t>
  </si>
  <si>
    <t>What would you pack for a journey to the Moon?  Our Artemis program is working to send the next man and first woman to the Moon. As we prepare to fire up the engines of our Space Launch System Moon rocket for the "Green Run" tests, we asked you to send us your #NASAMoonKit. Want to share your own? Tag yourself on Twitter or Instagram with #NASAMoonKit.</t>
  </si>
  <si>
    <t>FnYDx1RvtIc</t>
  </si>
  <si>
    <t>2020 10 16</t>
  </si>
  <si>
    <t>https://youtu.be/vDb3g_r0DfE</t>
  </si>
  <si>
    <t>New Crew Safely Aboard the Space Station on This Week @NASA – October 16, 2020</t>
  </si>
  <si>
    <t>New crew safely aboard the space station, a launch update on another space station mission, and an international agreement on Artemis … a few of the stories to tell you about – This Week at NASA!
Download Link: https://images.nasa.gov/details-New%20Crew%20Safely%20Aboard%20the%20Space%20Station%20on%20This%20Week%20@NASA%20%E2%80%93%20October%2016,%202020
Producer: Andre Valentine
Editor: Lacey Young
Music: Universal Production Music</t>
  </si>
  <si>
    <t>vDb3g_r0DfE</t>
  </si>
  <si>
    <t>2020 10 14</t>
  </si>
  <si>
    <t>https://youtu.be/XEAXTrtsu_0</t>
  </si>
  <si>
    <t>NASA and International Partners Sign Artemis Accords</t>
  </si>
  <si>
    <t>On October 13, 2020, NASA and international partners from Australia, Canada, Italy, Japan, Luxembourg, the United Arab Emirates and the United Kingdom signed the Artemis Accords agreements for international participation in the agency’s Artemis program, during a virtual meeting of the International Astronautical Congress.  
While NASA is leading the Artemis program, international partnerships will play a key role in achieving a sustainable and robust presence on the Moon while preparing to conduct a historic human mission to Mars. International cooperation on Artemis will bolster space exploration and enhance peaceful relationships between nations. The Artemis Accords will also reinforce the principles of the Outer Space Treaty.
More: https://www.nasa.gov/press-release/nasa-international-partners-advance-cooperation-with-first-signings-of-artemis-accords
Producer/Editor: Lacey Young
Music: Universal Production Music</t>
  </si>
  <si>
    <t>XEAXTrtsu_0</t>
  </si>
  <si>
    <t>2020 10 09</t>
  </si>
  <si>
    <t>https://youtu.be/jszJbVoczEc</t>
  </si>
  <si>
    <t>Prelaunch Preparations for the Next Space Station Crew on This Week @NASA – October 9, 2020</t>
  </si>
  <si>
    <t>Prelaunch preparations for the next space station crew, science, technology and other cargo arrive at the station, and an update on an upcoming commercial crew flight … a few of the stories to tell you about – This Week at NASA!
Download Link: https://images.nasa.gov/details-Prelaunch%20Preparations%20for%20the%20Next%20Space%20Station%20Crew%20on%20This%20Week%20@NASA%20%E2%80%93%20October%209,%202020
Producer: Andre Valentine
Editor: Lacey Young
Music: Universal Production Music</t>
  </si>
  <si>
    <t>jszJbVoczEc</t>
  </si>
  <si>
    <t>https://youtu.be/g2mNoksl9CU</t>
  </si>
  <si>
    <t>Gravity Assist  Life in the Clouds</t>
  </si>
  <si>
    <t>High above our heads, even beyond 120,000 feet up, scientists have found tiny organisms called microbes. These high-flyers were swept up from the ground by winds and storms, or spewed out through volcanic processes. While most of these high-altitude microbes are dead, some are still alive, or have produced material called spores that could activate in the future. David J. Smith, an astrobiologist at NASA’s Ames Research Center, uses airplanes to collect these microbes, analyze them in the laboratory, and expose them to even higher altitudes with balloon experiments to see how they will respond. If microbes can inhabit our clouds, what about other planets? While more research is needed, Smith and others are fascinated by the possibility that airborne microbes could also be found elsewhere in the solar system, and beyond. Subscribe and listen to the full episode at https://www.nasa.gov/gravityassist.
Producer Credit: Sonnet Apple &amp; Elizabeth Landau
Music Credit: Universal Production Music</t>
  </si>
  <si>
    <t>g2mNoksl9CU</t>
  </si>
  <si>
    <t>2020 10 07</t>
  </si>
  <si>
    <t>https://youtu.be/zG3J57jMidk</t>
  </si>
  <si>
    <t>NASA Celebrates Hispanic Heritage Month</t>
  </si>
  <si>
    <t>Join astronaut Frank Rubio and leaders from NASA on Oct. 7 at 2 p.m. ET as we celebrate the contributions of Hispanic Americans across the agency during a special program titled “Hispanics: Be Proud of Your Past, Embrace the Future.” Participants for this Hispanic Heritage Month program include:
Jim Green, NASA chief scientist
Bettina Inclán, NASA associate administrator for Communications
Clara O’Farrell, Mars Entry, Descent and Landing Engineer
Erika Podest, climate scientist
Opening remarks by NASA associate administrator Steve Jurczyk.</t>
  </si>
  <si>
    <t>zG3J57jMidk</t>
  </si>
  <si>
    <t>2020 10 04</t>
  </si>
  <si>
    <t>https://youtu.be/17ItVJG7fVE</t>
  </si>
  <si>
    <t xml:space="preserve">What's in Your %23NASAMoonKit </t>
  </si>
  <si>
    <t>We are getting ready for an important #Artemis milestone: The Green Run Hot Fire Test. This test will be the last step before the core stage is fully integrated into the Space Launch System — the most powerful rocket ever built.  
We are one step closer to landing the first woman and the next man on the Moon, and so we would like to know: what would you take with you to the Moon?  
Submit your entry with the hashtag #NASAMoonKit for a chance to be featured on social media or during the Green Run broadcast!
Details here: https://www.nasa.gov/nasamoonkit 
Music by Reese Lansangan</t>
  </si>
  <si>
    <t>17ItVJG7fVE</t>
  </si>
  <si>
    <t>2020 10 03</t>
  </si>
  <si>
    <t>https://youtu.be/QfrLK9xFpYg</t>
  </si>
  <si>
    <t>The Space Station’s Next Crew Heads to Launch Site on This Week @NASA – October 2, 2020</t>
  </si>
  <si>
    <t>The space station’s next crew heads to their launch site, new cargo launches to the station, and getting ready for a first-of-its-kind crew rotation mission … a few of the stories to tell you about – This Week at NASA!
Download Link: https://images.nasa.gov/details-The%20Space%20Station%E2%80%99s%20Next%20Crew%20Heads%20to%20Launch%20Site%20on%20This%20Week%20@NASA%20%E2%80%93%20October%203,%202020
Producer: Andre Valentine
Editor: Lacey Young
Music: Universal Production Music</t>
  </si>
  <si>
    <t>QfrLK9xFpYg</t>
  </si>
  <si>
    <t>2020 10 02</t>
  </si>
  <si>
    <t>https://youtu.be/N_737VvWq-Q</t>
  </si>
  <si>
    <t>%23EZScience  OSIRIS-REx Touches Down On Bennu</t>
  </si>
  <si>
    <t>The OSIRIS-REx spacecraft is scheduled to touch down on the asteroid Bennu on October 20, 2020, for its first sample collection attempt. To kick off the second season of #EZScience, NASA associate administrator for science Dr. Thomas Zurbuchen and National Air and Space Museum director Dr. Ellen Stofan discuss this exciting and innovative mission to return samples from an asteroid to Earth and the scientific opportunities it opens up. 
Learn more about the series: https://www.nasa.gov/ezscience
#S2E1</t>
  </si>
  <si>
    <t>N_737VvWq-Q</t>
  </si>
  <si>
    <t>2020 10 01</t>
  </si>
  <si>
    <t>https://youtu.be/u80H3FpTezA</t>
  </si>
  <si>
    <t xml:space="preserve">%23AskNASA┃ How Do Astronauts Use the Potty in Space </t>
  </si>
  <si>
    <t>Hygiene, eating, sleeping — life operates a tad differently when you're in space.
Join NASA Astronaut Jessica Meir as she answers some of our popular questions about living aboard the International Space Station.  
Jessica explains how the lack of gravity makes everyday activities not so ordinary, from washing your hair in zero gravity to using the bathroom in space. Jessica details how astronauts handle the tricky tasks and offer a sneak peek at the new space toilet planned for NASA's Artemis program.
Celebrating her most notable achievement, Jessica shares her thoughts about her first spacewalk and highlights her role in the first all-woman spacewalk.
Send your questions to our experts using: #AskNASA 
For more information about Artemis: https://www.nasa.gov/what-is-artemis 
This video is available for download from NASA's Image and Video Library: https://images.nasa.gov/details-NHQ_2020_0925_AskNASA%E2%94%83%20HOW%20DO%20ASTRONAUTS%20USE%20THE%20POTTY%20IN%20SPACE 
Video Credits:
Producers: Jori Kates and Amy Leniart
Editor: Jori Kates</t>
  </si>
  <si>
    <t>u80H3FpTezA</t>
  </si>
  <si>
    <t>2020 09 30</t>
  </si>
  <si>
    <t>https://youtu.be/xWmtxizuntI</t>
  </si>
  <si>
    <t>NASA Science Live  Celebrating Hispanic Heritage</t>
  </si>
  <si>
    <t>Diversity brings strength to our missions and goals, and with a range of perspectives and backgrounds, we are able to achieve the impossible. Join as we celebrate our many amazing NASA employees with Hispanic Heritage and the valuable ideas and skills they bring to the agency.
La diversidad enfortece a nuestras misiones y metas, y con una variedad de perspectivas y experiencias podemos lograr lo imposible. Únete a nosotros mientras celebramos a nuestros increíbles empleados de la NASA con herencia hispana y las valiosas ideas y habilidades que aportan a la agencia.</t>
  </si>
  <si>
    <t>xWmtxizuntI</t>
  </si>
  <si>
    <t>2020 09 25</t>
  </si>
  <si>
    <t>https://youtu.be/uxtZwSSUJHw</t>
  </si>
  <si>
    <t>International Observe the Moon Night - Sept. 26 2020</t>
  </si>
  <si>
    <t>On September 26, 2020, Moon enthusiasts and curious people worldwide will come together to celebrate International Observe the Moon Night. Everyone on Earth is invited to learn about lunar science and exploration, take part in celestial observations, and honor cultural and personal connections to the Moon. International Observe the Moon Night occurs annually in September or October, when the Moon is around first quarter ― a great phase for evening observing.
You can join International Observe the Moon Night from wherever you are. Attend or host a virtual or in-person event, or observe the Moon from home. Connect with fellow lunar enthusiasts around the world through our Facebook page, use #ObserveTheMoon on your preferred social media platform, and join the International Observe the Moon Night Flickr group.
Learn more and find program resources on moon.nasa.gov/observe. 
This video is available from NASA's Image and Video Library: https://images.nasa.gov/details-NHQ_2020_0914_Observe%20the%20moon%20promo
Producer Credit: Sonnet Apple
Music: Universal Production Music</t>
  </si>
  <si>
    <t>uxtZwSSUJHw</t>
  </si>
  <si>
    <t>https://youtu.be/LkK2jLJ59As</t>
  </si>
  <si>
    <t>An Update to Plans for Artemis on This Week @NASA – September 25, 2020</t>
  </si>
  <si>
    <t>An update to plans for Artemis, the next space station crew trains for its mission, and collaboration in the interest of space … a few of the stories to tell you about – This Week at NASA!
Download Link: https://images.nasa.gov/details-An%20Update%20to%20Plans%20for%20Artemis%20on%20This%20Week%20@NASA%20September%2025,%202020
Producer: Andre Valentine
Editor: Lacey Young
Music: Universal Production Music</t>
  </si>
  <si>
    <t>LkK2jLJ59As</t>
  </si>
  <si>
    <t>https://youtu.be/4fdbfLJYYgI</t>
  </si>
  <si>
    <t>Gravity Assist  Why Icy Moons are So Juicy, with Athena Coustenis</t>
  </si>
  <si>
    <t>Listen to the full episode of this podcast and subscribe at: https://www.nasa.gov/gravityassist
For decades, moons of the outer solar system have proven fascinating subjects for scientists interested in the search for life. Forty years ago this year, NASA’s Voyager 1 spacecraft flew by Saturn’s moon Titan and took the first close images, revealing a thick orange-colored atmosphere that is the most Earth-like in the solar system. NASA’s Cassini probe then dropped off a lander at Titan called Huygens in 2004, and studied Titan in detail during its 13 years at Saturn. Now, NASA is preparing to launch the rotorcraft mission Dragonfly to Titan in the 2020s. But Titan is just one interesting moon. The European Space Agency’s upcoming JUpiter ICy moons Explorer (JUICE) mission will study Ganymede, Europa, and another moon of Jupiter called Callisto. Meanwhile, NASA’s Europa Clipper mission will provide complementary observations of Europa.
Producer Credit: Sonnet Apple &amp; Elizabeth Landau
Music Credit: Universal Production Music</t>
  </si>
  <si>
    <t>4fdbfLJYYgI</t>
  </si>
  <si>
    <t>2020 09 22</t>
  </si>
  <si>
    <t>https://youtu.be/mlTUDZX4oas</t>
  </si>
  <si>
    <t>Northrop Grumman's CRS-14 Mission to the International Space Station  What's on Board</t>
  </si>
  <si>
    <t>A Northrop Grumman Cygnus resupply spacecraft soon heading to the International Space Station carries thousands of pounds of scientific investigations, technology demonstrations, commercial products, and cargo.
The company’s 14th commercial resupply mission is scheduled to launch no earlier than Sept. 29 from NASA’s Wallops Flight Facility in Virginia. The craft's cargo includes critical materials that support research ranging from cancer therapies to vegetable growth and a commercial product as part of NASA’s goal to achieve a sustainable economy in low-Earth orbit. 
Learn more here: https://go.nasa.gov/2Epc78a</t>
  </si>
  <si>
    <t>mlTUDZX4oas</t>
  </si>
  <si>
    <t>2020 09 18</t>
  </si>
  <si>
    <t>https://youtu.be/rrzHZhZANXU</t>
  </si>
  <si>
    <t>Observing a Record Atlantic Storm Season from Space on This Week @NASA – September 18, 2020</t>
  </si>
  <si>
    <t>Observing a record Atlantic storm season, smoke from western fires seen moving east, and the start of a new solar cycle … a few of the stories to tell you about – This Week at NASA!
Download Link: https://images.nasa.gov/details-Observing%20a%20Record%20Atlantic%20Storm%20Season%20from%20Space%20on%20This%20Week%20@NASA%20September%2018,%202020
Producer: Andre Valentine
Editor: Lacey Young
Music: Universal Production Music</t>
  </si>
  <si>
    <t>rrzHZhZANXU</t>
  </si>
  <si>
    <t>2020 09 17</t>
  </si>
  <si>
    <t>https://youtu.be/-DmUZkJ9dnk</t>
  </si>
  <si>
    <t>Happy 90th Birthday General Tom Stafford</t>
  </si>
  <si>
    <t>NASA wishes Apollo 10 astronaut General Tom Stafford a happy 90th birthday on Sept 17, 2020.
Stafford commanded Apollo 10, the first flight of the lunar module to the Moon. He also flew our first rendezvous in space on Gemini 6, and piloted Gemini 9’s path to Earth with pencil and paper when the vehicle’s guidance computer failed in space.
Throughout his career, Stafford helped us push the boundaries of what's possible in air and space. He flew more than 100 different types of aircraft, and conducted our first diplomatic rendezvous on orbit with the Apollo-Soyuz mission. 
For more information visit: https://www.nasa.gov/subject/14528/thomas-stafford/
Producer Credit: Sonnet Apple
Music Credit: Universal Production Music</t>
  </si>
  <si>
    <t>-DmUZkJ9dnk</t>
  </si>
  <si>
    <t>2020 09 14</t>
  </si>
  <si>
    <t>https://youtu.be/o2t5mbpscfQ</t>
  </si>
  <si>
    <t>Countdown to Mars  A Story of Perseverance</t>
  </si>
  <si>
    <t>"When you look at the team that put this robot together, and the team that put this launch vehicle together, that's what they've done. They've persevered." Go behind the scenes of our Perseverance Mars rover's July 30, 2020 launch with NASA Administrator Jim Bridenstine. On Feb. 18, 2021, the rover will land in Jezero Crater, Mars, where it will search for signs of ancient life.</t>
  </si>
  <si>
    <t>o2t5mbpscfQ</t>
  </si>
  <si>
    <t>2020 09 11</t>
  </si>
  <si>
    <t>https://youtu.be/3NOmU06Vs6o</t>
  </si>
  <si>
    <t>A Step Toward Sustainable Lunar Exploration on This Week @NASA – September 11, 2020</t>
  </si>
  <si>
    <t>A step toward sustainable lunar exploration, looking for science and tech delivery to the Moon, and gearing up for some extreme conditions … a few of the stories to tell you about – This Week at NASA!
Download Link: https://images.nasa.gov/details-A%20Step%20Toward%20Sustainable%20Lunar%20Exploration%20on%20This%20Week%20@NASA%20September%2011,%202020
Producer: Andre Valentine
Editor: Lacey Young
Music: Universal Production Music</t>
  </si>
  <si>
    <t>3NOmU06Vs6o</t>
  </si>
  <si>
    <t>https://youtu.be/afw7dMIrw6I</t>
  </si>
  <si>
    <t xml:space="preserve">Gravity Assist  Is Artificial Intelligence the Future of Life </t>
  </si>
  <si>
    <t>If astrobiologists find life beyond Earth in the solar system, it will most likely be in the form of tiny organisms called microbes – nothing that would talk to us. But the galaxy is a big place; the universe even bigger. Somewhere out there, life may have evolved to become as smart, or even much smarter, than us. And the next step in that ladder may be “post-biological,” argues Susan Schneider, the Baruch S. Blumberg NASA/Library of Congress Chair in Astrobiology, Exploration, and Scientific Innovation. Advanced life may be entirely based on microchips and silicon, using the tools of artificial intelligence instead of brains. Listen to the full episode of “Gravity Assist” at https://www.nasa.gov/gravityassist.
Producer Credit: Sonnet Apple &amp; Elizabeth Landau
Music Credit: Universal Production Music</t>
  </si>
  <si>
    <t>afw7dMIrw6I</t>
  </si>
  <si>
    <t>2020 09 10</t>
  </si>
  <si>
    <t>https://youtu.be/V7bhhKOON_o</t>
  </si>
  <si>
    <t>NASA Asks Commercial Companies to Collect Moon Rocks</t>
  </si>
  <si>
    <t>While NASA is working aggressively to meet our near-term goal of landing the first woman and next man on the Moon by 2024, our Artemis program also is focused on taking steps that will establish a safe and sustainable lunar exploration architecture. 
NASA is taking a critical step forward by releasing a solicitation for commercial companies to provide proposals for the collection of space resources. 
To meet NASA's requirements, a company will collect a small amount of Moon “dirt” or rocks from any location on the lunar surface, provide imagery to NASA of the collection and the collected material, along with data that identifies the collection location, and conduct an “in-place” transfer of ownership of the lunar regolith or rocks to NASA. After ownership transfer, the collected material becomes the sole property of NASA for our use.
NASA’s goal is that the retrieval and transfer of ownership will be completed before 2024. The solicitation creates a full and open competition, not limited to U.S. companies, and the agency may make one or more awards. The agency will determine retrieval methods for the transferred lunar regolith at a later date.
Over the next decade, the Artemis program will lay the foundation for a sustained long-term presence on the lunar surface and use the Moon to validate deep space systems and operations before embarking on the much farther voyage to Mars. The ability to conduct in-situ resources utilization (ISRU) will be incredibly important on Mars, which is why we must develop techniques and gain experience with ISRU on the surface of the Moon. 
For more information visit: https://blogs.nasa.gov/bridenstine/
https://www.nasa.gov/isru
Producer Credit: Sonnet Apple
Music: "Landscape"/Universal Production Music</t>
  </si>
  <si>
    <t>V7bhhKOON_o</t>
  </si>
  <si>
    <t>2020 09 09</t>
  </si>
  <si>
    <t>https://youtu.be/-pJcbKr7iA4</t>
  </si>
  <si>
    <t>20 Years of Science  NASA Explorers S4 Bonus</t>
  </si>
  <si>
    <t>This season on NASA Explorers, you’ve seen what it takes to send science to the International Space Station through the eyes of one team of researchers. They are just two of thousands more scientists who have sent experiments to the orbiting laboratory over the past two decades.  
Take a look back at those 20 years of microgravity science along with the researchers who helped make it happen.  
Hear more from the researchers featured in this episode: https://go.nasa.gov/327KMjI 
See more NASA Explorers season 4 bonus content: https://go.nasa.gov/2FKavmn   
Stay up to date with ISS Research on Twitter: https://twitter.com/ISS_Research   
Watch all NASA Explorers season 4 episodes: https://www.youtube.com/playlist?list=PL2aBZuCeDwlQDM6x6FpHE_X0iL7hvoRpR  
#S4E8 #S4Bonus #NASAExplorers</t>
  </si>
  <si>
    <t>-pJcbKr7iA4</t>
  </si>
  <si>
    <t>2020 09 04</t>
  </si>
  <si>
    <t>https://youtu.be/CqiIX5cE6BY</t>
  </si>
  <si>
    <t>Firing Up a Rocket Booster for Artemis on This Week @NASA – September 4, 2020</t>
  </si>
  <si>
    <t>Firing up a rocket booster for Artemis, looking for new flight directors, and a launch date for an Earth-observing mission … a few of the stories to tell you about – This Week at NASA!
Download Link: https://images.nasa.gov/details-Firing%20Up%20a%20Rocket%20Booster%20for%20Artemis%20on%20This%20Week%20@NASA%20September%204,%202020
Producer: Andre Valentine
Editor: Lacey Young
Music: Universal Production Music</t>
  </si>
  <si>
    <t>CqiIX5cE6BY</t>
  </si>
  <si>
    <t>2020 09 02</t>
  </si>
  <si>
    <t>https://youtu.be/gHJDD02Jwms</t>
  </si>
  <si>
    <t>NASA Tests Space Launch System Rocket Booster for Artemis Missions</t>
  </si>
  <si>
    <t>NASA completed a full-scale booster test for NASA’s Space Launch System rocket in Promontory, Utah, on Sept. 2. 
The full-scale booster firing was conducted with new materials and processes that may be used for NASA’s Space Launch System (SLS) rocket boosters. NASA and Northrop Grumman, the SLS boosters lead contractor, will use data from the test to evaluate the motor’s performance using potential new materials and processes for Artemis missions beyond the initial Moon landing in 2024.
The SLS boosters are the largest, most powerful boosters ever built for flight. The two boosters on the rocket provide more than 75% of the thrust needed to launch NASA’s future deep space missions through NASA’s Artemis lunar program. Northrop Grumman is the lead contractor for the SLS boosters.
For a little over two minutes — the same amount of time that the boosters power the SLS rocket during liftoff and flight for each Artemis mission — the five-segment flight support booster fired in the Utah desert, producing more than 3 million pounds of thrust.
NASA and Northrop Grumman have previously completed three development motor tests and two qualification motor tests. Today’s test, called Flight Support Booster-1 (FSB-1), builds on prior tests with the introduction of propellant ingredients from new suppliers for boosters on SLS rockets to support flights after Artemis III.
For more on NASA’s SLS, visit: https://www.nasa.gov/sls
Producer Credit: Sonnet Apple
Music: Universal Production Music</t>
  </si>
  <si>
    <t>gHJDD02Jwms</t>
  </si>
  <si>
    <t>2020 08 28</t>
  </si>
  <si>
    <t>https://youtu.be/PNop2HoNrbY</t>
  </si>
  <si>
    <t>The First Element of the Spacecraft For Artemis III on This Week @NASA – August 28, 2020</t>
  </si>
  <si>
    <t>The first element of the spacecraft for Artemis III, a NASA astronaut assigned to a future Commercial Crew flight, and a strong storm seen from space … a few of the stories to tell you about – This Week at NASA!
Downloaad Link: https://images.nasa.gov/details-The%20First%20Element%20of%20the%20Spacecraft%20For%20Artemis%20III%20on%20This%20Week%20@NASA%20August%2028,%202020 
Producer: Andre Valentine
Editor: Sonnet Apple
Music: Universal Production Music</t>
  </si>
  <si>
    <t>PNop2HoNrbY</t>
  </si>
  <si>
    <t>2020 08 26</t>
  </si>
  <si>
    <t>https://youtu.be/IXKzwwdcUlE</t>
  </si>
  <si>
    <t>Past, Present, and Future of Women in Space</t>
  </si>
  <si>
    <t>This year marks the 100th anniversary of the adoption of the 19th Amendment to the U.S. Constitution, guaranteeing women the right to vote.  “Past, Present, and Future of Women in Space,” is an inspirational program to reflect on the stories and contributions of women in space and STEM through the lens of the past, present, and future.
In addition to special guests, you’ll hear from a panel of NASA’s own female “firsts” and pioneers, including astronaut Stephanie Wilson; Clara Ma, NASA’s Curiosity rover naming contest winner; Charlie Blackwell-Thompson, launch director at Kennedy Space Center; and moderator Dr. Christyl Johnson, Deputy Director for Technology and Research Investments at Goddard Space Flight Center.
Learn more about women at NASA: https://www.nasa.gov/women 
This video is available for download from NASA's Image and Video Library: https://images.nasa.gov/details-NHQ_2020_0826_WOMEN%20IN%20SPACE
 All chats are moderated. Inappropriate language or posts that harass other individuals will be removed.
- Use respectful language
- Protect your private information
- No spam, sexually explicit or discriminatory material
- Stay on topic</t>
  </si>
  <si>
    <t>IXKzwwdcUlE</t>
  </si>
  <si>
    <t>2020 08 24</t>
  </si>
  <si>
    <t>https://youtu.be/fnZ6G7hT-9I</t>
  </si>
  <si>
    <t>Tropical Storm Laura From Space on August 24, 2020</t>
  </si>
  <si>
    <t>Cameras outside the International Space Station captured views of Tropical Storm Laura from approximately 250 miles above. The space station passed directly over the tropical system on Sunday, August 23, prior to the storm making landfall on Cuba. The National Hurricane Center is projecting Laura to strengthen into a hurricane once in the Gulf of Mexico, with landfall expected on the U.S. Gulf Coast later this week. Follow our coverage: https://blogs.nasa.gov/hurricanes.
Download this video: https://go.nasa.gov/2YwQ2LI.</t>
  </si>
  <si>
    <t>fnZ6G7hT-9I</t>
  </si>
  <si>
    <t>2020 08 21</t>
  </si>
  <si>
    <t>https://youtu.be/aKPE_WwN7Yc</t>
  </si>
  <si>
    <t>Targeting the Next U.S. Launch of Astronauts on This Week @NASA – August 21, 2020</t>
  </si>
  <si>
    <t>Targeting the next U.S. launch of astronauts, another successful space station resupply mission, and honoring pilots for National Aviation Day … a few of the stories to tell you about – This Week at NASA!
Download Link: https://images.nasa.gov/details-Targeting%20the%20Next%20U.S.%20Launch%20of%20Astronauts%20on%20This%20Week%20@NASA%20August%2021,%202020</t>
  </si>
  <si>
    <t>aKPE_WwN7Yc</t>
  </si>
  <si>
    <t>https://youtu.be/PQSagzssvUQ</t>
  </si>
  <si>
    <t>What You Need to Know About Enceladus</t>
  </si>
  <si>
    <t>Beneath its icy surface, Saturn’s icy moon Enceladus has many surprises: a reservoir of liquid water, organic chemical compounds, and hydrothermal vents. Find out what you need to know about Enceladus, an ocean world which may have conditions friendly to life.</t>
  </si>
  <si>
    <t>PQSagzssvUQ</t>
  </si>
  <si>
    <t>2020 08 20</t>
  </si>
  <si>
    <t>https://youtu.be/kz_UTSOfs7o</t>
  </si>
  <si>
    <t xml:space="preserve">%23AskNASA┃ What Do Beck, NASA and Artificial Intelligence Have in Common </t>
  </si>
  <si>
    <t>It turns out Beck, NASA and artificial intelligence have a lot in common!
NASA spacecraft and observatories have been imaging our solar system and our universe for over 60 years. The NASA archives host a wealth of images that showcase and educate. Beck’s latest music videos for the album Hyperspace, created by Osk Studios, use artificial intelligence to interpret our NASA images. We’ve also used our databases of Mars images to train our new Mars rover Perseverance to help it land, drive and explore with autonomy. In this episode of #AskNASA, Beck joins NASA-JPL engineer Farah Alibay and Osk designers Isabelle Albuquerque and Jon Ray to answer social media questions about A.I. in art and science.
For mission updates and more about our A.I. technology, follow Perseverance on https://Twitter.com/NASAPersevere or https://Facebook.com/NASAPersevere andvisit https://mars.nasa.gov/mars2020/ 
To explore NASA’s image, video and data archives for your own projects, visit:
https://images.nasa.gov
https://photojournal.jpl.nasa.gov
https://svs.gsfc.nasa.gov/
https://pds.nasa.gov/
https://nasa.gov/sounds
Video Credits:
Producers: Jori Kates and Amy Leniart
Editor: Amy Leniart
This video is available for download from NASA's Image and Video Library: https://images.nasa.gov/details-NHQ_2020_0820_AskNASA%20205%20Beck%20and%20Farah</t>
  </si>
  <si>
    <t>kz_UTSOfs7o</t>
  </si>
  <si>
    <t>2020 08 17</t>
  </si>
  <si>
    <t>https://youtu.be/_9AYw2EQm8s</t>
  </si>
  <si>
    <t>What You Need to Know About Ocean Worlds</t>
  </si>
  <si>
    <t>Our planet is a beautiful water-filled world, teeming with life. But did you know that Earth is not the only world in our solar system with an ocean? Here’s what you need to know about Ocean Worlds.</t>
  </si>
  <si>
    <t>_9AYw2EQm8s</t>
  </si>
  <si>
    <t>2020 08 14</t>
  </si>
  <si>
    <t>https://youtu.be/nHv5lQDwSVM</t>
  </si>
  <si>
    <t>Closing in On a Hot Fire Test for Artemis I on This Week @NASA – August 14, 2020</t>
  </si>
  <si>
    <t>Closing in on a hot fire test for Artemis I, a tiny hitchhiker headed for a near-Earth destination, and a final rehearsal for OSIRIS-REx … a few of the stories to tell you about – This Week at NASA!</t>
  </si>
  <si>
    <t>nHv5lQDwSVM</t>
  </si>
  <si>
    <t>https://youtu.be/8XFZfgjePlE</t>
  </si>
  <si>
    <t>Gravity Assist Podcast  Looking For Life in Ancient Lakes</t>
  </si>
  <si>
    <t>Astrobiologists study ancient lakes on Earth in order to help us search for life in our solar system and beyond. Subscribe to our "Gravity Assist" podcast for this episode and more: https://www.nasa.gov/gravityassist
As the Perseverance Rover flies toward Jezero Crater on Mars, which once hosted water, astrobiologists are interested in places on Earth that are similar to the rover landing site. Kennda Lynch, scientist at the Lunar and Planetary Institute in Houston, Texas, has been doing fieldwork in an ancient lake location in Utah called the Pilot Valley Playa. In this episode of Gravity Assist, she describes her recent discoveries and why she’s excited about Perseverance. She also explains how all life forms create waste products, even bacteria, that could leave tracers or “biosignatures” for scientists to detect. By looking at how microbes survive in extreme environments on Earth, scientists can explore the bigger question of how life could sustain itself on other planetary bodies like Mars and Jupiter’s moon Europa.
Image Credits: 
NASA
Vox/ YouTube Original -"Glad You Asked"
Brocken Inaglory/Wikimedia Commons
Alexander Gerst/Wikimedia Commons
Paul Hermans/Wikimedia Commons
Producer: Sonnet Apple
This video is available for download from NASA's Image and Video Library: https://images.nasa.gov/details-NHQ_2020_0814_Gravity%20Assist_Kennda%20Lynch</t>
  </si>
  <si>
    <t>8XFZfgjePlE</t>
  </si>
  <si>
    <t>2020 08 10</t>
  </si>
  <si>
    <t>https://youtu.be/OyaXBrttBFQ</t>
  </si>
  <si>
    <t>A Bridge Above  20 Years of the International Space Station</t>
  </si>
  <si>
    <t>"What if we built a bridge, between and above all nations, to jointly discover the galaxy's great unknowns?" Join us this fall as we prepare to celebrate the 20th anniversary of the International Space Station. As a global endeavor, 240 people from 19 countries have visited the unique microgravity laboratory, which has hosted more than 2,800 research investigations from scientists  in over 100 nations.</t>
  </si>
  <si>
    <t>OyaXBrttBFQ</t>
  </si>
  <si>
    <t>2020 08 09</t>
  </si>
  <si>
    <t>https://youtu.be/Ps_HtCYOFBk</t>
  </si>
  <si>
    <t>Welcome Home Bob &amp; Doug  Social Media Welcomes %23LaunchAmerica Astronauts Home</t>
  </si>
  <si>
    <t>NASA Astronauts Robert Behnken and Douglas Hurley splashed down in the Dragon Endeavour capsule at 2:48 p.m. EDT on Sunday, Aug. 2, off the coast of Pensacola, Florida.
Demo-2 is SpaceX’s final test flight and is providing data on the performance of the Falcon 9 rocket, Crew Dragon spacecraft and ground systems, as well as in-orbit, docking, splashdown, and recovery operations. The data will inform NASA’s certification of the SpaceX crew transportation system for regular flights carrying astronauts to and from the space station. SpaceX is readying the hardware for the first rotational mission that will occur following NASA certification, which is expected to take about six weeks.
Download Link: https://images.nasa.gov/details-NHQ_2020_0804_Welcome%20home%20Bob%20&amp;%20Doug</t>
  </si>
  <si>
    <t>Ps_HtCYOFBk</t>
  </si>
  <si>
    <t>2020 08 07</t>
  </si>
  <si>
    <t>https://youtu.be/oEwwC9CakYU</t>
  </si>
  <si>
    <t>A Safe Splashdown for an Historic Test Flight on This Week @NASA – August 7, 2020</t>
  </si>
  <si>
    <t>A safe splashdown for an historic test flight, a major milestone for a future mission, and remembering a champion for Earth Science … a few of the stories to tell you about – This Week at NASA!
Download Link: https://images.nasa.gov/details-A%20Safe%20Splashdown%20for%20an%20Historic%20Test%20Flight%20on%20This%20Week%20@NASA%20August%207,%202020
Producer: Andre Valentine
Editor: Lacey Young
Music: Universal Production Music</t>
  </si>
  <si>
    <t>oEwwC9CakYU</t>
  </si>
  <si>
    <t>2020 08 05</t>
  </si>
  <si>
    <t>https://youtu.be/xwElqBcisMY</t>
  </si>
  <si>
    <t xml:space="preserve">%23AskNASA┃  How Do We Launch Astronauts from the United States to the Space Station </t>
  </si>
  <si>
    <t>NASA is enabling safe, reliable, and cost-effective crew transportation to and from the International Space Station from two private companies – Spacex and Boeing. NASA’s Commercial Crew Program represents a revolutionary approach to government and commercial collaborations for the advancement of space exploration.
For the first time in history, NASA astronauts launched from American soil in a commercially built and operated American crew spacecraft to the space station. The SpaceX Crew Dragon spacecraft carrying NASA astronauts Robert Behnken and Douglas Hurley launched May 31 on the company’s Falcon 9 rocket from Launch Complex 39A at NASA’s Kennedy Space Center in Florida. They returned to Earth and splashed down in the Dragon Endeavor capsule on Sunday, Aug. 2, off the coast of Pensacola, Florida.
Known as NASA’s SpaceX Demo-2, the mission is an end-to-end test flight to validate the SpaceX crew transportation system, including launch, in-orbit, docking and landing operations. The program demonstrates NASA’s commitment to investing in commercial companies through public-private partnerships and builds on the success of American companies, including SpaceX, already delivering cargo to the space station. Boeing will also complete an uncrewed flight test followed by a crewed flight test for certification to fly NASA astronauts to the space station.</t>
  </si>
  <si>
    <t>xwElqBcisMY</t>
  </si>
  <si>
    <t>2020 08 03</t>
  </si>
  <si>
    <t>https://youtu.be/PLc3_vxTNmM</t>
  </si>
  <si>
    <t>SpaceX Dragon Endeavour Splashdown in 4K</t>
  </si>
  <si>
    <t>(No Audio) Raw footage of the 2:48 p.m. EDT, Sunday, Aug. 2, splashdown of SpaceX's Crew Dragon Endeavour spacecraft in the Gulf of Mexico off the coast of Pensacola, Florida. NASA astronauts Bob Behnken and Doug Hurley are aboard, returning from the International Space Station. Dragon's parachutes slowed the spacecraft to a speed of about 15mph for splashdown.
Download this video: https://images.nasa.gov/details-KSC-20200802-MH-MTD01-0001-SpaceX_Demo-2_Splashdown_4K-3255694
About the mission: https://www.nasa.gov/press-release/nasa-astronauts-safely-splash-down-after-first-commercial-crew-flight-to-space-station/</t>
  </si>
  <si>
    <t>PLc3_vxTNmM</t>
  </si>
  <si>
    <t>2020 08 02</t>
  </si>
  <si>
    <t>https://youtu.be/qDjvuBah3K0</t>
  </si>
  <si>
    <t>Splashdown Recap  Bob &amp; Doug Come Home</t>
  </si>
  <si>
    <t>NASA Astronauts Robert Behnken and Douglas Hurley splashed down in the Dragon Endeavour capsule at 2:48 p.m. EDT on Sunday, Aug. 2, off the coast of Pensacola, Florida.
The Crew Dragon hatch was opened at 3:59 p.m., and Behnken and Hurley exited the spacecraft onto the Go Navigator for initial medical checks before returning to shore by helicopter. Once returned to shore, both crew members will immediately board a waiting NASA plane to fly back to Ellington field in Houston. 
Hurley and Behnken arrived to the International Space Station May 31 and spent 62 days supporting science and research aboard the orbiting laboratory as part of Expedition 63.  
Demo-2 is SpaceX’s final test flight and is providing data on the performance of the Falcon 9 rocket, Crew Dragon spacecraft and ground systems, as well as in-orbit, docking, splashdown, and recovery operations. The data will inform NASA’s certification of the SpaceX crew transportation system for regular flights carrying astronauts to and from the space station. SpaceX is readying the hardware for the first rotational mission that will occur following NASA certification, which is expected to take about six weeks.
Download link: https://images.nasa.gov/details-Splashdown%20Recap%20-%20Bob%20&amp;%20Doug%20Come%20Home</t>
  </si>
  <si>
    <t>qDjvuBah3K0</t>
  </si>
  <si>
    <t>2020 08 01</t>
  </si>
  <si>
    <t>https://youtu.be/TUKA7ToC8R0</t>
  </si>
  <si>
    <t>Views of Planet Earth — As Seen by NASA Astronauts in Space</t>
  </si>
  <si>
    <t>While in orbit, NASA astronauts Robert Behnken and Douglas Hurley captured stunning views of our home planet Earth.
The duo made history May 30 when they launched from American soil in a commercially built and operated American crew spacecraft to the International Space Station. Their mission and test flight is helping NASA certify SpaceX’s crew transportation system for regular flights carrying astronauts to and from the orbiting laboratory. 
Learn more about NASA's Commercial Crew Program: https://www.nasa.gov/exploration/commercial/crew/index.html
View more photos of Earth from the vantage point of space: https://www.flickr.com/photos/nasa2explore/</t>
  </si>
  <si>
    <t>TUKA7ToC8R0</t>
  </si>
  <si>
    <t>https://youtu.be/mwQvcGE0kPI</t>
  </si>
  <si>
    <t>NASA Astronauts Robert Behnken and Douglas Hurley’s Scientific Journeys aboard the Space Station</t>
  </si>
  <si>
    <t>Docking their SpaceX Crew Dragon capsule to the International Space Station in May completed the first part of the mission for NASA astronauts Robert Behnken and Douglas Hurley on the first crewed test flight for the Commercial Crew Program (CCP). But their task was far from over. The following months contained another important piece of their journey: living and working aboard the orbiting laboratory. Together, they spent more than 100 hours assisting or conducting science and technology demonstrations on station. Learn more about their work here: https://go.nasa.gov/312ES1y 
Learn more about the research being conducted on station: https://www.nasa.gov/iss-science 
Follow Twitter updates on the science conducted aboard the space station: https://twitter.com/iss_research</t>
  </si>
  <si>
    <t>mwQvcGE0kPI</t>
  </si>
  <si>
    <t>2020 07 31</t>
  </si>
  <si>
    <t>https://youtu.be/J3VuLKFnvlQ</t>
  </si>
  <si>
    <t>NASA Astronauts Robert Behnken and Douglas Hurley Are Coming Home!</t>
  </si>
  <si>
    <t>On Aug. 1, NASA astronauts  Robert Behnken and Douglas Hurley will depart the International Space Station on SpaceX's Crew Dragon spacecraft after a more than 60-day stay. 
The mission, which is part of NASA's Commercial Crew Program, marks the first crewed test flight of the spacecraft. Continuous coverage of their departure begins Aug. 1 at 5:15 p.m. EDT and you can watch here on YouTube: https://youtu.be/13OkD0C_TWU
Producer/Editor: Lacey Young
Music: Universal Production Music</t>
  </si>
  <si>
    <t>J3VuLKFnvlQ</t>
  </si>
  <si>
    <t>https://youtu.be/KAegwr_ToJI</t>
  </si>
  <si>
    <t>Our Next Mars Rover is Headed to The Red Planet on This Week @NASA – July 31, 2020</t>
  </si>
  <si>
    <t>Our next Mars rover is on its way, preparing for the historic return of a Commercial Crew mission, and naming the crew for a future mission … a few of the stories to tell you about – This Week at NASA!
Download Link: https://images.nasa.gov/details-Our%20Next%20Mars%20Rover%20is%20Headed%20to%20The%20Red%20Planet%20on%20This%20Week%20@NASA%20%E2%80%93%20July%2031,%202020</t>
  </si>
  <si>
    <t>KAegwr_ToJI</t>
  </si>
  <si>
    <t>2020 07 30</t>
  </si>
  <si>
    <t>https://youtu.be/NHW_gq7dyXc</t>
  </si>
  <si>
    <t>Space Agency Leaders Send Congratulations to Mars Perseverance</t>
  </si>
  <si>
    <t>Space agency leaders from across the globe – including France, India, Italy, Japan, Norway, Spain, the U.S. and the European Space Agency – offer their congratulations for the successful launch of the Mars Perseverance Rover on July 30, 2020. After a 7-month journey to the Red Planet, Perseverance will land in Mars’ Jezero Crater on February 18, 2021.
Producer/Editor: Lacey Young
Music: Universal Production Music</t>
  </si>
  <si>
    <t>NHW_gq7dyXc</t>
  </si>
  <si>
    <t>2020 07 29</t>
  </si>
  <si>
    <t>https://youtu.be/ZRCTK5LpZXA</t>
  </si>
  <si>
    <t>%23EZScience  Preparing to Launch the Perseverance Rover to Mars</t>
  </si>
  <si>
    <t>In this “On the Go” episode of #EZScience, we’re on the scene at Kennedy Space Center with the rocket that will take the Perseverance rover and the Ingenuity helicopter to Mars. 
ABOUT THE SERIES: In this video series with the National Air and Space Museum, NASA's associate administrator for science Dr. Thomas Zurbuchen and Museum director Dr. Ellen Stofan talk about the latest in planetary science and exploration. 
Learn more about the series: https://www.nasa.gov/ezscience
#S1E10</t>
  </si>
  <si>
    <t>ZRCTK5LpZXA</t>
  </si>
  <si>
    <t>2020 07 28</t>
  </si>
  <si>
    <t>https://youtu.be/McqMigM_YG8</t>
  </si>
  <si>
    <t>%23EZScience  Mars Perseverance Rover Will Look for Signs of Ancient Life</t>
  </si>
  <si>
    <t>Let’s talk about science! In the latest episode of #EZScience, learn about the science behind NASA's Perseverance rover that is targeted to launch to the Red Planet on July 30.
ABOUT THE SERIES: In our #EZScience video series with the National Air and Space Museum, NASA's associate administrator for science Dr. Thomas Zurbuchen and Museum director Dr. Ellen Stofan talk about the latest in planetary science and exploration.
Learn more about the series: https://www.nasa.gov/ezscience
#S1E9P2</t>
  </si>
  <si>
    <t>McqMigM_YG8</t>
  </si>
  <si>
    <t>2020 07 27</t>
  </si>
  <si>
    <t>https://youtu.be/yNlAFzG44ko</t>
  </si>
  <si>
    <t xml:space="preserve">%23AskNASA┃ How Do You Build a Mars Rover </t>
  </si>
  <si>
    <t>How will Perseverance help with future human exploration? And how will the Mars Ingenuity Helicopter work?
NASA's Mars 2020 Perseverance rover is creating a lot of excitement. The new rover will look for signs of past microbial life, cache rock and soil samples, and prepare for future human exploration.
As part of the assembly, test, and launch operations team, NASA engineer Michelle Colizzi explains the Perseverance rover’s mission. She details how the drill will collect core samples and outlines plans to test a new technology to produce oxygen from the Martian atmosphere.
For more information about the mission, go to: mars.nasa.gov/mars2020/
Send your questions to our experts using: #AskNASA
For more information about Artemis: https://www.nasa.gov/what-is-artemis</t>
  </si>
  <si>
    <t>yNlAFzG44ko</t>
  </si>
  <si>
    <t>2020 07 26</t>
  </si>
  <si>
    <t>https://youtu.be/n7_qOWXe7Zw</t>
  </si>
  <si>
    <t>Say “Bon Voyage” to our Mars Perseverance Rover!</t>
  </si>
  <si>
    <t>We’re going back to Mars! Our newest rover is named Perseverance, and will be launching soon for its seven-month journey to the Red Planet to search for signs of ancient life. And it’s bringing along a friend: a little helicopter named Ingenuity! Ingenuity will test the first powered flight on Mars. 
Join us in wishing Perseverance and Ingenuity “bon voyage” on their #CountdownToMars! https://mars.nasa.gov/mars2020/</t>
  </si>
  <si>
    <t>n7_qOWXe7Zw</t>
  </si>
  <si>
    <t>2020 07 24</t>
  </si>
  <si>
    <t>https://youtu.be/J7wWgmagmQw</t>
  </si>
  <si>
    <t>A Record-Tying Spacewalk to Upgrade the Space Station on This Week @NASA – July 24, 2020</t>
  </si>
  <si>
    <t>A record-tying spacewalk to upgrade the space station, the station crew receives a new shipment of supplies, and looking forward to seeing Ingenuity take flight on Mars … a few of the stories to tell you about – This Week at NASA!
Download Link: https://images.nasa.gov/details-A%20Record-Tying%20Spacewalk%20to%20Upgrade%20the%20Space%20Station%20on%20This%20Week%20@NASA%20%E2%80%93%20July%2024,%202020</t>
  </si>
  <si>
    <t>J7wWgmagmQw</t>
  </si>
  <si>
    <t>https://youtu.be/4ZKQoUGMNv4</t>
  </si>
  <si>
    <t>Hidden No More┃The Legacy of Mary W. Jackson</t>
  </si>
  <si>
    <t>As one of the core figures from NASA’s history, Mary W. Jackson’s legacy continues to represent a commitment to excellence, diversity, inclusion and teamwork.
NASA hosts a question and answer conversation with Margot Lee Shetterly, Author of “Hidden Figures". Shetterly speaks with NASA Administrator Jim Bridenstine, NASA Historian Bill Barry, and Associate Administrator of Communications Bettina Inclán.
QUESTIONS
[6:31] What drew you to the story of NASA's Hidden Figures, and how did you get started on your research for the book?
[7:50] Where did the term Hidden Figures come from? 
[9:26] Why were they called Human Computers? Who were these women and how did this come to be? 
[13:17] Who was Mary W. Jackson? 
[17:03] How accurate was the portrayal of Mary Jackson in the Hidden Figures film? What is NASA’s role at making these historically supported movies? 
[22:06] When researching for your book did you come across any other African American hidden figures, women or men, worth noting?
[26:25] Was there anything that you found in your research that you did not portray in the movie or the book?
[30:05] Did Mary W. Jackson spend time training at NASA Headquarters? 
[32:00] What advice do you think Mary W. Jackson would give to current and future NASA Leaders if she were still living today?
[35:22] What advice would you give today to a young black girl who is interested in working at NASA? What do you think about the Hidden Figures and their work? 
[41:16] What are we doing as an agency with society to make sure we know more about Hidden Figures? And also, recognize other Hidden Figures that were not included in the book?  
[48:00] What is NASA doing to ensure we live up to the standards set by Mary W. Jackson?</t>
  </si>
  <si>
    <t>4ZKQoUGMNv4</t>
  </si>
  <si>
    <t>2020 07 22</t>
  </si>
  <si>
    <t>https://youtu.be/OnHqYgl88Yo</t>
  </si>
  <si>
    <t>NASA Science Live  Perseverance Mars Rover &amp; the Search for Ancient Life</t>
  </si>
  <si>
    <t>Millions of miles from Earth lies a dusty, cold, desert world with a very thin atmosphere. You know this planet as Mars…but it hasn’t always been this way. There’s evidence that the Red Planet was much wetter and warmer, with a thicker atmosphere, billions of years ago. Could it also have supported life? NASA’s Perseverance rover launches next week and will explore the Red Planet to collect rock and soil samples, which may preserve ancient signs of life. Join experts on #NASAScience Live Wednesday, July 22 at 3:00 p.m. EDT, to learn more about this robotic astrobiologist.</t>
  </si>
  <si>
    <t>OnHqYgl88Yo</t>
  </si>
  <si>
    <t>https://youtu.be/knl6U7AP_ic</t>
  </si>
  <si>
    <t>Matching a Spacewalk Record</t>
  </si>
  <si>
    <t>NASA Astronauts Chris Cassidy and Robert Behnken tied the record for most U.S. Spacewalks on July 21, 2020.
It was the 10th Spacewalk for both Cassidy and Behnken tying them with former astronauts Michael Lopez-Alegria and Peggy Whitson for the most spacewalks by an American Astronaut.
Behnken and Cassidy performed a number of tasks designed to upgrade station systems. Their first task will be to install a protective unit to store tools for use by the Canadian Space Agency’s Dextre robot. The storage unit also includes two Robotic External Leak Locator (RELL) units that Dextre can use to detect leaks of ammonia, which is used to operate the station’s cooling system.
The astronaut duo then worked on removing two lifting fixtures at the base of station solar arrays on the near port truss, or backbone, of the station. The “H-fixtures” were used for ground processing of the solar arrays prior to their launch.
They then moved on to work to prepare the outside of the Tranquility module for the arrival later this year of the Nanoracks commercial airlock on a SpaceX cargo delivery mission.
Finally, they routed ethernet cables and removed a lens filter cover from an external camera.
Chris Cassidy has now logged 54 hours 51 minutes of spacewalk time - the 9th most of all time.
Robert Behnken has logged 61 hours 10 minutes of spacewalk time - the 4th most of all time.</t>
  </si>
  <si>
    <t>knl6U7AP_ic</t>
  </si>
  <si>
    <t>2020 07 21</t>
  </si>
  <si>
    <t>https://youtu.be/qjJjyArol8c</t>
  </si>
  <si>
    <t>Gravity Assist Podcast  How We Protect Mars From Earthly Germs</t>
  </si>
  <si>
    <t>As we explore Mars and other places in the solar system that might have life, scientists who work in Planetary Protection are busy making sure that we don’t contaminate them. While engineers prepare the Perseverance Rover for launch, Lisa Pratt, NASA’s Planetary Protection Officer, is making sure that it’s not carrying too many spores — cells that could re-activate and transport Earthly bacteria to Mars. It’s especially important to keep Perseverance clean because it will collect samples on Mars that will one day return to Earth. Learn what your hand sanitizer has in common with NASA’s clean rooms, and how scientists are thinking about protecting Mars in terms of future human missions. 
Listen to episodes of the Gravity Assist podcast at https://www.nasa.gov/gravityassist</t>
  </si>
  <si>
    <t>qjJjyArol8c</t>
  </si>
  <si>
    <t>2020 07 20</t>
  </si>
  <si>
    <t>https://youtu.be/N0f-QkEVU7U</t>
  </si>
  <si>
    <t>6 NASA Technologies to Get Humans to Mars</t>
  </si>
  <si>
    <t>NASA is advancing many technologies to send astronauts to Mars as early as the 2030s. Here are six things we are working on right now to make future human missions to the Red Planet possible.
Be part of the #CountdownToMars: https://go.nasa.gov/3fH3qU1
Producer/Editor: Lacey Young
Music: Universal Production Music</t>
  </si>
  <si>
    <t>N0f-QkEVU7U</t>
  </si>
  <si>
    <t>2020 07 18</t>
  </si>
  <si>
    <t>https://youtu.be/1P-QBtEyDbQ</t>
  </si>
  <si>
    <t>%23EZScience  Launching to Mars with NASA's Perseverance Rover</t>
  </si>
  <si>
    <t>Let’s talk about science! In the latest episode of #EZScience, learn about the upcoming launch of Perseverance. Dr. E and Dr. Z talk about the technological advancements of the newest Mars rover (and helicopter!). The premiere of this episode is part of the National Air and Space Museum’s Mars Day program. Learn more: https://airandspace.si.edu/mars-day 
ABOUT THE SERIES: In our #EZScience video series with the National Air and Space Museum, NASA's associate administrator for science Dr. Thomas Zurbuchen and Museum director Dr. Ellen Stofan talk about the latest in planetary science and exploration.
Learn more about the series: https://www.nasa.gov/ezscience
#S1E9P1</t>
  </si>
  <si>
    <t>1P-QBtEyDbQ</t>
  </si>
  <si>
    <t>2020 07 17</t>
  </si>
  <si>
    <t>https://youtu.be/gPJXgpSun04</t>
  </si>
  <si>
    <t>Another Power-Packed Spacewalk Outside the Space Station on This Week @NASA – July 17, 2020</t>
  </si>
  <si>
    <t>Another power-packed spacewalk outside the space station, highlighting a pretty cool comet, and a key piece of Space Launch System hardware is on the move … a few of the stories to tell you about – This Week at NASA!
Download Link: https://images.nasa.gov/details-Another%20Power-Packed%20Spacewalk%20Outside%20the%20Space%20Station%20on%20This%20Week%20@NASA%20%E2%80%93%20July%2017,%202020</t>
  </si>
  <si>
    <t>gPJXgpSun04</t>
  </si>
  <si>
    <t>2020 07 15</t>
  </si>
  <si>
    <t>https://youtu.be/dAZKu_ojb14</t>
  </si>
  <si>
    <t>What You Need to Know About Mars</t>
  </si>
  <si>
    <t>The search for ancient life. Planetary evolution. Preparing for future human exploration. There are so many reasons to study the Red Planet. If you're craving more, here’s what you need to know about Mars!</t>
  </si>
  <si>
    <t>dAZKu_ojb14</t>
  </si>
  <si>
    <t>2020 07 13</t>
  </si>
  <si>
    <t>https://youtu.be/9m95j0rM9Zs</t>
  </si>
  <si>
    <t>Mars Perseverance Rover  Launching This Summer</t>
  </si>
  <si>
    <t>Our Mars Perseverance rover is targeted to lift off July 30, 2020, on a seven-month journey to the Red Planet. It will search for signs of ancient life, collect rock and soil samples and help prepare for future human exploration. About the mission: https://mars.nasa.gov/mars2020/
Producer/Editor: Lacey Young
Music: Universal Production Music</t>
  </si>
  <si>
    <t>9m95j0rM9Zs</t>
  </si>
  <si>
    <t>2020 07 10</t>
  </si>
  <si>
    <t>https://youtu.be/-Ld_urt0tgg</t>
  </si>
  <si>
    <t>Our next Mars Rover gets closer to launch on This Week @NASA – July 10, 2020</t>
  </si>
  <si>
    <t>Our next Mars Rover gets closer to launch, a comet spotted from the space station and we’re ready to build a spacecraft to explore a metal-rich asteroid … a few of the stories to tell you about – This Week at NASA!
Download Link: https://images.nasa.gov/details-Our%20next%20Mars%20Rover%20gets%20closer%20to%20launch%20on%20This%20Week%20@NASA%20%E2%80%93%20July%2010,%202020</t>
  </si>
  <si>
    <t>-Ld_urt0tgg</t>
  </si>
  <si>
    <t>2020 07 07</t>
  </si>
  <si>
    <t>https://youtu.be/6qA9iaAUo8k</t>
  </si>
  <si>
    <t>We Persevere</t>
  </si>
  <si>
    <t>NASA's next Mars rover has a name – Perseverance. Like every exploration mission before, our rover is going to face challenges, and it’s going to make amazing discoveries. 
The time at hand is hard. We have already surmounted many obstacles on our way to Red Planet, but as humans we will not give up. We will always persevere. 
Targeted for launch in July 2020, NASA’s Mars Perseverance rover will search for signs of habitable conditions on Mars in the ancient past and for signs of past microbial life itself.
Learn more about the mission: https://mars.nasa.gov/mars2020/
Produced by brother
Directed by Theodore Melfi
Narrated by Octavia Spencer 
Music Credit: RONE - MOTION III 
Composed and produced by Erwan Castex
Arranged by Romain Allender 
Performed by Rone, Vanessa Wagner &amp; Les siècles Orchestra 
iF3073 - ℗ &amp; © 2018 InFiné
Published by InFiné Éditions / Warner Chappell Music Publishing</t>
  </si>
  <si>
    <t>6qA9iaAUo8k</t>
  </si>
  <si>
    <t>2020 07 06</t>
  </si>
  <si>
    <t>https://youtu.be/P7KcRWrUS5E</t>
  </si>
  <si>
    <t>Meet the NASA Psyche Team Who Will Map Psyche’s Elemental Composition</t>
  </si>
  <si>
    <t>Meet the team designing and building the Psyche mission's gamma ray and neutron spectrometer. This instrument on the spacecraft will detect, measure, and map Psyche’s elemental composition. It is mounted on a 6-foot (2-meter) boom to distance the sensors from background radiation created by energetic particles interacting with the spacecraft and to provide an unobstructed field of view. The team is based at the Applied Physics Laboratory at Johns Hopkins University and is led by Principal Investigator David Lawrence. 
Learn more: https://psyche.asu.edu/mission/instruments-science-investigations/</t>
  </si>
  <si>
    <t>P7KcRWrUS5E</t>
  </si>
  <si>
    <t>2020 07 04</t>
  </si>
  <si>
    <t>https://youtu.be/0E5r_94EQEk</t>
  </si>
  <si>
    <t>Independence Day Message from Astronauts in Space</t>
  </si>
  <si>
    <t>Astronauts Chris Cassidy, Doug Hurley and Bob Behnken commemorate Independence Day in the United States. They explain the history of the American flag that was flown on the first and last space shuttle missions, which Doug and Bob will carry back to Earth when they return home aboard the SpaceX Crew Dragon Endeavour spacecraft.
For the latest on the International Space Station: www.nasa.gov/station</t>
  </si>
  <si>
    <t>0E5r_94EQEk</t>
  </si>
  <si>
    <t>2020 07 03</t>
  </si>
  <si>
    <t>https://youtu.be/ZsXoC1HYr0o</t>
  </si>
  <si>
    <t>A Mighty Powerful Spacewalk Outside the Space Station on This Week @NASA – July 3, 2020</t>
  </si>
  <si>
    <t>A mighty powerful spacewalk outside the space station, a look at the space station’s next crew, and updates on our Artemis program … a few of the stories to tell you about – This Week at NASA!
This video is available for download from NASA's Image and Video Library: https://images.nasa.gov/details-A%20Mighty%20Powerful%20Spacewalk%20Outside%20the%20Space%20Station%20on%20This%20Week%20@NASA%20%E2%80%93%20July%203,%202020</t>
  </si>
  <si>
    <t>ZsXoC1HYr0o</t>
  </si>
  <si>
    <t>https://youtu.be/3HN_zx4JJfM</t>
  </si>
  <si>
    <t>What You Need to Know About Astrobiology - The Search for Life in the Universe!</t>
  </si>
  <si>
    <t>How did life begin on Earth? Does life exist beyond our home planet? How do we search for it?
These are the really tough questions astrobiologists want to answer by studying life as we know it. 
Here's what you need to know about our search for life in the cosmos: https://astrobiology.nasa.gov/</t>
  </si>
  <si>
    <t>3HN_zx4JJfM</t>
  </si>
  <si>
    <t>2020 06 30</t>
  </si>
  <si>
    <t>https://youtu.be/r-OCcFnp2RA</t>
  </si>
  <si>
    <t>What You Need To Know About Asteroids and Other Near-Earth Objects</t>
  </si>
  <si>
    <t>Have burning questions about asteroids? Our experts have answers! 
(Spoiler Alert: none of them will hit Earth.)
Our solar system is littered with asteroids and comets and sometimes they get a little close to Earth. When an asteroid or comet looks like it could come near our home planet, we keep close watch to warn of any potential impacts.
Here's what you need to know about how we find, track, and monitor these near-Earth objects: https://www.nasa.gov/mission_pages/asteroids/widget/index.html</t>
  </si>
  <si>
    <t>r-OCcFnp2RA</t>
  </si>
  <si>
    <t>2020 06 26</t>
  </si>
  <si>
    <t>https://youtu.be/cp0t9fKtECA</t>
  </si>
  <si>
    <t>A Power Spacewalk Outside the Space Station on This Week @NASA – June 26, 2020</t>
  </si>
  <si>
    <t>A power spacewalk outside the space station, honoring a former ‘Hidden Figure,’ and a “way cool” find of a hot Jupiter … a few of the stories to tell you about – This Week at NASA!
This video is available for download from NASA's Image and Video Library: https://images.nasa.gov/details-A%20Power%20Spacewalk%20Outside%20the%20Space%20Station%20on%20This%20Week%20@NASA%20%E2%80%93%20June%2026,%202020
Producer: Andre Valentine
Editor: Lacey Young
Music: Universal Production Music</t>
  </si>
  <si>
    <t>cp0t9fKtECA</t>
  </si>
  <si>
    <t>2020 06 25</t>
  </si>
  <si>
    <t>https://youtu.be/XXPCO3tcmig</t>
  </si>
  <si>
    <t>NASA Science Live  Science in the Time of Coronavirus</t>
  </si>
  <si>
    <t>Our planet is facing an unprecedented crisis as we continue to wrestle with the impacts of coronavirus. With its unparalleled technical and scientific expertise, NASA has joined the fight against the pandemic. Join us Thursday, June 25 at 3 p.m. EDT on #NASAScience Live to learn about the ideas and developments that NASA has contributed to confront this global health crisis.
To learn more about NASA's response to coronavirus, go to: https://www.nasa.gov/coronavirus</t>
  </si>
  <si>
    <t>XXPCO3tcmig</t>
  </si>
  <si>
    <t>2020 06 24</t>
  </si>
  <si>
    <t>https://youtu.be/lLDTnvuSTSo</t>
  </si>
  <si>
    <t>NASA names headquarters after Hidden Figure Mary W. Jackson</t>
  </si>
  <si>
    <t>NASA Administrator Jim Bridenstine announced on Wednesday, June 24, 2020, the agency’s headquarters building in Washington, D.C., will be named after Mary W. Jackson, the first African American female engineer at NASA.
Jackson started her NASA career in the segregated West Area Computing Unit of the agency’s Langley Research Center in Hampton, Virginia. Jackson, a mathematician and aerospace engineer, went on to lead programs influencing the hiring and promotion of women in NASA's science, technology, engineering, and mathematics careers. In 2019, she was posthumously awarded the Congressional Gold Medal.
“Mary W. Jackson was part of a group of very important women who helped NASA succeed in getting American astronauts into space. Mary never accepted the status quo, she helped break barriers and open opportunities for African Americans and women in the field of engineering and technology,” said Bridenstine. “Today, we proudly announce the Mary W. Jackson NASA Headquarters building. It appropriately sits on ‘Hidden Figures Way,’ a reminder that Mary is one of many incredible and talented professionals in NASA’s history who contributed to this agency’s success. Hidden no more, we will continue to recognize the contributions of women, African Americans, and people of all backgrounds who have made NASA’s successful history of exploration possible.”
The work of the West Area Computing Unit caught widespread national attention in the 2016 Margot Lee Shetterly book “Hidden Figures: The American Dream and the Untold Story of the Black Women Mathematicians Who Helped Win the Space Race.” The book was made into a popular movie that same year and Jackson’s character was played by award-winning actress Janelle Monáe.
“We are honored that NASA continues to celebrate the legacy of our mother and grandmother Mary W. Jackson,” said, Carolyn Lewis, Mary’s daughter. “She was a scientist, humanitarian, wife, mother, and trailblazer who paved the way for thousands of others to succeed, not only at NASA, but throughout this nation.”
Jackson was born and raised in Hampton, Virginia. After graduating high school, she graduated from Hampton Institute in 1942 with a dual degree in math and physical sciences, and initially accepted a job as a math teacher in Calvert County, Maryland. She would work as a bookkeeper, marry Levi Jackson and start a family, and work a job as a U.S. Army secretary before her aerospace career would take off.
In 1951, Jackson was recruited by the National Advisory Committee for Aeronautics, which in 1958 was succeeded by NASA. She started as a research mathematician who became known as one of the human computers at Langley. She worked under fellow “Hidden Figure” Dorothy Vaughan in the segregated West Area Computing Unit.
After two years in the computing pool, Jackson received an offer to work in the 4-foot by 4-foot Supersonic Pressure Tunnel, a 60,000 horsepower wind tunnel capable of blasting models with winds approaching twice the speed of sound. There, she received hands-on experience conducting experiments. Her supervisor eventually suggested she enter a training program that would allow Jackson to earn a promotion from mathematician to engineer. Because the classes were held at then-segregated Hampton High School, Jackson needed special permission to join her white peers in the classroom.
Jackson completed the courses, earned the promotion, and in 1958 became NASA’s first Black female engineer. For nearly two decades during her engineering career, she authored or co-authored research numerous reports, most focused on the behavior of the boundary layer of air around airplanes. In 1979, she joined Langley’s Federal Women’s Program, where she worked hard to address the hiring and promotion of the next generation of female mathematicians, engineers and scientists. Mary retired from Langley in 1985.
Download Link: https://images.nasa.gov/details-NASA%20names%20headquarters%20after%20Engineer%20%20Mary%20W.%20Jackson</t>
  </si>
  <si>
    <t>lLDTnvuSTSo</t>
  </si>
  <si>
    <t>2020 06 19</t>
  </si>
  <si>
    <t>https://youtu.be/ZM3CPui0fSI</t>
  </si>
  <si>
    <t>A Boost in the Right Direction for Artemis on This Week @NASA – June 19, 2020</t>
  </si>
  <si>
    <t>A boost in the right direction for Artemis, closing in on the launch of our next Mars rover, and the latest progress in our quest for quiet supersonic flight … a few of the stories to tell you about – This Week at NASA!
This video is available for download from NASA's Image and Video Library: https://images.nasa.gov/details-A%20Boost%20in%20the%20Right%20Direction%20for%20Artemis%20on%20This%20Week%20@NASA%20%E2%80%93%20June%2019,%202020
Producer: Andre Valentine
Editor: Lacey Young
Music: Universal Production Music</t>
  </si>
  <si>
    <t>ZM3CPui0fSI</t>
  </si>
  <si>
    <t>2020 06 12</t>
  </si>
  <si>
    <t>https://youtu.be/XRs8ho3_DJ8</t>
  </si>
  <si>
    <t>A New Lead for Our Human Spaceflight Efforts on This Week @NASA – June 12, 2020</t>
  </si>
  <si>
    <t>A new lead selected for our human spaceflight efforts, the new core capability of our next Mars rover, and news about our future VIPER lunar robot … a few of the stories to tell you about – This Week at NASA!
This video is available for download from NASA's Image and Video Library: https://images.nasa.gov/details-A%20New%20Lead%20for%20Our%20Human%20Spaceflight%20Efforts%20on%20This%20Week%20@NASA%20%E2%80%93%20June%2012,%202020</t>
  </si>
  <si>
    <t>XRs8ho3_DJ8</t>
  </si>
  <si>
    <t>2020 06 05</t>
  </si>
  <si>
    <t>https://youtu.be/A60gk5gXMvc</t>
  </si>
  <si>
    <t>Launching America On a Commercial Spacecraft on This Week @NASA – June 5, 2020</t>
  </si>
  <si>
    <t>Launching America on a commercial spacecraft, a NASA astronaut is headed back to the space station, and new close-up imagery of asteroid Bennu … a few of the stories to tell you about – This Week at NASA!
This video is available for download from NASA's Image and Video Library: https://images.nasa.gov/details-Launching%20America%20On%20a%20Commercial%20Spacecraft%20on%20This%20Week%20@NASA%20%E2%80%93%20June%205,%202020</t>
  </si>
  <si>
    <t>A60gk5gXMvc</t>
  </si>
  <si>
    <t>2020 06 03</t>
  </si>
  <si>
    <t>https://youtu.be/oXtJK-RJGZ8</t>
  </si>
  <si>
    <t xml:space="preserve">Who is NASA Astronaut Bob Behnken </t>
  </si>
  <si>
    <t>NASA astronaut Bob Behnken is a native of Missouri and a veteran of two space shuttle flights.  Behnken flew STS-123 in March 2008 and STS-130 in February 2010, logging more than 708 hours in space, and more than 37 hours during six spacewalks. Behnken is currently serving as Joint Operations Commander on the first crewed flight of the SpaceX Crew Dragon, the Demo-2 mission, which launched May 27, 2020. The SpaceX Crew Dragon, along with the Boeing CST-100 Starliner, will provide roundtrip crew transportation services to the International Space Station and return the ability to launch humans into space from United States soil as part of NASA’s Commercial Crew Program. After docking with the International Space Station on the second day of the mission, he also joined Expedition 63 as a flight engineer.</t>
  </si>
  <si>
    <t>oXtJK-RJGZ8</t>
  </si>
  <si>
    <t>https://youtu.be/6fVza4gZ7Lk</t>
  </si>
  <si>
    <t xml:space="preserve">Who is NASA Astronaut Doug Hurley </t>
  </si>
  <si>
    <t>NASA astronaut Doug Hurley was the pilot on STS‐127 and STS‐135. Hurley holds a Bachelor of Science in Civil Engineering from Tulane University. Before joining NASA, he was a fighter pilot and test pilot in the U.S. Marine Corps. Hurley is currently serving as Spacecraft Commander on the first crewed flight of the SpaceX Crew Dragon, the Demo-2 mission, which launched May 27, 2020. The SpaceX Crew Dragon, along with Boeing’s CST-100 Starliner, will provide roundtrip crew transportation services to the International Space Station and return the ability to launch humans into space from United States soil as part of NASA’s Commercial Crew Program. After docking with the International Space Station on the second day of the mission, he also joined Expedition 63 as a flight engineer.</t>
  </si>
  <si>
    <t>6fVza4gZ7Lk</t>
  </si>
  <si>
    <t>2020 06 02</t>
  </si>
  <si>
    <t>https://youtu.be/XpJ9GahiS8g</t>
  </si>
  <si>
    <t>NASA Astronauts Ring the Opening Bell for Nasdaq</t>
  </si>
  <si>
    <t>A historic bell ringing, 250 miles above Earth.
Today we recognized the achievements of our #LaunchAmerica mission with NASA Astronauts Chris Cassidy, Robert Behnken and Douglas Hurley who rung the captain’s bell onboard the International Space Station to open the day's trading on June 2. 
Behnken and Hurley arrived at the station on May 31, a day after becoming the first NASA astronauts to launch on a commercial rocket. The launch of the SpaceX Falcon 9 rocket and Crew Dragon spacecraft marked the return of human launches from U.S. soil to the space station for the first time since the retirement of the space shuttle program in 2011.
Learn more about the mission: https://www.nasa.gov/launchamerica/</t>
  </si>
  <si>
    <t>XpJ9GahiS8g</t>
  </si>
  <si>
    <t>2020 06 01</t>
  </si>
  <si>
    <t>https://youtu.be/NaI8xVY2noU</t>
  </si>
  <si>
    <t>From Space to Earth  NASA and SpaceX Honor Graduates of The Class of 2020</t>
  </si>
  <si>
    <t>When NASA astronauts Robert Behnken and Douglas Hurley launched to the space station aboard SpaceX’s Dragon Endeavor spacecraft, the world was watching. They also took 90,000 people along for the ride in a mosaic of Earth that include photos of Class of 2020 graduates 
In this video, the crew members talk to Benji Reed, the SpaceX Director of Crew Mission Management, before displaying the graduation mosaic to honor those who graduated this spring during the coronavirus pandemic
Learn more about the mission by visiting https://www.nasa.gov/launchamerica/</t>
  </si>
  <si>
    <t>NaI8xVY2noU</t>
  </si>
  <si>
    <t>2020 05 31</t>
  </si>
  <si>
    <t>https://youtu.be/mMSzxmsXXwY</t>
  </si>
  <si>
    <t>Live from Space  Video Inside the SpaceX's Dragon Endeavour Spacecraft</t>
  </si>
  <si>
    <t>In this video, NASA astronauts Robert Behnken and Douglas Hurley speak to Mission Control in Houston from SpaceX's Dragon Endeavour Spacecraft on May 31,  just hours before they arrive at the International Space Station. 
The SpaceX Falcon 9 rocket and Dragon spacecraft successfully launched from Kennedy Space Center’s historic Launch Pad 39A at 3:22 p.m. EDT on May 30 and arrived at the station’s Harmony port, docking at 10:16 a.m. EDT on May 31 while the spacecraft were flying about 262 miles above the northern border of China and Mongolia. 
Learn more about the mission by visiting https://www.nasa.gov/launchamerica</t>
  </si>
  <si>
    <t>mMSzxmsXXwY</t>
  </si>
  <si>
    <t>https://youtu.be/vpRPnhuz78U</t>
  </si>
  <si>
    <t>After the Launch  NASA and SpaceX Share Updates about Historic %23LaunchAmerica Mission</t>
  </si>
  <si>
    <t>Liftoff! The SpaceX Falcon 9 rocket carrying NASA astronauts Robert Behnken and Douglas Hurley aboard the company’s Crew Dragon spacecraft launched from Kennedy Space Center’s historic Launch Pad 39A at 3:22 p.m. EDT on May 30, kicking off a critical final flight test of the SpaceX crew transportation system.
Following the successfully launch, NASA hosted a postlaunch news conference for officials to talk about the mission live from NASA’s Kennedy Space Center in Florida.
Participants included:
o NASA Administrator Jim Bridenstine 
o Pat Forrester, NASA Chief Astronaut 
o Kathy Lueders, manager, NASA Commercial Crew Program
o Elon Musk, SpaceX chief engineer
o Kirk Shireman, manager, International Space Station Program
Learn more by visiting https://www.nasa.gov/launchamerica/</t>
  </si>
  <si>
    <t>vpRPnhuz78U</t>
  </si>
  <si>
    <t>https://youtu.be/22BXPLkyocw</t>
  </si>
  <si>
    <t>Launch Recap  NASA and SpaceX fly Astronauts to the Space Station</t>
  </si>
  <si>
    <t>For the first time in history, NASA astronauts have launched from American soil in a commercially built and operated American crew spacecraft on its way to the International Space Station. 
The SpaceX Crew Dragon spacecraft carrying NASA astronauts Robert Behnken and Douglas Hurley lifted off at 3:22 p.m. EDT Saturday on the company’s Falcon 9 rocket from Launch Complex 39A at NASA’s Kennedy Space Center in Florida. The crew will have a 19-hour-journey to the space station, arriving on Sunday, May 31.
Learn more about the mission: https://www.nasa.gov/launchamerica
Video Producer: Sonnet Apple
Music: Universal Production Music</t>
  </si>
  <si>
    <t>22BXPLkyocw</t>
  </si>
  <si>
    <t>https://youtu.be/llbIzbOStt4</t>
  </si>
  <si>
    <t>Tour from Space  Inside the SpaceX Crew Dragon Spacecraft on Its Way to the Space Station</t>
  </si>
  <si>
    <t>In this video, NASA astronauts Robert Behnken and Douglas Hurley take viewers on a tour of the SpaceX Crew Dragon spacecraft that will take them on a 19-hour-journey to their new home in orbit.
The SpaceX Falcon 9 rocket and Crew Dragon spacecraft successfully launched from Kennedy Space Center’s historic Launch Pad 39A at 3:22 p.m. EDT on May 30 with the astronauts aboard for a mission to the orbiting laboratory. Crew Dragon will perform a series of phasing maneuvers to gradually approach and autonomously dock with the International Space Station on Sunday, May 31, at approximately 10:29 a.m. EDT.
Learn more about the mission by visiting https://www.nasa.gov/launchamerica</t>
  </si>
  <si>
    <t>llbIzbOStt4</t>
  </si>
  <si>
    <t>2020 05 30</t>
  </si>
  <si>
    <t>https://youtu.be/Y6mtakJYSAY</t>
  </si>
  <si>
    <t>Preparing to ‘Launch America’ into a New Era of Space Exploration on This Week @NASA – May 29, 2020</t>
  </si>
  <si>
    <t>Preparing to ‘Launch America,’ a cargo spacecraft arrives at the space station, and the detective capabilities of our next Mars rover … a few of the stories to tell you about – This Week at NASA!
This video is available for download from NASA's Image and Video Library: https://images.nasa.gov/details-Preparing%20to%20Launch%20America%20into%20a%20New%20Era%20of%20Space%20Exploration%20on%20This%20Week%20@NASA%20May%2029,%202020</t>
  </si>
  <si>
    <t>Y6mtakJYSAY</t>
  </si>
  <si>
    <t>2020 05 29</t>
  </si>
  <si>
    <t>https://youtu.be/l1he-6z95Fk</t>
  </si>
  <si>
    <t xml:space="preserve">What's the Status of NASA and SpaceX's Mission to Launch Astronauts to Space </t>
  </si>
  <si>
    <t>Reporting from the Countdown Clock at NASA's Kennedy Space Center — America's spaceport — officials from NASA provided an update May 29 about the upcoming second attempt on May 30 to launch SpaceX's Crew Dragon spacecraft to space carrying NASA astronauts Robert Behnken and Douglas Hurley.
Watch this video to see NASA Administrator Jim Bridenstine, NASA Deputy Administrator Jim Morhard, Kennedy Space Center Director Bob Cabana, and astronauts Kjell Lindgren and Nicole Mann share their insights about the mission. 
NASA and SpaceX now are targeting 3:22 p.m. EDT Saturday, May 30, for the launch of the first commercially built and operated American rocket and spacecraft carrying astronauts to the space station. The first launch attempt, on May 27, was scrubbed due to unfavorable weather conditions.
Learn more about the mission: https://www.nasa.gov/launchamerica/
This video is available for download from NASA's Image and Video Library: https://images.nasa.gov/details-What's%20the%20Status%20of%20NASA%20and%20SpaceX's%20Mission%20to%20Launch%20Astronauts%20to%20Space</t>
  </si>
  <si>
    <t>l1he-6z95Fk</t>
  </si>
  <si>
    <t>2020 05 26</t>
  </si>
  <si>
    <t>https://youtu.be/4VuXstRwMaA</t>
  </si>
  <si>
    <t xml:space="preserve">How Are You Preparing to %23LaunchAmerica </t>
  </si>
  <si>
    <t>It’s not just Mission Control that’s counting down — how are you preparing to #LaunchAmerica?  From building your own rocket to binge-watching launch overage, share a video, a photo or simply your thoughts for a chance to be featured on our social media platforms, as we prepare for the return of human spaceflight to U.S. soil.
Check here for terms and conditions: https://www.nasa.gov/nasa-invites-you-to-launchamerica
Video Producer: Sonnet Apple
Music: Universal Production Music</t>
  </si>
  <si>
    <t>4VuXstRwMaA</t>
  </si>
  <si>
    <t>2020 05 22</t>
  </si>
  <si>
    <t>https://youtu.be/brcs-Nra_FY</t>
  </si>
  <si>
    <t>NASA and SpaceX are 'GO' to Proceed for Launch!</t>
  </si>
  <si>
    <t>NASA's mission with SpaceX to launch American astronauts to the International Space Station is cleared to proceed, officials said, following a successful Flight Readiness Review that concluded Friday, May 22, at NASA's Kennedy Space Center in Florida.
Participants in a news briefing about the mission include: 
· NASA Administrator Jim Bridenstine
· NASA Associate Administrator Steve Jurczyk
· Kathy Lueders, manager, NASA Commercial Crew Program
· Kirk Shireman, manager, International Space Station Program
· Benji Reed, director of crew mission management, SpaceX
· Norm Knight, deputy director, NASA Johnson Space Center Flight Operations
NASA and SpaceX are targeting 4:33 p.m. EDT Wednesday, May 27, for the launch of the Demo-2 flight, which will be the first time a commercially built and operated American rocket and spacecraft will carry humans to the space station.
Learn about the mission by visiting https://www.nasa.gov/launchamerica/</t>
  </si>
  <si>
    <t>brcs-Nra_FY</t>
  </si>
  <si>
    <t>https://youtu.be/vTWZrpLOgT8</t>
  </si>
  <si>
    <t>Meet our %23LaunchAmerica Astronauts Flying on a SpaceX Spacecraft</t>
  </si>
  <si>
    <t>NASA astronauts Robert Behnken and Douglas Hurley will make history as the first Americans to launch to the International Space Station from American soil in nearly a decade. 
In this video captured from their crew quarters, Bob and Doug take questions from media regarding their upcoming launch on the SpaceX Crew Dragon vehicle. NASA and SpaceX are targeting 4:33 p.m. EDT Wednesday, May 27, for the launch of the Demo-2 flight. 
Learn more about the mission: https://www.nasa.gov/launchamerica/</t>
  </si>
  <si>
    <t>vTWZrpLOgT8</t>
  </si>
  <si>
    <t>https://youtu.be/13RDPimvD_0</t>
  </si>
  <si>
    <t>How to Virtually Participate in ‘Launch America’ on This Week @NASA – May 22, 2020</t>
  </si>
  <si>
    <t>How to virtually participate in ‘Launch America,’ Vice President Pence highlights the nation’s return to human spaceflight, and honoring a legendary astronomer … a few of the stories to tell you about – This Week at NASA!
This video is available for download from NASA's Image and Video Library: https://images.nasa.gov/details-How%20to%20Virtually%20Participate%20in%20Launch%20America%20on%20This%20Week%20@NASA%20May%2022,%202020</t>
  </si>
  <si>
    <t>13RDPimvD_0</t>
  </si>
  <si>
    <t>2020 05 20</t>
  </si>
  <si>
    <t>https://youtu.be/yNnvWem8V3U</t>
  </si>
  <si>
    <t>NASA Science Live  Expanding Our View of the Universe</t>
  </si>
  <si>
    <t>NASA’s WFIRST mission will explore the universe, seeking answers to some of its biggest mysteries. From understanding the nature of dark energy to studying planets outside our solar system, this mission will expand our view of the cosmos. Join experts Wednesday, May 20 at 11 a.m. ET for an exciting announcement about the WFIRST mission.</t>
  </si>
  <si>
    <t>yNnvWem8V3U</t>
  </si>
  <si>
    <t>2020 05 19</t>
  </si>
  <si>
    <t>https://youtu.be/hLL8wjUdQSo</t>
  </si>
  <si>
    <t>It’s not just Mission Control that’s counting down — how are you preparing to #LaunchAmerica?  From building your own rocket to binge-watching launch overage, share a video, a photo or simply your thoughts for a chance to be featured on our social media platforms, as we prepare for the return of human spaceflight to U.S. soil.
Check here for terms and conditions: https://www.nasa.gov/nasa-invites-you-to-launchamerica
Thanks to Maria Therese E (Reese) Lansangan for use of her video!</t>
  </si>
  <si>
    <t>hLL8wjUdQSo</t>
  </si>
  <si>
    <t>2020 05 18</t>
  </si>
  <si>
    <t>https://youtu.be/IwrtrxiwXTE</t>
  </si>
  <si>
    <t>The Worm Is Back!</t>
  </si>
  <si>
    <t>Modern rocket. Retro logo. Same mission. The Worm is back. And just in time to mark the return of human spaceflight on American rockets from American soil. 
The retro, modern and iconic emblem will fly once again, this time on the side of the SpaceX Falcon 9 rocket that will ferry astronauts Robert Behnken and Douglas Hurley to the International Space Station on May 27 from Kennedy Space Center. Graphic designer Richard Danne explains how he and Bruce Blackburn created the logo in 1975. Take a trip down memory lane as we look to the future of our mission to #LaunchAmerica.</t>
  </si>
  <si>
    <t>IwrtrxiwXTE</t>
  </si>
  <si>
    <t>2020 05 17</t>
  </si>
  <si>
    <t>https://youtu.be/Vou2QLrP7jU</t>
  </si>
  <si>
    <t>NASA celebrates Asian American Pacific Islander Month</t>
  </si>
  <si>
    <t>Honoring the past and present, NASA celebrates Asian American Pacific Islanders Heritage Month. These NASA employees, who have helped contribute to America's space program, celebrate their diverse history, rich culture and contributions.</t>
  </si>
  <si>
    <t>Vou2QLrP7jU</t>
  </si>
  <si>
    <t>https://youtu.be/NtZCpq5QI64</t>
  </si>
  <si>
    <t>%23EZScience  Your Career Questions Answered!</t>
  </si>
  <si>
    <t>Let's talk about science! Watch the eighth episode of our #EZScience series to hear answers to your questions about studying the field of space science and careers in space exploration. 
ABOUT THE SERIES: In our #EZScience video series with the National Air and Space Museum, NASA's associate administrator for science Dr. Thomas Zurbuchen and Museum director Dr. Ellen Stofan talk about the latest in planetary science and exploration. 
Learn more about the series: https://www.nasa.gov/ezscience
Discover career opportunities at NASA: https://www.nasa.gov/careers/
#S1E8</t>
  </si>
  <si>
    <t>NtZCpq5QI64</t>
  </si>
  <si>
    <t>2020 05 15</t>
  </si>
  <si>
    <t>https://youtu.be/oGeocFnAaFc</t>
  </si>
  <si>
    <t>Countdown To Return of Human Spaceflight from Florida on This Week @NASA – May 15, 2020</t>
  </si>
  <si>
    <t>Counting down to the return of human spaceflight from Florida, a successful space station resupply mission, and a virtual tool to help develop lunar landers … a few of the stories to tell you about – This Week at NASA!
This video is available for download from NASA's Image and Video Library: https://images.nasa.gov/details-Countdown%20To%20Return%20of%20Human%20Spaceflight%20from%20Florida%20on%20This%20Week%20@NASA%20%E2%80%93%20May%2015,%202020</t>
  </si>
  <si>
    <t>oGeocFnAaFc</t>
  </si>
  <si>
    <t>2020 05 14</t>
  </si>
  <si>
    <t>https://youtu.be/cS27PGmMFKg</t>
  </si>
  <si>
    <t>%23EZScience  Your Space Science Questions Answered!</t>
  </si>
  <si>
    <t>Let's talk about science! Watch the seventh episode of our #EZScience series to hear answers to your questions about planetary and space science.  
ABOUT THE SERIES: In our #EZScience video series with the National Air and Space Museum, NASA's associate administrator for science Dr. Thomas Zurbuchen and Museum director Dr. Ellen Stofan talk about the latest in planetary science and exploration. 
Learn more about the series: https://www.nasa.gov/ezscience
Discover more about science at NASA: https://science.nasa.gov/
#S1E7</t>
  </si>
  <si>
    <t>cS27PGmMFKg</t>
  </si>
  <si>
    <t>2020 05 12</t>
  </si>
  <si>
    <t>https://youtu.be/a-vwD3eHN6Q</t>
  </si>
  <si>
    <t>It’s not just Mission Control that’s counting down — how are you preparing to #LaunchAmerica?  From building your own rocket to binge-watching launch overage, share a video, a photo or simply your thoughts for a chance to be featured on our social media platforms, as we prepare for the return of human spaceflight to U.S. soil.
Check here for terms and conditions: https://www.nasa.gov/nasa-invites-you-to-launchamerica
Thanks to Reese Lansangan and William Jakespeare for their clips in this video!
Video Producer: Sonnet Apple</t>
  </si>
  <si>
    <t>a-vwD3eHN6Q</t>
  </si>
  <si>
    <t>2020 05 09</t>
  </si>
  <si>
    <t>https://youtu.be/5EgRrAK8_HQ</t>
  </si>
  <si>
    <t>NASA and SpaceX prepare to %23LaunchAmerica</t>
  </si>
  <si>
    <t>Together with SpaceX, NASA will return human spaceflight to American soil after nearly a decade. SpaceX will launch people into space for the first time ever with astronauts Bob Behnken and Doug Hurley on board Crew Dragon, which will dock to the International Space Station. 
Prepare to #LaunchAmerica on May 27: www.nasa.gov/launchamerica
Share with us how you're planning to #LaunchAmerica for a chance to be featured on our social media: https://www.nasa.gov/nasa-invites-you-to-launchamerica</t>
  </si>
  <si>
    <t>5EgRrAK8_HQ</t>
  </si>
  <si>
    <t>2020 05 08</t>
  </si>
  <si>
    <t>https://youtu.be/iezhtq-OLx0</t>
  </si>
  <si>
    <t>Discussing a Safe Return to On-site Work on This Week @NASA – May 8, 2020</t>
  </si>
  <si>
    <t>Discussing the approach to increasing on-site work, the launch pad is ready for Artemis I, and new findings from an Earth-observing mission … a few of the stories to tell you about – This Week at NASA!
This video is available for download from NASA's Image and Video Library: https://images.nasa.gov/details-Discussing%20a%20Safe%20Return%20to%20On-site%20Work%20on%20This%20Week%20@NASA%20%E2%80%93%20May%208,%202020</t>
  </si>
  <si>
    <t>iezhtq-OLx0</t>
  </si>
  <si>
    <t>2020 05 07</t>
  </si>
  <si>
    <t>https://youtu.be/DUSOJcEuMzA</t>
  </si>
  <si>
    <t>How to Make a Rocket Pop-Up Card</t>
  </si>
  <si>
    <t>Making a pop-up card is the perfect way to celebrate NASA launching American astronauts to the International Space Station from U.S. soil for the first time since 2011.
All you will need is is some construction paper, scrapbook paper (or cardstock), scissors, drawing supplies, and adhesive.  Watch this video to learn more.
How are you preparing to #LaunchAmerica? From building your own rocket to binge-watching launch videos, share a video, a photo or simply your thoughts using #LaunchAmerica for a chance to be featured on our social media platforms.
Check here for terms and conditions: https://www.nasa.gov/nasa-invites-you-to-launchamerica
Video Producer: Sonnet Apple</t>
  </si>
  <si>
    <t>DUSOJcEuMzA</t>
  </si>
  <si>
    <t>2020 05 06</t>
  </si>
  <si>
    <t>https://youtu.be/jQaxUUraV_c</t>
  </si>
  <si>
    <t>NASA Science Live  On Ice</t>
  </si>
  <si>
    <t>Join NASA ice experts as we discuss important science about Earth's icy regions, and how it can impact us here in warmer environments. NASA’s ICESat-2 mission uses a laser instrument on a satellite to precisely measure ice and just released new findings about how Earth’s ice is changing. Scientists discovered that enough ice has melted from Antarctica and Greenland to rise sea level about half an inch over the last 16 years. We’ll talk to these researchers to see what that means, and then take you to the coast of Virginia to see the real-world impacts of Earth's melting ice.</t>
  </si>
  <si>
    <t>jQaxUUraV_c</t>
  </si>
  <si>
    <t>https://youtu.be/G690YvtHYEA</t>
  </si>
  <si>
    <t>Astronaut Chris Cassidy Thanks Essential Workers from the International Space Station</t>
  </si>
  <si>
    <t>NASA astronaut and U.S. Navy SEAL Chris Cassidy sends a message from the International Space Station, thanking all on the front lines facing COVID-19, our invisible enemy. From doctors and nurses in our hospitals, law enforcement and firefighters who protect us, warehouse personnel and grocery store clerks who keep the shelves stocked and the economy going – you are an inspiration to all and we sincerely thank you.
Editor: Lacey Young</t>
  </si>
  <si>
    <t>G690YvtHYEA</t>
  </si>
  <si>
    <t>2020 05 05</t>
  </si>
  <si>
    <t>https://youtu.be/9_Flt9NZCc4</t>
  </si>
  <si>
    <t>It’s not just Mission Control that’s counting down — how are you preparing to #LaunchAmerica? From building your own rocket to binge-watching launch overage, share a video, a photo or simply your thoughts for a chance to be featured on our social media platforms.
Check here for terms and conditions: https://www.nasa.gov/nasa-invites-you-to-launchamerica
Thanks to Daria Seminario and William Jakespeare for their clips in this video!</t>
  </si>
  <si>
    <t>9_Flt9NZCc4</t>
  </si>
  <si>
    <t>2020 05 01</t>
  </si>
  <si>
    <t>https://youtu.be/SQBOjAkI5mk</t>
  </si>
  <si>
    <t>Highlighting Our Upcoming Launch of Astronauts from Florida on This Week @NASA – May 1, 2020</t>
  </si>
  <si>
    <t>Highlighting our upcoming launch of astronauts from Florida, some news about our Moon to Mars effort, and our Mars helicopter has a new name … a few of the stories to tell you about – This Week at NASA!
This video is available for download from NASA's Image and Video Library: https://images.nasa.gov/details-Highlighting%20Our%20Upcoming%20Launch%20of%20Astronauts%20from%20Florida%20on%20This%20Week%20@NASA%20%E2%80%93%20May%201,%202020
Producer: Andre Valentine
Editor: Lacey Young
Music: Universal Production Music</t>
  </si>
  <si>
    <t>SQBOjAkI5mk</t>
  </si>
  <si>
    <t>2020 04 30</t>
  </si>
  <si>
    <t>https://youtu.be/dlHJAKIaALg</t>
  </si>
  <si>
    <t>Artemis Announcement  NASA Selects Human Landing Systems</t>
  </si>
  <si>
    <t>NASA has selected three American companies – Blue Origin, Dynetics and SpaceX – to design and develop human landing systems for the Artemis program. With these awards, NASA is on track to land the next astronauts on the lunar surface by 2024, and establish sustainable human exploration of the Moon by the end of the decade.
This video is available for download from NASA's Image and Video Library: https://images.nasa.gov/details-NHQ_0430_HLS%20Announcement%201</t>
  </si>
  <si>
    <t>dlHJAKIaALg</t>
  </si>
  <si>
    <t>2020 04 29</t>
  </si>
  <si>
    <t>https://youtu.be/MhQ2o4aSMy0</t>
  </si>
  <si>
    <t xml:space="preserve">%23AskNASA┃ What is Hubble revealing about the universe </t>
  </si>
  <si>
    <t>This year, NASA is celebrating the Hubble Space Telescope's 30 years of unlocking the beauty and mystery of space.
Hubble is revolutionizing modern astronomy for scientists, while taking the public on a wondrous journey of exploration and discovery. Hubble's never-ending, breathtaking celestial snapshots provide a visual shorthand for Hubble's top scientific achievements. Unlike any space telescope before it, Hubble made astronomy relevant, engaging and accessible for people of all ages. The space telescope's iconic imagery has redefined our view of the universe and our place in time and space.
For Hubble ‘At Home’ resources, visit this website for activities.
https://www.nasa.gov/content/hubble-inspires-online-activities/
Send your questions to our experts using #AskNASA.
For more information about Artemis:
https://www.nasa.gov/what-is-artemis
This video is available for download from NASA's Image and Video Library: https://images.nasa.gov/details-NHQ_2020_0429_AskNASA_202_Hubble</t>
  </si>
  <si>
    <t>MhQ2o4aSMy0</t>
  </si>
  <si>
    <t>2020 04 27</t>
  </si>
  <si>
    <t>https://youtu.be/eiS8EPOL488</t>
  </si>
  <si>
    <t>NASA Science Live  Asteroid Close Approach</t>
  </si>
  <si>
    <t>Have you heard about an asteroid close-approach happening on April 29? Asteroid 1998 OR2 poses no threat to our planet, but we can still learn a lot by studying it. Don't miss a special Planetary Defense episode of NASA Science Live on Monday, April 27 at 3:00 p.m. EDT to learn how we find, track and monitor asteroids and near-Earth Objects.</t>
  </si>
  <si>
    <t>eiS8EPOL488</t>
  </si>
  <si>
    <t>2020 04 25</t>
  </si>
  <si>
    <t>https://youtu.be/LMqB44rX6WM</t>
  </si>
  <si>
    <t>Answering the Call to Help Combat Coronavirus on This Week @NASA – April 24, 2020</t>
  </si>
  <si>
    <t>Answering the call to help combat coronavirus, a launch date for our Demo-2 mission, and … celebrating 30 years of Hubble … a few of the stories to tell you about – This Week at NASA!
This video is available for download from NASA's Image and Video Library: https://images.nasa.gov/details-Answering%20the%20Call%20to%20Help%20Combat%20Coronavirus%20on%20This%20Week%20@NASA%20%E2%80%93%20April%2024,%202020</t>
  </si>
  <si>
    <t>LMqB44rX6WM</t>
  </si>
  <si>
    <t>2020 04 23</t>
  </si>
  <si>
    <t>https://youtu.be/Zg4Jmcb485g</t>
  </si>
  <si>
    <t>%23EZScience  NASA's Hubble Space Telescope — Our Window to the Stars</t>
  </si>
  <si>
    <t>Let's talk about science! Watch the sixth episode of our #EZScience series to learn about the 30th anniversary of NASA's Hubble Space Telescope. As the first major optical telescope to be placed in space, Hubble has changed our fundamental understanding of the universe. 
ABOUT THE SERIES: In our #EZScience video series with the National Air and Space Museum, NASA's associate administrator for science Dr. Thomas Zurbuchen and Museum director Dr. Ellen Stofan talk about the latest in planetary science and exploration. 
Learn more about the series: https://www.nasa.gov/ezscience
Discover more about Hubble: https://www.nasa.gov/hubble
#S1E6</t>
  </si>
  <si>
    <t>Zg4Jmcb485g</t>
  </si>
  <si>
    <t>2020 04 22</t>
  </si>
  <si>
    <t>https://youtu.be/f3c617j1hJQ</t>
  </si>
  <si>
    <t>NASA Astronaut Chris Cassidy Commemorates the 50th Earth Day from the International Space Station</t>
  </si>
  <si>
    <t>On the 50th anniversary of Earth Day, NASA astronaut Chris Cassidy of Expedition 63 reflects on what Earth Day means to him.
This Earth Day, we can still collectively appreciate the beauty of our planet and the extraordinary science that helps us understand how it all works — and we can do it from our homes. Join us in commemorating the 50th anniversary with #EarthDayAtHome.</t>
  </si>
  <si>
    <t>f3c617j1hJQ</t>
  </si>
  <si>
    <t>https://youtu.be/79Zjr3WRXLw</t>
  </si>
  <si>
    <t>NASA Science Live  Earth Day at Home</t>
  </si>
  <si>
    <t>Happy Earth Day! Join NASA experts on the 50th anniversary of Earth Day as we explore important discoveries made about our planet, talk with teams creating green technology that benefits life on Earth, explore a new type of aircraft making flight greener and cleaner, and hear from a NASA inventor who has turned coral reef science into an interactive app that allows you to participate in science from home. Celebrate #EarthDayatHome with NASA.</t>
  </si>
  <si>
    <t>79Zjr3WRXLw</t>
  </si>
  <si>
    <t>2020 04 21</t>
  </si>
  <si>
    <t>https://youtu.be/RIbGcby4iZU</t>
  </si>
  <si>
    <t>NASA's Curious Universe  In the Amazon with NASA Earth Scientist Doug Morton</t>
  </si>
  <si>
    <t>Our universe is a wild and wonderful place. In our new podcast, NASA’s Curious Universe (nasa.gov/curiousuniverse), we’re taking you on an adventure. In this episode, explore the Amazon Rainforest with Earth Scientist Doug Morton.
April 22 marks the 50th anniversary of Earth Day. Listen to the full first episode of the NASA’s Curious Universe podcast: nasa.gov/curiousuniverse
Listen on:
Apple Podcasts: https://podcasts.apple.com/us/podcast/nasas-curious-universe/id1505624059
Google Podcasts: https://podcasts.google.com/?feed=aHR0cHM6Ly93d3cubmFzYS5nb3YvcnNzL2R5bi9jdXJpb3VzLXVuaXZlcnNlLnJzcw
SoundCloud: https://soundcloud.com/nasa/sets/nasas-curious-universe-podcast</t>
  </si>
  <si>
    <t>RIbGcby4iZU</t>
  </si>
  <si>
    <t>2020 04 20</t>
  </si>
  <si>
    <t>https://youtu.be/d815wa7aIMs</t>
  </si>
  <si>
    <t>Earth Day 2020  NASA Puts Space to Work for the Planet</t>
  </si>
  <si>
    <t>NASA’s unique vantage point of space allows us to better understand Earth’s interconnected systems and use that knowledge to live sustainably on our home planet, protect life around the world, and adapt to natural and human-caused changes.  As NASA joins the world in observing the 50th anniversary of Earth Day, we reaffirm our commitment to understanding our planet’s interconnected systems to help protect them for future generations.
View this video in Spanish on our NASA en Español YouTube channel: https://youtu.be/x-AjWa27zr8
Learn more about how we're celebrating #EarthDayAtHome: https://www.nasa.gov/press-release/nasa-marks-earth-day-s-50th-anniversary-with-earthdayathome/</t>
  </si>
  <si>
    <t>d815wa7aIMs</t>
  </si>
  <si>
    <t>2020 04 17</t>
  </si>
  <si>
    <t>https://youtu.be/zFKND-X-0I8</t>
  </si>
  <si>
    <t>Space Station Crew Returns Safely to Earth on This Week @NASA – April 17, 2020</t>
  </si>
  <si>
    <t>Space Station crew returns safely to Earth, practice for our asteroid sample return mission, and a new discovery from old data … a few of the stories to tell you about – This Week at NASA!
This video is available for download from NASA's Image and Video Library: https://images.nasa.gov/details-Space%20Station%20Crew%20Returns%20Safely%20to%20Earth%20on%20This%20Week%20@NASA%20%E2%80%93%20April%2017,%202020
Producer: Andre Valentine
Editor: Lacey Young
Music: Universal Production Music</t>
  </si>
  <si>
    <t>zFKND-X-0I8</t>
  </si>
  <si>
    <t>https://youtu.be/q4L3w8tCi94</t>
  </si>
  <si>
    <t>May 27, 2020  %23LaunchAmerica</t>
  </si>
  <si>
    <t>Before our Apollo astronauts launched to the Moon, they walked out of these doors at Kennedy Space Center. When NASA astronauts Bob Behnken and Doug Hurley board Crew Dragon for the SpaceX Demo-2 mission to the International Space Station, these doors will be used again. Prepare to #LaunchAmerica on May 27. www.nasa.gov/launchamerica</t>
  </si>
  <si>
    <t>q4L3w8tCi94</t>
  </si>
  <si>
    <t>https://youtu.be/xuJDB5MrKAQ</t>
  </si>
  <si>
    <t xml:space="preserve">%23AskNASA   What's on the Apollo 13 Audio Tapes </t>
  </si>
  <si>
    <t>Software developer and website creator Ben Feist helps us step back in time with his new website, apolloinrealtime.org. Ben, a contractor at NASA's Johnson Space Center in Houston, restored Mission Control audio of Apollo 13.  
Applying new digital audio processing techniques, Ben explains how he and his team restored and digitized almost 7,200 hours of audio. The website features new audio from the mission, in particular, a phone call to Mission Control from Marilyn Lovell, Jim Lovell’s wife, the day after the explosion. 
Commemorating the 50th anniversary of the historical Apollo 13 mission, Ben describes why the events and people from Apollo 13 continue to inspire us today. 
Thanks to Stephen Slater and Ben Feist/Apollo in Real Time (apolloinrealtime.org/13) for providing footage and audio.
Send your questions to our experts using #AskNASA.</t>
  </si>
  <si>
    <t>xuJDB5MrKAQ</t>
  </si>
  <si>
    <t>2020 04 15</t>
  </si>
  <si>
    <t>https://youtu.be/SKKvJpjeMJY</t>
  </si>
  <si>
    <t>NASA’s Gravity Assist Podcast Season 4  Searching for Life</t>
  </si>
  <si>
    <t>Is there life beyond Earth? How did life get started on Earth anyway? This season of NASA’s Gravity Assist podcast is about the origins of life on Earth and the search for life elsewhere. Subscribe at https://www.nasa.gov/gravityassist. See all NASA podcasts: www.nasa.gov/podcasts
Hosted by NASA’s Chief Scientist Jim Green, each episode features a conversation with a scientist who has researched some aspect of these questions. We’ll talk about the search for life on Mars, what kind of life might survive on Saturn’s moon Titan, and much more.
New episodes Fridays starting April 17.</t>
  </si>
  <si>
    <t>SKKvJpjeMJY</t>
  </si>
  <si>
    <t>2020 04 13</t>
  </si>
  <si>
    <t>https://youtu.be/UU-wmSEPiqw</t>
  </si>
  <si>
    <t>NASA’s View of Earth, in Music</t>
  </si>
  <si>
    <t>Discover what NASA’s Earth data sounds like when it’s turned into music. With each passing Earth Day, the drums get louder. Every sound and instrument tell a story.  
The higher the pitch of the music, the more data collected from NASA Earth science missions. The guitar represents the mission launches. The orchestra is split up based on the field of each mission: 
• Strings = Atmosphere 
• High Woodwinds = Geosphere 
• Low Woodwinds = Hydrosphere 
• High Brass = Cryosphere 
• Low Brass = Biosphere 
April 22 marks the 50th anniversary of Earth Day. Listen to the first episode of NASA’s Curious Universe podcast: www.nasa.gov/curiousuniverse
Listen on:
Apple Podcasts: https://podcasts.apple.com/us/podcast/nasas-curious-universe/id1505624059
Google Podcasts: https://podcasts.google.com/?feed=aHR0cHM6Ly93d3cubmFzYS5nb3YvcnNzL2R5bi9jdXJpb3VzLXVuaXZlcnNlLnJzcw
SoundCloud: https://soundcloud.com/nasa/sets/nasas-curious-universe-podcast</t>
  </si>
  <si>
    <t>UU-wmSEPiqw</t>
  </si>
  <si>
    <t>https://youtu.be/MdvoA-sjs0A</t>
  </si>
  <si>
    <t>Apollo 13  ‘Houston, We’ve Had a Problem’</t>
  </si>
  <si>
    <t>“Houston, we've had a problem” is the now famous phrase radioed from Apollo 13 to Mission Control upon the catastrophic explosion that dramatically changed the mission.
On the 50th Anniversary of the Apollo 13 mission, we recognize the triumph of the mission control team and the astronauts, and look at the lessons learned. The Apollo 13 mission has become known as “a successful failure” that saw the safe return of its crew  Commander James (Jim) Lovell Jr., Command Module Pilot John Swigert Jr. and Lunar Module Pilot Fred Haise Jr. 
Thanks to Stephen Slater and Ben Feist/Apollo in Real Time (apolloinrealtime.org/13) for providing additional footage and audio. Thanks for Andy Saunders for providing additional enhanced images.
Video Credit:
Producer/Editor: Amy Leniart</t>
  </si>
  <si>
    <t>MdvoA-sjs0A</t>
  </si>
  <si>
    <t>2020 04 11</t>
  </si>
  <si>
    <t>https://youtu.be/WM8kjDF0IJU</t>
  </si>
  <si>
    <t>Apollo 13  Home Safe</t>
  </si>
  <si>
    <t>"Houston, we've had a problem." Apollo 13 has become known as “a successful failure” that saw a safe return of the crew in spite of a catastrophic explosion in the middle of their lunar journey. This 30-minute documentary features interviews with Apollo 13 Astronauts Jim Lovell and Fred Haise, as well as Flight Directors Gene Kranz and Glynn Lunney, with engineer Hank Rotter. Parts of their interviews take place in the restored Apollo mission control room. This documentary also features original NASA footage and newly synchronized audio from Mission Control.
Thanks to Stephen Slater and Ben Feist/Apollo in Real-Time (apolloinrealtime.org/13) for providing additional footage and audio.</t>
  </si>
  <si>
    <t>WM8kjDF0IJU</t>
  </si>
  <si>
    <t>2020 04 10</t>
  </si>
  <si>
    <t>https://youtu.be/BeyKvoRPT9M</t>
  </si>
  <si>
    <t>A Warm Welcome for the Space Station’s New Crew on This Week @NASA – April 10, 2020</t>
  </si>
  <si>
    <t>New crew arrives safely at the space station, valuable microgravity research returns to Earth, and an update on our Commercial Crew Program … a few of the stories to tell you about – This Week at NASA!
This video is available for download from NASA's Image and Video Library: https://images.nasa.gov/details-A%20Warm%20Welcome%20for%20the%20Space%20Stations%20New%20Crew%20on%20This%20Week%20@NASA%20April%2010,%202020
Producer: Andre Valentine
Editor: Lacey Young
Music: Universal Production Music</t>
  </si>
  <si>
    <t>BeyKvoRPT9M</t>
  </si>
  <si>
    <t>2020 04 07</t>
  </si>
  <si>
    <t>https://youtu.be/ySXZ5qOJODA</t>
  </si>
  <si>
    <t>Apollo 13  Home Safe Trailer</t>
  </si>
  <si>
    <t>NASA will premiere the documentary "Apollo 13: Home Safe" on Friday, April 10, 8 p.m. EDT, to celebrate the 50th anniversary of the Apollo 13 mission. Apollo 13 has become known as “a successful failure” that saw a safe return of the crew in spite of a catastrophic explosion. The 30-minute program features an interview with Lovell, a conversation with Haise and Flight Directors Gene Kranz and Glynn Lunney, and engineer Hank Rotter, in the restored Apollo mission control room mixed with archival footage from the mission. 
The documentary will air on NASA TV and all of the agency’s streaming and social media platforms. More: https://go.nasa.gov/2wpClU0</t>
  </si>
  <si>
    <t>ySXZ5qOJODA</t>
  </si>
  <si>
    <t>2020 04 03</t>
  </si>
  <si>
    <t>https://youtu.be/XMFE35LbcJs</t>
  </si>
  <si>
    <t>A Universe of Possibilities to Explore at Home on This Week @NASA – April 3, 2020</t>
  </si>
  <si>
    <t>You, plus “NASA at Home” equals a universe of possibilities, the first delivery service selected for our lunar Gateway, and an astronaut added to a future Commercial Crew flight … a few of the stories to tell you about – This Week at NASA!
This video is available for download from NASA's Image and Video Library: https://images.nasa.gov/details-NHQ_2020_0403_A%20Universe%20of%20Possibilities%20to%20Explore%20at%20Home%20on%20This%20Week%20@NASA%20–%20April%203,%202020
Producer: Andre Valentine
Editor: Lacey Young
Music: Universal Production Music</t>
  </si>
  <si>
    <t>XMFE35LbcJs</t>
  </si>
  <si>
    <t>2020 03 31</t>
  </si>
  <si>
    <t>https://youtu.be/cExUmHb2gbU</t>
  </si>
  <si>
    <t xml:space="preserve">%23BeAnAstronaut  What Advice Would You Give to a Younger You </t>
  </si>
  <si>
    <t>The newest #Artemis generation astronauts revealed the advice they'd give to their younger selves: "Work on things that you think matter." "It's okay to dream big." "Keep that curiosity alive." "Find mentors early." Ready to #BeAnAstronaut? Today, March 31, is the last day to apply: www.nasa.gov/astronauts.
Editor: Lacey Young
Music: Universal Production Music</t>
  </si>
  <si>
    <t>cExUmHb2gbU</t>
  </si>
  <si>
    <t>2020 03 30</t>
  </si>
  <si>
    <t>https://youtu.be/thF44EUhvb4</t>
  </si>
  <si>
    <t xml:space="preserve">%23BeAnAstronaut  How Did You Get Interested in STEM </t>
  </si>
  <si>
    <t>"I really liked to build things and I really liked going fast. And to do these things, I needed to understand science and technology."  Our newest #Artemis generation astronauts remember how they got interested in STEM. Applications for the next class are open until March 31: www.nasa.gov.astronauts
Editor: Lacey Young
Music: Universal Production Music</t>
  </si>
  <si>
    <t>thF44EUhvb4</t>
  </si>
  <si>
    <t>https://youtu.be/MXVXTFelFbA</t>
  </si>
  <si>
    <t>Explore the Universe with NASA at Home</t>
  </si>
  <si>
    <t>Be your own explorer with NASA TV weekdays at 10 a.m. and 4 p.m. EDT.</t>
  </si>
  <si>
    <t>MXVXTFelFbA</t>
  </si>
  <si>
    <t>2020 03 27</t>
  </si>
  <si>
    <t>https://youtu.be/BZyjT5TkWw4</t>
  </si>
  <si>
    <t>The Impact of Coronavirus to NASA’s Missions on This Week @NASA – March 27, 2020</t>
  </si>
  <si>
    <t>The impact of coronavirus to NASA’s missions, prelaunch training continues for the next space station crew, and launch preparations for Orion … a few of the stories to tell you about – This Week at NASA! 
This video is available for download from NASA's Image and Video Library: https://images.nasa.gov/details-NASA_2020_0327_The%20Impact%20of%20Coronavirus%20to%20NASA%E2%80%99s%20Missions%20on%20This%20Week%20@NASA%20%E2%80%93%20March%2027,%202020
Producer: Andre Valentine
Editor: Lacey Young
Music: Universal Production Music</t>
  </si>
  <si>
    <t>BZyjT5TkWw4</t>
  </si>
  <si>
    <t>2020 03 26</t>
  </si>
  <si>
    <t>https://youtu.be/HhBUmxEOfpc</t>
  </si>
  <si>
    <t>Artemis Update  A Year of Progress on Returning to the Moon</t>
  </si>
  <si>
    <t>Our Artemis program will return U.S. astronauts to the surface of the Moon, a goal announced by Vice President Mike Pence on March 26, 2019. Take a look at all we've accomplished since then, from testing our Orion spacecraft and building our Space Launch System rocket to graduating a new Artemis Generation class of astronauts and creating partnerships with private industry.
Video Producer: Sonnet Apple
Music: Universal Production Music</t>
  </si>
  <si>
    <t>HhBUmxEOfpc</t>
  </si>
  <si>
    <t>2020 03 24</t>
  </si>
  <si>
    <t>https://youtu.be/9BtIbEyf3sw</t>
  </si>
  <si>
    <t xml:space="preserve">%23BeAnAstronaut  How Do You Feel about Being Part of the Artemis Generation </t>
  </si>
  <si>
    <t>Our newest class of astronauts will journey to the Moon, Mars and beyond. In their own words, here’s what it means to be part of the #Artemis Generation. Apply to #BeAnAstronaut and fly to worlds beyond your imagination: www.nasa.gov/astronauts
Download this video: https://images.nasa.gov/details-BeAnAstronaut_ArtemisGeneration
Editor: Lacey Young
Music: Universal Production Music</t>
  </si>
  <si>
    <t>9BtIbEyf3sw</t>
  </si>
  <si>
    <t>2020 03 20</t>
  </si>
  <si>
    <t>https://youtu.be/jN-tb_2vbAQ</t>
  </si>
  <si>
    <t>Addressing the Coronavirus Pandemic on This Week @NASA – March 20, 2020</t>
  </si>
  <si>
    <t>NASA addresses the coronavirus pandemic, some online material to stay connected with NASA, and more testing with our Orion spacecraft … a few of the stories to tell you about – This Week at NASA!
This video is available for download from NASA's Image and Video Library: https://images.nasa.gov/details-NHQ_2020_0320_Addressing%20the%20Coronavirus%20Pandemic%20on%20This%20Week%20@NASA%20%E2%80%93%20March%2020,%202020
Producer: Andre Valentine
Editor: Lacey Young
Music: Universal Production Music</t>
  </si>
  <si>
    <t>jN-tb_2vbAQ</t>
  </si>
  <si>
    <t>2020 03 19</t>
  </si>
  <si>
    <t>https://youtu.be/pFyFvR58wN8</t>
  </si>
  <si>
    <t xml:space="preserve">%23BeAnAstronaut  Why Did You Want to Be an Astronaut </t>
  </si>
  <si>
    <t>To explore the unknown. To be part of a team. A love of science, math, engineering and technology. 
We asked our newest graduates why they wanted to #BeAnAstronaut. It turns out, there isn’t just one reason. What will be yours? Applications are open until March 31, 2020: https://www.nasa.gov/astronauts
Editor: Lacey Young
Music: Universal Production Music</t>
  </si>
  <si>
    <t>pFyFvR58wN8</t>
  </si>
  <si>
    <t>2020 03 18</t>
  </si>
  <si>
    <t>https://youtu.be/8UhnO53XoHM</t>
  </si>
  <si>
    <t>NASA Remembers Apollo Astronaut Al Worden</t>
  </si>
  <si>
    <t>NASA astronaut Al Worden has died at the age of 88.  
Worden served as command module pilot for Apollo 15 with Dave Scott and Jim Irwin. During the mission Worden became the first human to carry out a deep space walk. He logged 38 minutes in extravehicular activity outside the command module, "Endeavour."
During 1972-1973, Worden was Senior Aerospace Scientist at the NASA Ames Research Center, and from 1973 to 1975, he was chief of the Systems Study Division at Ames.
This video is available for download from NASA's Image and Video Library: https://images.nasa.gov/details-al%20worden_fixed
Video Producer: Sonnet Apple
Music: Universal Production Music</t>
  </si>
  <si>
    <t>8UhnO53XoHM</t>
  </si>
  <si>
    <t>2020 03 13</t>
  </si>
  <si>
    <t>https://youtu.be/ME3IjrDU4PY</t>
  </si>
  <si>
    <t>The Next Space Station Crew Trains for Launch on This Week @NASA – March 13, 2020</t>
  </si>
  <si>
    <t>The next space station crew trains for launch, a SpaceX Dragon delivers more science, and celebrating the life of Katherine Johnson … a few of the stories to tell you about – This Week at NASA!
This video is available for download from NASA's Image and Video Library: https://images.nasa.gov/details-NHQ_2020_0313_The%20Next%20Space%20Station%20Crew%20Trains%20for%20Launch%20on%20This%20Week%20@NASA%20%E2%80%93%20March%2013,%202020</t>
  </si>
  <si>
    <t>ME3IjrDU4PY</t>
  </si>
  <si>
    <t>2020 03 11</t>
  </si>
  <si>
    <t>https://youtu.be/wqiVQFYHXbg</t>
  </si>
  <si>
    <t>NASA Explorers S4 E7  Back to Gravity</t>
  </si>
  <si>
    <t>With the experiment’s journey complete, Elaine Horn-Ranney Ph.D. and Parastoo Khoshaklagh Ph.D. now join the thousands of scientists who’ve performed research aboard the International Space Station, making the most of what microgravity has to teach us.
Although the thrill of the rocket launch may be over, our scientists still have one of the most exciting parts of their journey ahead: sharing their results with the world.
See more NASA Explorers season 4 bonus content: https://go.nasa.gov/2FKavmn
Stay up to date with ISS Research on Twitter: https://twitter.com/ISS_Research
Watch all NASA Explorers season 4 episodes: https://www.youtube.com/playlist?list=PL2aBZuCeDwlQDM6x6FpHE_X0iL7hvoRpR
#S4E7</t>
  </si>
  <si>
    <t>wqiVQFYHXbg</t>
  </si>
  <si>
    <t>2020 03 09</t>
  </si>
  <si>
    <t>https://youtu.be/h0oclM1Yw2A</t>
  </si>
  <si>
    <t>Lindsey Stirling Performs Artemis at NASA’s Kennedy Space Center</t>
  </si>
  <si>
    <t>Artemis: the twin sister of Apollo and the name of our program to return astronauts to the Moon by 2024. In honor of Women’s History Month, musician Lindsey Stirling performed her song, Artemis, on top of the Launch Control Center at NASA’s Kennedy Space Center. This video features facts about some out-of-this-world women at NASA and information about NASA’s Artemis program. The Artemis program will send the first woman and next man to walk on the surface of the Moon and build a sustainable base to prepare for missions to Mars and beyond.
Music: Lindsey Stirling – Artemis  
Lindsey Stirling’s Website https://www.lindseystirling.com/
Producer: John Sackman
Editor: Chris Chamberland
Videographers: Cory Huston and Frank Michaux</t>
  </si>
  <si>
    <t>h0oclM1Yw2A</t>
  </si>
  <si>
    <t>2020 03 07</t>
  </si>
  <si>
    <t>https://youtu.be/79q1UGH5xS0</t>
  </si>
  <si>
    <t>A New Name for Our Next Mars Rover on This Week @NASA – March 7, 2020</t>
  </si>
  <si>
    <t>A new name for our next Mars rover, a new space station resupply mission, and how you can join the Artemis Generation … a few of the stories to tell you about – This Week at NASA! 
This video is available for download from NASA's Image and Video Library: https://images.nasa.gov/details-NHQ_2020_0307_A%20New%20Name%20for%20Our%20Next%20Mars%20Rover%20on%20This%20Week%20@NASA%20%E2%80%93%20March%207,%202020</t>
  </si>
  <si>
    <t>79q1UGH5xS0</t>
  </si>
  <si>
    <t>2020 03 06</t>
  </si>
  <si>
    <t>https://youtu.be/8yuwwjjmP3Y</t>
  </si>
  <si>
    <t>SpaceX's CRS-20 Mission to the Space Station  What's On Board</t>
  </si>
  <si>
    <t>A variety of science investigations, along with supplies and equipment, launch to the International Space Station on the 20th SpaceX commercial resupply services mission. Its cargo includes research on water droplet formation, a new external science platform and other cutting-edge investigations. Learn more: https://go.nasa.gov/37FlUiU</t>
  </si>
  <si>
    <t>8yuwwjjmP3Y</t>
  </si>
  <si>
    <t>2020 03 05</t>
  </si>
  <si>
    <t>https://youtu.be/NA64dzkk20Y</t>
  </si>
  <si>
    <t>Middle-School Student Names NASA’s Next Mars Rover</t>
  </si>
  <si>
    <t>NASA’s next Mars rover has a new name: Perseverance. After sorting through more than 28,000 submissions from K-12 students from every U.S. state and territory, one name was chosen. Alexander Mather, a 13-year-old student from Virginia who submitted the winning name, explains why he chose Perseverance as the name of NASA’s next robotic scientist to visit the Red Planet.
News release: https://go.nasa.gov/3apLgmC</t>
  </si>
  <si>
    <t>NA64dzkk20Y</t>
  </si>
  <si>
    <t>https://youtu.be/6X4CJD4PhOs</t>
  </si>
  <si>
    <t>Making History  The Women of NASA</t>
  </si>
  <si>
    <t>This month, we celebrate Women’s History Month by honoring the thousands of women both in the spotlight and behind the scenes here at NASA. In the past year alone, we’ve done everything from conducting the first all-woman spacewalk to leading missions to places we’ve only dreamed of and so much more.
This video is available for download from the NASA Image and Video Library: https://images.nasa.gov/details-NHQ_2020_0303_Women'sHistoryMonth
Producer/Editor: Lacey Young
Narrator: Jori Kates
Music: Universal Production Music</t>
  </si>
  <si>
    <t>6X4CJD4PhOs</t>
  </si>
  <si>
    <t>2020 03 04</t>
  </si>
  <si>
    <t>https://youtu.be/lxb2v5sv9YQ</t>
  </si>
  <si>
    <t>NASA Explorers S4 E6  On Station</t>
  </si>
  <si>
    <t>Now that our researchers’ experiment is on the International Space Station, it’s time to test how their samples behave in microgravity. This week on NASA Explorers, the astronauts conduct science in space, while a team back here on Earth runs their own piece of the project. 
See more NASA Explorers season 4 bonus content: https://go.nasa.gov/2FKavmn  
Stay up to date with ISS Research on Twitter: https://twitter.com/ISS_Research  
Watch all NASA Explorers season 4 episodes: https://www.youtube.com/playlist?list=PL2aBZuCeDwlQDM6x6FpHE_X0iL7hvoRpR  
#S4E6</t>
  </si>
  <si>
    <t>lxb2v5sv9YQ</t>
  </si>
  <si>
    <t>https://youtu.be/q5T9iYjt6Lk</t>
  </si>
  <si>
    <t xml:space="preserve">Becoming Astronauts  Are You Next </t>
  </si>
  <si>
    <t>NASA is hiring more new Artemis generation astronauts. Will you be next? 
NASA's latest astronaut class shares their journey.
To join them, astronaut candidates must have earned a master’s degree from an accredited institution in engineering, biological science, physical science, computer science or mathematics. The requirement for the master’s degree can also be met by:
• Two years (36 semester hours or 54 quarter hours) of work toward a Ph.D.
program in a related science, technology, engineering or math field;
• A completed doctor of medicine or doctor of osteopathic medicine degree;
• Completion (or current enrollment that will result in completion by June 2021) of a
nationally recognized test pilot school program.
Candidates also must have at least two years of related, progressively responsible professional experience, or at least 1,000 hours of pilot-in-command time in jet aircraft. Astronaut candidates must pass the NASA long-duration spaceflight physical.
Apply to be an astronaut by 31. 
For more information about a career as a NASA astronaut, and application requirements, visit:
http://www.nasa.gov/astronauts
This video is available for download from NASA's Image and Video Library: https://images.nasa.gov/details-NHQ_2020_0305_Becoming%20Astronauts%20-%20Are%20You%20Next
Video Producer: Sonnet Apple
Music: Universal Production Music</t>
  </si>
  <si>
    <t>q5T9iYjt6Lk</t>
  </si>
  <si>
    <t>https://youtu.be/qhbF70hzzcw</t>
  </si>
  <si>
    <t>Mars Rover 2020's Name Will Be Revealed</t>
  </si>
  <si>
    <t>NASA's newest Mars Rover's name - and student behind it - will be announced LIVE on Thursday, March 5 at 1:30 p.m. EST. 
The Mars 2020 rover was the subject of a nationwide naming contest in 2019 that drew more than 28,000 essays by K-12 students from every U.S. state and territory. Nearly 4,700 volunteer judges – educators, professionals, and space enthusiasts from around the country – helped narrow the pool down to 155 semifinalists. A second round of judging selected the nine finalist essays that were open to an online public poll before Thomas Zurbuchen, associate administrator of NASA's Science Mission Directorate, made the final selection.
Watch live coverage here on YouTube: https://youtu.be/Zni3MLBHDaY</t>
  </si>
  <si>
    <t>qhbF70hzzcw</t>
  </si>
  <si>
    <t>2020 03 02</t>
  </si>
  <si>
    <t>https://youtu.be/-XQ_CuIwDlc</t>
  </si>
  <si>
    <t xml:space="preserve">%23AskNASA┃ How Can I Be An Astronaut </t>
  </si>
  <si>
    <t>As NASA prepares to launch American astronauts this year on American rockets from American soil to the International Space Station – with an eye toward the Moon and Mars – NASA is accepting applications March 2 to 31 for the next class of Artemis Generation astronauts.
The basic requirements to apply include United States citizenship and a master’s degree in a STEM field, including engineering, biological science, physical science, computer science, or mathematics, from an accredited institution. Candidates also must have at least two years of related, progressively responsible professional experience, or at least 1,000 hours of pilot-in-command time in jet aircraft. Astronaut candidates must pass the NASA long-duration spaceflight physical.
Americans may apply to #BeAnAstronaut at: https://www.usajobs.gov/GetJob/ViewDetails/561186900
As part of the application process, applicants will, for the first time, be required to take an online assessment that will require up to two hours to complete.NASA expects to select the new class of astronaut candidates in mid-2021 to begin training as the next class of Artemis Generation astronauts.
For more information about a career as a NASA astronaut, and application requirements, visit:
http://www.nasa.gov/astronauts</t>
  </si>
  <si>
    <t>-XQ_CuIwDlc</t>
  </si>
  <si>
    <t>2020 03 01</t>
  </si>
  <si>
    <t>https://youtu.be/TtO3YQo3kY8</t>
  </si>
  <si>
    <t>Apollo 13 Views of the Moon in 4K</t>
  </si>
  <si>
    <t>This video uses data gathered from the Lunar Reconnaissance Orbiter spacecraft to recreate some of the stunning views of the Moon that the Apollo 13 astronauts saw on their perilous journey around the farside in 1970. These visualizations, in 4K resolution, depict many different views of the lunar surface, starting with earthset and sunrise and concluding with the time Apollo 13 reestablished radio contact with Mission Control. Also depicted is the path of the free return trajectory around the Moon, and a continuous view of the Moon throughout that path. All views have been sped up for timing purposes — they are not shown in "real-time."
Credits:
Data Visualization by: Ernie Wright (USRA)
Video Produced &amp; Edited by: David Ladd (USRA)
Music provided by Universal Production Music: "Visions of Grandeur" - Frederick Wiedmann
This video is public domain and along with other supporting visualizations can be downloaded from the Scientific Visualization Studio at: http://svs.gsfc.nasa.gov/13537</t>
  </si>
  <si>
    <t>TtO3YQo3kY8</t>
  </si>
  <si>
    <t>2020 02 28</t>
  </si>
  <si>
    <t>https://youtu.be/ZVPgH749AM0</t>
  </si>
  <si>
    <t>Remembering Space Pioneer Katherine Johnson on This Week @NASA – February 28, 2020</t>
  </si>
  <si>
    <t>Remembering a NASA pioneer, how Artemis Generation astronauts train, and a critical safety test for Orion … a few of the stories to tell you about – This Week at NASA!
This video is available for download from NASA's Image and Video Library: https://images.nasa.gov/details-NHQ_2020_0228_Remembering%20Space%20Pioneer%20Katherine%20Johnson%20on%20This%20Week%20@NASA%20%E2%80%93%20February%2028,%202020
Producer: Andre Valentine
Editor: Lacey Young
Music: Universal Production Music</t>
  </si>
  <si>
    <t>ZVPgH749AM0</t>
  </si>
  <si>
    <t>2020 02 26</t>
  </si>
  <si>
    <t>https://youtu.be/UixpTgJmuwc</t>
  </si>
  <si>
    <t>NASA Explorers S4 E5  Journey to Space</t>
  </si>
  <si>
    <t>The day has finally arrived. After years of work, our team of scientists is at the Kennedy Space Center in the hopes of seeing their research liftoff to the International Space Station. Join us this week on NASA Explorers for the countdown, the emotion and, hopefully, the launch. 
See more NASA Explorers season 4 bonus content: https://go.nasa.gov/2FKavmn  
Stay up to date with ISS Research on Twitter: https://twitter.com/ISS_Research  
Watch all NASA Explorers season 4 episodes: https://www.youtube.com/playlist?list=PL2aBZuCeDwlQDM6x6FpHE_X0iL7hvoRpR  
#S4E5</t>
  </si>
  <si>
    <t>UixpTgJmuwc</t>
  </si>
  <si>
    <t>https://youtu.be/yW38YH3oFi0</t>
  </si>
  <si>
    <t>%23EZScience  Balloon Science</t>
  </si>
  <si>
    <t>Let's talk about science! Watch the fifth episode of our #EZScience series to learn how NASA uses balloon science to better understand our planet and universe.
ABOUT THE SERIES: In our #EZScience video series with the National Air and Space Museum, NASA's associate administrator for science Dr. Thomas Zurbuchen and Museum director Dr. Ellen Stofan talk about the latest in planetary science and exploration. 
Learn more: https://www.nasa.gov/ezscience
#S1E5</t>
  </si>
  <si>
    <t>yW38YH3oFi0</t>
  </si>
  <si>
    <t>2020 02 25</t>
  </si>
  <si>
    <t>https://youtu.be/uOGUI4u0Rjs</t>
  </si>
  <si>
    <t>100-Year-Old Tuskegee Airman Wants YOU to Be an Astronaut!</t>
  </si>
  <si>
    <t>100-year-old Tuskegee Airman and honorary Brigadier General Charles McGee wants YOU to be an astronaut! NASA is accepting applications March 2 - 31. 
McGee served as a pilot with the Tuskegee Airmen during World War II – known at the time as the “Red Tails” – was a career officer in the Air Force and also served during the Korean and Vietnam wars, having flown 409 combat missions during his 30 years of service. Of the 355 Tuskegee pilots who flew in combat, McGee is one of only nine surviving. 
He stopped by NASA to encourage the next generation of Astronauts to fly to new heights.
For more information about a career as a NASA astronaut, and application requirements, visit: http://www.nasa.gov/astronauts
This video is available for download from NASA's Image and Video Library: https://images.nasa.gov/details-NHQ_2020_0225_Tuskegee%20Airman%20Wants%20YOU%20to%20Be%20an%20Astronaut
Video Producer: Sonnet Apple
Music: Universal Production Music</t>
  </si>
  <si>
    <t>uOGUI4u0Rjs</t>
  </si>
  <si>
    <t>2020 02 24</t>
  </si>
  <si>
    <t>https://youtu.be/nKxgieXQ82w</t>
  </si>
  <si>
    <t>Katherine Johnson  An American Hero</t>
  </si>
  <si>
    <t>Pioneering NASA mathematician Katherine Johnson has died at the age of 101. Johnson was part of a group of African-American women who worked on critical mathematical calculations in the early days of human spaceflight, as chronicled in the best-selling book and hit movie “Hidden Figures.” 
"She was an American hero and her pioneering legacy will never be forgotten,” said NASA Administrator Jim Bridenstine.</t>
  </si>
  <si>
    <t>nKxgieXQ82w</t>
  </si>
  <si>
    <t>https://youtu.be/E8wBJ71zJ34</t>
  </si>
  <si>
    <t>NASA Remembers Hidden Figure Katherine Johnson</t>
  </si>
  <si>
    <t>Pioneering NASA mathematician Katherine Johnson has died at the age of 101. Johnson was part of a group of African-American women who worked on critical mathematical calculations in the early days of human spaceflight, as chronicled in the best-selling book and hit movie “Hidden Figures.” 
"She was an American hero and her pioneering legacy will never be forgotten,” said NASA Administrator Jim Bridenstine.
Video Producer: Sonnet Apple
Music: Universal Production Music</t>
  </si>
  <si>
    <t>E8wBJ71zJ34</t>
  </si>
  <si>
    <t>2020 02 21</t>
  </si>
  <si>
    <t>https://youtu.be/CJucyKbQydQ</t>
  </si>
  <si>
    <t>Vice President Pence Visits Langley for Artemis Update on This Week @NASA – February 21, 2020</t>
  </si>
  <si>
    <t>Vice President Pence visits our Langley Research Center, science results related to water on Jupiter, and studying the darkest areas of the Moon … a few of the stories to tell you about – This Week at NASA!
This video is available for download from NASA's Image and Video Library: https://images.nasa.gov/details-NHQ_2020_0221_Vice%20President%20Pence%20Visits%20Langley%20for%20Artemis%20Update%20on%20This%20Week%20@NASA%20%E2%80%93%20February%2021,%202020
Producer: Andre Valentine
Editor: Lacey Young
Music: Universal Production Music</t>
  </si>
  <si>
    <t>CJucyKbQydQ</t>
  </si>
  <si>
    <t>2020 02 20</t>
  </si>
  <si>
    <t>https://youtu.be/aa28FejUW8s</t>
  </si>
  <si>
    <t>Inside NASA's Psyche Mission to Study a Metallic Asteroid</t>
  </si>
  <si>
    <t>Join NASA Psyche Mission Co-Investigator Dr. Tim McCoy as he takes us on a journey from his first geology class to his current role as Curator-in-Charge of the US National Meteorite Collection at the Smithsonian National Museum of Natural History and his role on the Psyche Mission Science Team. Along the way, McCoy highlights the significance of studying a metallic asteroid and what it may be able to tell us about the formation of the solar system and our own planet. It’s the journey of a lifetime, and he didn’t want to miss it.
Psyche is both the name of an asteroid orbiting the Sun between Mars and Jupiter — and the name of a NASA space mission to visit that asteroid, led by Arizona State University. 
For more information about NASA's Psyche mission go to:
http://www.nasa.gov/psyche</t>
  </si>
  <si>
    <t>aa28FejUW8s</t>
  </si>
  <si>
    <t>https://youtu.be/eX_z8btMIsw</t>
  </si>
  <si>
    <t>Vice President Mike Pence addresses employees at NASA’s Langley Research Center</t>
  </si>
  <si>
    <t>Humanity’s return to the Moon with our Artemis program will be a forerunner to future human missions to Mars.
Watch this video to hear about America’s future in space from Vice President Mike Pence, along with NASA Administrator Jim Bridenstine during a visit to our Langley Research Center in Hampton, Virginia on Wednesday, Feb. 19.</t>
  </si>
  <si>
    <t>eX_z8btMIsw</t>
  </si>
  <si>
    <t>2020 02 19</t>
  </si>
  <si>
    <t>https://youtu.be/wVFm-ueQDnw</t>
  </si>
  <si>
    <t>NASA Explorers S4 E4  Before the Rocket</t>
  </si>
  <si>
    <t>Our team of scientists is just days away from their research being loaded onto a SpaceX rocket that will carry their experiment to the International Space Station. This week on #NASAExplorers, we are following along with them in the busy days leading up to launch at Kennedy Space Center, as they do all of the last-minute preparations to get their experiment ready for microgravity. 
See more NASA Explorers season 4 bonus content: https://go.nasa.gov/2FKavmn 
Stay up to date with ISS Research on Twitter: https://twitter.com/ISS_Research 
Watch all NASA Explorers season 4 episodes: https://www.youtube.com/playlist?list=PL2aBZuCeDwlQDM6x6FpHE_X0iL7hvoRpR 
#S4E4</t>
  </si>
  <si>
    <t>wVFm-ueQDnw</t>
  </si>
  <si>
    <t>2020 02 14</t>
  </si>
  <si>
    <t>https://youtu.be/DPPc8BVNjQs</t>
  </si>
  <si>
    <t>NASA Black History Month Astronaut Profile - Jeanette Epps</t>
  </si>
  <si>
    <t>"She always taught us that there's no reason you can't do these things." NASA astronaut Dr. Jeanette Epps recalls who encouraged her to reach for the stars and talks about inspiring the #Artemis generation of young girls.</t>
  </si>
  <si>
    <t>DPPc8BVNjQs</t>
  </si>
  <si>
    <t>https://youtu.be/tG1kCIpIQBw</t>
  </si>
  <si>
    <t>A Budget for a New Era of Space Exploration on This Week @NASA – February 14, 2020</t>
  </si>
  <si>
    <t>A budget for a new era of space exploration, do you have what it takes to be an astronaut? And Christina Koch reflects on her record-setting mission … a few of the stories to tell you about – This Week at NASA!
This video is available for download from NASA's Image and Video Library: https://images.nasa.gov/details-NHQ_2020_0214_%20A%20Budget%20for%20a%20New%20Era%20of%20Space%20Exploration%20on%20This%20Week%20@NASA%20%E2%80%93%20February%2014,%202020
Producer: Andre Valentine
Editor: Lacey Young
Music: Universal Production Music</t>
  </si>
  <si>
    <t>tG1kCIpIQBw</t>
  </si>
  <si>
    <t>2020 02 13</t>
  </si>
  <si>
    <t>https://youtu.be/3RcGsuq2hn8</t>
  </si>
  <si>
    <t>NASA Black History Month Employee Profile - Matthew Bailey</t>
  </si>
  <si>
    <t>Matthew Bailey is the operations manager for the National Transonic Facility Complex at NASA’s Langley Research Center in Hampton, Virginia. Bailey began his career at NASA as an intern and now works in a management role. He oversees the operations at two cryogenic wind tunnels that specialize in high Reynolds number or flight Reynolds number testing – world’s best at matching scaling effects of aerodynamic problems. The facility is currently testing a model of the Space Launch System, the rocket that will send humans to the Moon by 2024.</t>
  </si>
  <si>
    <t>3RcGsuq2hn8</t>
  </si>
  <si>
    <t>2020 02 12</t>
  </si>
  <si>
    <t>https://youtu.be/WvT3hMVrSzs</t>
  </si>
  <si>
    <t>NASA Explorers S4 E3  Training the Astronauts</t>
  </si>
  <si>
    <t>Astronauts train all over the world, including at NASA’s Johnson Space Center in Houston, Texas. Here, they learn not just how to live in space, but also how to conduct science in microgravity. Astronauts serve as the eyes and hands of researchers while their experiments are aboard the space station, so they must be trained in everything from using a microscope, to maintaining the equipment for combustion experiments. 
Follow along with #NASAExplorers as we go to class with NASA astronaut Mike Fincke. 
Watch all of NASA Explorers: Microgravity here: https://www.youtube.com/playlist?list=PL2aBZuCeDwlQDM6x6FpHE_X0iL7hvoRpR
See more NASA Explorers season 4 bonus content here: https://go.nasa.gov/2FKavmn 
Stay up to date with ISS Research on Twitter: https://twitter.com/ISS_Research 
#S4E3</t>
  </si>
  <si>
    <t>WvT3hMVrSzs</t>
  </si>
  <si>
    <t>https://youtu.be/9KGKlp3J-N4</t>
  </si>
  <si>
    <t xml:space="preserve">%23AskNASA with Christina Koch┃ What’s it like to live in space for a year </t>
  </si>
  <si>
    <t>A special “out of this world” episode of #AskNASA.
During her record-setting mission NASA astronaut Christina Koch answers key questions about her stay in space. Highlighting her contributions and scientific achievements while aboard the International Space Station.
Including her help to develop medicine in microgravity and collect data needed for longer missions.
Conducting the longest single spaceflight by any woman, Christina gives great insight into questions related to future missions to the Moon with the Artemis missions and future exploration of Mars.
Comment with your #AskNASA question and subscribe to learn more from our experts!</t>
  </si>
  <si>
    <t>9KGKlp3J-N4</t>
  </si>
  <si>
    <t>2020 02 11</t>
  </si>
  <si>
    <t>https://youtu.be/4fXsAvv96Gw</t>
  </si>
  <si>
    <t>Explorers Wanted  NASA to Hire More New Artemis Generation Astronauts</t>
  </si>
  <si>
    <t>NASA is hiring astronauts. Do YOU have what it takes to join the next astronaut class? 
To join the journey, astronaut candidates must have earned a master’s degree from an accredited institution in engineering, biological science, physical science, computer science or mathematics. The requirement for the master’s degree can also be met by:
• Two years (36 semester hours or 54 quarter hours) of work toward a Ph.D.
program in a related science, technology, engineering or math field;
• A completed doctor of medicine or doctor of osteopathic medicine degree;
• Completion (or current enrollment that will result in completion by June 2021) of a
nationally recognized test pilot school program.
Candidates also must have at least two years of related, progressively responsible professional experience, or at least 1,000 hours of pilot-in-command time in jet aircraft. Astronaut candidates must pass the NASA long-duration spaceflight physical.
Applications open March 2, 2020.  
For more information about a career as a NASA astronaut, and application requirements, visit:
http://www.nasa.gov/astronauts
This video is available for download from NASA's Image and Video Library: 
images-assets.nasa.gov/video/recruitment_final/recruitment_final~orig.mp4
Video Producer: Sonnet Apple
Music: Universal Production Music</t>
  </si>
  <si>
    <t>4fXsAvv96Gw</t>
  </si>
  <si>
    <t>2020 02 10</t>
  </si>
  <si>
    <t>https://youtu.be/Iy5uN7xf0dA</t>
  </si>
  <si>
    <t>State of NASA  A New Era of Spaceflight</t>
  </si>
  <si>
    <t>What have we accomplished and what's ahead in our mission to explore the Moon, Mars and worlds beyond? On Feb. 10, NASA Administrator Jim Bridenstine unveils the "State of NASA" and shares details of the FY2021 Budget and more.
Bridenstine shared that “President Donald Trump’s Fiscal Year 2021 budget for NASA is worthy of 21st century exploration and discovery. The President’s budget invests more than $25 billion in NASA to fortify our innovative human space exploration program while maintaining strong support for our agency’s full suite of science, aeronautics, and technology work."
“The budget proposed represents a 12 percent increase and makes this one of the strongest budgets in NASA history. The reinforced support from the President comes at a critical time as we lay the foundations for landing the first woman and the next man on the South Pole of the Moon by 2024. This budget keeps us firmly on that path."
To learn more about NASA’s Fiscal Year 2021 budget, visit:
https://www.nasa.gov/budget</t>
  </si>
  <si>
    <t>Iy5uN7xf0dA</t>
  </si>
  <si>
    <t>https://youtu.be/3P0EUBrWh50</t>
  </si>
  <si>
    <t>NASA 2020  A Year of Action</t>
  </si>
  <si>
    <t>This year, NASA is building momentum across the agency and across every mission. This is a year of action. With each milestone, NASA is preparing to go farther than ever before.
NASA is going to the Moon and on to Mars, in a measured, sustainable way. Working with U.S. companies and international partners, NASA will push the boundaries of human exploration forward to the Moon. NASA is working to establish a permanent human presence on the Moon within the next decade to uncover new scientific discoveries and lay the foundation for private companies to build a lunar economy. We inspire generations and change the course of history as we realize the next great scientific, economic and technical achievements in space.
This video is available for download from NASA's Image and Video Library: https://images.nasa.gov/details-NHQ_2020_0210_NASA%202020%20A%20Year%20of%20Action</t>
  </si>
  <si>
    <t>3P0EUBrWh50</t>
  </si>
  <si>
    <t>2020 02 09</t>
  </si>
  <si>
    <t>https://youtu.be/raEcGoy3xvE</t>
  </si>
  <si>
    <t>Northrop Grumman's CRS-13 Mission to the International Space Station  What's on Board</t>
  </si>
  <si>
    <t>Investigations studying fire safety, bone loss and phage therapy will be launching, along with additional scientific experiments and supplies, to the International Space Station on a Northrop Grumman Cygnus spacecraft. The vehicle launches no earlier than Feb. 9 from NASA’s Wallops Flight Facility in Virginia. Learn more: https://go.nasa.gov/36DM9G3</t>
  </si>
  <si>
    <t>raEcGoy3xvE</t>
  </si>
  <si>
    <t>2020 02 07</t>
  </si>
  <si>
    <t>https://youtu.be/80d6_ZROVAA</t>
  </si>
  <si>
    <t>A Safe Return to Earth for a Record Setting Astronaut on This Week @NASA – February 7, 2020</t>
  </si>
  <si>
    <t>A record-setting astronaut returns safely to Earth, practicing for the first launch of Artemis, and honoring a member of a legendary group of aviators … a few of the stories to tell you about – This Week at NASA!
This video is available for download from NASA's Image and Video Library: https://images.nasa.gov/details-NHQ_2020_0207_A%20Safe%20Return%20to%20Earth%20for%20a%20Record-Setting%20Astronaut%20on%20This%20Week%20@NASA%20%E2%80%93%20February%207,%202020
Producer: Andre Valentine
Editor: Lacey Young
Music: Universal Production Music</t>
  </si>
  <si>
    <t>80d6_ZROVAA</t>
  </si>
  <si>
    <t>2020 02 05</t>
  </si>
  <si>
    <t>https://youtu.be/21iEBbsuuTI</t>
  </si>
  <si>
    <t>NASA Explorers S4 E2  The Scientists</t>
  </si>
  <si>
    <t>Putting your life’s work on top of a rocket may seem like a daunting task, but that’s exactly what scientists have been doing for decades as they launch their research to the International Space Station. 
This season on #NASAExplorers, we’re exploring why we send science to space, and what it takes to get it there. Spoiler alert: you don’t have to be a rocket scientist to conduct research in microgravity. This week, meet a team of researchers who are launching an experiment to space for the first time. 
Watch all of NASA Explorers: Microgravity here: https://www.youtube.com/playlist?list=PL2aBZuCeDwlQDM6x6FpHE_X0iL7hvoRpR
See more NASA Explorers season 4 bonus content here: https://go.nasa.gov/2FKavmn 
Stay up to date with ISS Research on Twitter: https://twitter.com/ISS_Research 
#S4E2</t>
  </si>
  <si>
    <t>21iEBbsuuTI</t>
  </si>
  <si>
    <t>2020 01 31</t>
  </si>
  <si>
    <t>https://youtu.be/Nd1BnJEKdzI</t>
  </si>
  <si>
    <t>Resupply Mission Wraps Up at The Space Station on This Week @NASA – January 31, 2020</t>
  </si>
  <si>
    <t>A resupply mission wraps up at the space station, a new name for an Earth-observing satellite, and preparing for an unprecedented peek at the Sun … a few of the stories to tell you about – This Week at NASA!
This video is available for download from NASA's Image and Video Library: https://images.nasa.gov/details-NHQ_2020_0131_TWAN_Resupply%20Mission%20Wraps%20Up%20at%20The%20Space%20Station%20on%20This%20Week%20@NASA%20%E2%80%93%20January%2031,%202020</t>
  </si>
  <si>
    <t>Nd1BnJEKdzI</t>
  </si>
  <si>
    <t>2020 01 30</t>
  </si>
  <si>
    <t>https://youtu.be/IHS5orsjmTk</t>
  </si>
  <si>
    <t>Spitzer and NASA’s ‘Great Observatories’ Space Telescopes</t>
  </si>
  <si>
    <t>This is the animated storybook tale of the Spitzer spacecraft and its exploits as part of the space telescope superteam known as NASA’s Great Observatories, which also includes Hubble. With its special power to see infrared light, Spitzer revealed a whole side of the universe that had been hidden from our view.</t>
  </si>
  <si>
    <t>IHS5orsjmTk</t>
  </si>
  <si>
    <t>2020 01 29</t>
  </si>
  <si>
    <t>https://youtu.be/yqHiShYGkZQ</t>
  </si>
  <si>
    <t>NASA Explorers S4 E1  Orbiting Laboratory</t>
  </si>
  <si>
    <t>Things behave a bit differently aboard the International Space Station, thanks to microgravity.  
Sure, floating looks like fun, but it could also unlock new scientific discoveries.  
Microgravity makes the station the perfect place to perform research that is changing the lives of people on Earth, and preparing us to go deeper into space. This season on #NASAExplorers, we are following science into low-Earth orbit and seeing what it takes to do research aboard the space station. 
Watch all of NASA Explorers: Microgravity here: https://www.youtube.com/playlist?list=PL2aBZuCeDwlQDM6x6FpHE_X0iL7hvoRpR
See more NASA Explorers season 4 bonus content here: https://go.nasa.gov/2FKavmn  
#S4E1</t>
  </si>
  <si>
    <t>yqHiShYGkZQ</t>
  </si>
  <si>
    <t>2020 01 28</t>
  </si>
  <si>
    <t>https://youtu.be/uc7rl3EXFS4</t>
  </si>
  <si>
    <t>%23EZScience  The Path to Mars 2020</t>
  </si>
  <si>
    <t>Let's talk about science! Watch the fourth episode of our #EZScience series to  learn about NASA’s upcoming Mars 2020 rover mission by looking back at the Mars Pathfinder mission and Sojourner rover. Discover the innovative elements of Mars 2020 (including a small solar-powered helicopter!) and what we hope to learn about the Red Planet when our new rover arrives in February 2021. 
ABOUT THE SERIES: In our #EZScience video series with the National Air and Space Museum, NASA's associate administrator for science Dr. Thomas Zurbuchen and Museum director Dr. Ellen Stofan talk about the latest in planetary science and exploration.
Learn more: https://www.nasa.gov/ezscience
#S1E4</t>
  </si>
  <si>
    <t>uc7rl3EXFS4</t>
  </si>
  <si>
    <t>2020 01 27</t>
  </si>
  <si>
    <t>https://youtu.be/U_GQ65c2jrk</t>
  </si>
  <si>
    <t>NASA Explorers  Microgravity</t>
  </si>
  <si>
    <t>Watch all of NASA Explorers: Microgravity here: https://www.youtube.com/playlist?list=PL2aBZuCeDwlQDM6x6FpHE_X0iL7hvoRpR
The International Space Station, a laboratory like no other, offers something we can’t get on our home planet: Microgravity. Come along with #NASAExplorers as we follow a team of scientists during their journey to launch their research off our planet to the space station, and to see what microgravity may reveal. #S4E0</t>
  </si>
  <si>
    <t>U_GQ65c2jrk</t>
  </si>
  <si>
    <t>https://youtu.be/DpXxdSr1FWs</t>
  </si>
  <si>
    <t xml:space="preserve">%23AskNASA┃ How Will Astronauts Dig on the Moon </t>
  </si>
  <si>
    <t>How will we uncover the history of the Moon? What tools and instruments will help us dig deeper? The latest episode of #AskNASA will answer these questions and more.
NASA’s Chief Exploration Scientist Jacob Bleacher demonstrates exactly how craters help us understand the history of Moon rocks and the Moon’s surface. 
As part of the Artemis program, Jacob highlights the import role astronauts play in finding and analyzing samples. Jacob also explains how field work on Earth support both science and human exploration.
Comment with your #AskNASA question and subscribe to learn more from our experts!
This video is available for download from NASA's Image and Video Library: https://images.nasa.gov/details-NHQ_2020_0127_AskNASA%E2%94%83%20How%20Will%20Astronauts%20Dig%20on%20the%20Moon</t>
  </si>
  <si>
    <t>DpXxdSr1FWs</t>
  </si>
  <si>
    <t>2020 01 25</t>
  </si>
  <si>
    <t>https://youtu.be/4C3wWknliQQ</t>
  </si>
  <si>
    <t>A Critical Test for Our Commercial Crew Program on This Week @NASA – January 25, 2020</t>
  </si>
  <si>
    <t>A critical test for our Commercial Crew Program, spacewalkers focus on upgrades aboard the space station, and paying tribute to one of our Great Observatories … a few of the stories to tell you about – This Week at NASA!
This video is available from NASA's Image and Video Library: https://images.nasa.gov/details-NHQ_2020_0125_A%20Critical%20Test%20for%20Our%20Commercial%20Crew%20Program%20on%20This%20Week%20@NASA%20%E2%80%93%20January%2025,%202020</t>
  </si>
  <si>
    <t>4C3wWknliQQ</t>
  </si>
  <si>
    <t>2020 01 20</t>
  </si>
  <si>
    <t>https://youtu.be/gkYhcyn5fdU</t>
  </si>
  <si>
    <t>Happy 90th Birthday Buzz Aldrin!</t>
  </si>
  <si>
    <t>NASA wishes Apollo 11 astronaut Buzz Aldrin a happy 90th birthday on January 20, 2020.
Buzz Aldrin was chosen as a member of the three-person Apollo 11 crew that landed on the Moon on July 20, 1969, fulfilling the mandate of President John F. Kennedy to send Americans to the Moon before the end of the decade.
https://www.nasa.gov/subject/5620/buzz-aldrin
Producer/Editor: Lacey Young
Music: Universal Production Music</t>
  </si>
  <si>
    <t>gkYhcyn5fdU</t>
  </si>
  <si>
    <t>2020 01 18</t>
  </si>
  <si>
    <t>https://youtu.be/-O8c0B5h4WA</t>
  </si>
  <si>
    <t>Battery Upgrades Resume Aboard the Space Station on This Week @NASA – January 18, 2020</t>
  </si>
  <si>
    <t>Spacewalkers resume battery upgrades aboard the space station, a post-flight visit from a couple of recently returned space station astronauts, and a key piece of SLS hardware moves closer to a critical test series … a few of the stories to tell you about – This Week at NASA!
This video is available for download from NASA's Image and Video Library: https://images.nasa.gov/details-NHQ_2019_0118_Battery%20Upgrades%20Resume%20Aboard%20the%20Space%20Station%20on%20This%20Week%20@NASA%20%E2%80%93%20January%2018,%202020</t>
  </si>
  <si>
    <t>-O8c0B5h4WA</t>
  </si>
  <si>
    <t>2020 01 16</t>
  </si>
  <si>
    <t>https://youtu.be/ryPKdGVNtJo</t>
  </si>
  <si>
    <t>Episode 01  The Orbital Test Flight of Boeing’s Starliner</t>
  </si>
  <si>
    <t>On December 20th 2019 Boeing conducted the first test flight ever of their new spacecraft Starliner. Together, NASA and Boeing made history in the face of challenges. This test flight was another step toward returning American space launch capability to American shores.
This video is available for download from NASA's Image and Video Library: https://images.nasa.gov/details-Episode%2001%20-%20The%20Orbital%20Test%20Flight%20of%20Boeing%E2%80%99s%20Starliner</t>
  </si>
  <si>
    <t>ryPKdGVNtJo</t>
  </si>
  <si>
    <t>2020 01 11</t>
  </si>
  <si>
    <t>https://youtu.be/F2zaykKhWyg</t>
  </si>
  <si>
    <t>Artemis Generation  Astronaut Graduation Day</t>
  </si>
  <si>
    <t>The first class of astronauts in the Artemis Generation have graduated after two years of astronaut training. These 13 men and women from both the U.S. and Canada are now ready to travel to the International Space Station, the Moon and beyond.
https://www.nasa.gov/newastronauts
Producer/Editor: Lacey Young
Music: Universal Production Music
Video Producer: Sonnet Apple
Music: Universal Production Music</t>
  </si>
  <si>
    <t>F2zaykKhWyg</t>
  </si>
  <si>
    <t>2020 01 10</t>
  </si>
  <si>
    <t>https://youtu.be/HRgOZ-cj2ro</t>
  </si>
  <si>
    <t>The First Graduating Class of Artemis Astronauts on This Week @NASA – January 10, 2020</t>
  </si>
  <si>
    <t>The first graduating class of Artemis astronauts, getting ready to Green Run our SLS rocket, and intriguing discoveries in our solar system – and beyond … a few of the stories to tell you about – This Week at NASA!
This video is available for download from NASA's Image and Video Library: https://images.nasa.gov/details-NHQ_2019_0110_The%20First%20Graduating%20Class%20of%20Artemis%20Astronauts%20on%20This%20Week%20@NASA%20%E2%80%93%20January%2010,%202020</t>
  </si>
  <si>
    <t>HRgOZ-cj2ro</t>
  </si>
  <si>
    <t>https://youtu.be/ma6wr5mTsbg</t>
  </si>
  <si>
    <t>Dreamed Of This</t>
  </si>
  <si>
    <t>The next frontier isn’t just for the next generation – it’s for this generation.
With our Artemis program, we will land the first woman and next man on the Moon by 2024. Then, we will use what we learn on and around the Moon to take the next giant leap – sending astronauts to Mars. We go, as Artemis.
Learn more here: https://www.nasa.gov/artemis/</t>
  </si>
  <si>
    <t>ma6wr5mTsbg</t>
  </si>
  <si>
    <t>2020 01 09</t>
  </si>
  <si>
    <t>https://youtu.be/hkKaaVnzm8A</t>
  </si>
  <si>
    <t>300 Days in Space for Christina Koch</t>
  </si>
  <si>
    <t>January 9th, 2020 marks 300 days aboard the International Space Station for NASA Astronaut Christina Koch.
In December, Christina Koch set a record for the longest single spaceflight by a woman, eclipsing the record of 288 days set by former NASA astronaut Peggy Whitson in 2016-17. Koch will have been part of three expeditions – 59, 60 and 61 – during her first spaceflight. Her mission is planned to be just shy of the longest spaceflight by a NASA astronaut – 340 days, set by former NASA astronaut Scot Kelly during his one-year mission in 2015-16.
NASA has gathered vast amounts of data on astronaut health and performance over the past 50 years and has focused recently on extended durations up to one year with the dedicated mission of Scott Kelly and extended mission of Peggy Whitson. These opportunities have also demonstrated that there is a significant degree of variability in human response to spaceflight and it’s important to determine the acceptable degree of change for both men and women.</t>
  </si>
  <si>
    <t>hkKaaVnzm8A</t>
  </si>
  <si>
    <t>2020 01 06</t>
  </si>
  <si>
    <t>https://youtu.be/vhj5OYwND14</t>
  </si>
  <si>
    <t xml:space="preserve">%23AskNASA┃ Is the Sun a ball of fire </t>
  </si>
  <si>
    <t>Is the Sun a ball of fire? And why does NASA send missions to the Sun? NASA’s Heliophysics Director Nicky Fox explains NASA’s latest solar science findings. The Parker Solar Probe mission is revolutionizing our understanding of the Sun, where changing conditions can propagate out into the solar system, affecting Earth and other worlds. It will travel through the Sun’s atmosphere, closer to the surface than any spacecraft before it, facing brutal heat and radiation conditions — and ultimately providing humanity with the closest-ever observations of a star.
Comment with your #AskNASA question and subscribe to learn more from our experts!
This video is available for download from NASA's Image and Video Library: https://images.nasa.gov/details-NHQ_2020_0106_AskNASA</t>
  </si>
  <si>
    <t>vhj5OYwND14</t>
  </si>
  <si>
    <t>2019 12 31</t>
  </si>
  <si>
    <t>https://youtu.be/mB1nAzriqRQ</t>
  </si>
  <si>
    <t xml:space="preserve">NASA 2020  Are You Ready </t>
  </si>
  <si>
    <t>Launching Americans from U.S. soil, sending a new rover to Mars and continuing to prepare for human missions to the Moon are just a few of the things NASA has planned for 2020.
This video is available for download from NASA's Image and Video Library: https://images.nasa.gov/details-NHQ_2019_1231_2020_Look_Ahead
Producer/Editor: Lacey Young
Music: Universal Production Music</t>
  </si>
  <si>
    <t>mB1nAzriqRQ</t>
  </si>
  <si>
    <t>2019 12 29</t>
  </si>
  <si>
    <t>https://youtu.be/Xj65u8kTXIk</t>
  </si>
  <si>
    <t>U.S. Spaceflight Duration Records</t>
  </si>
  <si>
    <t>A brief overview of how records for the longest spaceflight have advanced over the years.</t>
  </si>
  <si>
    <t>Xj65u8kTXIk</t>
  </si>
  <si>
    <t>2019 12 25</t>
  </si>
  <si>
    <t>https://youtu.be/H5KwmZDcYLY</t>
  </si>
  <si>
    <t>The holiday season is a magical time, especially in a very special Toy Shop.
At night, when everyone is gone, little toys spring into action.
Astronauts from Mercury, Gemini, Apollo, Space Shuttle, International Space Station, and now Artemis all come out to fulfill their missions of exploration and discovery. 
If you would like to learn more about these missions, and become part of the Artemis Generation visit www.nasa.gov
From all of us at NASA, Season’s Greetings!</t>
  </si>
  <si>
    <t>H5KwmZDcYLY</t>
  </si>
  <si>
    <t>2019 12 23</t>
  </si>
  <si>
    <t>https://youtu.be/9SUNH61QbH0</t>
  </si>
  <si>
    <t>NASA’s Moon to Mars Plans, Artemis Lunar Program Gets Fast Tracked in 2019</t>
  </si>
  <si>
    <t>Setting a bold goal in human space exploration with the Artemis program while celebrating Apollo’s historic first steps onto the Moon, and kicking off the 20th year of humans continuously living and working in space. Here’s a look back at those things and plenty more awesomeness that happened this year at NASA. News release: https://www.nasa.gov/2019
This video is available for download from NASA's Image and Video Library: https://images.nasa.gov/details-NHQ_2019_1223_NASA%E2%80%99s%20Moon%20to%20Mars%20Plans,%20Artemis%20Lunar%20Program%20Gets%20Fast%20Tracked%20in%202019</t>
  </si>
  <si>
    <t>9SUNH61QbH0</t>
  </si>
  <si>
    <t>2019 12 19</t>
  </si>
  <si>
    <t>https://youtu.be/_T8cn2J13-4</t>
  </si>
  <si>
    <t>How We Are Going to the Moon - 4K</t>
  </si>
  <si>
    <t>While Apollo placed the first steps on the Moon, Artemis opens the door for humanity to sustainably work and live on another world for the first time. Using the lunar surface as a proving ground for living on Mars, this next chapter in exploration will forever establish our presence in the stars.  ✨
We are returning to the Moon – to stay –  and this is how we are going! 
Actress Kelly Marie Tran of “Star Wars: The Rise of Skywalker” lent her voice to this project.</t>
  </si>
  <si>
    <t>_T8cn2J13-4</t>
  </si>
  <si>
    <t>2019 12 16</t>
  </si>
  <si>
    <t>https://youtu.be/fGkZjciAV1A</t>
  </si>
  <si>
    <t xml:space="preserve">%23AskNASA┃ How Will Astronauts Live at the Moon </t>
  </si>
  <si>
    <t>NASA is working with its partners to design and develop a small spaceship that will orbit the Moon called the Gateway. This spaceship will be a temporary home and office for astronauts, just about a five-day, 250,000-mile commute from Earth. 
NASA’s Gateway Program Logistics Element Manager Mark Weiss answers questions about the Gateway’s development’s for the Artemis Missions.
The first logistics service to the orbital outpost is expected to deliver science, cargo and other supplies in support of the agency’s new Artemis lunar exploration program, which includes sending the first woman and the next man to the surface of the Moon by 2024.
Comment with your #AskNASA question and subscribe to learn more from our experts!
This video is available for download from NASA's Image and Video Library: https://images.nasa.gov/details-NHQ_2019_1216_AskNASA_Why%20Cant%20We%20Just%20Land%20on%20the%20Moon</t>
  </si>
  <si>
    <t>fGkZjciAV1A</t>
  </si>
  <si>
    <t>2019 12 13</t>
  </si>
  <si>
    <t>https://youtu.be/60JAciOhi2A</t>
  </si>
  <si>
    <t>Don’t Miss 2019’s Geminid Meteor Shower</t>
  </si>
  <si>
    <t>This Friday, look up to the sky to catch one of the most prolific and reliable meteor showers of the year! The Geminid meteor shower will put on a dazzling display for sky watchers when it peaks Dec. 13 – 14. Despite the nearly-full Moon, you’ll be able to see around 20 to 30 meteors per hour. Plan ahead: https://go.nasa.gov/2t1lxR1.</t>
  </si>
  <si>
    <t>60JAciOhi2A</t>
  </si>
  <si>
    <t>2019 12 09</t>
  </si>
  <si>
    <t>https://youtu.be/fCpnQYYas0c</t>
  </si>
  <si>
    <t>Highlighting the Most Powerful Rocket Ever Built at Artemis Day</t>
  </si>
  <si>
    <t>Media and social media followers got an up-close look at the completed core stage of our powerful new Space Launch System rocket during "Artemis Day," Dec. 9, 2019, at our Michoud Assembly Facility in New Orleans, Louisiana. Administrator Jim Bridenstine spoke in front of the rocket stage which will power the first Artemis flight to the Moon, as we prepare to land the first woman and next man on the Moon by 2024.</t>
  </si>
  <si>
    <t>fCpnQYYas0c</t>
  </si>
  <si>
    <t>2019 12 06</t>
  </si>
  <si>
    <t>https://youtu.be/xBRRU2-etAQ</t>
  </si>
  <si>
    <t>New Cooling System for a Device on the Space Station on This Week @NASA – December 6, 2019</t>
  </si>
  <si>
    <t>A new cooling system for a device on the space station, first results from the first spacecraft to touch the Sun, and preparing Orion for some critical testing … a few of the stories to tell you about – This Week at NASA!
This video is available for download from NASA's Image and Video Library: https://images.nasa.gov/details-NHQ_2019_1206_New%20Cooling%20System%20for%20a%20Device%20on%20the%20Space%20Station%20on%20This%20Week%20@NASA%20%E2%80%93%20December%206,%202019</t>
  </si>
  <si>
    <t>xBRRU2-etAQ</t>
  </si>
  <si>
    <t>2019 12 04</t>
  </si>
  <si>
    <t>https://youtu.be/w6BP5H7VOIU</t>
  </si>
  <si>
    <t xml:space="preserve">What Launches to Space On SpaceX’s 19th Cargo Mission </t>
  </si>
  <si>
    <t>On its 19th resupply mission, SpaceX’s Dragon spacecraft will deliver cutting-edge scientific experiments to crew members aboard the International Space Station. Learn more about some of the scientific investigations riding on Dragon to the orbiting laboratory: https://go.nasa.gov/2qZGYBd</t>
  </si>
  <si>
    <t>w6BP5H7VOIU</t>
  </si>
  <si>
    <t>2019 12 03</t>
  </si>
  <si>
    <t>https://youtu.be/RvMPoS4DqYE</t>
  </si>
  <si>
    <t xml:space="preserve">%23AskNASA┃ How Do We Get New Science to the Moon </t>
  </si>
  <si>
    <t>NASA Commercial Lunar Project Deputy Manager Camille Alleyne answers questions about commercial partnerships. Pointing out the need to deliver science and technology to the Moon. Camille also highlights the supplies and tools that will help send humans to the Moon by 2024 and contribute to the new Artemis program.
 Comment with your #AskNASA question and subscribe to learn more from our experts!
This video is available for download from NASA's Image and Video Library: https://images.nasa.gov/details-NHQ_20191203_AskNASA_Ep110_Camille%20Alleyne</t>
  </si>
  <si>
    <t>RvMPoS4DqYE</t>
  </si>
  <si>
    <t>2019 11 29</t>
  </si>
  <si>
    <t>https://youtu.be/Ue4YSdph7TQ</t>
  </si>
  <si>
    <t>Orion Spacecraft Arrives in Ohio for Testing on This Week @NASA – November 29, 2019</t>
  </si>
  <si>
    <t>Our Artemis I spacecraft is delivered for some critical testing, a big step for our Commercial Crew program, and a possible connection between dust storms and water loss on Mars … a few of the stories to tell you about – This Week at NASA!
This video is available for download from NASA's Image and Video Library: https://images.nasa.gov/details-NHQ_2019_1129_Orion%20Spacecraft%20Arrives%20in%20Ohio%20for%20Testing%20on%20This%20Week%20@NASA%20%E2%80%93%20November%2029,%202019</t>
  </si>
  <si>
    <t>Ue4YSdph7TQ</t>
  </si>
  <si>
    <t>2019 11 28</t>
  </si>
  <si>
    <t>https://youtu.be/VkFSqdoTSms</t>
  </si>
  <si>
    <t>Thanksgiving Video Message from NASA Astronauts in Space</t>
  </si>
  <si>
    <t>Right now, half of the crew members on board the International Space Station are American astronauts who are getting ready to celebrate Thanksgiving and they have a message for us. Check in with NASA’s Christina Koch, Jessica Meir and Andrew Morgan to learn more about what the holiday means to them – and get a look at what Thanksgiving in space will be like in 2019.</t>
  </si>
  <si>
    <t>VkFSqdoTSms</t>
  </si>
  <si>
    <t>https://youtu.be/LEmQY4O6E4k</t>
  </si>
  <si>
    <t>Happy Thanksgiving from NASA</t>
  </si>
  <si>
    <t>The Thanksgiving holiday is a time for enjoying family, friends, and especially food – and that goes for our astronauts in space.
From the squeeze food tubes of the early Mercury missions to delicious tacos and mac &amp; cheese on board the International Space Station, NASA's space food scientists are working harder than ever to come up with the best tasting cosmic cuisine. 
So, whether your meal is floating out in front you, or resting firmly on your table – from our NASA family to yours, Happy Thanksgiving.</t>
  </si>
  <si>
    <t>LEmQY4O6E4k</t>
  </si>
  <si>
    <t>2019 11 22</t>
  </si>
  <si>
    <t>https://youtu.be/uanbL9a3gM0</t>
  </si>
  <si>
    <t>Space Station Spacewalkers Work on a Cosmic Particle Detector on This Week @NASA – November 22, 2019</t>
  </si>
  <si>
    <t>Spacewalkers work on a cosmic particle detector, more potential partners to transport payloads to the Moon, and a key finding on a Jovian moon … a few of the stories to tell you about – This Week at NASA!
This video is available for download from NASA's Image and Video Library: https://images.nasa.gov/details-NHQ_2019_1122_Space%20Station%20Spacewalkers%20Work%20on%20a%20Cosmic%20Particle%20Detector%20on%20This%20Week%20@NASA%20%E2%80%93%20November%2022,%202019</t>
  </si>
  <si>
    <t>uanbL9a3gM0</t>
  </si>
  <si>
    <t>2019 11 21</t>
  </si>
  <si>
    <t>https://youtu.be/Zx4uqkgLyUE</t>
  </si>
  <si>
    <t>%23EZScience  Our Favorite Star — The Sun</t>
  </si>
  <si>
    <t>Let's talk about science! Watch the third episode of our #EZScience series to learn about an essential part of our lives: the Sun. Discover how spacecraft such as NASA’s Parker Solar Probe are exploring the wonders of our closest star. 
ABOUT THE SERIES: In our #EZScience video series with the National Air and Space Museum, NASA's associate administrator for science Dr. Thomas Zurbuchen and Museum director Dr. Ellen Stofan talk about the latest in planetary science and exploration.
Learn more: https://www.nasa.gov/ezscience
#S1E3</t>
  </si>
  <si>
    <t>Zx4uqkgLyUE</t>
  </si>
  <si>
    <t>2019 11 18</t>
  </si>
  <si>
    <t>https://youtu.be/Rxd8gT5oZHU</t>
  </si>
  <si>
    <t>New Companies Join Growing Ranks of NASA Partners for Artemis Program</t>
  </si>
  <si>
    <t>NASA has added five American companies — Blue Origin, Ceres Robotics, Sierra Nevada Corporation, SpaceX and Tyvak Nano-Satellite Systems Inc. — to the pool of vendors that will be eligible to bid on proposals to provide deliveries to the surface of the Moon through the agency’s Commercial Lunar Payload Services (CLPS) initiative. News release: https://go.nasa.gov/2Xr4MK9</t>
  </si>
  <si>
    <t>Rxd8gT5oZHU</t>
  </si>
  <si>
    <t>https://youtu.be/6MR-qaDaG6w</t>
  </si>
  <si>
    <t xml:space="preserve">%23AskNASA┃ What is the International Space Station </t>
  </si>
  <si>
    <t>NASA’s Jacob Keaton answers questions about the International Space Station. He highlights building this home off Earth and what astronauts do while aboard. Research and other lessons learned from the space station will help us send humans to the Moon under the Artemis program and prepare for Mars.
Comment with your #AskNASA question and subscribe to learn more from our experts!
This video is available for download from NASA's Image and Video Library: https://images.nasa.gov/details-NHQ_2019_1118_AskNASA%20-%20What%20is%20the%20International%20Space%20Station</t>
  </si>
  <si>
    <t>6MR-qaDaG6w</t>
  </si>
  <si>
    <t>2019 11 16</t>
  </si>
  <si>
    <t>https://youtu.be/b9YcPB0qAig</t>
  </si>
  <si>
    <t>Arrokoth  Naming the Kuiper Belt Object Visited by NASA's New Horizons</t>
  </si>
  <si>
    <t>In a fitting tribute to the farthest flyby ever conducted by spacecraft, the Kuiper Belt object 2014 MU69 has been officially named Arrokoth, a Native American term meaning “sky” in the Powhatan/Algonquian language. 
With consent from Powhatan Tribal elders and representatives, NASA’s New Horizons team – whose spacecraft performed the record-breaking reconnaissance of Arrokoth four billion miles from Earth – proposed the name to the International Astronomical Union and Minor Planets Center, the international authority for naming Kuiper Belt objects. The name was announced at a ceremony at NASA Headquarters in Washington, DC.
Learn more here: https://www.nasa.gov/feature/far-far-away-in-the-sky-new-horizons-kuiper-belt-flyby-object-officially-named-arrokoth</t>
  </si>
  <si>
    <t>b9YcPB0qAig</t>
  </si>
  <si>
    <t>2019 11 15</t>
  </si>
  <si>
    <t>https://youtu.be/NgztN23ZALU</t>
  </si>
  <si>
    <t>A Very Complex Spacewalk Outside the Space Station on This Week @NASA – November 15, 2019</t>
  </si>
  <si>
    <t>Some very complex work outside the space station, key milestones for our Artemis program, and a fitting tribute for an historic flyby … a few of the stories to tell you about – This Week at NASA!
This video is available for download from NASA's Image and Video Library: https://images.nasa.gov/details-NHQ_2019_1115_A%20Very%20Complex%20Spacewalk%20Outside%20the%20Space%20Station%20on%20This%20Week%20@NASA%20%E2%80%93%20November%2015,%202019</t>
  </si>
  <si>
    <t>NgztN23ZALU</t>
  </si>
  <si>
    <t>2019 11 14</t>
  </si>
  <si>
    <t>https://youtu.be/l11sW5KOi_g</t>
  </si>
  <si>
    <t>Apollo 12  The Pinpoint Mission</t>
  </si>
  <si>
    <t>Apollo 12 launched from Cape Kennedy on Nov. 14, 1969, into a cloudy, rain-swept sky. Launch controllers lost telemetry contact at 36 seconds, and again at 52 seconds, when the Saturn V launch vehicle was struck by lightning. 
In addition to continuing Apollo's lunar exploration tasks, Charles Conrad, Alan Bean, and Richard Gordon deployed the Apollo Lunar Surface Experiments Package, a set of investigations left on the Moon's surface to gather data.
This video is available for download from NASA's Image and Video Library: https://images.nasa.gov/details-NHQ_2019_1114_Apollo%2012%20-%20The%20Pinpoint%20Mission
Video Producer: Sonnet Apple
Music: Universal Production Music</t>
  </si>
  <si>
    <t>l11sW5KOi_g</t>
  </si>
  <si>
    <t>2019 11 08</t>
  </si>
  <si>
    <t>https://youtu.be/emQej1NKTtU</t>
  </si>
  <si>
    <t>A Critical Milestone for Commercial Crew on This Week @NASA – November 8, 2019</t>
  </si>
  <si>
    <t>A critical milestone for commercial crew, resupply spacecraft delivers to the space station, and a new wide-eyed view of the southern sky … a few of the stories to tell you about – This Week at NASA!
This video is available for download from NASA's Image and Video Library: https://images.nasa.gov/details-NHQ_2019_1108_A%20Critical%20Milestone%20for%20Commercial%20Crew%20on%20This%20Week%20@NASA%20%E2%80%93%20November%208,%202019</t>
  </si>
  <si>
    <t>emQej1NKTtU</t>
  </si>
  <si>
    <t>https://youtu.be/yfvrAq21Gco</t>
  </si>
  <si>
    <t>National Native American Heritage Month - Karen Moore's NASA Intern Story</t>
  </si>
  <si>
    <t>Karen Moore shares her story on how her 2018 internship at NASA's Langley Research Center allowed her to support the Minority University Research and Education Project for American Indian and Alaskan Native STEM Engagement (MAIANSE). The NASA Office of Education's MAIANSE initiative supports tribal colleges or universities with career development and internship opportunities.
Learn more about MAIANSE by visiting https://www.nasa.gov/education/maianse.</t>
  </si>
  <si>
    <t>yfvrAq21Gco</t>
  </si>
  <si>
    <t>2019 11 07</t>
  </si>
  <si>
    <t>https://youtu.be/NR1c_4VWx9M</t>
  </si>
  <si>
    <t>NASA Explorers S3 E5  The New Normal</t>
  </si>
  <si>
    <t>As the planet warms, fire seasons burn year-round and more areas are becoming flammable. #NASAExplorers are studying how fires are changing with the climate, and tracking how landscapes change after fires. With satellite data, people on the ground and partners with communities and agencies around the planet, #NASAExplorers are helping prepare for the “new normal” of fires on Earth. #S3E5</t>
  </si>
  <si>
    <t>NR1c_4VWx9M</t>
  </si>
  <si>
    <t>2019 11 04</t>
  </si>
  <si>
    <t>https://youtu.be/jTvP1VhGh8s</t>
  </si>
  <si>
    <t xml:space="preserve">%23AskNASA┃ What is the Moon Made of </t>
  </si>
  <si>
    <t>NASA’s Lunar Scientist Sarah Noble  answers questions about the Moon and our plans to send humans there with the Artemis program, as we prepare for eventual trips to Mars.  
Comment with your #AskNASA question and subscribe to learn more from our experts!
This video is available for download from NASA's Image and Video Library: https://images.nasa.gov/details-NHQ_2019_1104_AskNASA</t>
  </si>
  <si>
    <t>jTvP1VhGh8s</t>
  </si>
  <si>
    <t>2019 11 02</t>
  </si>
  <si>
    <t>https://youtu.be/4nspRYAso0c</t>
  </si>
  <si>
    <t>Important Cargo Headed to the Space Station on This Week @NASA – November 2, 2019</t>
  </si>
  <si>
    <t>Important cargo headed to the space station, installing the thrust behind our return to the Moon, and a devastating wildfire seen from space … a few of the stories to tell you about – This Week at NASA!
This video is available for download from NASA's Image and Video Library: https://images.nasa.gov/details-NHQ_2019_1102_Important%20Cargo%20Headed%20to%20the%20Space%20Station%20on%20This%20Week%20@NASA%20%E2%80%93%20November%202,%202019</t>
  </si>
  <si>
    <t>4nspRYAso0c</t>
  </si>
  <si>
    <t>2019 11 01</t>
  </si>
  <si>
    <t>https://youtu.be/UgLNbGl9-iY</t>
  </si>
  <si>
    <t>NASA's ICON  Countdown to T-Zero for a Mission to Study Space Weather</t>
  </si>
  <si>
    <t>Where does Earth's atmosphere end and space begin? This and other questions soon will be answered by NASA’s Ionospheric Connection Explorer, or ICON, satellite. Get ready to watch as the Pegasus countdown reaches T-Zero from its carrier aircraft flying near the Kennedy Space Center. 
Learn more about this mission that launched on Oct. 10, 2019: https://www.nasa.gov/icon</t>
  </si>
  <si>
    <t>UgLNbGl9-iY</t>
  </si>
  <si>
    <t>2019 10 31</t>
  </si>
  <si>
    <t>https://youtu.be/1nwwTZhGC_0</t>
  </si>
  <si>
    <t>Happy Halloween from NASA</t>
  </si>
  <si>
    <t>Even though it is Halloween, NASA is giving you some “Easter Eggs” in this video. 
Can you spot the significance of the house number? (Hint: T-Minus)
The sounds you hear, as the pumpkin is carving, are actually real spooky sounds from space. Listen: https://www.nasa.gov/vision/universe/features/halloween_sounds.html
The pictures in the windows are from NASA Science’s Spooky Saturn, and SDO’s Jack-o-lantern Sun. Take a look: https://solarsystem.nasa.gov/resources/17543/spooky-saturn/
https://www.nasa.gov/content/goddard/sdo-jack-o-lantern-sun
Do you like the “NASA Pumpkin?"… Guess what? You can create your own NASA Space Pumpkins: https://spaceplace.nasa.gov/pumpkins/en/
Of course, the candy is collected by little Trick-or-Treaters who are part of the “Artemis Generation" and one could even be the first to set foot on Mars: https://www.nasa.gov/artemis/Be_a_part_of_the_Artemis_Generation
That International Space Station bag is important - not only does it hold candy; it also holds history. NASA just completed the first all-woman spacewalk: https://blogs.nasa.gov/spacestation/2019/10/18/nasa-astronauts-wrap-up-historic-all-woman-spacewalk/
Another bag of treats is the new series #AskNASA, where our experts answer your questions about space exploration and science: https://www.youtube.com/playlist?list=PL2aBZuCeDwlSCC1SWGzUJiZPDew-AEFpq
The Helmet was created by the talented folks at NASA’s Ames Research Center. You can download it and other models from NASA’s 3D Model page: https://nasa3d.arc.nasa.gov/models
Our little Spiders are here to represent. This is the 50th Anniversary of Apollo, and Apollo 9 had the first Lunar Module to be deployed in space; and its name was “Spider”: https://images.nasa.gov/details-as09-21-3183.html
What is Halloween without Bats? Did you know that the Hubble Space Telescope captured a Cosmic Bat? … well, its shadow anyway: https://www.nasa.gov/image-feature/goddard/2018/hubble-reveals-a-giant-cosmic-bat-shadow
All in all, NASA wishes you a Happy Halloween!</t>
  </si>
  <si>
    <t>1nwwTZhGC_0</t>
  </si>
  <si>
    <t>2019 10 30</t>
  </si>
  <si>
    <t>https://youtu.be/jfVs5G5k8ZI</t>
  </si>
  <si>
    <t>NASA Explorers S3 E4  Chasing Clouds</t>
  </si>
  <si>
    <t>"Earth science is a subject far too big for one country, one agency, to tackle all by itself.” So #NASAExplorers team up with researchers from around the country and the planet to answer some big questions about fires, clouds and climate from the Western Pacific, where we still have a lot to learn about the interaction between fires and cloud formation. #S3E4</t>
  </si>
  <si>
    <t>jfVs5G5k8ZI</t>
  </si>
  <si>
    <t>2019 10 25</t>
  </si>
  <si>
    <t>https://youtu.be/V7qrZcTrPIg</t>
  </si>
  <si>
    <t>International Partnership for the Moon and Mars on This Week @NASA – October 25, 2019</t>
  </si>
  <si>
    <t>International partnerships for the Moon and Mars, an update on that historic all-woman spacewalk, and a milestone for the James Webb Space Telescope …  a few of the stories to tell you about –- This Week at NASA!
This video is available for download from NASA's Image and Video Library: https://images.nasa.gov/details-NHQ_2019_1025_International%20Partnership%20for%20the%20Moon%20and%20Mars%20on%20This%20Week%20@NASA%20%E2%80%93%20October%2025,%202019</t>
  </si>
  <si>
    <t>V7qrZcTrPIg</t>
  </si>
  <si>
    <t>2019 10 23</t>
  </si>
  <si>
    <t>https://youtu.be/6-LqyTeHLQg</t>
  </si>
  <si>
    <t>NASA Explorers S3 E3  The Carbon Problem</t>
  </si>
  <si>
    <t>In the Arctic, fires are a natural part of the ecosystem. But as the climate changes, fires are burning longer and hotter, releasing long-buried carbon from the soil. #NASAExplorers are looking from high in the sky to deep below the ground to better understand how a warming climate affects fires in the Arctic…and how fires in the region will contribute to climate change in the future. #S3E3</t>
  </si>
  <si>
    <t>6-LqyTeHLQg</t>
  </si>
  <si>
    <t>2019 10 21</t>
  </si>
  <si>
    <t>https://youtu.be/F_iA2DdgMUA</t>
  </si>
  <si>
    <t xml:space="preserve">%23AskNASA┃ What are the Next Generation Spacesuits </t>
  </si>
  <si>
    <t>Spacesuits are personalized spaceships that mimic all of the protections from the harsh environment of space and the basic resources that Earth and its atmosphere provide.
Spacesuit Engineers Amy Ross, Kristine Davis and Dustin Gohmert showcase the advanced features of the next generation spacesuits that will be worn by astronauts as they explore the Moon as part of the Artemis program. 
Submit question below using #AskNASA and subscribe to learn more from our experts.</t>
  </si>
  <si>
    <t>F_iA2DdgMUA</t>
  </si>
  <si>
    <t>2019 10 19</t>
  </si>
  <si>
    <t>https://youtu.be/cNnvYACgwrE</t>
  </si>
  <si>
    <t>First All-Woman Spacewalk</t>
  </si>
  <si>
    <t>On Oct 18, NASA astronauts Jessica Meir and Christina Koch performed the first all-woman spacewalk. Koch &amp; Meir replaced a faulty battery charge/discharge unit that failed to activate after a previous spacewalk. This was the fourth spacewalk for Christina Koch and the first for Jessica Meir.
Video Producer: Sonnet Apple
Music: Universal Production Music</t>
  </si>
  <si>
    <t>cNnvYACgwrE</t>
  </si>
  <si>
    <t>2019 10 18</t>
  </si>
  <si>
    <t>https://youtu.be/Daelqxwph08</t>
  </si>
  <si>
    <t>The First All Woman Spacewalk Outside the Space Station on This Week @NASA – October 18, 2019</t>
  </si>
  <si>
    <t>A first aboard the space station, some gear well-suited for the Artemis generation, and ensuring astronaut safety … a few of the stories to tell you about – This Week at NASA!
This video is available for download from NASA's Image and Video Library: https://images.nasa.gov/details-NHQ_2019_1018_The%20First%20All-Woman%20Spacewalk%20Outside%20the%20Space%20Station%20on%20This%20Week%20@NASA%20%E2%80%93%20October%2018,%202019</t>
  </si>
  <si>
    <t>Daelqxwph08</t>
  </si>
  <si>
    <t>2019 10 17</t>
  </si>
  <si>
    <t>https://youtu.be/S6KgbRX1tPI</t>
  </si>
  <si>
    <t>First All-Woman Spacewalk on October 18</t>
  </si>
  <si>
    <t>NASA astronauts Jessica Meir and Christina Koch are set to conduct the first spacewalk to be performed by two women on Friday, Oct. 18, 2019. 
They will be replacing a faulty battery charge/discharge unit that failed to activate after a spacewalk Oct. 11.  The faulty unit is preventing a set of recently installed batteries from providing increased power. It must be replaced before continuing a series of spacewalks to install new batteries.
Watch live coverage here on NASA TV and nasa.gov/live Friday beginning at 6:30 a.m. Eastern. The spacewalk is scheduled to begin at about 7:50 a.m.
Video Producer: Sonnet Apple
Music: Universal Production Music</t>
  </si>
  <si>
    <t>S6KgbRX1tPI</t>
  </si>
  <si>
    <t>2019 10 16</t>
  </si>
  <si>
    <t>https://youtu.be/EsJkyNnS0Z4</t>
  </si>
  <si>
    <t>NASA Explorers S3 E2  Follow that Plume!</t>
  </si>
  <si>
    <t>Chasing smoke is a round-the-clock business. Wildfire smoke can travel long distances and over several days, so #NASAExplorers with the Fire Influence on Regional to Global Environments and Air Quality (FIREX-AQ) mission took to the field to find where it goes. From a plane directly above the Shady Fire in the middle of the afternoon to a valley in the Sawtooth Mountains at 1 in the morning, explorers are gathering important data about how fire smoke affects communities near and far. #S3E2</t>
  </si>
  <si>
    <t>EsJkyNnS0Z4</t>
  </si>
  <si>
    <t>https://youtu.be/yj6LYpZosRU</t>
  </si>
  <si>
    <t>NASA Introduces New Spacesuits for the Moon and Mars</t>
  </si>
  <si>
    <t>At NASA Headquarters on Oct. 15, 2019, Administrator Jim Bridenstine introduced the Exploration Extravehicular Mobility Unit (xEMU) and Orion Crew Survival System suit which will be will be worn by first woman and next man as they explore the Moon as part of the #Artemis program.
This video is available for download from NASA's Image and Video Library: https://images.nasa.gov/details-NHQ_2019_1016_NASA%20Introduces%20New%20Spacesuits%20for%20the%20Moon%20and%20Mars
Video Producer: Sonnet Apple
Music: Universal Production Music</t>
  </si>
  <si>
    <t>yj6LYpZosRU</t>
  </si>
  <si>
    <t>2019 10 15</t>
  </si>
  <si>
    <t>https://youtu.be/dJ-04R_Zw6M</t>
  </si>
  <si>
    <t>Space Is Hard</t>
  </si>
  <si>
    <t>Space travel is hard and unforgiving, but we have never been more ready to meet the unknown. 
Team members from NASA’s #Artemis program share the risks and rewards of this next era of exploration. Artemis will push the boundaries of human exploration and send the first woman and next man to the Moon by 2024, preparing for missions to Mars and beyond.
This video is available for download from NASA's Image and Video Library: https://images.nasa.gov/details-NHQ_2019_1015_Space%20Is%20Hard</t>
  </si>
  <si>
    <t>dJ-04R_Zw6M</t>
  </si>
  <si>
    <t>2019 10 14</t>
  </si>
  <si>
    <t>https://youtu.be/uUf7RCnymys</t>
  </si>
  <si>
    <t xml:space="preserve">%23AskNASA┃ Who Is Going with Us </t>
  </si>
  <si>
    <t>We're going forward to the Moon, together. NASA astronaut Alvin Drew answers the question, “Who is going with us?” 
He describes the purpose of the Gateway and how it helps with our plans to explore the Moon and Mars. Alvin also underlines how NASA partnerships will contribute to the Artemis Program. 
Comment with your #AskNASA question and subscribe to learn more from our experts!</t>
  </si>
  <si>
    <t>uUf7RCnymys</t>
  </si>
  <si>
    <t>2019 10 11</t>
  </si>
  <si>
    <t>https://youtu.be/nwDS_ZbSssI</t>
  </si>
  <si>
    <t>Power Play Spacewalks Aboard the Space Station on This Week @NASA – October 11, 2019</t>
  </si>
  <si>
    <t>A pair of power plays aboard the space station, checking out progress of our Commercial Crew Program, and studying the frontier of space … a few of the stories to tell you about – This Week at NASA!
This video is available for download from NASA's Image and Video Library: https://images.nasa.gov/details-NHQ_2019_1011_Power%20Play%20Spacewalks%20Aboard%20the%20Space%20Station%20on%20This%20Week%20@NASA%20%E2%80%93%20October%2011,%202019</t>
  </si>
  <si>
    <t>nwDS_ZbSssI</t>
  </si>
  <si>
    <t>https://youtu.be/opHOetEcyK0</t>
  </si>
  <si>
    <t>Meet Former NASA Astronaut Kathy Sullivan  the First American Woman to Walk in Space</t>
  </si>
  <si>
    <t>35 years ago, on October 11, 1984, NASA astronaut Kathy Sullivan became the first American woman to walk in space. We video chatted with Kathy to ask her about this historic feat as well as her thoughts on the upcoming all-female spacewalk scheduled to take place October 21, 2019, with NASA astronauts Christina Koch and Jessica Meir.
More about women at NASA: https://women.nasa.gov/.
Video Producer: Sonnet Apple
Music: Universal Production Music</t>
  </si>
  <si>
    <t>opHOetEcyK0</t>
  </si>
  <si>
    <t>2019 10 10</t>
  </si>
  <si>
    <t>https://youtu.be/_-TiP7onEmo</t>
  </si>
  <si>
    <t>The First Artemis Flight Path Around the Moon</t>
  </si>
  <si>
    <t>Our Artemis program will return humans to the Moon by 2024. Artemis I, the first Artemis mission, will test all of the human rated systems in deep space — including the Orion spacecraft and Space Launch System rocket. This is its 26 day journey… in 30 seconds.
What is Artemis? https://go.nasa.gov/30P0EEq
Download this video: https://images.nasa.gov/details-NHQ_2019_1010_Artemis%20I%20Mission%20Trajectory</t>
  </si>
  <si>
    <t>_-TiP7onEmo</t>
  </si>
  <si>
    <t>2019 10 09</t>
  </si>
  <si>
    <t>https://youtu.be/4NBAlxwA6Rs</t>
  </si>
  <si>
    <t>NASA Explorers S3 E1  Seeing Through Smoke</t>
  </si>
  <si>
    <t>To understand fires on Earth, you need a broad view — spanning from the poles to the equator and looking from high above the planet to down deep under the soil. That’s where #NASAExplorers come in! With satellites, with airplanes, with their own hands and with a data record spanning decades, Explorers are studying how our planet burns… and how that burning changes with the climate. This season, we’re headed to the western Pacific Ocean to the Northwest Territories and beyond to look fires on Earth.
#S3E1</t>
  </si>
  <si>
    <t>4NBAlxwA6Rs</t>
  </si>
  <si>
    <t>2019 10 08</t>
  </si>
  <si>
    <t>https://youtu.be/NrFd-17QMzY</t>
  </si>
  <si>
    <t>Living and Working  Valuable Spaceflight Data Collaboration Tool</t>
  </si>
  <si>
    <t>The International Space Station is the largest human-made structure in low Earth orbit (LEO) and serves as a space environment research laboratory where astronauts perform experiments in several unique fields including physics, astronomy, and biology. NASA’s Genelab collects valuable spaceflight experiment data for researchers and scientists to learn from this unique environment. GeneLab is an interactive, open-access resource where scientists can upload, download, store, search, share, transfer, and analyze omics data from spaceflight and corresponding analogue experiments. The biological studies conducted on the International Space Station generate critical data that scientists use to determine how terrestrial biology changes as a result of spaceflight.</t>
  </si>
  <si>
    <t>NrFd-17QMzY</t>
  </si>
  <si>
    <t>2019 10 07</t>
  </si>
  <si>
    <t>https://youtu.be/7Lol3lumMTo</t>
  </si>
  <si>
    <t xml:space="preserve">%23AskNASA┃ How Are We Going to the Moon </t>
  </si>
  <si>
    <t>NASA Spacesuit Engineer Lindsay Aitchison answers the question “How are we going to the Moon?” Comment on this video using #AskNASA with your questions for upcoming episodes! She addresses key questions about our plans to explore the Moon and Mars in the Artemis Program. Lindsay also highlights how the Gateway will help in our missions to Mars.
This video is available for download from NASA's Image and Video Library: https://images.nasa.gov/details-NHQ_2019_1007_AskNASA%20EP105%20Lindsay%20Aitchison.html</t>
  </si>
  <si>
    <t>7Lol3lumMTo</t>
  </si>
  <si>
    <t>2019 10 04</t>
  </si>
  <si>
    <t>https://youtu.be/OhflFp-3YvY</t>
  </si>
  <si>
    <t>Expedition 60 Crew Returns Safely from the Space Station on This Week @NASA – Oct 4, 2019</t>
  </si>
  <si>
    <t>A safe conclusion to the latest long-duration spaceflight, calling on industry to help us accelerate our return to the Moon, and practice makes perfect – before the real thing … a few of the stories to tell you about – This Week at NASA!</t>
  </si>
  <si>
    <t>OhflFp-3YvY</t>
  </si>
  <si>
    <t>2019 10 02</t>
  </si>
  <si>
    <t>https://youtu.be/C4C8JsgGrrY</t>
  </si>
  <si>
    <t>%23EZScience  The Search for New Planets</t>
  </si>
  <si>
    <t>Let's talk about science! Watch the second episode of our #EZScience series to learn about our search for new planets using the Hubble Space Telescope, NASA’s Transiting Exoplanet Survey Satellite, James Webb Space Telescope and more! 
ABOUT THE SERIES: In our #EZScience video series with the National Air and Space Museum, NASA's associate administrator for science Dr. Thomas Zurbuchen and Museum director Dr. Ellen Stofan talk about the latest in planetary science and exploration.
Learn more: https://www.nasa.gov/ezscience
#S1E2</t>
  </si>
  <si>
    <t>C4C8JsgGrrY</t>
  </si>
  <si>
    <t>2019 10 01</t>
  </si>
  <si>
    <t>https://youtu.be/ethlD9moxyI</t>
  </si>
  <si>
    <t>%23EZScience  Exploring the Moon with Apollo</t>
  </si>
  <si>
    <t>Let's talk about science! Watch the first episode of our #EZScience series to learn about the Apollo program that sent humans to the Moon, what we learned from our first Moon landings and what's next for lunar exploration.
ABOUT THE SERIES: In our #EZScience video series with the National Air and Space Museum, NASA's associate administrator for science Dr. Thomas Zurbuchen and Museum director Dr. Ellen Stofan talk about the latest in planetary science and exploration.
Learn more: https://www.nasa.gov/ezscience
#S1E1</t>
  </si>
  <si>
    <t>ethlD9moxyI</t>
  </si>
  <si>
    <t>2019 09 30</t>
  </si>
  <si>
    <t>https://youtu.be/AWCRYZF8QVw</t>
  </si>
  <si>
    <t>%23AskNASA From Space  Astronauts Answer Your Questions</t>
  </si>
  <si>
    <t>What would you want to see or do on the Moon? What does the International Space Station smell like? Do you ever take a break and just enjoy the view? From space, astronauts Christina Koch and Jessica Meir answered questions from social media sent using #AskNASA.</t>
  </si>
  <si>
    <t>AWCRYZF8QVw</t>
  </si>
  <si>
    <t>https://youtu.be/LTk1SepOvXk</t>
  </si>
  <si>
    <t xml:space="preserve">%23AskNASA┃ Why Are We Going to the Moon </t>
  </si>
  <si>
    <t>NASA Chief Scientist Jim Green answers the question “Why are we going to the Moon?”  Comment on this video using #AskNASA with your questions for upcoming episodes!
He addresses key questions about our plans to explore the Moon and Mars, including where we will most likely find water on the Moon. Jim shares his extensive background in Planetary Science to explain the significance of returning with international and commercial partners. Jim also highlights how we are currently exploring Mars with the Curiosity rover.</t>
  </si>
  <si>
    <t>LTk1SepOvXk</t>
  </si>
  <si>
    <t>2019 09 27</t>
  </si>
  <si>
    <t>https://youtu.be/0WaiAyU-3mU</t>
  </si>
  <si>
    <t>NASA's Vertical Motion Simulator</t>
  </si>
  <si>
    <t>The simulator at NASA's Ames Research Center will help the agency develop new software and other tools for landing on the Moon.</t>
  </si>
  <si>
    <t>0WaiAyU-3mU</t>
  </si>
  <si>
    <t>https://youtu.be/VklY8tT4AsY</t>
  </si>
  <si>
    <t>New Arrivals Welcomed Aboard the Space Station on This Week @NASA – September 27, 2019</t>
  </si>
  <si>
    <t>New arrivals in low-Earth orbit – welcome aboard the space station! More research, supplies, and other cargo heads to the station, and a new partner for our Moon to Mars effort … a few of the stories to tell you about – This Week at NASA!
This video is available for download from NASA's Image and Video Library:https://images.nasa.gov/details-NHQ_2019_0927_New%20Arrivals%20Welcomed%20Aboard%20the%20Space%20Station%20on%20This%20Week%20@NASA%20–%20September%2027,%202019.html</t>
  </si>
  <si>
    <t>VklY8tT4AsY</t>
  </si>
  <si>
    <t>2019 09 26</t>
  </si>
  <si>
    <t>https://youtu.be/RN7fm1ZRK90</t>
  </si>
  <si>
    <t>NASA Explorers  Fires</t>
  </si>
  <si>
    <t>Fire. It’s one of the things that makes Earth so unusual. This season has been one of extremes, with large fires burning from the tropical rainforest to north of the Arctic circle. NASA Explorers have been there every step of the way, investigating the fires as they burn and tracking their effects down the line. From satellites, airplanes, on the ground and in the lab, NASA Explorers are working to understand our home planet and how it burns.
Join us this October as we take a closer look at fire and the people who study it. #S3E0</t>
  </si>
  <si>
    <t>RN7fm1ZRK90</t>
  </si>
  <si>
    <t>2019 09 23</t>
  </si>
  <si>
    <t>https://youtu.be/YOG3tAkPpPE</t>
  </si>
  <si>
    <t xml:space="preserve">%23AskNASA┃ What is Artemis </t>
  </si>
  <si>
    <t>NASA astronaut Serena M. Auñón-Chancellor answers the question ‘What is Artemis?’ Comment on this video using #AskNASA with your questions for upcoming episodes!
Dr. Auñón-Chancellor reveals more about the program to land American astronauts, including the first woman and the next man, on the Moon by 2024. She also shares her experience in long-duration spaceflight aboard the International Space Station on the Expedition 56/57 missions.
For more information about Artemis:
https://www.nasa.gov/what-is-artemis</t>
  </si>
  <si>
    <t>YOG3tAkPpPE</t>
  </si>
  <si>
    <t>2019 09 20</t>
  </si>
  <si>
    <t>https://youtu.be/6Sau0pFAkTk</t>
  </si>
  <si>
    <t>Highlighting Artemis with Help from Hollywood on This Week @NASA – September 20, 2019</t>
  </si>
  <si>
    <t>Highlighting Artemis with help from Hollywood, preparing to launch to the only laboratory in microgravity, and testing new lunar landing technology … a few of the stories to tell you about – This Week at NASA!
This video is available for download from NASA's Image and Video Library: https://images.nasa.gov/details-NHQ_2019_0920_Highlighting%20Artemis%20with%20Help%20from%20Hollywood%20on%20This%20Week%20@NASA%20%E2%80%93%20September%2020,%202019.html</t>
  </si>
  <si>
    <t>6Sau0pFAkTk</t>
  </si>
  <si>
    <t>https://youtu.be/CUrshzt-muI</t>
  </si>
  <si>
    <t>%23AskNASA ┃ Special Episode %23AskBrad</t>
  </si>
  <si>
    <t>What questions would you ask NASA? Actor Brad Pitt, who plays an astronaut in his new movie Ad Astra, helps us kick off our new #AskNASA YouTube series with a few questions about space exploration. What did you learn from watching astronauts on the International Space Station? Would you rather visit the Moon or Mars?</t>
  </si>
  <si>
    <t>CUrshzt-muI</t>
  </si>
  <si>
    <t>2019 09 19</t>
  </si>
  <si>
    <t>https://youtu.be/wialrxoQTWM</t>
  </si>
  <si>
    <t>%23AskNASA  Brad Pitt Helps NASA Kick Off New Video Series</t>
  </si>
  <si>
    <t>Subscribe so you don't miss any episodes of our #AskNASA series where NASA experts will answer your questions about space exploration!
Actor Brad Pitt, who plays an astronaut in his latest film, "Ad Astra," joins NASA to kick off a new series where NASA experts take your questions. Tune in for our full episode with Brad Pitt on Friday, Sept. 20, and more episodes with our subject matter experts starting Monday, Sept. 23.</t>
  </si>
  <si>
    <t>wialrxoQTWM</t>
  </si>
  <si>
    <t>https://youtu.be/jPQD-u5ZP6M</t>
  </si>
  <si>
    <t>SpaceX Crew Dragon Parachute Test</t>
  </si>
  <si>
    <t>The SpaceX #CrewDragon spacecraft parachutes successfully deploy during the latest development test. This test simulated a pad abort, where the vehicle is tumbling at low altitude before parachute deploy, validating SpaceX’s parachute models and margins.  As a part of NASA’s Commercial Crew Program, SpaceX has been developing and testing the Crew Dragon parachute system, which is comprised of two drogue parachutes and four main ring-sail parachutes—the same type of parachutes that have been commonly and successfully used for human spaceflight in the past.
More on Commercial Crew and SpaceX: https://go.nasa.gov/2O8cS7X
Download this video: https://images.nasa.gov/details-KSC-20190918-VP-MWC01-SPACEX-PARACHUTE.html</t>
  </si>
  <si>
    <t>jPQD-u5ZP6M</t>
  </si>
  <si>
    <t>2019 09 16</t>
  </si>
  <si>
    <t>https://youtu.be/_oVYSwmIrZk</t>
  </si>
  <si>
    <t>Brad Pitt Speaks with NASA Astronaut Nick Hague Aboard the International Space Station</t>
  </si>
  <si>
    <t>"What's a spacewalk like? What do you feel?" As NASA prepares to send the first woman and next man to the Moon by 2024 under the #Artemis program, Brad Pitt is playing an astronaut in his latest film, Ad Astra. On Sept. 16 from NASA Headquarters in Washington, the actor spoke to astronaut Nick Hague about what it’s truly like to live and work in space.
Here are the questions that Brad Pitt asked Nick Hague?
0:59  How did we do [in the movie]? How was our Zero-G?
1:33 Do you know what everything is on the wall behind you?
2:33 What are the repercussions on your body in Zero-G?
2:38 How do you gauge your waking hours if you see 16 sunrises and sunsets each day?
3:50 Is there a night shift?
4:45 Could you see the Chandrayaan-2 Moon mission from the International Space Station?
6:15 What are your current missions?
8:02 What does spaceflight affect your mental state? How do you keep it at peace?
9:25 What is your experience like as you look back on Earth?
10:57 Who controls the jam box?
11:49 How are you able to stay in a single space?
12:53 How are you using 3D printing in space?
14:33 What is a spacewalk like?
16:18 Who is more believable playing an astronaut (George Clooney or Brad Pitt)?</t>
  </si>
  <si>
    <t>_oVYSwmIrZk</t>
  </si>
  <si>
    <t>2019 09 13</t>
  </si>
  <si>
    <t>https://youtu.be/nSR2Yvlki7I</t>
  </si>
  <si>
    <t>Inside NASA's Psyche Mission to Learn about Collisions and Crater Formation</t>
  </si>
  <si>
    <t>One of the first steps in understanding the geology of Psyche is for the Psyche science team to find out more about collisions and crater formation on metallic asteroids. Join Psyche Mission Science Team Co-Investigator Simone Marchi of the Southwest Research Institute as he explains how impact experiments are conducted at NASA's Ames Vertical Gun Range and what we can learn about the cratering process to further understand and interpret the geology of Psyche.
Learn more about the mission: https://www.jpl.nasa.gov/missions/psyche/</t>
  </si>
  <si>
    <t>nSR2Yvlki7I</t>
  </si>
  <si>
    <t>https://youtu.be/1bJDPqd8V88</t>
  </si>
  <si>
    <t>An Exoplanet Discovery from Hubble on This Week @NASA – September 13, 2019</t>
  </si>
  <si>
    <t>Hubble makes an exoplanet discovery, the next space station crew gets ready to launch, and back to work in Florida after weathering the storm … a few of the stories to tell you about – This Week at NASA!
This video is available for download from NASA's Image and Video Library: https://images.nasa.gov/details-NHQ_2019_0913_An%20Exoplanet%20Discovery%20from%20Hubble%20on%20This%20Week%20@NASA%20%E2%80%93%20September%2013,%202019.html</t>
  </si>
  <si>
    <t>1bJDPqd8V88</t>
  </si>
  <si>
    <t>2019 09 08</t>
  </si>
  <si>
    <t>https://youtu.be/uuNTE3oTZZo</t>
  </si>
  <si>
    <t>Views of Hurricane Dorian from the International Space Station - September 6, 2019</t>
  </si>
  <si>
    <t>Cameras outside the International Space Station captured views at 8:10 a.m. Eastern time September 6 of a weakening Hurricane Dorian from 260 miles in altitude as it churned just off the outer banks of North Carolina. In its 8 a.m. EDT advisory, the National Hurricane Center said category 1 Hurricane Dorian is moving toward the northeast near 14 mph with maximum sustained winds of 90 miles an hour. The general motion of Dorian, with an increase in forward speed, is expected through Saturday.  On the forecast track, the center of Dorian will move near or over the coast of North Carolina during the next several hours.  The center should move to the southeast of extreme southeastern New England tonight and Saturday morning, and then across Nova Scotia late Saturday or Saturday night.
Dorian should remain a potent hurricane as it moves near or along the coast of North Carolina during the next several hours. Dorian is forecast to become a post-tropical cyclone with hurricane-force winds by Saturday night as it approaches Nova Scotia. Hurricane-force winds extend outward up to 45 miles from the center of the system and tropical-storm-force winds extend outward up to 220 miles.
Download this video: https://images.nasa.gov/details-iss060m262491204_Expedition_60_Hurricane_Dorian_Flyover_09-06-19.html
For the latest updates on Hurricane Dorian from NASA, visit: https://blogs.nasa.gov/hurricanes/tag/dorian-2019/</t>
  </si>
  <si>
    <t>uuNTE3oTZZo</t>
  </si>
  <si>
    <t>2019 09 06</t>
  </si>
  <si>
    <t>https://youtu.be/RFKKy3IPSxg</t>
  </si>
  <si>
    <t>Keeping an eye on Hurricane Dorian from Space on This Week @NASA – September 6, 2019</t>
  </si>
  <si>
    <t>Keeping an eye on Hurricane Dorian, the next crew headed to the International Space Station, and a better understanding of Sun-driven space weather … a few of the stories to tell you about – This Week at NASA!
This video is available for download from NASA's Image and Video Library: https://images.nasa.gov/details-NHQ_2019_0906_Keeping%20an%20eye%20on%20Hurricane%20Dorian%20from%20Space%20on%20This%20Week%20@NASA%20%E2%80%93%20September%206,%202019.html</t>
  </si>
  <si>
    <t>RFKKy3IPSxg</t>
  </si>
  <si>
    <t>2019 09 05</t>
  </si>
  <si>
    <t>https://youtu.be/sun1LumDuVw</t>
  </si>
  <si>
    <t>Views of Hurricane Dorian from the International Space Station - September 5, 2019</t>
  </si>
  <si>
    <t>Cameras outside the International Space Station captured views at 8:59 a.m. EDT on Sept. 5 of Hurricane Dorian from 260 miles in altitude as it traveled up the Eastern seaboard of the United States. 
A turn toward the northeast is anticipated by tonight, and a northeastward motion at a faster forward speed is forecast on Friday.  On the forecast track, the center of Dorian will continue to move close to the coast of South Carolina today, and then move near or over the coast of North Carolina tonight and Friday.  The center should move to the southeast of extreme southeastern New England Friday night and Saturday morning, and approach Nova Scotia later on Saturday.
Maximum sustained winds are near 115 miles per hour with higher gusts.  Dorian is a category 3 hurricane on the Saffir-Simpson Hurricane Wind Scale.  Some fluctuations in intensity are expected this morning, followed by slow weakening through Saturday. However, Dorian is expected to remain a hurricane for the next few days.
Download this footage: https://images.nasa.gov/details-iss060m262481254_Hurricane_Dorian_Live_Views_Sept_5_2019_0905.html
For the latest updates on Hurricane Dorian from NASA, visit: https://blogs.nasa.gov/hurricanes/tag/dorian-2019/</t>
  </si>
  <si>
    <t>sun1LumDuVw</t>
  </si>
  <si>
    <t>2019 09 04</t>
  </si>
  <si>
    <t>https://youtu.be/XtB_z74-qa4</t>
  </si>
  <si>
    <t>Views of Hurricane Dorian from the International Space Station - September 4, 2019</t>
  </si>
  <si>
    <t>Cameras outside the International Space Station captured views at 9:48 a.m. Eastern time September 4 of Hurricane Dorian from 260 miles in altitude as it travelled in a direction parallel to the northeast coast of Florida. In its 10 a.m. EDT advisory, the National Hurricane Center said Dorian is moving toward the north-northwest near 8 miles per hour with a northwest or north-northwest motion expected through this morning.  A turn toward the north is forecast by this evening, followed by a turn toward the north-northeast on Thursday morning.  On this track, the core of Hurricane Dorian will move dangerously close to the Florida east coast and the Georgia coast through tonight.  The center of Dorian, which is a category 2 hurricane, is forecast to move near or over the coast of South Carolina and North Carolina Thursday through Friday morning. Maximum sustained winds are near 105 miles per hour with higher gusts.  Some weakening is expected during the next couple of days, even though Dorian is expected to remain a powerful hurricane during that time.
Download this footage: https://images.nasa.gov/details-iss060m262471344_ISS_Hurricane_Dorian_Live_Views_Sept_4_2019_0904.html
For the latest updates on Hurricane Dorian from NASA, visit: https://blogs.nasa.gov/hurricanes/tag/dorian-2019/</t>
  </si>
  <si>
    <t>XtB_z74-qa4</t>
  </si>
  <si>
    <t>2019 09 03</t>
  </si>
  <si>
    <t>https://youtu.be/mFqWr-WHqmo</t>
  </si>
  <si>
    <t>Views of Hurricane Dorian from the International Space Station - September 3, 2019</t>
  </si>
  <si>
    <t>Cameras outside the International Space Station captured views at 10:37 a.m. EDT on Sept. 3 of Hurricane Dorian from 260 miles in altitude as it began to move from an almost stationary position over the northwestern Bahamas. Now a high category 2 hurricane, the storm is beginning to move northwestward at about 2 miles per hour with a slightly faster motion toward the northwest or north-northwest expected later today and tonight. A turn toward the north is forecast by Wednesday evening, followed by a turn toward the north-northeast Thursday morning. On this track, the core of extremely dangerous Hurricane Dorian will gradually move north of Grand Bahama Island this evening. The hurricane will then move dangerously close to the Florida east coast late today through Wednesday evening, very near the Georgia and South Carolina coasts Wednesday night and Thursday, and near or over the North Carolina coast late Thursday and Thursday night.
Data from reconnaissance aircraft indicate that the maximum sustained winds are near 110 miles per hour with higher gusts. Dorian is expected to remain a powerful hurricane during the next couple of days.
Download this video: https://images.nasa.gov/details-iss060m262461429_Expedition_60_ISS_Hurricane_Dorian_Live_Views_2019_0903.html
For the latest updates on Hurricane Dorian from NASA, visit: https://blogs.nasa.gov/hurricanes/tag/dorian-2019/</t>
  </si>
  <si>
    <t>mFqWr-WHqmo</t>
  </si>
  <si>
    <t>2019 09 02</t>
  </si>
  <si>
    <t>https://youtu.be/U7DnzGdsJFY</t>
  </si>
  <si>
    <t>Views of Hurricane Dorian from the International Space Station - September 2, 2019</t>
  </si>
  <si>
    <t>Cameras outside the International Space Station captured views at 11:27 a.m. EDT on Sept. 2 of Hurricane Dorian from 260 miles in altitude as it churned over northwestern Bahamas. In its 11:00 a.m. EDT advisory, the National Hurricane Center said Dorian was almost stationary, moving toward the west at just 1 mile an hour just over 100 miles east of West Palm Beach, Florida, packing catastrophic sustained winds of 155 miles an hour. A slow westward to west-northwestward motion is forecast during the next day or so, followed by a gradual turn toward the northwest and north.  On this track, the core of extremely dangerous Hurricane Dorian will continue to pound Grand Bahama Island through much of today and tonight.  The hurricane will move dangerously close to the east coast of Florida tonight through Wednesday evening and dangerously close to the Georgia and South Carolina coasts Wednesday night and Thursday. Currently, Dorian is a category 4 hurricane on the Saffir-Simpson Hurricane Wind Scale. Although gradual weakening is forecast, Dorian is expected to remain a powerful hurricane during the next couple of days while moving on a possible track up the southeastern U.S. seaboard.
Download this footage: https://images.nasa.gov/details-jsc2019m000806_Hurricane_Dorian_190902.html
For the latest updates on Hurricane Dorian from NASA, visit: https://blogs.nasa.gov/hurricanes/tag/dorian-2019/</t>
  </si>
  <si>
    <t>U7DnzGdsJFY</t>
  </si>
  <si>
    <t>2019 09 01</t>
  </si>
  <si>
    <t>https://youtu.be/_BTd40ed3sg</t>
  </si>
  <si>
    <t>Views of Hurricane Dorian from the International Space Station - September 1, 2019</t>
  </si>
  <si>
    <t>Cameras outside the International Space Station captured views September 1 of Hurricane Dorian from 260 miles in altitude at 12:16 p.m. Eastern time as it churned over the Atlantic Ocean over the northern Bahamas. The storm, which is moving in a westerly direction with sustained winds of 180 miles an hour, is a dangerous Category 5 hurricane, carrying the strongest winds in recorded history for the northwestern Bahamas. The National Hurricane Center said in its 11 a.m. EDT advisory that Dorian is inflicting catastrophic damage to the Abacos and Grand Bahama Islands. Dorian is forecast to approach the east coast of Florida before taking a possible track up the southeastern U.S. seaboard later this week.
Download this video: https://images.nasa.gov/details-jsc2019m000805_Hurricane_Dorian_190901.html
For the latest updates on Hurricane Dorian from NASA, visit: https://blogs.nasa.gov/hurricanes/tag/dorian-2019/</t>
  </si>
  <si>
    <t>_BTd40ed3sg</t>
  </si>
  <si>
    <t>2019 08 31</t>
  </si>
  <si>
    <t>https://youtu.be/W1e8uWkVja8</t>
  </si>
  <si>
    <t>Views of Hurricane Dorian from the International Space Station - August 31, 2019</t>
  </si>
  <si>
    <t>Cameras outside the International Space Station captured views August 31 of Hurricane Dorian at 11:28 a.m. Eastern time as it churned over the Atlantic Ocean. The storm, which is moving in a generally westerly direction with winds of 145 miles an hour, may approach Category 5 hurricane status, according to the National Hurricane Center, as it makes its way toward the east coast of Florida and a possible ride up the southeastern seaboard next week.
Download this footage: https://images.nasa.gov/details-jsc2019m000804_Hurricane_Dorian_190831.html
For the latest updates on Hurricane Dorian from NASA, visit: https://blogs.nasa.gov/hurricanes/tag/dorian-2019/</t>
  </si>
  <si>
    <t>W1e8uWkVja8</t>
  </si>
  <si>
    <t>https://youtu.be/K5VkjPlAz6s</t>
  </si>
  <si>
    <t>Views of Hurricane Dorian from the International Space Station - August 30, 2019</t>
  </si>
  <si>
    <t>Cameras outside the International Space Station captured views August 30 of rapidly intensifying Hurricane Dorian at 12:18 p.m. Eastern time as it churned over the Atlantic Ocean. The storm, which is moving to the northwest, is forecast by the National Hurricane Center to approach the east coast of Florida Monday evening as a likely category 4 hurricane.
To download this video, visit https://images.nasa.gov/details-jsc2019m000803_Hurricane_Dorian_190830.html 
For the latest updates on orbital views of Hurricane Dorian from NASA, visit: https://blogs.nasa.gov/hurricanes/tag/dorian-2019/</t>
  </si>
  <si>
    <t>K5VkjPlAz6s</t>
  </si>
  <si>
    <t>2019 08 30</t>
  </si>
  <si>
    <t>https://youtu.be/aOukt6g3os0</t>
  </si>
  <si>
    <t>Celebrating Contributions by Women to Space Exploration on This Week @NASA – August 30, 2019</t>
  </si>
  <si>
    <t>Celebrating contributions by women to space exploration, a spotlight on the leading role of women in our Artemis program, and views from the space station of Hurricane Dorian … a few of the stories to tell you about – This Week at NASA!
This video is available for download from NASA's Image and Video Library: https://images.nasa.gov/details-NHQ_2019_0830_Celebrating%20Contributions%20by%20Women%20to%20Space%20Exploration%20on%20This%20Week%20@NASA%20%E2%80%93%20August%2030,%202019.html</t>
  </si>
  <si>
    <t>aOukt6g3os0</t>
  </si>
  <si>
    <t>2019 08 29</t>
  </si>
  <si>
    <t>https://youtu.be/FP1NoO9uh18</t>
  </si>
  <si>
    <t>Views of Hurricane Dorian from the International Space Station - August 29, 2019</t>
  </si>
  <si>
    <t>A camera outside the International Space Station captured views August 29, 2019 of a strengthening Hurricane Dorian at 1:05 p.m. EDT as it churned over the Atlantic Ocean north of Puerto Rico. 
Download this footage: https://images.nasa.gov/details-iss060m262411659_2019_0829_ISS_Views_of_Hurricane_Dorian.html
For the latest updates on orbital views of Hurricane Dorian from NASA, visit: https://blogs.nasa.gov/hurricanes/tag/dorian-2019/</t>
  </si>
  <si>
    <t>FP1NoO9uh18</t>
  </si>
  <si>
    <t>2019 08 26</t>
  </si>
  <si>
    <t>https://youtu.be/sIIT68UnAUg</t>
  </si>
  <si>
    <t>NASA Honors Space Mathematician Katherine Johnson on her 101st Birthday</t>
  </si>
  <si>
    <t>Aug. 26, 2019 marks the 101st birthday of no longer hidden figure Katherine Johnson. With slide rules and pencils, Katherine, a legendary NASA mathematician – and the other human computers who worked at the agency – helped our nation’s space program get off the ground, but it was their confidence, bravery and commitment to excellence that broke down racial and social barriers that continue to inspire to this day. To learn more about Katherine and other trailblazing ‘human computers,’ visit: https://www.nasa.gov/modernfigures
Video Producer: Sonnet Apple
Music: Universal Production Music</t>
  </si>
  <si>
    <t>sIIT68UnAUg</t>
  </si>
  <si>
    <t>https://youtu.be/WEkl-M36yC4</t>
  </si>
  <si>
    <t>Space Pioneers Celebrated by NASA on Women's Equality Day</t>
  </si>
  <si>
    <t>NASA joins organizations across the world to celebrate Women’s Equality Day on August 26.
The date was selected to celebrate the Women’s Suffrage Movement’s greatest victory—women’s achievement of full voting rights following the ratification of the 19th Amendment to the U.S. Constitution in 1920. The Women’s Equality Day observance not only commemorates the passage of the 19th Amendment, but also represents women’s continuing efforts toward full equality. Learn about women at NASA by visiting: https://women.nasa.gov/
Video Producer: Sonnet Apple
Music: Universal Production Music</t>
  </si>
  <si>
    <t>WEkl-M36yC4</t>
  </si>
  <si>
    <t>2019 08 23</t>
  </si>
  <si>
    <t>https://youtu.be/5qnYNY6DvtM</t>
  </si>
  <si>
    <t>A Parking Spot for Future Commercial Flights to the Space Station on This Week @NASA–August 23, 2019</t>
  </si>
  <si>
    <t>A new parking spot for future flights to the International Space Station, the sixth meeting of the National Space Council, and work in Ohio on our Moon to Mars effort … a few of the stories to tell you about – This Week at NASA!
This video is available for download from NASA's Image and Video Library: https://images.nasa.gov/details-NHQ_2019_0823_A%20Parking%20Spot%20for%20Future%20Commercial%20Flights%20to%20the%20Space%20Station%20on%20This%20Week%20@NASA%20%E2%80%93%20August%2023,%202019.html</t>
  </si>
  <si>
    <t>5qnYNY6DvtM</t>
  </si>
  <si>
    <t>2019 08 16</t>
  </si>
  <si>
    <t>https://youtu.be/d1-6h4Wj6Aw</t>
  </si>
  <si>
    <t>Marshall to Lead Human Landing System Development on This Week @NASA – August 16, 2019</t>
  </si>
  <si>
    <t>An update on development of a human lunar landing system, the final four sites selected for our first asteroid sample return mission, and our Parker Solar Probe prepares for another close encounter … a few of the stories to tell you about – This Week at NASA!
This video is available for download from NASA's Image and Video Library: https://images.nasa.gov/details-NHQ_2019_0816_Marshall%20to%20Lead%20Human%20Landing%20System%20Development%20on%20This%20Week%20@NASA%20%E2%80%93%20August%2016,%202019.html</t>
  </si>
  <si>
    <t>d1-6h4Wj6Aw</t>
  </si>
  <si>
    <t>2019 08 09</t>
  </si>
  <si>
    <t>https://youtu.be/lnn_-1BYbiY</t>
  </si>
  <si>
    <t>Testing Orion’s “Powerhouse” on This Week @NASA - August 9, 2019</t>
  </si>
  <si>
    <t>A critical test of the “powerhouse” for our Orion spacecraft, Curiosity is still going strong after seven Earth years on Mars, and Hubble’s new portrait of Jupiter … a few of the stories to tell you about – This Week at NASA!
This video is available for download from NASA's Image and Video Library: https://images.nasa.gov/details-NHQ_2019_0809_Testing%20Orion%E2%80%99s%20%E2%80%9CPowerhouse%E2%80%9D%20on%20This%20Week%20@NASA%20-%20August%209,%202019.html</t>
  </si>
  <si>
    <t>lnn_-1BYbiY</t>
  </si>
  <si>
    <t>2019 08 06</t>
  </si>
  <si>
    <t>https://youtu.be/v2JsxXxf1MM</t>
  </si>
  <si>
    <t>Hot Fire! Orion Spacecraft Service Module Completes Critical Propulsion Test</t>
  </si>
  <si>
    <t>Volume up: On Aug. 5, 2019, we put our Orion spacecraft's propulsion system to the test! Watch the auxiliary and main engines fire up, simulating a challenging mission scenario: boosting Orion into a temporary orbit. This test helps ensure the safety of astronauts on #Artemis missions to the Moon. More: https://go.nasa.gov/2YoBboq</t>
  </si>
  <si>
    <t>v2JsxXxf1MM</t>
  </si>
  <si>
    <t>2019 08 02</t>
  </si>
  <si>
    <t>https://youtu.be/D5J-xTFyido</t>
  </si>
  <si>
    <t>A New Opportunity to Deliver Payloads to the Moon on This Week @NASA – August 2, 2019</t>
  </si>
  <si>
    <t>The latest opportunity for payload delivery services to the Moon, new partnerships to help advance the commercial space business, and a “hat trick” for one of our planet-hunting spacecraft … a few of the stories to tell you about – This Week at NASA!
This video is available for download from NASA's Image and Video Library: https://images.nasa.gov/details-NHQ_2019_0802_A%20New%20Opportunity%20to%20Deliver%20Payloads%20to%20the%20Moon%20on%20This%20Week%20@NASA%20%E2%80%93%20August%202,%202019.html</t>
  </si>
  <si>
    <t>D5J-xTFyido</t>
  </si>
  <si>
    <t>2019 07 30</t>
  </si>
  <si>
    <t>https://youtu.be/5qaKa8tSXmo</t>
  </si>
  <si>
    <t>NASA Explorers  Apollo Story Roundup</t>
  </si>
  <si>
    <t>Throughout the series, you heard memories of the first Moon landing from people all over the world. In this bonus episode, we share a few more stories: a trip to Rome, a girl with binoculars and a reel-to-reel tape recorder.
You can find the series, soundtrack, artwork, and more here: https://www.nasa.gov/nasa-explorers-apollo
Join the NASA Explorers community on Facebook: https://www.facebook.com/NASAExplorersSeries/
Credit: NASA’s Goddard Space Flight Center
Elizabeth Tammi (GSFC Interns): Producer 
Katie Atkinson (GSFC Interns): Narrator 
Katie Atkinson (GSFC Interns): Producer 
Haley Reed (ADNET): Producer 
Micheala Sosby (NASA/GSFC): Producer 
Aaron E. Lepsch (ADNET): Technical Support 
Music by Lee Rosevere and Daniel Wytanis
This video is public domain and along with other supporting visualizations can be downloaded from the Scientific Visualization Studio at: https://svs.gsfc.nasa.gov/13204</t>
  </si>
  <si>
    <t>5qaKa8tSXmo</t>
  </si>
  <si>
    <t>https://youtu.be/7y7jcqE_JVc</t>
  </si>
  <si>
    <t>NASA Explorers  Moon Detective</t>
  </si>
  <si>
    <t>What happened to the lost data from the Apollo era? Get to know the “data detectives” who are tracking it down. The science experiments the Apollo astronauts conducted from the surface of the Moon provide a long-term data record that’s crucial to understanding our Moon as a complete system. Today’s scientists are looking forward to future human exploration of the Moon and the discoveries to follow.
Ketan from Sugarland, Texas, tells us about his childhood in Mumbai, India, and how his father made sure his children got a firsthand look at the Moon landing.
You can find the series, soundtrack, artwork, and more here: https://www.nasa.gov/nasa-explorers-apollo
Join the NASA Explorers community on Facebook: https://www.facebook.com/NASAExplorersSeries/
Credit: NASA’s Goddard Space Flight Center
Katie Atkinson (GSFC Interns): Narrator 
Katie Atkinson (GSFC Interns): Producer 
Haley Reed (ADNET): Producer 
Micheala Sosby (NASA/GSFC): Producer 
Aaron E. Lepsch (ADNET): Technical Support 
Music by Lee Rosevere and Daniel Wytanis
This video is public domain and along with other supporting visualizations can be downloaded from the Scientific Visualization Studio at: https://svs.gsfc.nasa.gov/13204</t>
  </si>
  <si>
    <t>7y7jcqE_JVc</t>
  </si>
  <si>
    <t>https://youtu.be/XlunBKSpFrM</t>
  </si>
  <si>
    <t>NASA Explorers  Moon Girl</t>
  </si>
  <si>
    <t>Meet the scientists who are making big discoveries by studying some very tiny rocks. The women of NASA’s Mid-Atlantic Noble Gas Research Laboratory (MNGRL) are getting ready to analyze never-before-seen Moon samples. These samples, collected by Apollo astronauts and brought back to Earth, have been carefully preserved for half a century so they could be studied by future generations of scientists.
Sophie, a 13-year-old from Athens, Greece, shares how lunar exploration inspires her to become an astrophysicist.
You can find the series, soundtrack, artwork, and more here: https://www.nasa.gov/nasa-explorers-apollo
Join the NASA Explorers community on Facebook: https://www.facebook.com/NASAExplorersSeries/
Credit: NASA’s Goddard Space Flight Center
Katie Atkinson (GSFC Interns): Narrator 
Katie Atkinson (GSFC Interns): Producer 
Haley Reed (ADNET): Producer 
Micheala Sosby (NASA/GSFC): Producer 
Aaron E. Lepsch (ADNET): Technical Support 
Music by Lee Rosevere and Daniel Wytanis
This video is public domain and along with other supporting visualizations can be downloaded from the Scientific Visualization Studio at: https://svs.gsfc.nasa.gov/13204</t>
  </si>
  <si>
    <t>XlunBKSpFrM</t>
  </si>
  <si>
    <t>https://youtu.be/_tgxyuzaQkU</t>
  </si>
  <si>
    <t>NASA Explorers  The Family Moon Business</t>
  </si>
  <si>
    <t>Lunar exploration runs in the family for the Petros. NASA lunar scientist Noah Petro interviews his father, Denis, about his work as an Apollo program engineer. In a heartfelt conversation, Noah and his dad examine the human impact of the momentous Apollo 11 mission and their shared passion for science and learning.
Ginny from Danville, Kentucky, tells a story about celebrating the Moon landing with her childhood friends and a secret lemonade stand.
You can find the series, soundtrack, artwork, and more here: https://www.nasa.gov/nasa-explorers-apollo
Join the NASA Explorers community on Facebook: https://www.facebook.com/NASAExplorersSeries/
Credit: NASA’s Goddard Space Flight Center
Katie Atkinson (GSFC Interns): Narrator 
Katie Atkinson (GSFC Interns): Producer 
Haley Reed (ADNET): Producer 
Micheala Sosby (NASA/GSFC): Producer 
Aaron E. Lepsch (ADNET): Technical Support 
Music by Lee Rosevere and Daniel Wytanis
This video is public domain and along with other supporting visualizations can be downloaded from the Scientific Visualization Studio at: https://svs.gsfc.nasa.gov/13204</t>
  </si>
  <si>
    <t>_tgxyuzaQkU</t>
  </si>
  <si>
    <t>2019 07 29</t>
  </si>
  <si>
    <t>https://youtu.be/GmBlqb_FxLI</t>
  </si>
  <si>
    <t>Space Grown Crystals Offer Clarity on Parkinson’s Disease UHD</t>
  </si>
  <si>
    <t>Parkinson’s disease affects more than 5 million people on Earth. Research on the International Space Station could provide insight into this chronic neurodegenerative disease and help scientists find ways to treat and prevent it. In this video, NASA astronaut Serena Auñon-Chancellor narrates as European Space Agency (ESA) astronaut Alexander Gerst uses a microscope to examine and photograph the LRRK2 crystals.</t>
  </si>
  <si>
    <t>GmBlqb_FxLI</t>
  </si>
  <si>
    <t>2019 07 28</t>
  </si>
  <si>
    <t>https://youtu.be/d-ygJpehWLQ</t>
  </si>
  <si>
    <t>Tribute to Apollo 11 Astronaut Buzz Aldrin</t>
  </si>
  <si>
    <t>Buzz Aldrin was chosen as a member of the three-person Apollo 11 crew that landed on the Moon on July 20, 1969, fulfilling the mandate of President John F. Kennedy to send Americans to the Moon before the end of the decade. Aldrin was the second American to set foot on the lunar surface. 
For more information on the Apollo Program, visit https://www.nasa.gov/specials/apollo50th/</t>
  </si>
  <si>
    <t>d-ygJpehWLQ</t>
  </si>
  <si>
    <t>https://youtu.be/ko-bkCkOgak</t>
  </si>
  <si>
    <t>Tribute to Apollo 11 Astronaut Michael Collins</t>
  </si>
  <si>
    <t>Michael Collins was one of the third group of astronauts named by NASA in October 1963. He served as pilot on the 3-day Gemini 10 mission. His second flight was as command module pilot of the historic Apollo 11 mission in July 1969. He remained in lunar orbit while Neil Armstrong and Buzz Aldrin became the first men to walk on the Moon.
For more information on the Apollo Program, visit https://www.nasa.gov/specials/apollo50th/</t>
  </si>
  <si>
    <t>ko-bkCkOgak</t>
  </si>
  <si>
    <t>https://youtu.be/4goOVaxI9mU</t>
  </si>
  <si>
    <t>Tribute to Apollo 11 Astronaut Neil Armstrong</t>
  </si>
  <si>
    <t>As spacecraft commander for Apollo 11, the first manned lunar landing mission, Neil Armstrong gained the distinction of being the first man to land a craft on the Moon and first to step on its surface.
For more information on the Apollo Program, visit https://www.nasa.gov/specials/apollo50th/</t>
  </si>
  <si>
    <t>4goOVaxI9mU</t>
  </si>
  <si>
    <t>https://youtu.be/qifHM32AHvw</t>
  </si>
  <si>
    <t>Apollo 11  Celebrating NASA's Historic Moon Landing</t>
  </si>
  <si>
    <t>The primary objective of Apollo 11 was to complete a national goal set by President John F. Kennedy on May 25, 1961: perform a crewed lunar landing and return to Earth. The success of the mission was celebrated globally and united all humankind. This video shows the parades that celebrated the successful return of Neil Armstrong, Michael Collins and Buzz Aldrin.
For more information on the Apollo Program, visit https://www.nasa.gov/specials/apollo50th/</t>
  </si>
  <si>
    <t>qifHM32AHvw</t>
  </si>
  <si>
    <t>https://youtu.be/22PBC-YgWYM</t>
  </si>
  <si>
    <t>Apollo 11  Neil Armstrong’s Reflections on NASA's Mission to Land on the Moon</t>
  </si>
  <si>
    <t>Neil A. Armstrong, commander of the Apollo 11 mission to land on the Moon, reflects on the successful mission and his experience in  lunar exploration.
For more information on the Apollo Program, visit https://www.nasa.gov/specials/apollo50th/</t>
  </si>
  <si>
    <t>22PBC-YgWYM</t>
  </si>
  <si>
    <t>2019 07 27</t>
  </si>
  <si>
    <t>https://youtu.be/w4wx_3XOrns</t>
  </si>
  <si>
    <t>Apollo 11  One Small Step on the Moon for All Mankind</t>
  </si>
  <si>
    <t>Neil Armstrong and Buzz Aldrin spent more than two hours outside their spacecraft on the Moon. They studied the surface. They collected rocks. After almost a day, they blasted off. They docked with Michael Collins in orbit around the Moon. 
For more information on their voyage to the Moon and one small step on the lunar surface for all of mankind, visit https://www.nasa.gov/specials/apollo50th/</t>
  </si>
  <si>
    <t>w4wx_3XOrns</t>
  </si>
  <si>
    <t>https://youtu.be/nOcDftgR5UQ</t>
  </si>
  <si>
    <t>Apollo 11  Landing on the Moon</t>
  </si>
  <si>
    <t>On July 20, 1969, humans walked on another world for the first time in history, achieving the goal that President John F. Kennedy had set in 1961, before Americans had even orbited the Earth. After a landing that included dodging a lunar crater and boulder field just before touchdown, Apollo 11 astronauts Neil Armstrong and Buzz Aldrin explored the area around their lunar landing site for more than two hours.
When the lunar module landed at 4:17 p.m EDT, only 30 seconds of fuel remained. Armstrong radioed "Houston, Tranquility Base here. The Eagle has landed." Mission control erupted in celebration as the tension breaks, and a controller tells the crew "You got a bunch of guys about to turn blue, we're breathing again."
For more information on the Apollo Program, visit https://www.nasa.gov/specials/apollo50th/
Video Credit:
Producer/Editor: Amy Leniart</t>
  </si>
  <si>
    <t>nOcDftgR5UQ</t>
  </si>
  <si>
    <t>2019 07 26</t>
  </si>
  <si>
    <t>https://youtu.be/rWFSj2d3vl0</t>
  </si>
  <si>
    <t>Seeking Landers to Return Humans to the Moon on This Week @NASA – July 26, 2019</t>
  </si>
  <si>
    <t>Seeking ideas for landing systems to return humans to the Moon, showcasing our aeronautics research efforts, and the science connection to Apollo 11’s splashdown … a few of the stories to tell you about – This Week at NASA!
This video is available for download from NASA's Image and Video Library: https://images.nasa.gov/details-NHQ_2019_0726_Seeking%20Landers%20to%20Return%20Humans%20to%20the%20Moon%20on%20This%20Week%20@NASA%20%E2%80%93%20July%2026,%202019.html</t>
  </si>
  <si>
    <t>rWFSj2d3vl0</t>
  </si>
  <si>
    <t>2019 07 24</t>
  </si>
  <si>
    <t>https://youtu.be/EvFqN-6YAl8</t>
  </si>
  <si>
    <t xml:space="preserve">What Launches to Space on SpaceX’s Next Cargo Mission </t>
  </si>
  <si>
    <t>SpaceX’s Dragon spacecraft will deliver supplies and critical materials to directly support dozens of the more than 250 science and research investigations that will occur aboard the International Space Station for current and future crews. Learn more about CRS-18: https://go.nasa.gov/2L9ioX7</t>
  </si>
  <si>
    <t>EvFqN-6YAl8</t>
  </si>
  <si>
    <t>2019 07 23</t>
  </si>
  <si>
    <t>https://youtu.be/L3zOeNKXAI8</t>
  </si>
  <si>
    <t>NASA Remembers Legendary Flight Director Chris Kraft</t>
  </si>
  <si>
    <t>Christopher C. Kraft, Jr., who died July 22, 2019, created the concept of NASA's Mission Control and developed its organization, operational procedures and culture, then made it a critical element of the success of the nation's human spaceflight programs.
“America has truly lost a national treasure today with the passing of one of NASA’s earliest pioneers – flight director Chris Kraft," NASA Administrator Jim Bridenstine said in a statement. "We send our deepest condolences to the Kraft family."
This video is available for download from NASA's Image and Video Library: https://images.nasa.gov/details-NHQ_2019_0722_NASA%20Remembers%20Legendary%20Flight%20Director%20Chris%20Kraft.html</t>
  </si>
  <si>
    <t>L3zOeNKXAI8</t>
  </si>
  <si>
    <t>2019 07 22</t>
  </si>
  <si>
    <t>https://youtu.be/jJoJh-Bird0</t>
  </si>
  <si>
    <t>Vice President Pence Commemorates Apollo 11 With Administrator Bridenstine</t>
  </si>
  <si>
    <t>Vice President Mike Pence visited NASA’s Kennedy Space Center in Florida on July 20 to commemorate the 50th anniversary of the agency’s Apollo 11 Moon landing. He joined Administrator Jim Bridenstine and other dignitaries to announce  the completion of NASA’s Orion crew capsule for the first Artemis lunar mission.</t>
  </si>
  <si>
    <t>jJoJh-Bird0</t>
  </si>
  <si>
    <t>https://youtu.be/Mo7aAHW5TKw</t>
  </si>
  <si>
    <t>Celebrating the 50th anniversary of Apollo 11 on This Week @NASA – July 22, 2019</t>
  </si>
  <si>
    <t>Celebrating the 50th anniversary of Apollo 11, moving toward the first flight of our Artemis Program, and a new crew to the space station on an historic date for humans in space … a few of the stories to tell you about – This Week at NASA!
This video is available for download from NASA's Image and Video Library: https://images.nasa.gov/details-NHQ_2019_0722_Celebrating%20the%2050th%20anniversary%20of%20Apollo%2011%20on%20This%20Week%20@NASA%20%E2%80%93%20July%2022,%202019.html</t>
  </si>
  <si>
    <t>Mo7aAHW5TKw</t>
  </si>
  <si>
    <t>2019 07 17</t>
  </si>
  <si>
    <t>https://youtu.be/qsyTc4Su5vQ</t>
  </si>
  <si>
    <t>Fifty Years of Apollo Technologies in Your Life</t>
  </si>
  <si>
    <t>In 1969 when NASA astronauts took one small step on the lunar surface, the feat resulted in a giant leap forward in innovations for humanity. The many challenges NASA overcame on the way to the Moon led the agency and its partners to devise new inventions and techniques that spread into public life, and we are still reaping the benefits of those technology developments today. As with the many spinoffs from the Apollo era, the technologies we’re building for today’s missions to the Moon and on to Mars will transform our lives for generations to come. 
Learn more about NASA technology transfer: https://spinoff.nasa.gov</t>
  </si>
  <si>
    <t>qsyTc4Su5vQ</t>
  </si>
  <si>
    <t>2019 07 16</t>
  </si>
  <si>
    <t>https://youtu.be/v8aWXJeh9R4</t>
  </si>
  <si>
    <t>Mission Control at NASA Johnson Space Center  History and Restoration</t>
  </si>
  <si>
    <t>"This is Mission Control, Houston." From this legendary room, America conducted some of its most amazing space missions. This video montage captures the significance of the Historic Mission Control Center at the NASA Johnson Space Center, which has undergone a massive restoration to bring the room back to life as it appeared during the Apollo era. Historians and technicians have made every effort to ensure historical accuracy and to preserve this room for future generations. As NASA looks to send humans deeper into space than ever before with the Artemis Program, Historic Mission Control will serve as a reminder that anything is possible.
News release: https://go.nasa.gov/30eykLm
Download this video: https://images.nasa.gov/details-jsc2019m000564_HistoricMissionControl_FB_MP4.html</t>
  </si>
  <si>
    <t>v8aWXJeh9R4</t>
  </si>
  <si>
    <t>2019 07 15</t>
  </si>
  <si>
    <t>https://youtu.be/CIQMsI87jmA</t>
  </si>
  <si>
    <t>NASA Astronauts Celebrate the 50th Anniversary of the Moon Landing On Board the Space Station</t>
  </si>
  <si>
    <t>NASA Astronauts Christina Koch and Nick Hague join the world in celebrating the 50th anniversary of the Apollo 11 Moon landing — only, they do it from around 250 miles (~400 km) above the Earth's surface on board the International Space Station. 
The accomplishments of the Apollo program did not only take humans farther than ever before, but they have prepared us to take humans even farther. Learn more about our plans to bring humans to the Moon, Mars and beyond with our Artemis program: https://www.nasa.gov/specials/moon2mars/</t>
  </si>
  <si>
    <t>CIQMsI87jmA</t>
  </si>
  <si>
    <t>2019 07 12</t>
  </si>
  <si>
    <t>https://youtu.be/1S5jaApOYl0</t>
  </si>
  <si>
    <t>A Virtual Glimpse into our Artemis 1 Mission on This Week @NASA – July 12, 2019</t>
  </si>
  <si>
    <t>A virtual glimpse into our Artemis 1 mission, a key piece of hardware arrives for our Orion spacecraft, and a testing milestone for our Space Launch System rocket.
This video is available for download from NASA's Image and Video Library: https://images.nasa.gov/details-NHQ_2019_0712_A%20Virtual%20Glimpse%20into%20our%20Artemis%201%20Mission%20on%20This%20Week%20@NASA%20%E2%80%93%20July%2012,%202019.html</t>
  </si>
  <si>
    <t>1S5jaApOYl0</t>
  </si>
  <si>
    <t>2019 07 11</t>
  </si>
  <si>
    <t>https://youtu.be/3FIXaxXaX4I</t>
  </si>
  <si>
    <t>July 19  Live Apollo Anniversary Show</t>
  </si>
  <si>
    <t>This July, we salute our Apollo heroes and look forward to new frontiers. Watch live and join us online, Friday, July 19 at 1 p.m. EDT for "NASA's Giant Leaps: Past and Future" featuring Apollo astronauts, current astronauts, guest host Adam Savage and more.</t>
  </si>
  <si>
    <t>3FIXaxXaX4I</t>
  </si>
  <si>
    <t>2019 07 05</t>
  </si>
  <si>
    <t>https://youtu.be/BVLj_Hzs_9k</t>
  </si>
  <si>
    <t>A Successful Milestone Test for Our Artemis Program on This Week @NASA – July 5, 2019</t>
  </si>
  <si>
    <t>A milestone test for our Artemis Program, an update on our Commercial Lunar Payload Services project, and more honors for a NASA icon … a few of the stories to tell you about – This Week at NASA!
This video is available for download from NASA's Image and Video Library: https://images.nasa.gov/details-NHQ_2019_0705_A%20Successful%20Milestone%20Test%20for%20Our%20Artemis%20Program%20on%20This%20Week%20@NASA%20%E2%80%93%20July%205,%202019.html</t>
  </si>
  <si>
    <t>BVLj_Hzs_9k</t>
  </si>
  <si>
    <t>2019 07 04</t>
  </si>
  <si>
    <t>https://youtu.be/jX_1equIOpU</t>
  </si>
  <si>
    <t>Happy 4th of July from the Space Station Crew</t>
  </si>
  <si>
    <t>Aboard the International Space Station, Expedition 60 Flight Engineers Nick Hague and Christina Koch of NASA honored America's 243rd birthday by wishing Americans at home and around the world a happy 4th of July.
Learn more about the research on board our orbiting laboratory: https://www.nasa.gov/mission_pages/station/main/index.html</t>
  </si>
  <si>
    <t>jX_1equIOpU</t>
  </si>
  <si>
    <t>2019 07 02</t>
  </si>
  <si>
    <t>https://youtu.be/rJgqhznBntE</t>
  </si>
  <si>
    <t>Launch of Orion Spacecraft Ascent Abort-2 Test</t>
  </si>
  <si>
    <t>Watch a fully functional launch abort system (LAS) and test Orion spacecraft launch to an altitude of 31,000 feet at Mach 1.15 (more than 1,000 mph)! On July 2, 2019, NASA successfully demonstrated the Orion spacecraft’s launch abort system can outrun a speeding rocket and pull astronauts to safety during an emergency during launch. News release:  https://go.nasa.gov/2Xg7mkJ  Orion was launched atop a Northrop Grumman provided booster from Launch Pad 46 at Cape Canaveral Air Force Station in Florida. The test is another milestone in the agency’s preparation for Artemis missions to the Moon that will lead to astronaut missions to Mars.</t>
  </si>
  <si>
    <t>rJgqhznBntE</t>
  </si>
  <si>
    <t>2019 06 28</t>
  </si>
  <si>
    <t>https://youtu.be/4T_GLYKQb_M</t>
  </si>
  <si>
    <t>Announcing a New Mission to Saturn’s Largest Moon on This Week @NASA – June 28, 2019</t>
  </si>
  <si>
    <t>The latest about our new mission to Saturn’s largest Moon, Launching new missions and landing astronauts … on the same night! And …restoring the glory to the Apollo Mission Control Room … a few of the stories to tell you about – This Week at NASA!
This video is available for download from NASA's Image and Video Library: https://images.nasa.gov/details-NHQ_2019_0628_Announcing%20a%20New%20Mission%20to%20Saturn%E2%80%99s%20Largest%20Moon%20on%20This%20Week%20@NASA%20%E2%80%93%20June%2028,%202019.html</t>
  </si>
  <si>
    <t>4T_GLYKQb_M</t>
  </si>
  <si>
    <t>https://youtu.be/xn3-0a19sC8</t>
  </si>
  <si>
    <t>Dragonfly  NASA's New Mission to Explore Saturn's Moon Titan</t>
  </si>
  <si>
    <t>Introducing Dragonfly: our next New Frontiers Mission! Making multiple flights, the Dragonfly dual-quadcopter will explore a variety of locations on Saturn's moon Titan. Titan is an analog to the very early Earth, and can provide clues to how life may have arisen on our planet.
In under an hour, Dragonfly will cover tens of miles or kilometers, farther than any planetary rover has traveled. With one hop per full Titan day (16 Earth days), the rotorcraft will travel from its initial landing site to cover areas several hundred kilometers away during the planned two-year mission. Despite its unique ability to fly, Dragonfly would spend most of its time on Titan's surface making science measurements.
For more information, check out: http://dragonfly.jhuapl.edu/</t>
  </si>
  <si>
    <t>xn3-0a19sC8</t>
  </si>
  <si>
    <t>2019 06 21</t>
  </si>
  <si>
    <t>https://youtu.be/NeHQcS1kRVQ</t>
  </si>
  <si>
    <t>Building the International Effort for the Moon and Mars This Week @NASA – June 21, 2019</t>
  </si>
  <si>
    <t>Building the international effort to go forward to the Moon, selecting new missions, and dropping a plane for safety  … a few of the stories to tell you about – This Week at NASA!
This video is available for download from NASA's Image and Video Library: https://images.nasa.gov/details-NHQ_2019_0621_Building%20International%20Effort%20for%20the%20Moon%20and%20Mars%20This%20Week%20@NASA%20%E2%80%93%20June%2021,%202019.html</t>
  </si>
  <si>
    <t>NeHQcS1kRVQ</t>
  </si>
  <si>
    <t>2019 06 19</t>
  </si>
  <si>
    <t>https://youtu.be/2d6_BwRrL1E</t>
  </si>
  <si>
    <t>NASA Explorers  Giant Leaps</t>
  </si>
  <si>
    <t>What does a half-century of lunar science sound like? Join Moon data expert Ernie Wright on a musical time-traveling journey through the Apollo program and the exploration era of today. We explore what we knew about the Moon before Apollo, what we discovered because of it and the mysteries today’s scientists are working to solve.
Elena, from Nantes, France, shares her memory of watching the Apollo 11 landing from a friend’s house in Seattle.
You can find the series, soundtrack, artwork, and more here: https://www.nasa.gov/nasa-explorers-apollo
Join the NASA Explorers community on Facebook: https://www.facebook.com/NASAExplorersSeries/
Credit: NASA’s Goddard Space Flight Center
Katie Atkinson (GSFC Interns): Narrator 
Katie Atkinson (GSFC Interns): Producer 
Haley Reed (ADNET): Producer 
Micheala Sosby (NASA/GSFC): Producer 
Aaron E. Lepsch (ADNET): Technical Support 
Data sonification by SYSTEM Sounds/Matt Russo and Andrew Santaguida
Music by Lee Rosevere and Daniel Wyantis
This video is public domain and along with other supporting visualizations can be downloaded from the Scientific Visualization Studio at: https://svs.gsfc.nasa.gov/13204</t>
  </si>
  <si>
    <t>2d6_BwRrL1E</t>
  </si>
  <si>
    <t>https://youtu.be/sJm-5srzBQg</t>
  </si>
  <si>
    <t>Introducing NASA Explorers  Apollo, an Audio Series</t>
  </si>
  <si>
    <t>NASA Explorers: Apollo is an audio series that tells stories of the Moon and the people who explore it. During the Apollo program, the Moon became a part of the human domain. Twelve astronauts walked on the lunar surface, conducted research there and collected Moon rocks to bring back to Earth for study. Fifty years after humanity’s first steps on the Moon, today’s lunar scientists are searching for answers to the big questions: How did the Moon form? How did our solar system evolve? Did the Moon help life on Earth get its start? 
Meet a Moon detective, scientists who study space rocks and people from all over the world whose lives were shaped by the epic adventures of the Apollo program. You can listen to NASA Explorers: Apollo on Apple Podcasts, SoundCloud, Google Play and Facebook Watch. 
You can find the series, soundtrack, artwork, and more here: https://www.nasa.gov/nasa-explorers-apollo
Join the NASA Explorers community on Facebook: https://www.facebook.com/NASAExplorersSeries/
Credit: NASA’s Goddard Space Flight Center
Kaliah Hobbs (GSFC Interns): Lead Producer 
Haley Reed (ADNET): Lead Producer 
Katie Atkinson (GSFC Interns): Narrator 
Katie Atkinson (GSFC Interns): Producer 
Micheala Sosby (NASA/GSFC): Producer 
Aaron E. Lepsch (ADNET): Technical Support 
Music credits: "Tycho's Daydream" by Daniel Wyantis 
This video is public domain and along with other supporting visualizations can be downloaded from the Scientific Visualization Studio at: https://svs.gsfc.nasa.gov/13204</t>
  </si>
  <si>
    <t>sJm-5srzBQg</t>
  </si>
  <si>
    <t>2019 06 14</t>
  </si>
  <si>
    <t>https://youtu.be/P3utzfQHbQQ</t>
  </si>
  <si>
    <t>Administrator Bridenstine Discusses Our Artemis Program on This Week @NASA – June 14, 2019</t>
  </si>
  <si>
    <t>The latest about our Artemis program, an astronaut shares her story with students, and another record-breaking maneuver by one or our spacecraft … a few of the stories to tell you about – This Week at NASA!
This video is available for download from NASA's Image and Video Library: https://images.nasa.gov/details-NHQ_2019_0614_Administrator%20Bridenstine%20Discusses%20Our%20Artemis%20Program%20on%20This%20Week%20@NASA%20%E2%80%93%20June%2014,%202019.html</t>
  </si>
  <si>
    <t>P3utzfQHbQQ</t>
  </si>
  <si>
    <t>2019 06 12</t>
  </si>
  <si>
    <t>https://youtu.be/y6NGgs8S4qs</t>
  </si>
  <si>
    <t>A Sign of Progress  Honoring NASA’s Hidden Figures</t>
  </si>
  <si>
    <t>Thanks to new signage, visitors to NASA Headquarters in Washington, D.C. will be reminded of the contributions of the "hidden figures" essential to the success of early spaceflight. The renaming honors Katherine Johnson, Dorothy Vaughan, and Mary Jackson, who were featured in Margot Lee Shetterly’s book – and the movie – Hidden Figures, as well as all women who honorably serve their country, advancing equality, and contributing to the United States space program. News release: https://go.nasa.gov/HiddenFiguresWay
On June 12, Administrator Jim Bridenstine joined U.S. Senator Ted Cruz of Texas, D.C. Council Chairman Phil Mendelson and author Margot Lee Shetterly for the renaming of the street in front of NASA Headquarters in Washington – E Street SW – to “Hidden Figures Way.”
Learn about NASA’s hidden and modern figures: https://www.nasa.gov/modernfigures</t>
  </si>
  <si>
    <t>y6NGgs8S4qs</t>
  </si>
  <si>
    <t>2019 06 07</t>
  </si>
  <si>
    <t>https://youtu.be/y7Z6R7DZFUs</t>
  </si>
  <si>
    <t>Opening the International Space Station for Commercial Business on This Week @NASA – June 7, 2019</t>
  </si>
  <si>
    <t>The International Space Station is open for commercial business, another space station resupply mission successfully completed, and making a virtual landing on the Moon … a few of the stories to tell you about – This Week at NASA!
This video is available for download from NASA's Image and Video Library: https://images.nasa.gov/details-NHQ_2019_0607_Opening%20the%20International%20Space%20Station%20for%20Commercial%20Business%20on%20This%20Week%20@NASA%20%E2%80%93%20June%207,%202019.html</t>
  </si>
  <si>
    <t>y7Z6R7DZFUs</t>
  </si>
  <si>
    <t>2019 06 06</t>
  </si>
  <si>
    <t>https://youtu.be/2WHXOi2orxA</t>
  </si>
  <si>
    <t>How NASA Earth Satellites Track Hurricanes</t>
  </si>
  <si>
    <t>NASA has a unique and important view of hurricanes around the planet. Satellites and aircraft watch as storms form, travel across the ocean and sometimes, make landfall. After the hurricanes have passed, the satellites and aircraft see the aftermath of hurricanes, from downed forests to mass power loss. Complete transcript available. 
Music credit: "Northern Breeze" by Denis Levaillant [SACEM], "Stunning Horizon" by Maxime Lebidois [SACEM], Ronan Maillard [SACEM], "Magnetic Force" by JC Lemay [SACEM] from Killer Tracks
This video is public domain and along with other supporting visualizations can be downloaded from the Scientific Visualization Studio at: http://svs.gsfc.nasa.gov/13216 
Credit: NASA's Goddard Space Flight Center/Joy Ng</t>
  </si>
  <si>
    <t>2WHXOi2orxA</t>
  </si>
  <si>
    <t>2019 06 05</t>
  </si>
  <si>
    <t>https://youtu.be/uu-_K_S4IOA</t>
  </si>
  <si>
    <t>NASA Explorers  Cryo Kids</t>
  </si>
  <si>
    <t>#NASAExplorers come in all ages! In this week’s bonus episode, we headed back to Alaska to check in with some of our tiniest Explorers. They’re following in the scientists’ footsteps, working with NASA’s GLOBE program to measure when and where snow and ice are freezing. Plus, stick around for a thank you message from our scientists to the young Explorers collecting their data.
Learn more about GLOBE and the work of student scientists around the planet: https://www.globe.gov/</t>
  </si>
  <si>
    <t>uu-_K_S4IOA</t>
  </si>
  <si>
    <t>2019 06 03</t>
  </si>
  <si>
    <t>https://youtu.be/oOxFoeXiiSA</t>
  </si>
  <si>
    <t>Sunset Timelapse from the International Space Station</t>
  </si>
  <si>
    <t>Enjoy this sped-up Earth view, captured by the Expedition 59 astronauts currently onboard the International Space Station. The station orbits the Earth every 90 minutes — meaning this sunset you see is actually one of 16 the station residents see each day!</t>
  </si>
  <si>
    <t>oOxFoeXiiSA</t>
  </si>
  <si>
    <t>2019 05 31</t>
  </si>
  <si>
    <t>https://youtu.be/gEjVPyALZno</t>
  </si>
  <si>
    <t>The First Commercial Moon Landing Service Providers on This Week @NASA – May 31, 2019</t>
  </si>
  <si>
    <t>The first commercial robotic lunar landers to support our Artemis program, discussing our exploration goals, and a breakdown of the Apollo Moon landings … a few of the stories to tell you about – This Week at NASA!
This video is available for download from NASA's Image and Video Library: https://images.nasa.gov/details-NHQ_2019_0531_The%20First%20Commercial%20Moon%20Landing%20Service%20Providers%20on%20This%20Week%20@NASA%20%E2%80%93%20May%2031,%202019.html</t>
  </si>
  <si>
    <t>gEjVPyALZno</t>
  </si>
  <si>
    <t>https://youtu.be/qODDdqK9rL4</t>
  </si>
  <si>
    <t>Our Next Lunar Landings</t>
  </si>
  <si>
    <t>Introducing the first American companies who will deliver the science, technology and research that will set the stage for humanity’s return to the Moon by 2024. News release: https://go.nasa.gov/2Xd4zJL</t>
  </si>
  <si>
    <t>qODDdqK9rL4</t>
  </si>
  <si>
    <t>2019 05 30</t>
  </si>
  <si>
    <t>https://youtu.be/75BvlfSbkEA</t>
  </si>
  <si>
    <t>Time-lapse Earth Flyover from NASA Astronaut in Space</t>
  </si>
  <si>
    <t>This time-lapse video taken by NASA astronaut Nick Hague squeezes a 30-minute International Space Station trip over a cloudy Earth into 60 seconds, covering the Pacific to the Atlantic.
Learn more about the orbiting laboratory: https://www.nasa.gov/mission_pages/station/main/index.html</t>
  </si>
  <si>
    <t>75BvlfSbkEA</t>
  </si>
  <si>
    <t>2019 05 28</t>
  </si>
  <si>
    <t>https://youtu.be/G9KQfnqukno</t>
  </si>
  <si>
    <t>We Go Together</t>
  </si>
  <si>
    <t>We are building a coalition of nations that can help us get to the Moon quickly and sustainably. Together.
We have a bold vision to go back to the Moon by 2024. As we work towards this goal, we welcome a growing list of international and commercial partners.
It is the partnerships over the last 60 years that have ensured the steady progress. With Mars on the horizon, together we can explore more of our solar system and share in the advances and the knowledge that will come. 
We go, together.
More about NASA's Moon to Mars plans: https://www.nasa.gov/specials/moon2mars/   
This video is available for download from NASA's Image and Video Library: 
https://images.nasa.gov/details-NHQ_2019_0528_We%20Go%20Together.html</t>
  </si>
  <si>
    <t>G9KQfnqukno</t>
  </si>
  <si>
    <t>https://youtu.be/2kxqsA23lts</t>
  </si>
  <si>
    <t>Powering Our Return to the Moon</t>
  </si>
  <si>
    <t>NASA announces the first partnership of its kind with MAXAR Technologies to power the future lunar orbiting station.
For more information, visit: http://www.nasa.gov/moontomars
News release: https://go.nasa.gov/2M6HyqU
Credit: NASA
Music: “One Big Step” through Premiumbeat.com
This video is available for download from NASA's Image and Video Library: https://images.nasa.gov/details-NHQ_2019_0524_Powering%20Our%20Return%20to%20the%20Moon.html</t>
  </si>
  <si>
    <t>2kxqsA23lts</t>
  </si>
  <si>
    <t>2019 05 24</t>
  </si>
  <si>
    <t>https://youtu.be/QbtjlE2Sy8U</t>
  </si>
  <si>
    <t>A New Partnership to Power The Lunar Gateway on This Week @NASA – May 24, 2019</t>
  </si>
  <si>
    <t>A key milestone for our lunar Gateway, “rolling out” for a critical Orion safety test, and a chance to send your name to Mars … a few of the stories to tell you about – This Week at NASA!
This video is available for download from NASA's Image and Video Library: https://images.nasa.gov/details-NHQ_2019_0524_A%20New%20Partnership%20to%20Power%20The%20Lunar%20Gateway%20on%20This%20Week%20@NASA%20%E2%80%93%20May%2024,%202019.html</t>
  </si>
  <si>
    <t>QbtjlE2Sy8U</t>
  </si>
  <si>
    <t>https://youtu.be/CyhtXtRVXEo</t>
  </si>
  <si>
    <t>NASA's Gravity Assist Podcast Goes to the Moon</t>
  </si>
  <si>
    <t>NASA's Chief Scientist, Jim Green, talks with some of the world's top lunar experts. 
Listen: https://www.nasa.gov/gravity-assist   Subscribe: https://go.nasa.gov/30Hfpd1
What’s so special about our Moon? This season of Gravity Assist dives into the Moon’s history and mysteries, as well as NASA’s plans to send astronauts there by 2024. New episodes on Thursdays.</t>
  </si>
  <si>
    <t>CyhtXtRVXEo</t>
  </si>
  <si>
    <t>2019 05 18</t>
  </si>
  <si>
    <t>https://youtu.be/8pS_S3Pxoto</t>
  </si>
  <si>
    <t>Spot the International Space Station</t>
  </si>
  <si>
    <t>Did you know there are six humans living in space, and you can see their home from your home?  NASA astronaut Nick Hague shares how you can use https://spotthestation.nasa.gov/ to find out when the International Space Station will be visible from your town!</t>
  </si>
  <si>
    <t>8pS_S3Pxoto</t>
  </si>
  <si>
    <t>2019 05 17</t>
  </si>
  <si>
    <t>https://youtu.be/KfjvYuEI-0U</t>
  </si>
  <si>
    <t>Amending the Budget to Support Humans on the Moon in 2024 on This Week @NASA – May 17, 2019</t>
  </si>
  <si>
    <t>Amending the budget to support humans on the Moon in 2024, what may be causing possible Moonquakes, and a virtual flight over an area of scientific interest on Mars … a few of the stories to tell you about – This Week at NASA!
This video is available for download from NASA's Image and Video Library: https://images.nasa.gov/details-NHQ_2019_0517_Amending%20the%20Budget%20to%20Support%20Humans%20on%20the%20Moon%20in%202024%20on%20This%20Week%20@NASA%20%E2%80%93%20May%2017,%202019.html</t>
  </si>
  <si>
    <t>KfjvYuEI-0U</t>
  </si>
  <si>
    <t>https://youtu.be/Rq8cyvmJMNQ</t>
  </si>
  <si>
    <t>Apollo 10  ‘Tell the world, we have arrived’</t>
  </si>
  <si>
    <t>Fifty years ago, Apollo 10 launched from Cape Kennedy on May 18, 1969. The Apollo 10 mission encompassed all aspects of an actual crewed lunar landing, except the landing. It was the first flight of a complete, crewed Apollo spacecraft to operate around the Moon. The crew members were Commander Thomas Stafford, Command Module Pilot John Young and Lunar Module Pilot Eugene Cernan. Objectives included a scheduled eight-hour lunar orbit of the separated lunar module, or LM, and descent to about nine miles off the moon's surface before ascending for rendezvous and docking with the command and service module, or CSM, in about a 70-mile circular lunar orbit. Pertinent data to be gathered in this landing rehearsal dealt with the lunar potential, or gravitational effect, to refine the Earth-based crewed spaceflight network tracking techniques, and to check out LM programmed trajectories and radar, and lunar flight control systems. Twelve television transmissions to Earth were planned. All mission objectives were achieved.
Video Credit:
Producer/Editor: Amy Leniart</t>
  </si>
  <si>
    <t>Rq8cyvmJMNQ</t>
  </si>
  <si>
    <t>2019 05 14</t>
  </si>
  <si>
    <t>https://youtu.be/vl6jn-DdafM</t>
  </si>
  <si>
    <t>We Are Going</t>
  </si>
  <si>
    <t>We are going to the Moon, to stay, by 2024. And this is how.   
Special thanks to William Shatner for lending his voice to this project. 
About NASA's Moon to Mars plans: https://www.nasa.gov/specials/moon2mars/
Credit: NASA
This video is available for download from NASA's Image and Video Library: https://images.nasa.gov/details-NHQ_2019_0514_WeAreGoing.html</t>
  </si>
  <si>
    <t>vl6jn-DdafM</t>
  </si>
  <si>
    <t>2019 05 13</t>
  </si>
  <si>
    <t>https://youtu.be/5Vgzz2_2-84</t>
  </si>
  <si>
    <t>Administrator Bridenstine on Budget Amendment Supporting Humans on Moon in 2024</t>
  </si>
  <si>
    <t>As you know, the President has given our agency the bold charge to land the first woman and the next man on the lunar South Pole by 2024. And now, President Trump has extended his vote of confidence in our work with an amended budget request for fiscal year 2020 that includes 1.6 billion dollars in additional funding. 
This investment is a down payment on NASA’s efforts and is required to achieve our bold objective. It’s the boost NASA needs, allowing us to move forward with design, development and exploration.
This video is available for download from NASA's Image and Video Library: https://images.nasa.gov/details-NHQ_2019_0513_Administrator%20Bridenstine%20on%20Budget%20Amendment%20Supporting%20Humans%20on%20Moon%20in%202024.html</t>
  </si>
  <si>
    <t>5Vgzz2_2-84</t>
  </si>
  <si>
    <t>2019 05 10</t>
  </si>
  <si>
    <t>https://youtu.be/c-reig1cMPE</t>
  </si>
  <si>
    <t>Supplies, Research and Equipment Delivered to the Space Station on This Week @NASA – May 10, 2019</t>
  </si>
  <si>
    <t>A commercial resupply mission delivers to the space station, visits from recently returned space station astronauts, and using deflection as a technique for planetary defense … a few of the stories to tell you about – This Week at NASA!
This video is available for download from NASA's Image and Video Library: https://images.nasa.gov/details-NHQ_2019_0510_Supplies,%20Research%20and%20Equipment%20Delivered%20to%20the%20Space%20Station%20on%20This%20Week%20@NASA%20%E2%80%93%20May%2010,%202019.html</t>
  </si>
  <si>
    <t>c-reig1cMPE</t>
  </si>
  <si>
    <t>https://youtu.be/KiGOpT9T4A8</t>
  </si>
  <si>
    <t>Women in Science</t>
  </si>
  <si>
    <t>For the first time in NASA’s history, women are leading three out of four science divisions at the agency: https://go.nasa.gov/2vZ1Bg9. Sandra Cauffman is acting director of the Earth Science division; Nicola Fox is director of the Heliophysics division; and Lori Glaze leads the Planetary Science division.  
Each woman is from a different country and brings unique expertise to NASA’s exploration efforts.
They emphasize the need for mentors, growth and opportunities for women and inspire young girls and future explorers to live their dreams and reach for the stars.</t>
  </si>
  <si>
    <t>KiGOpT9T4A8</t>
  </si>
  <si>
    <t>2019 05 04</t>
  </si>
  <si>
    <t>https://youtu.be/kPipPqzo-QQ</t>
  </si>
  <si>
    <t>Commercial Resupply Mission Launches to the Space Station on This Week @NASA – May 4, 2019</t>
  </si>
  <si>
    <t>A commercial resupply mission heads to the space station, watching Earth breathe from space, and dealing with the impact threat of near-Earth objects … a few of the stories to tell you about – This Week at NASA!
This video is available for download from NASA's Image and Video Library: https://images.nasa.gov/details-NHQ_2019_0504_Commercial%20Resupply%20Mission%20Launches%20to%20the%20Space%20Station%20on%20This%20Week%20@NASA%20%E2%80%93%20May%204,%202019.html</t>
  </si>
  <si>
    <t>kPipPqzo-QQ</t>
  </si>
  <si>
    <t>2019 05 02</t>
  </si>
  <si>
    <t>https://youtu.be/QmvY8ZmN0Ic</t>
  </si>
  <si>
    <t xml:space="preserve">What is SpaceX Launching to the International Space Station </t>
  </si>
  <si>
    <t>When it launches on Friday, May 3, SpaceX’s Dragon spacecraft will carry crew supplies, scientific research and hardware to the International Space Station to support dozens of the more than 250 science and research investigations. Learn more about the science headed to space: https://go.nasa.gov/2GjYsME.
HD Download: https://go.nasa.gov/2PH97Ff</t>
  </si>
  <si>
    <t>QmvY8ZmN0Ic</t>
  </si>
  <si>
    <t>2019 04 29</t>
  </si>
  <si>
    <t>https://youtu.be/ObkvrRPX-ts</t>
  </si>
  <si>
    <t>Highlights of Science Launching on SpaceX's Dragon Spacecraft</t>
  </si>
  <si>
    <t>A SpaceX Dragon cargo spacecraft scheduled to launch May 1, 2019 takes supplies and a variety of scientific experiments to the International Space Station. Lifted into orbit by a Falcon 9 rocket from Cape Canaveral Air Force Station in Florida, the craft represents the 17th SpaceX Commercial Resupply Services contract mission for NASA. Read more about some of the scientific investigations traveling to the space station on this launch: https://go.nasa.gov/2GjYsME</t>
  </si>
  <si>
    <t>ObkvrRPX-ts</t>
  </si>
  <si>
    <t>2019 04 26</t>
  </si>
  <si>
    <t>https://youtu.be/FF6NTKKWgFU</t>
  </si>
  <si>
    <t>The First Possible Sound of a Marsquake on This Week @NASA – April 26, 2019</t>
  </si>
  <si>
    <t>What could be the first sound of a marsquake, helping astronauts bust the dust on future missions to the Moon, and celebrating our home planet … a few of the stories to tell you about – This Week at NASA!
This video is available for download from NASA's Image and Video Library: https://images.nasa.gov/details-NHQ_2019_0426_The%20First%20Possible%20Sound%20of%20a%20Marsquake%20on%20This%20Week%20@NASA%20%E2%80%93%20April%2026,%202019.html</t>
  </si>
  <si>
    <t>FF6NTKKWgFU</t>
  </si>
  <si>
    <t>2019 04 24</t>
  </si>
  <si>
    <t>https://youtu.be/hxQPGtN9f64</t>
  </si>
  <si>
    <t>Hubble’s 29th Anniversary</t>
  </si>
  <si>
    <t>On April 24, 2019, the Hubble Space Telescope celebrated its 29th year in orbit by premiering a never-before-seen view of the Southern Crab Nebula. Even after all these years, Hubble continues to uncover the mysteries of the universe. These are a few science achievements from Hubble’s latest year in orbit.
Learn more about Hubble at https://www.nasa.gov/hubble</t>
  </si>
  <si>
    <t>hxQPGtN9f64</t>
  </si>
  <si>
    <t>2019 04 22</t>
  </si>
  <si>
    <t>https://youtu.be/tKZmcZc9-LY</t>
  </si>
  <si>
    <t>NASA Scientists Share Why They Like Earth</t>
  </si>
  <si>
    <t>The Earth is a unique planet. In celebration of Earth Day, NASA scientists shared their favorite thing about our home planet.</t>
  </si>
  <si>
    <t>tKZmcZc9-LY</t>
  </si>
  <si>
    <t>https://youtu.be/ps3kWOQRQnY</t>
  </si>
  <si>
    <t>NASA Sees Earth, Our Unique Home</t>
  </si>
  <si>
    <t>Of all the planets NASA has explored, none have matched the dynamic complexity of our own. Earth is a very special place. From the vantage point of space, the perspective of sky and sea, and all across the land, we study our planet not only to learn about it, but also to protect it.</t>
  </si>
  <si>
    <t>ps3kWOQRQnY</t>
  </si>
  <si>
    <t>2019 04 20</t>
  </si>
  <si>
    <t>https://youtu.be/BpPnc4_tSwA</t>
  </si>
  <si>
    <t>Living and Working in Space  Microbes</t>
  </si>
  <si>
    <t>As we search beyond Earth, microbes play a key role in the space environment. Researchers analyze single celled organisms like bacteria and fungi to help uncover important facts that will support deep-space missions.
Along with understanding how microbes adapt and react on the International Space Station, scientist stress the importance of planetary protection. 
The goal of protecting Earth from potentially harmful microbes are important to human survival and the universe at large.</t>
  </si>
  <si>
    <t>BpPnc4_tSwA</t>
  </si>
  <si>
    <t>2019 04 19</t>
  </si>
  <si>
    <t>https://youtu.be/_2tf7o8AtmI</t>
  </si>
  <si>
    <t>An Extended Stay Onboard The Space Station on This Week @NASA – April 19, 2019</t>
  </si>
  <si>
    <t>An extended stay in space for one of our astronauts, a new resupply mission to the space station, and locating the universe’s first type of molecule … a few of the stories to tell you about – This Week at NASA!
This video is available for download from NASA's Image and Video Library: https://images.nasa.gov/details-NHQ_2019_0419_An%20Extended%20Stay%20Onboard%20The%20Space%20Station%20on%20This%20Week%20@NASA%20%E2%80%93%20April%2019,%202019.html</t>
  </si>
  <si>
    <t>_2tf7o8AtmI</t>
  </si>
  <si>
    <t>https://youtu.be/xPDYfXayugw</t>
  </si>
  <si>
    <t>Space for US  Together for a Better Earth</t>
  </si>
  <si>
    <t>Visit: https://www.nasa.gov/SpaceforUS 
"Space for U.S." highlights some of the many ways that NASA's Earth observations help people strengthen communities across the United States and make informed decisions about public health, disaster response and recovery, and environmental protection. 
For six decades, NASA has used the vantage point of space to better understand our home planet and improve lives. By highlighting advanced technology from a global perspective, our data helps provide people achieve groundbreaking insights. "Space for U.S." features 56 stories illustrating how our science has made an impact in every state in the nation as well as the District of Columbia, Puerto Rico and regions along the Atlantic, Pacific, Gulf of Mexico, and the Great Lakes.
NASA freely and openly provides its Earth-observing data to those seeking answers to important global issues. The Applied Sciences Program in NASA’s Earth Science Division funds projects that enable innovative uses of NASA Earth science data, resulting in informed decision making to strengthen America's economy and improve the quality of life worldwide.
This video is available for download from NASA's Image and Video Library: https://images.nasa.gov/details-SpaceforUS-video-full.html. 
For more information about NASA Earth science activities, visit: https://www.nasa.gov/earth</t>
  </si>
  <si>
    <t>xPDYfXayugw</t>
  </si>
  <si>
    <t>2019 04 17</t>
  </si>
  <si>
    <t>https://youtu.be/y9TJVLdIqp0</t>
  </si>
  <si>
    <t xml:space="preserve">Northrop Grumman's CRS-11 Mission  What's on Board </t>
  </si>
  <si>
    <t>A Northrop Grumman Cygnus spacecraft scheduled to liftoff on April 17 carries supplies and scientific experiments to the International Space Station. Here are some of the scientific investigations Cygnus delivers to the space station: https://go.nasa.gov/2GjBXHr</t>
  </si>
  <si>
    <t>y9TJVLdIqp0</t>
  </si>
  <si>
    <t>https://youtu.be/gXy8sSv64fY</t>
  </si>
  <si>
    <t>Living and Working in Space  Oxidative Stress</t>
  </si>
  <si>
    <t>Researchers take major steps to understand the potential long-term health effects associated with space. A longer duration in space means increased risk of oxidative damage to astronauts. 
Oxidative Stress is believed to contribute greatly to bone loss and muscle loss. 
Increased oxidative damage and inflammation can also accelerate the development of cardiovascular disease and Alzheimer’s.
To insure the safety of our astronauts, NASA scientists study mechanisms and work on countermeasures related to Oxidative Stress in the space environment.</t>
  </si>
  <si>
    <t>gXy8sSv64fY</t>
  </si>
  <si>
    <t>https://youtu.be/tBngQcySHdU</t>
  </si>
  <si>
    <t>Astronauts Koch and Meir React to International Space Station Mission Updates</t>
  </si>
  <si>
    <t>Astronaut Jessica Meir is now set to fly to the International Space Station for the first time in September, and Christina Koch, who is currently in space, has her stay onboard extended to an expected record-setting flight of 328 days. With Koch now scheduled to remain in orbit until February 2020, she will set a record for the longest single spaceflight by a woman, eclipsing the previous mark set by Peggy Whitson of 288 days in 2016-17. Hear from them about their missions and watch the full interview: https://youtu.be/KtTXyBJ2N30</t>
  </si>
  <si>
    <t>tBngQcySHdU</t>
  </si>
  <si>
    <t>2019 04 15</t>
  </si>
  <si>
    <t>https://youtu.be/FJDWHm_ZjoM</t>
  </si>
  <si>
    <t>Living and Working in Space  Radiation</t>
  </si>
  <si>
    <t>Living and working in space requires human perseverance. Future missions will focus on exploration at greater distances from Earth; to the Moon and then to Mars. These missions will mean humans will stay in space for extended durations. To ensure that these goals are achieved, NASA's astronauts must be able to perform at peak productivity under even the most daunting conditions. 
Our research and science enables human spaceflight exploration to expand the frontiers of knowledge, capability, and opportunity in space.</t>
  </si>
  <si>
    <t>FJDWHm_ZjoM</t>
  </si>
  <si>
    <t>2019 04 12</t>
  </si>
  <si>
    <t>https://youtu.be/k_2yFEzwNG4</t>
  </si>
  <si>
    <t>Our Five Year Plan to Return Humans to the Moon on This Week @NASA – April 12, 2019</t>
  </si>
  <si>
    <t>The plan to put humans on the Moon by 2024, wrapping up a series of spacewalks on the space station, and an historic first look at a black hole … a few of the stories to tell you about – This Week at NASA!
This video is available for download from NASA's Image and Video Library: https://images.nasa.gov/details-NHQ_2019_0412_Our%20Five-Year%20Plan%20to%20Return%20Humans%20to%20the%20Moon%20on%20This%20Week%20@NASA%20%E2%80%93%20April%2012,%202019.html</t>
  </si>
  <si>
    <t>k_2yFEzwNG4</t>
  </si>
  <si>
    <t>2019 04 11</t>
  </si>
  <si>
    <t>https://youtu.be/c9moR-KQpDQ</t>
  </si>
  <si>
    <t>Living and Working in Space  Twins Study</t>
  </si>
  <si>
    <t>c9moR-KQpDQ</t>
  </si>
  <si>
    <t>2019 04 10</t>
  </si>
  <si>
    <t>https://youtu.be/FdbiIbaLj3o</t>
  </si>
  <si>
    <t>NASA Administrator Bridenstine Speaks at 35th Space Symposium</t>
  </si>
  <si>
    <t>NASA Administrator Jim Bridenstine delivered a keynote address April 9 during the 35th Space Symposium in Colorado Springs, Colorado. During his speech, Bridenstine outlined NASA’s accelerated plans to send American astronauts to the Moon’s South Pole by 2024. The president’s direction from Space Policy Directive-1 galvanizes NASA’s return to the Moon and builds on progress on the Space Launch System rocket and Orion spacecraft, collaborations with U.S industry and international partners, and knowledge gained from current robotic assets at the Moon and Mars.
This video is available for download from NASA's Image and Video Library: https://images.nasa.gov/details-NHQ_2019_0409_NASA%20Administrator%20Bridenstine%20Speaks%20at%2035th%20Space%20Symposium.html</t>
  </si>
  <si>
    <t>FdbiIbaLj3o</t>
  </si>
  <si>
    <t>2019 04 05</t>
  </si>
  <si>
    <t>https://youtu.be/miyZ9DMJBsY</t>
  </si>
  <si>
    <t>Discussing our Accelerated Return of Humans to the Moon on This Week @NASA – April 5, 2019</t>
  </si>
  <si>
    <t>Accelerating a human return to the Moon, wrapping up testing of our Space Launch System rocket engines, and Curiosity captures eclipses on Mars … a few of the stories to tell you about – This Week at NASA!
This video is available for download from NASA's Image and Video Library: https://images.nasa.gov/details-NHQ_2019_0405_Discussing%20our%20Accelerated%20Return%20of%20Humans%20to%20the%20Moon%20on%20This%20Week%20@NASA%20%E2%80%93%20April%205,%202019.html</t>
  </si>
  <si>
    <t>miyZ9DMJBsY</t>
  </si>
  <si>
    <t>https://youtu.be/nkqirlQowEw</t>
  </si>
  <si>
    <t>Milestone Hot Fire Engine Test for NASA's Space Launch System Rocket</t>
  </si>
  <si>
    <t>NASA is a step closer to returning astronauts to the Moon in the next five years following this successful “hot fire” test of flight engine No. 2062 on the A-1 Test Stand at Stennis Space Center in Mississippi. This April 4, 2019 test caps more than four years of testing for the RS-25 engines that will help power the first four missions of the Space Launch System rockets. It also concludes a 51-month test series that demonstrated RS-25 engines can perform at the higher power level needed to launch the super heavy-lift SLS rocket.
Download this video: https://go.nasa.gov/2TTrTty</t>
  </si>
  <si>
    <t>nkqirlQowEw</t>
  </si>
  <si>
    <t>2019 04 03</t>
  </si>
  <si>
    <t>https://youtu.be/3rH3KAcYgBs</t>
  </si>
  <si>
    <t>Spinoff 2019  How NASA Technology Improves Life on Earth</t>
  </si>
  <si>
    <t>NASA is everywhere – our space technology turns up in nearly all corners of modern life. The world has come to rely on GPS signal correction software created by NASA, which enables precision agriculture, airplane navigation, smartphones, Earth science and much more. A lightweight, high-pressure tank NASA invented to hold rocket fuel now stores life-saving oxygen to keep pilots, firefighters and intensive care patients breathing — not to mention gases that power city buses and even paintball guns. Fitness enthusiasts may be surprised to learn about NASA’s contribution to the Bowflex Revolution resistance-exercise home gym. 
For more examples of how NASA shows up in your everyday life, visit: https://spinoff.nasa.gov
This video is available for download from NASA's Image and Video Library: https://images.nasa.gov/details-NHQ_2019_0403_Spinoff%202019.html</t>
  </si>
  <si>
    <t>3rH3KAcYgBs</t>
  </si>
  <si>
    <t>2019 04 01</t>
  </si>
  <si>
    <t>https://youtu.be/o2gz2E-Wrws</t>
  </si>
  <si>
    <t>Town Hall with NASA Administrator Jim Bridenstine</t>
  </si>
  <si>
    <t>Headquarters hosted an agencywide town hall with NASA Administrator Jim Bridenstine on Monday, April 1, at 1:30 p.m. EDT. NASA HQ employees were invited to join the Administrator in the Webb auditorium for this important discussion on our Moon to Mars plans.
This video is available for download from NASA's Image and Video Library: https://images.nasa.gov/details-NHQ_2019_0401_Town%20Hall%20with%20NASA%20Administrator%20Jim%20Bridenstine.html</t>
  </si>
  <si>
    <t>o2gz2E-Wrws</t>
  </si>
  <si>
    <t>https://youtu.be/ERDxM9It9FE</t>
  </si>
  <si>
    <t>NASA Astronaut Anne McClain Addresses Spacewalk Reassignment</t>
  </si>
  <si>
    <t>During an interview with ABC News on April 1, 2019, NASA Astronaut Anne McClain addressed a question about what would have been the first all-female spacewalk during Women’s History Month. Based on McClain’s recommendation, NASA changed assignments to protect the safety of the crew and the timing of the mission.
Learn more about the spacewalk reassignment at https://www.nasa.gov/feature/spacewalk-reassignments-what-s-the-deal.</t>
  </si>
  <si>
    <t>ERDxM9It9FE</t>
  </si>
  <si>
    <t>2019 03 30</t>
  </si>
  <si>
    <t>https://youtu.be/l1GPdqX8Xbo</t>
  </si>
  <si>
    <t>Women's History Month  Farah Alibay, Systems Engineer</t>
  </si>
  <si>
    <t>“When I was a kid, coding was terrifying," says Farah Alibay, a Systems Engineer at NASA's Jet Propulsion Laboratory. 
This month we are celebrating #WomensHistoryMonth with a video series highlighting some exceptional builders and makers. Learn about how she and other #WomenAtNASA build and speak to instruments on Mars everyday.
Producer: Sarah Loff/NASA
Director/Editor: Nasreen Alkhateeb/NASA 
Videographer: Ryan Bell/NASA</t>
  </si>
  <si>
    <t>l1GPdqX8Xbo</t>
  </si>
  <si>
    <t>2019 03 29</t>
  </si>
  <si>
    <t>https://youtu.be/L9karIUJrSc</t>
  </si>
  <si>
    <t>Taking the Next Giant Leap – Sooner on This Week @NASA – March 29, 2019</t>
  </si>
  <si>
    <t>Accelerating our return to the Moon, another spacewalk outside the International Space Station, and testing our Mars Helicopter … a few of the stories to tell you about – This Week at NASA!
This video is available for download from NASA's Image and Video Library: https://images.nasa.gov/details-NHQ_2019_0329_Taking%20the%20Next%20Giant%20Leap%20%E2%80%93%20Sooner%20on%20This%20Week%20@NASA.html</t>
  </si>
  <si>
    <t>L9karIUJrSc</t>
  </si>
  <si>
    <t>https://youtu.be/zyG4YlPftxk</t>
  </si>
  <si>
    <t>NASA Explorers  Flying Alaskan Glaciers</t>
  </si>
  <si>
    <t>Flying low over some of the most dramatic landscapes on the planet, a cadre of scientists and pilots have been measuring changes in Alaskan glaciers as part of NASA’s Operation IceBridge for almost a decade. The team has seen significant change in ice extent and thickness over that time. Data from the mission was used in a 2015 study that put numbers on the loss of Alaskan glaciers: 75 billion tons of ice every year from 1994 to 2013. Last summer, Chris Larsen and Martin Truffer, both of the University of Alaska Fairbanks, flew with University of Arizona's Jack Holt and University of Texas student Michael Christoffersen.
Read the story: https://go.nasa.gov/2CPkg1H
Download this video: https://svs.gsfc.nasa.gov/13162
Credit: NASA's Goddard Space Flight Center
Jefferson Beck (USRA): Lead Producer
Maria-Jose Vinas Garcia (Telophase): Writer
Chris Larsen (University of Alaska Fairbanks): Lead Scientist
Mark Fahnestock (University of Alaska): Scientist
Alex Kekesi (GST): Lead Visualizer
Martin Truffer (University of Alaska): Lead Scientist</t>
  </si>
  <si>
    <t>zyG4YlPftxk</t>
  </si>
  <si>
    <t>https://youtu.be/fIW8ypUZT_c</t>
  </si>
  <si>
    <t>Women's History Month  Janet Karika, Chief of Staff</t>
  </si>
  <si>
    <t>“You don’t need a path that is what someone else tells you to do.” Janet Karika remembers being one of the only women at her college studying mechanical engineering. Now she sees women everywhere at NASA. Celebrate #WomensHistoryMonth with our Chief of Staff.</t>
  </si>
  <si>
    <t>fIW8ypUZT_c</t>
  </si>
  <si>
    <t>2019 03 28</t>
  </si>
  <si>
    <t>https://youtu.be/6dpmWyOZNyU</t>
  </si>
  <si>
    <t>Women's History Month  Melanie Saunders, Deputy Associate Administrator</t>
  </si>
  <si>
    <t>“The more impossible it is, the more I like it.” Melanie Saunders likes solving complex problems — which is why she was perfect to negotiate the international agreements for the International Space Station. Celebrate #WomensHistoryMonth and learn more about how “women are knit into everything that we do.”</t>
  </si>
  <si>
    <t>6dpmWyOZNyU</t>
  </si>
  <si>
    <t>2019 03 27</t>
  </si>
  <si>
    <t>https://youtu.be/ZQkoFuNWXg8</t>
  </si>
  <si>
    <t>Fifth Meeting of the National Space Council</t>
  </si>
  <si>
    <t>Vice President Mike Pence asked NASA Administrator Jim Bridenstine to accelerate the agency’s lunar exploration plans during a National Space Council meeting held at NASA’s Marshall Space Flight Center in Huntsville, Alabama, March 26. In addition to targeting a human landing on the Moon in 2024, the council also discussed creating a new Moon to Mars Mission Directorate.
This video is available for download from NASA's Image and Video Library: https://images.nasa.gov/details-NHQ_2019_0326_Fifth%20Meeting%20of%20the%20National%20Space%20Council.html</t>
  </si>
  <si>
    <t>ZQkoFuNWXg8</t>
  </si>
  <si>
    <t>https://youtu.be/PxvFsqevSdw</t>
  </si>
  <si>
    <t>NASA Aims to Land Astronauts Back on Moon in 5 Years</t>
  </si>
  <si>
    <t>On behalf of the President, Vice President Mike Pence directed NASA Administrator Jim Bridenstine to accelerate the agency’s lunar exploration plans during a National Space Council meeting held at the U.S. Space and Rocket Center in Huntsville, Alabama, March 26. Administrator Bridenstine said NASA accepts the challenge to land humans on the Moon in 2024. For more information, visit: https://www.nasa.gov/moontomars.
This video is available for download from NASA's Image and Video Library: https://images.nasa.gov/details-NHQ_2019_0326_NASA%20Aims%20to%20Land%20Astronauts%20Back%20on%20Moon%20in%205%20Years.html</t>
  </si>
  <si>
    <t>PxvFsqevSdw</t>
  </si>
  <si>
    <t>2019 03 26</t>
  </si>
  <si>
    <t>https://youtu.be/HzEPE4IrY0c</t>
  </si>
  <si>
    <t>Women's History Month  Tonya Mitchell, Mechanical Engineering Technician</t>
  </si>
  <si>
    <t>“Don’t be afraid of math. Do your best. I wasn’t an A student — but here I am.”  Tonya Mitchell is a Mechanical Engineering Technician at NASA's Glenn Research Center. 
This month we are celebrating #WomensHistoryMonth with a video series highlighting some exceptional builders and makers. Learn all about how she and other #WomenAtNASA make ideas for satellites and aircraft come to life.
Director: Nasreen Alkhateeb/NASA
Videographer: Jim Zunt/NASA
Editor: Thalia Patrinos/NASA
Producer: Tahira Allen/NASA</t>
  </si>
  <si>
    <t>HzEPE4IrY0c</t>
  </si>
  <si>
    <t>2019 03 25</t>
  </si>
  <si>
    <t>https://youtu.be/FaEqVYw7O3g</t>
  </si>
  <si>
    <t>Women's History Month  Sarah Wallace, Microbiologist</t>
  </si>
  <si>
    <t>“Find out what it is that you love and what you are really passionate about and follow that." Sarah Wallace is a Microbiologist at NASA's Johnson Space Center. 
This month, we are celebrating #WomensHistoryMonth with a video series highlighting some exceptional builders and makers. Learn about how she and other #WomenAtNASA help keep a safe environment on the International Space Station.
Producer: Thalia Patrinos/NASA
Director/Editor: Nasreen Alkhateeb/NASA 
Videographer: Nicole Rose/NASA</t>
  </si>
  <si>
    <t>FaEqVYw7O3g</t>
  </si>
  <si>
    <t>2019 03 22</t>
  </si>
  <si>
    <t>https://youtu.be/2Pu5ubAJqco</t>
  </si>
  <si>
    <t>A Spacewalk Outside The International Space Station on This Week @NASA – March 22, 2019</t>
  </si>
  <si>
    <t>A spacewalk outside the space station, testing a motor critical to the safety of Orion, and some surprising findings about asteroid Bennu … a few of the stories to tell you about – This Week at NASA!
This video is available for download from NASA's Image and Video Library: https://images.nasa.gov/details-A%20Spacewalk%20Outside%20The%20International%20Space%20Station%20on%20This%20Week%20@NASA%20%E2%80%93%20March%2022,%202019.html</t>
  </si>
  <si>
    <t>2Pu5ubAJqco</t>
  </si>
  <si>
    <t>2019 03 21</t>
  </si>
  <si>
    <t>https://youtu.be/qYUAg9hZDmU</t>
  </si>
  <si>
    <t>Women's History Month  Paula Cain, Thermal Blanket Technician</t>
  </si>
  <si>
    <t>"My background is in fashion design, and they had a job, and it said, 'do you like Star Trek?'" - Paula Cain, Thermal Blanket Technician at NASA's Goddard Space Flight Center. Cain describes her work building the thermal blankets that protect satellites and spacecraft and her contributions to the International Space Station. Meet one of the vital builders and makers of NASA in our #WomensHistoryMonth video series.  
Credit: NASA/Nasreen Alkhateeb</t>
  </si>
  <si>
    <t>qYUAg9hZDmU</t>
  </si>
  <si>
    <t>2019 03 18</t>
  </si>
  <si>
    <t>https://youtu.be/X2t4l_yMStE</t>
  </si>
  <si>
    <t>NASA Administrator Bridenstine Chats with Elon Musk of SpaceX</t>
  </si>
  <si>
    <t>On the latest Watch this Space, NASA Administrator Jim Bridenstine chats with SpaceX CEO and Chief Designer Elon Musk during a tour of Launch Complex 39A just before the Demo-1 launch at the Kennedy Space Center in Florida. The historic Demo-1 mission launched at 2:49 a.m. EDT on Saturday, March 2 and was the first launch of a commercially built and operated American spacecraft and space system designed for humans as part of NASA's Commercial Crew Program. 
Learn more about the Commercial Crew program: https://blogs.nasa.gov/commercialcrew/.</t>
  </si>
  <si>
    <t>X2t4l_yMStE</t>
  </si>
  <si>
    <t>2019 03 15</t>
  </si>
  <si>
    <t>https://youtu.be/fiMMeteLRek</t>
  </si>
  <si>
    <t>Strong Budget Support for Moon to Mars Effort on This Week @NASA – March 15, 2019</t>
  </si>
  <si>
    <t>Strong budget support for our Moon to Mars effort, a new crew launches to the space station, and training for Orion recovery … a few of the stories to tell you about – This Week at NASA!
This video is available for download from NASA's Image and Video Library: https://images.nasa.gov/details-NHQ_2019_0315_Strong%20Budget%20Support%20for%20Moon%20to%20Mars%20Effort%20on%20This%20Week%20@NASA%20%E2%80%93%20March%2015,%202019.html</t>
  </si>
  <si>
    <t>fiMMeteLRek</t>
  </si>
  <si>
    <t>2019 03 14</t>
  </si>
  <si>
    <t>https://youtu.be/tt8_vTduQbw</t>
  </si>
  <si>
    <t>Expedition 59 Crew Members Launch to Space Station Aboard Soyuz</t>
  </si>
  <si>
    <t>3.. 2.. 1.. liftoff! On Thursday, March 14, 2019, three new Expedition 59 crew members launched aboard a Soyuz to the International Space Station, where they'll live and work for the next six-and-a-half months. The Soyuz arrived safely in orbit ahead of docking with the station at 9:07 p.m. EDT. On board are NASA astronauts Christina Koch and Nick Hague and cosmonaut Alexey Ovchinin of Roscosmos.</t>
  </si>
  <si>
    <t>tt8_vTduQbw</t>
  </si>
  <si>
    <t>2019 03 12</t>
  </si>
  <si>
    <t>https://youtu.be/mSfhws_XCpI</t>
  </si>
  <si>
    <t>NASA's %23Moon2Mars Update</t>
  </si>
  <si>
    <t>In an address from Kennedy Space Center on March 11, 2019, NASA Administrator Jim Bridenstine shares the work underway to return astronauts to the Moon and onward to Mars.  #Moon2Mars
More: https://www.nasa.gov/moontomars</t>
  </si>
  <si>
    <t>mSfhws_XCpI</t>
  </si>
  <si>
    <t>2019 03 11</t>
  </si>
  <si>
    <t>https://youtu.be/wJ0ia4M2dxs</t>
  </si>
  <si>
    <t>Technology Drives Exploration┃ Go Forward</t>
  </si>
  <si>
    <t>NASA is going to the Moon and on to Mars, in a measured, sustainable way. Working with U.S. companies and international partners, NASA will push the boundaries of human exploration forward to the Moon. NASA is working to establish a permanent human presence on the Moon within the next decade to uncover new scientific discoveries and lay the foundation for private companies to build a lunar economy.
The lunar surface will serve as a crucial training ground and technology demonstration test site where we will prepare for future human missions to Mars and other destinations. Through an innovative combination of missions involving commercial and international partners, robotic lunar surface missions will begin as early as 2020, focus on scientific exploration of lunar resources, and prepare the lunar surface for a sustained human presence.
Right now, NASA is taking steps to begin this next era of exploration. #Moon2Mars
Learn more at:
https://www.nasa.gov/moontomars
This video is available for download from NASA's Image and Video Library: https://images.nasa.gov/details-NHQ_2019_0311_Technology%20Drives%20Exploration%E2%94%83Go%20Forward.html</t>
  </si>
  <si>
    <t>wJ0ia4M2dxs</t>
  </si>
  <si>
    <t>https://youtu.be/0SKjX4_r_vU</t>
  </si>
  <si>
    <t>Science Discoveries Beyond Earth┃ Go Forward</t>
  </si>
  <si>
    <t>NASA is going to the Moon and on to Mars, in a measured, sustainable way. Working with U.S. companies and international partners, NASA will push the boundaries of human exploration forward to the Moon. NASA is working to establish a permanent human presence on the Moon within the next decade to uncover new scientific discoveries and lay the foundation for private companies to build a lunar economy.
The lunar surface will serve as a crucial training ground and technology demonstration test site where we will prepare for future human missions to Mars and other destinations. Through an innovative combination of missions involving commercial and international partners, robotic lunar surface missions will begin as early as 2020, focus on scientific exploration of lunar resources, and prepare the lunar surface for a sustained human presence.
Right now, NASA is taking steps to begin this next era of exploration. #Moon2Mars
Learn more at:
https://www.nasa.gov/moontomars
This video is available for download from NASA's Image and Video Library: https://images.nasa.gov/details-NHQ_2019_0311_Science%20Discoveries%20Beyond%20Earth%E2%94%83Go%20Forward.html</t>
  </si>
  <si>
    <t>0SKjX4_r_vU</t>
  </si>
  <si>
    <t>https://youtu.be/YJ2bgMSoR0Q</t>
  </si>
  <si>
    <t>Humans Explore Farther┃ Go Forward</t>
  </si>
  <si>
    <t>NASA is going to the Moon and on to Mars, in a measured, sustainable way. Working with U.S. companies and international partners, NASA will push the boundaries of human exploration forward to the Moon. NASA is working to establish a permanent human presence on the Moon within the next decade to uncover new scientific discoveries and lay the foundation for private companies to build a lunar economy.
A key component of establishing the first permanent American presence and infrastructure on and around the Moon is the Gateway, a lunar orbiting platform to host astronauts farther from Earth than ever before.
On the Gateway, America and its partners will prepare to transit deep space, testing new technologies and systems as we build the infrastructure to support missions to the surface of the Moon and prepare for the epochal mission to Mars. NASA also will study the effects of the deep space environment of the Gateway, learning how living organisms react to the radiation and microgravity of a deep space environment over long periods.
Right now, NASA is taking steps to begin this next era of exploration. #Moon2Mars
Learn more at:
https://www.nasa.gov/moontomars
This video is available for download from NASA's Image and Video Library: https://images.nasa.gov/details-NHQ_2019_0311_Humans%20Explore%20Farther%E2%94%83Go%20Forward.html</t>
  </si>
  <si>
    <t>YJ2bgMSoR0Q</t>
  </si>
  <si>
    <t>https://youtu.be/bivXt0hVufk</t>
  </si>
  <si>
    <t>Go Forward to the Moon</t>
  </si>
  <si>
    <t>NASA is going to the Moon and on to Mars, in a measured, sustainable way. Working with U.S. companies and international partners, NASA will push the boundaries of human exploration forward to the Moon. NASA is working to establish a permanent human presence on the Moon within the next decade to uncover new scientific discoveries and lay the foundation for private companies to build a lunar economy.
Right now, NASA is taking steps to begin this next era of exploration. #Moon2Mars
Learn more at:
https://www.nasa.gov/moontomars
This video is available for download from NASA's Image and Video Library: https://images.nasa.gov/details-NHQ_2019_0311_Go%20Forward%20to%20the%20Moon.html</t>
  </si>
  <si>
    <t>bivXt0hVufk</t>
  </si>
  <si>
    <t>2019 03 09</t>
  </si>
  <si>
    <t>https://youtu.be/mbPlJXZ_rv8</t>
  </si>
  <si>
    <t>Administrator Bridenstine Joins Opening Ceremonies at Oklahoma Regional FIRST Robotics</t>
  </si>
  <si>
    <t>NASA Administrator Jim Bridenstine helped to open the Oklahoma Regional FIRST Robotics Competition with an inspirational presentation about the future of exploration at NASA.
This video is available for download from NASA's Image and Video Library: https://images.nasa.gov/details-NHQ_2019_0308_Administrator%20Bridenstine%20Joins%20Opening%20Ceremonies%20at%20Oklahoma%20Regional%20FIRST%20Robotics%20Competition.html</t>
  </si>
  <si>
    <t>mbPlJXZ_rv8</t>
  </si>
  <si>
    <t>2019 03 08</t>
  </si>
  <si>
    <t>https://youtu.be/b6jPnmCXwqI</t>
  </si>
  <si>
    <t>The first uncrewed Commercial Crew Flight Test is complete on This Week @NASA – March 8, 2019</t>
  </si>
  <si>
    <t>The first uncrewed Commercial Crew Flight Test is complete, Vice President Pence calls the space station, and the station’s next crew prepares for launch … a few of the stories to tell you about – This Week at NASA!
This video is available for download from NASA's Image and Video Library: https://images.nasa.gov/details-NHQ_2019_0308_The%20first%20uncrewed%20Commercial%20Crew%20Flight%20Test%20is%20complete%20on%20This%20Week%20@NASA%20%E2%80%93%20March%208,%202019.html</t>
  </si>
  <si>
    <t>b6jPnmCXwqI</t>
  </si>
  <si>
    <t>https://youtu.be/jIL-iRF5u34</t>
  </si>
  <si>
    <t>NASA Celebrates Women's History</t>
  </si>
  <si>
    <t>Honoring the past and present women of NASA who have helped contribute to America's space program.
This video is available for download from NASA's Image and Video Library: https://images.nasa.gov/details-NASA_Celebrates_Womens_History.html</t>
  </si>
  <si>
    <t>jIL-iRF5u34</t>
  </si>
  <si>
    <t>https://youtu.be/4cy68OoNHF0</t>
  </si>
  <si>
    <t>Splashdown of SpaceX Crew Dragon, Completing Demo-1 Flight Test</t>
  </si>
  <si>
    <t>After undocking from the International Space Station at 2:32 a.m. EST on Friday, March 8, the SpaceX Crew Dragon completed a deorbit burn to reenter Earth's atmosphere, deployed parachutes and splashed down in the Atlantic Ocean at 8:45 a.m. EST. These are the final milestones of the Demo-1 flight test, in which SpaceX demonstrated systems which will be used to carry astronauts aboard the Crew Dragon to the space station.</t>
  </si>
  <si>
    <t>4cy68OoNHF0</t>
  </si>
  <si>
    <t>2019 03 07</t>
  </si>
  <si>
    <t>https://youtu.be/L4Y36LeleP0</t>
  </si>
  <si>
    <t>Milestones of the SpaceX Crew Dragon Demo-1 Flight Test</t>
  </si>
  <si>
    <t>Launched on March 2, 2019, from Kennedy Space Center aboard a Falcon 9 rocket, the SpaceX Crew Dragon successfully reached low-Earth orbit and docked autonomously to the International Space Station. Undocking, deorbit burn and splashdown are on Friday, March 8: https://go.nasa.gov/2J7EjOa. 
This first, uncrewed demonstration flight of the Crew Dragon is an end-to-end test of all the spacecraft's system and provides NASA valuable data toward certifying it to fly astronauts.</t>
  </si>
  <si>
    <t>L4Y36LeleP0</t>
  </si>
  <si>
    <t>2019 03 06</t>
  </si>
  <si>
    <t>https://youtu.be/gPYgwrnr644</t>
  </si>
  <si>
    <t>Vice President Pence and Administrator Bridenstine Talk with Astronauts on Space Station</t>
  </si>
  <si>
    <t>Vice President Mike Pence and NASA Administrator Jim Bridenstine talked with Expedition 58 crew members Anne McClain and David Saint-Jacques onboard the International Space Station from the Space Operations Center at NASA Headquarters, Wednesday, March 6, 2019 in Washington, DC.
This video is available for download from NASA's Image and Video Library: https://images.nasa.gov/details-NHQ_2019_0306_Vice%20President%20Pence%20and%20Administrator%20Bridenstine%20Talk%20with%20Astronauts%20on%20Space%20Station.html</t>
  </si>
  <si>
    <t>gPYgwrnr644</t>
  </si>
  <si>
    <t>2019 03 05</t>
  </si>
  <si>
    <t>https://youtu.be/H-Ci_YwfH04</t>
  </si>
  <si>
    <t>Sonification of a Hubble Deep Space Image</t>
  </si>
  <si>
    <t>Space becomes “sonified” in this visualization of a cluster of galaxies imaged by NASA's Hubble Space Telescope. Time flows left to right, and the frequency of sound changes from bottom to top, ranging from 30 to 1,000 hertz. Objects near the bottom of the image produce lower notes, while those near the top produce higher ones. Most of the visible specks are galaxies housing countless stars. A few individual stars shine brightly in the foreground. Stars and compact galaxies create short, clear tones, while sprawling spiral galaxies emit longer notes that change pitch. The higher density of galaxies near the center of the image — the heart of this galaxy cluster, known as RXC J0142.9+4438 — results in a swell of mid-range tones halfway through the video. Hubble's Advanced Camera for Surveys and Wide Field Camera 3 acquired this image on Aug. 13, 2018.  
Download this video:
https://svs.gsfc.nasa.gov/cgi-bin/details.cgi?aid=13061
Credit: NASA/Hubble/SYSTEM Sounds (Matt Russo/Andrew Santaguida)</t>
  </si>
  <si>
    <t>H-Ci_YwfH04</t>
  </si>
  <si>
    <t>2019 03 03</t>
  </si>
  <si>
    <t>https://youtu.be/hG6lWYAFeCQ</t>
  </si>
  <si>
    <t>Apollo 9  'A Hell of a Ride'</t>
  </si>
  <si>
    <t>50 years ago, we tested the capabilities of our Moon landing spacecraft in Earth’s orbit. Commander James McDivitt, Command Module Pilot David Scott and Lunar Module Pilot Rusty Schweickart performed systems checks and gathered data.  The Lunar Module and the Command Module separated by nearly 100 miles and an engine burn check brought them back together. A challenging rendezvous and docking proved the abilities of the hardware. This historic mission launched on March 3, 1969 as an engineering mission and paved the way for future Apollo missions.
This video is available for download from NASA's Image and Video Library: https://images.nasa.gov/details-NHQ_2019_0301_Celebrating%2050%20Years%20of%20Apollo%209%20-%20A%20Hell%20of%20a%20Ride.html
Video Credit:
Producer/Editor: Amy Leniart</t>
  </si>
  <si>
    <t>hG6lWYAFeCQ</t>
  </si>
  <si>
    <t>2019 03 02</t>
  </si>
  <si>
    <t>https://youtu.be/L9rVANO5qJ8</t>
  </si>
  <si>
    <t>An Important Step for Commercial Crew on This Week @NASA – March 2, 2019</t>
  </si>
  <si>
    <t>An important step for the Commercial Crew Program, more testing with our Space Launch System rocket engine, and a new show that explores how we do, what we do … a few of the stories to tell you about – This Week at NASA! 
This video is available for download from NASA's Image and Video Library: https://images.nasa.gov/details-NHQ_2019_0301_An%20Important%20Step%20for%20Commercial%20Crew%20on%20This%20Week%20@NASA%20%E2%80%93%20March%202,%202019.html</t>
  </si>
  <si>
    <t>L9rVANO5qJ8</t>
  </si>
  <si>
    <t>2019 03 01</t>
  </si>
  <si>
    <t>https://youtu.be/W9-ob-o_YAg</t>
  </si>
  <si>
    <t>SpaceX Crew Access Arm  Bridge to the Crew Dragon</t>
  </si>
  <si>
    <t>How will astronauts board the SpaceX Crew Dragon? They'll use the Crew Access Arm, which provides a bridge to the spacecraft from the crew access tower at Kennedy Space Center's Launch Complex 39A. The Crew Dragon is designed to fly astronauts to the International Space Station on the company’s Falcon 9 rocket as part of NASA’s Commercial Crew Program. The first uncrewed flight of the Crew Dragon, known as Demo-1, is scheduled to launch March 2, 2019. The uncrewed flight is an important step in returning human launches on American rockets and spacecraft to the space station from U.S. soil since 2011.</t>
  </si>
  <si>
    <t>W9-ob-o_YAg</t>
  </si>
  <si>
    <t>2019 02 28</t>
  </si>
  <si>
    <t>https://youtu.be/mE_hCTfMdng</t>
  </si>
  <si>
    <t>Inside the SpaceX Crew Dragon Spacecraft</t>
  </si>
  <si>
    <t>Take a tour of the interior of SpaceX's Crew Dragon, targeted to launch on its first (uncrewed) demonstration flight on March 2, 2019. Crew Dragon is designed to transport up to four astronauts for NASA missions, along with critical cargo and supplies, to the International Space Station as part of NASA’s Commercial Crew Program. 
The Crew Dragon features solar arrays affixed to the side of the spacecraft’s trunk, a launch escape system that will allow crew members to escape an anomaly at any point during flight, a large hatch and windows and a redesigned outer mold line to enhance crew comfort. The first uncrewed flight is an important step in returning human launches on American rockets and spacecraft to the space station from U.S. soil since 2011.</t>
  </si>
  <si>
    <t>mE_hCTfMdng</t>
  </si>
  <si>
    <t>2019 02 22</t>
  </si>
  <si>
    <t>https://youtu.be/U7ep1GQ__kg</t>
  </si>
  <si>
    <t>An Upcoming Commercial Crew Flight Test on This Week @NASA – February 22, 2019</t>
  </si>
  <si>
    <t>An upcoming Commercial Crew Flight Test, training underway for the space station’s next crew, and a new development in our search for life beyond Earth … a few of the stories to tell you about – This Week at NASA!
This video is available for download from NASA's Image and Video Library: https://images.nasa.gov/details-NHQ_2019_0222_An%20Upcoming%20Commercial%20Crew%20Flight%20Test%20on%20This%20Week%20@NASA%20%E2%80%93%20February%2022,%202019.html</t>
  </si>
  <si>
    <t>U7ep1GQ__kg</t>
  </si>
  <si>
    <t>2019 02 21</t>
  </si>
  <si>
    <t>https://youtu.be/JN0OWlfGWhw</t>
  </si>
  <si>
    <t>Watch This Space  The Latest from the Moon to Mars</t>
  </si>
  <si>
    <t>On the latest Watch This Space, NASA administrator Jim Bridenstine looks back at 15 years of discoveries by our Opportunity rover on Mars, and forward to new commercial partnerships for missions to the Moon. Learn how we’ll work with American companies to design and develop human lunar landers and reusable systems so we can return to the Moon — to stay.
This video is available for download from NASA's Image and Video Library: https://images.nasa.gov/details-NHQ_2019_0221_Watch%20This%20Space%20with%20NASA%20Administrator%20Jim%20Bridenstine%20with%20the%20latest%20from%20the%20Moon%20and%20Mars.html</t>
  </si>
  <si>
    <t>JN0OWlfGWhw</t>
  </si>
  <si>
    <t>2019 02 15</t>
  </si>
  <si>
    <t>https://youtu.be/6hx20ca_poQ</t>
  </si>
  <si>
    <t>Discussing Lunar Exploration Plans on This Week @NASA – February 15, 2019</t>
  </si>
  <si>
    <t>Working with industry to develop new lunar landers, testing resumes with our Space Launch System rocket engine, and after a job well done – the end of the line for one of our Mars rovers … a few of the stories to tell you about – This Week at NASA! 
This video is available for download from NASA's Image and Video Library: https://images.nasa.gov/details-NHQ_2019_0215_Discussing%20Lunar%20Exploration%20Plans%20on%20This%20Week%20@NASA%20%E2%80%93%20February%2015,%202019.html</t>
  </si>
  <si>
    <t>6hx20ca_poQ</t>
  </si>
  <si>
    <t>2019 02 08</t>
  </si>
  <si>
    <t>https://youtu.be/h0miq_cgI0s</t>
  </si>
  <si>
    <t>Remembering our Fallen Heroes on This Week @NASA – February 8, 2019</t>
  </si>
  <si>
    <t>Remembering our fallen heroes, a milestone for our InSight lander on Mars, and, data released on our global temperature … a few of the stories to tell you about – This Week at NASA!
This video is available for download from NASA's Image and Video Library: https://images.nasa.gov/details-NHQ_2019_0208_Remembering%20our%20Fallen%20Heroes%20on%20This%20Week%20@NASA%20%E2%80%93%20February%208,%202019.html</t>
  </si>
  <si>
    <t>h0miq_cgI0s</t>
  </si>
  <si>
    <t>2019 02 04</t>
  </si>
  <si>
    <t>https://youtu.be/CVNHOX_jWvo</t>
  </si>
  <si>
    <t>Celebrating Apollo as We Push Forward to the Moon</t>
  </si>
  <si>
    <t>As we celebrate the 50th anniversary of the Apollo Moon missions, we prepare to take the next giant leap, with sustainable lunar missions that pave the way for eventual journeys beyond.
This video is available for download from NASA's Image and Video Library: https://images.nasa.gov/details-NHQ_2019_0205_Celebrating_Apollo_as_We_Push_Forward_to_the_Moon.html</t>
  </si>
  <si>
    <t>CVNHOX_jWvo</t>
  </si>
  <si>
    <t>2019 02 01</t>
  </si>
  <si>
    <t>https://youtu.be/5FTgkY82nT0</t>
  </si>
  <si>
    <t>NASA at the Big Game</t>
  </si>
  <si>
    <t>No matter what team you’re rooting for, our technology is helping you play the game. Our discoveries off the planet have developed all sorts of equipment on the field — from shock-absorbent foam in helmets to retractable stadium roofs. 🏈 Go NASA!
Learn more about NASA technologies found in your everyday life at: https://homeandcity.nasa.gov/</t>
  </si>
  <si>
    <t>5FTgkY82nT0</t>
  </si>
  <si>
    <t>https://youtu.be/ffSub6Q1FlE</t>
  </si>
  <si>
    <t>Getting Back to Business on This Week @NASA – February 1, 2019</t>
  </si>
  <si>
    <t>Getting back to the business of NASA, an update on our Commercial Crew Program, and, our mission to the Sun is in full swing … a few of the stories to tell you about – This Week at NASA!
This video is available for download from NASA's Image and Video Library: https://images.nasa.gov/details-NHQ_2019_0201_Getting%20Back%20to%20Business%20on%20This%20Week%20@NASA%20%E2%80%93%20February%201,%202019.html</t>
  </si>
  <si>
    <t>ffSub6Q1FlE</t>
  </si>
  <si>
    <t>2019 01 31</t>
  </si>
  <si>
    <t>https://youtu.be/aOk9ClxXw_8</t>
  </si>
  <si>
    <t>NASA 2019  Keeping the Promise</t>
  </si>
  <si>
    <t>In 2019, NASA is once again preparing for human missions to the Moon. We're keeping the promise by developing new systems and spacecraft, making innovations in flight and technology,  living and doing science on the International Space Station, and  delivering images and discoveries from our home planet, our solar system and beyond.
This video is available for download from NASA's Image and Video Library: https://images.nasa.gov/details-NHQ_2019_0201_NASA_2019_-_Keeping_the_Promise.html</t>
  </si>
  <si>
    <t>aOk9ClxXw_8</t>
  </si>
  <si>
    <t>2018 12 25</t>
  </si>
  <si>
    <t>https://youtu.be/w-QbR1gWEP8</t>
  </si>
  <si>
    <t>Season’s Greetings from NASA 2018</t>
  </si>
  <si>
    <t>On December 24, 1968, Apollo 8 arrived at the Moon and began orbital insertion. The Apollo spacecraft flew most of the way to the Moon sideways,pointed toward celestial “north” for guidance purposes.
NASA astronauts Frank Borman, James Lovell, William Anders became the first humans to travel beyond low Earth orbit and orbit another celestial body.
They were also the first humans to see the far side of the Moon, and Earth as a whole planet, taking the famous Earthrise photo.
On this 50th anniversary of the historic flight of Apollo 8, NASA wishes Season’s Greetings to everyone on the good Earth.
https://www.nasa.gov/mission_pages/apollo/missions/apollo8.html
This video is available for download from NASA's Image and Video Library: https://images.nasa.gov/details-NHQ_2018_1221_Season%E2%80%99s%20%20Greetings%20from%20NASA%202018.html</t>
  </si>
  <si>
    <t>w-QbR1gWEP8</t>
  </si>
  <si>
    <t>2018 12 21</t>
  </si>
  <si>
    <t>https://youtu.be/Wfd0oC3eFWw</t>
  </si>
  <si>
    <t>Apollo 8  Around The Moon and Back</t>
  </si>
  <si>
    <t>50 years ago, three NASA astronauts embarked on a journey that would take them “Round the moon and back”. The Apollo 8 mission proved the performance of the command and service module. This historic mission launched on December 21, 1968 to demonstrate a lunar trajectory and was the first crewed launch of the Saturn V rocket. On Christmas Eve, Frank Borman, Jim Lovell, and Bill Anders were the first humans to orbit the Moon and the first to see an Earthrise above its surface.
This video is available for download from NASA's Image and Video Library: https://images.nasa.gov/details-NHQ_2018_1221_Apollo%208%20-%20Around%20The%20Moon%20and%20Back.html
Video Credit:
Producer/Editor: Amy Leniart</t>
  </si>
  <si>
    <t>Wfd0oC3eFWw</t>
  </si>
  <si>
    <t>2018 12 20</t>
  </si>
  <si>
    <t>https://youtu.be/Nrv2keOYGbQ</t>
  </si>
  <si>
    <t>NASA Explorers  Final Approach</t>
  </si>
  <si>
    <t>In the pre-dawn hours of a late October day, a satellite and an airplane joined forces over the frigid Weddell Sea, taking simultaneous measurements of drifting sea ice. It was the culmination of more than a decade of planning, designing and building the best way to measure Earth's changing ice. 
#NASAExplorers are constantly pushing the limit to learn more about our world and those far beyond. Join in as they celebrate a milestone in the quest to better understand the planet we call home.</t>
  </si>
  <si>
    <t>Nrv2keOYGbQ</t>
  </si>
  <si>
    <t>https://youtu.be/01fa_zQ_yqI</t>
  </si>
  <si>
    <t>NASA Administrator Jim Bridenstine Highlights Moon and Mars Exploration</t>
  </si>
  <si>
    <t>In this episode of “Watch this Space,” NASA Administrator Jim Bridenstine discusses NASA’s recent selection of U.S. companies to potentially deliver science payloads to the lunar surface. He also visits the Jet Propulsion Laboratory in California, where he discusses the Mars InSight landing and plans for Mars 2020.</t>
  </si>
  <si>
    <t>01fa_zQ_yqI</t>
  </si>
  <si>
    <t>2018 12 17</t>
  </si>
  <si>
    <t>https://youtu.be/5LpwhzCVTAY</t>
  </si>
  <si>
    <t>NASA Begins America’s New Moon to Mars Exploration Approach in 2018 - The Year @NASA</t>
  </si>
  <si>
    <t>With our Moon to Mars effort underway, a new administrator takes over to lead the charge, and – oh yeah – we stuck another nearly flawless landing on Mars! All that and more as we look back at what happened This Year @ NASA!
This video is available for download from NASA's Image and Video Library: https://images.nasa.gov/details-NHQ_2018_1217_NASA%20Begins%20America%E2%80%99s%20New%20Moon%20to%20Mars%20Exploration%20Approach%20in%202018%20-%20The%20Year%20@NASA.html</t>
  </si>
  <si>
    <t>5LpwhzCVTAY</t>
  </si>
  <si>
    <t>https://youtu.be/s6v-9Qf3qFg</t>
  </si>
  <si>
    <t>The Life and Death of a Planetary System</t>
  </si>
  <si>
    <t>How are stars and planets born? What happens to its planets when a star dies? At our Exoplanets website, come along on an epic interstellar journey, billions of years long, through the life and death of a planetary system: https://exoplanets.nasa.gov/life-and-death/intro/</t>
  </si>
  <si>
    <t>s6v-9Qf3qFg</t>
  </si>
  <si>
    <t>2018 12 14</t>
  </si>
  <si>
    <t>https://youtu.be/W6kuPPO48iE</t>
  </si>
  <si>
    <t>Venture Class Rockets  First Class Flights for CubeSats</t>
  </si>
  <si>
    <t>For years, tiny CubeSat satellites could only fly into space as hitchhikers, riding along with larger, primary payloads. Now, thanks to Venture Class Launch Services, these small packages of big science are getting their own rides into space on dedicated rockets -- and on their own terms. Rocket Lab USA of Huntington Beach, California, and Virgin Orbit of Long Beach, California, are the two companies poised to propel CubeSats from coach class to first class. Music Courtesy of Gothic Storm Music.</t>
  </si>
  <si>
    <t>W6kuPPO48iE</t>
  </si>
  <si>
    <t>2018 12 13</t>
  </si>
  <si>
    <t>https://youtu.be/zJ-kcuBuR3c</t>
  </si>
  <si>
    <t>NASA Explorers  The Launch</t>
  </si>
  <si>
    <t>It’s 5 a.m. on a normal September day and #NASAExplorers have gathered in a California field to watch a rocket launch light up the pre-dawn sky. On board the rocket is a satellite more than 10 years in the making, with one single instrument that will revolutionize the study of ice on Earth. Join the team in the excitement and stress of watching ICESat-2 launch into space and begin its work measuring our home planet.</t>
  </si>
  <si>
    <t>zJ-kcuBuR3c</t>
  </si>
  <si>
    <t>2018 12 11</t>
  </si>
  <si>
    <t>https://youtu.be/OfIlau2VVp4</t>
  </si>
  <si>
    <t>Apollo 8  A Story of Christmas Around the Moon</t>
  </si>
  <si>
    <t>50 years ago, three NASA astronauts embarked on a journey that would take them “Round the moon and back”.  The Apollo 8 mission proved the performance of the command and service module. This historic mission launched on December 21, 1968 to demonstrate a lunar trajectory and was the first manned launch of the Saturn V rocket. On Christmas Eve, Frank Borman, Jim Lovell, and Bill Anders were the first humans to orbit the Moon and the first to see an Earthrise above its surface. NASA Administrator Jim Bridenstine remembers the bravery and dedication of the Apollo 8 mission.
This video is available for download from NASA's Image and Video Library: https://images.nasa.gov/details-NHQ_20181211_Apollo%208_Bridenstine_FINAL.html
Video Credit:
Producer/Editor: Amy Leniart</t>
  </si>
  <si>
    <t>OfIlau2VVp4</t>
  </si>
  <si>
    <t>2018 12 07</t>
  </si>
  <si>
    <t>https://youtu.be/y7ZbghndiwQ</t>
  </si>
  <si>
    <t>NASA Explorers  Permafrost</t>
  </si>
  <si>
    <t>This week, #NASAExplorers head back in time…by going underground. In the Arctic, a frozen layer of soil – permafrost – trapped dead plants and animals for thousands of years. As the climate warms, that soil is beginning to thaw, releasing carbon dioxide and methane.</t>
  </si>
  <si>
    <t>y7ZbghndiwQ</t>
  </si>
  <si>
    <t>https://youtu.be/9B9YyxiLvZI</t>
  </si>
  <si>
    <t>New Crewmembers Onboard the Space Station on This Week @NASA – December 7, 2018</t>
  </si>
  <si>
    <t>The space station’s newest crew members are safely onboard, our first asteroid sample return mission arrives at its destination, and the first sounds from Mars … a few of the stories to tell you about – This Week at NASA!
This video is available for download from NASA's Image and Video Library: https://images.nasa.gov/details-NHQ_2018_1207_New%20Crewmembers%20Onboard%20the%20Space%20Station%20on%20This%20Week%20@NASA%20%E2%80%93%20December%207,%202018.html</t>
  </si>
  <si>
    <t>9B9YyxiLvZI</t>
  </si>
  <si>
    <t>2018 12 04</t>
  </si>
  <si>
    <t>https://youtu.be/yZoGUm_SFs8</t>
  </si>
  <si>
    <t xml:space="preserve">SpaceX's CRS-16 Mission to the Space Station  What's On Board </t>
  </si>
  <si>
    <t>SpaceX’s Dragon spacecraft will carry crew supplies, scientific research and hardware to the orbiting laboratory to support the Expedition 57 and 58 crews for the 16th contracted mission by SpaceX under NASA’s Commercial Resupply Services contract. Investigations on this flight include a test of robotic technology for refueling spacecraft, a project to map the world’s forests and two student studies inspired by Marvel’s “Guardians of the Galaxy” series. More: https://go.nasa.gov/2E21574</t>
  </si>
  <si>
    <t>yZoGUm_SFs8</t>
  </si>
  <si>
    <t>2018 12 03</t>
  </si>
  <si>
    <t>https://youtu.be/UhSemu3P8aY</t>
  </si>
  <si>
    <t xml:space="preserve">How and Why Is NASA's OSIRIS-REx Mission Visiting Asteroid Bennu </t>
  </si>
  <si>
    <t>On Dec. 3, 2018, the OSIRIS-REx spacecraft arrives at its target, near-Earth asteroid Bennu. Here, the team explains mission goals and the process of approach and rendezvous. OSIRIS-REx will study Bennu for two years before collecting a sample to return to Earth.</t>
  </si>
  <si>
    <t>UhSemu3P8aY</t>
  </si>
  <si>
    <t>2018 12 02</t>
  </si>
  <si>
    <t>https://youtu.be/6MS_vXQ50vc</t>
  </si>
  <si>
    <t>NASA Explorers  High Mountain Glaciers</t>
  </si>
  <si>
    <t>They’re rivers of ice, slowly flowing down the sides of mountains, and they currently have an outsized role in sea level rise. This week, #NASAExplorers are taking us high into the mountains of Alaska, Patagonia, Asia and elsewhere for a closer look at mountain glaciers.</t>
  </si>
  <si>
    <t>6MS_vXQ50vc</t>
  </si>
  <si>
    <t>2018 12 01</t>
  </si>
  <si>
    <t>https://youtu.be/ulr36BypZTU</t>
  </si>
  <si>
    <t xml:space="preserve">How Do You Assemble the Largest Rocket Ever Made </t>
  </si>
  <si>
    <t>At the Vehicle Assembly Building at Kennedy Space Center, technicians practice and prepare to stack NASA's Space Launch System rocket. The SLS fueled-up core stage weighs around 2.3 million pounds and measures 212 feet long.</t>
  </si>
  <si>
    <t>ulr36BypZTU</t>
  </si>
  <si>
    <t>2018 11 30</t>
  </si>
  <si>
    <t>https://youtu.be/_F4Y4NOQJHk</t>
  </si>
  <si>
    <t>InSight Mission Lands Safely on Mars on This Week @NASA – November 30, 2018</t>
  </si>
  <si>
    <t>Our InSight mission arrives at Mars, announcing the companies that will help us get to the Moon, and the space station’s next crew wraps up prelaunch activities … a few of the stories to tell you about – This Week at NASA!
This video is available for download from NASA's Image and Video Library: https://images.nasa.gov/details-NHQ_2018_1130_InSight%20Mission%20Lands%20Safely%20on%20Mars%20on%20This%20Week%20@NASA%20%E2%80%93%20November%2030,%202018.html</t>
  </si>
  <si>
    <t>_F4Y4NOQJHk</t>
  </si>
  <si>
    <t>2018 11 24</t>
  </si>
  <si>
    <t>https://youtu.be/kyD0q57zw40</t>
  </si>
  <si>
    <t xml:space="preserve">How Will NASA's InSight Spacecraft Land on Mars </t>
  </si>
  <si>
    <t>When NASA’s InSight descends to the Red Planet on Nov. 26, 2018, it's guaranteed to be a white-knuckle event. Rob Manning, chief engineer at NASA’s Jet Propulsion Laboratory, explains the critical steps that must happen in perfect sequence to get the robotic lander safely to the surface.
Download this video: https://images.nasa.gov/details-JPL-20181031-INSIGHf-0001-InSight%20Landing%20on%20Mars.html</t>
  </si>
  <si>
    <t>kyD0q57zw40</t>
  </si>
  <si>
    <t>2018 11 23</t>
  </si>
  <si>
    <t>https://youtu.be/wSetbwukWDQ</t>
  </si>
  <si>
    <t>Landing Site Selected for Mars 2020 Mission on This Week @NASA – November 23, 2018</t>
  </si>
  <si>
    <t>A landing site is selected for our next Mars rover, our InSight mission is in the home stretch of its journey to the Red Planet, and a week of celebration on the space station … a few of the stories to tell you about – This Week at NASA!
This video is available for download from NASA's Image and Video Library: https://images.nasa.gov/details-NHQ_2018_1123_Landing%20Site%20Selected%20for%20Mars%202020%20Mission%20on%20This%20Week%20@NASA%20%E2%80%93%20November%2023,%202018.html</t>
  </si>
  <si>
    <t>wSetbwukWDQ</t>
  </si>
  <si>
    <t>https://youtu.be/O1W4xVpAQio</t>
  </si>
  <si>
    <t>NASA Explorers  Frozen World</t>
  </si>
  <si>
    <t>You have to start somewhere when looking for life away from Earth. Many #NASAExplorers look for places with water ice, including distant moons like Enceladus and Europa. This week, we’re traveling away from our home planet to investigate ice in the solar system.</t>
  </si>
  <si>
    <t>O1W4xVpAQio</t>
  </si>
  <si>
    <t>2018 11 22</t>
  </si>
  <si>
    <t>https://youtu.be/Zg7i4q_EX9E</t>
  </si>
  <si>
    <t>Happy Thanksgiving From the International Space Station</t>
  </si>
  <si>
    <t>Astronauts Alex Gerst of ESA and Serena Auñón-Chancellor of NASA wish you a happy Thanksgiving! On station, the crew will share a holiday meal of turkey, stuffing, candied yams and spicy pound cake, and call home to speak with loved ones on Earth.</t>
  </si>
  <si>
    <t>Zg7i4q_EX9E</t>
  </si>
  <si>
    <t>2018 11 20</t>
  </si>
  <si>
    <t>https://youtu.be/m6308PIJ130</t>
  </si>
  <si>
    <t>InSight Mars Mission's Road to Launch  Countdown to T-Zero</t>
  </si>
  <si>
    <t>On Monday, Nov. 26, 2018, our InSight spacecraft is set to land on Mars: https://go.nasa.gov/2Qcl8lq. This new documentary from NASA Launch Services follows InSight's road to launch earlier this year &amp; May 5, 2018 liftoff from Vandenberg Air Force Base, California.</t>
  </si>
  <si>
    <t>m6308PIJ130</t>
  </si>
  <si>
    <t>2018 11 17</t>
  </si>
  <si>
    <t>https://youtu.be/01mdhIhZZy4</t>
  </si>
  <si>
    <t>Assisting Those Fighting the California Wildfires on This Week @NASA – November 17, 2018</t>
  </si>
  <si>
    <t>Data from space are informing those fighting the California wildfires, a U.S. commercial resupply mission launches to the space station, and showcasing the powerhouse for our Orion spacecraft … a few of the stories to tell you about – This Week at NASA!
This video is available for download from NASA's Image and Video Library: https://images.nasa.gov/details-NHQ_2018_1117_Assisting%20Those%20Fighting%20the%20California%20Wildfires%20on%20This%20Week%20@NASA%20%E2%80%93%20November%2017,%202018.html</t>
  </si>
  <si>
    <t>01mdhIhZZy4</t>
  </si>
  <si>
    <t>2018 11 16</t>
  </si>
  <si>
    <t>https://youtu.be/WeA7edXsU40</t>
  </si>
  <si>
    <t>We Are NASA</t>
  </si>
  <si>
    <t>We’ve taken giant leaps and left our mark in the heavens. Now we’re building the next chapter, returning to the Moon to stay, and preparing to go beyond.  We are NASA – and after 60 years, we’re just getting started. Special thanks to Mike Rowe for the voiceover work.
This video is available for download from NASA's Image and Video Library: https://images.nasa.gov/details/NHQ_2019_0508_We%20Are%20NASA</t>
  </si>
  <si>
    <t>WeA7edXsU40</t>
  </si>
  <si>
    <t>2018 11 15</t>
  </si>
  <si>
    <t>https://youtu.be/oFHy8vaP_Bw</t>
  </si>
  <si>
    <t>NASA Explorers  Glacial Pace</t>
  </si>
  <si>
    <t>#NASAExplorers study Earth's glaciers and ice sheets more than almost any other part of the cryosphere. As they melt and change, glaciers and ice sheets dramatically affect sea level rise and the climate system as a whole, creating an urgency to understand and forecast their behavior.</t>
  </si>
  <si>
    <t>oFHy8vaP_Bw</t>
  </si>
  <si>
    <t>2018 11 14</t>
  </si>
  <si>
    <t>https://youtu.be/q09lz9q3-yM</t>
  </si>
  <si>
    <t xml:space="preserve">Northrop Grumman CRS-10 Mission to the Space Station  What's On Board </t>
  </si>
  <si>
    <t>A "Refabricator" for sustainable ♻ in-space manufacturing and a multifunctional cell culture platform or "lab-on-a-chip" are just some of the science investigations heading to the International Space Station. They're on board Northrop Grumman's Cygnus resupply flight 10 (CRS-10), launching in mid-November on the Antares rocket from NASA's Wallops Flight Facility.  More: https://go.nasa.gov/2SVf82d</t>
  </si>
  <si>
    <t>q09lz9q3-yM</t>
  </si>
  <si>
    <t>2018 11 11</t>
  </si>
  <si>
    <t>https://youtu.be/_tVMaG7KLmY</t>
  </si>
  <si>
    <t>NASA Administrator Jim Bridenstine Veterans Day Message</t>
  </si>
  <si>
    <t>The NASA Administrator sends the agency’s workforce a message to observe Veterans Day 2018.
This video is available for download from NASA's Image and Video Library: https://images.nasa.gov/details-NASA%20Administrator%20Jim%20Bridenstine%20Veterans%20Day%20Message.html</t>
  </si>
  <si>
    <t>_tVMaG7KLmY</t>
  </si>
  <si>
    <t>2018 11 09</t>
  </si>
  <si>
    <t>https://youtu.be/0e8U2wQ51l0</t>
  </si>
  <si>
    <t>Parker Solar Probe “A okay” After Close Solar Approach on This Week @NASA – November 9, 2018</t>
  </si>
  <si>
    <t>An update on our mission to the Sun, preparations continue for Orion’s upcoming flight test, and a science chat about two upcoming out-of-this-world encounters … a few of the stories to tell you about – This Week at NASA!
This video is available for download from NASA's Image and Video Library: https://images.nasa.gov/details-NHQ_2018_1109_Parker%20Solar%20Probe%20%E2%80%9CA-okay%E2%80%9D%20After%20Close%20Solar%20Approach%20on%20This%20Week%20@NASA%20%E2%80%93%20November%209,%202018.html</t>
  </si>
  <si>
    <t>0e8U2wQ51l0</t>
  </si>
  <si>
    <t>https://youtu.be/hrNRr4ChKWg</t>
  </si>
  <si>
    <t>NASA Explorers  Ice Odyssey</t>
  </si>
  <si>
    <t>To know the evolution of sea ice and how we observe it from space is to know Dr. Claire Parkinson. Meet the scientist who continues to have a profound effect on the study of climate change through her work monitoring the health of global sea ice.</t>
  </si>
  <si>
    <t>hrNRr4ChKWg</t>
  </si>
  <si>
    <t>2018 11 08</t>
  </si>
  <si>
    <t>https://youtu.be/XHpwtRkrxdw</t>
  </si>
  <si>
    <t>NASA's Test Orion Spacecraft in the Pacific Ocean at Sunset</t>
  </si>
  <si>
    <t>Orion is NASA's spacecraft for carrying astronauts on exploration missions to the Moon and beyond. When Orion returns to Earth from space, it will be slowed by parachutes before splashdown. Here, NASA's recovery team and the U.S. Navy practice recovering a test Orion capsule from the ocean waters. Bonus: stunning views of the sunset in the Pacific off the coast of California!
This footage was captured on Nov. 1, 2018, during Underway Recovery Test-7 (URT-7) -- one in a series of tests that NASA's Exploration Ground Systems Recovery Team and the U.S. Navy are conducting: https://go.nasa.gov/2Ph6Mnr. These tests verify and validate procedures and hardware that will be used to recover the Orion spacecraft after it splashes down  in the Pacific Ocean following deep space exploration missions.
NASA/Jamie Peer 
Editor: NASA/Nasreen Alkhateeb
Download original footage: https://images.nasa.gov/details-KSC_20181101_MH_JBP_0002_BTA_Open_Water_Sunset_DRONE.html</t>
  </si>
  <si>
    <t>XHpwtRkrxdw</t>
  </si>
  <si>
    <t>2018 11 06</t>
  </si>
  <si>
    <t>https://youtu.be/8jdFlRDEkAA</t>
  </si>
  <si>
    <t>ICON Mission Is Go for Launch</t>
  </si>
  <si>
    <t>Launch of NASA's Ionospheric Connection Explorer, or ICON was targeted for the early morning on Nov. 7, 2018 but scrubbed - managers are evaluating the next launch attempt.  ICON will explore the dynamic region where Earth meets space: the ionosphere.
Find more views of the ionosphere from the International Space Station at https://eol.jsc.nasa.gov/BeyondThePhotography/
Music credit: Design Principle by Wayne Roberts
Credit: NASA’s Goddard Space Flight Center
Genna Duberstein (USRA): Lead Producer
Karen Fox (ASI): Lead Writer
Scott Wiessinger (USRA): Narrator
Tom Immel (SSL Berkeley): Lead Scientist
Douglas E. Rowland (NASA/GSFC): Scientist
Sarah L. Jones (NASA/GSFC): Scientist
Genna Duberstein (USRA): Editor
Music credit: Design Principle by Wayne Roberts
This video is public domain and along with other supporting visualizations can be downloaded from the Scientific Visualization Studio at: https://svs.gsfc.nasa.gov/12699
If you liked this video, subscribe to the NASA Goddard YouTube channel: https://www.youtube.com/NASAExplorer</t>
  </si>
  <si>
    <t>8jdFlRDEkAA</t>
  </si>
  <si>
    <t>2018 11 02</t>
  </si>
  <si>
    <t>https://youtu.be/le6NhxabmHs</t>
  </si>
  <si>
    <t>The Closest Spacecraft to the Sun on This Week @NASA – November 2, 2018</t>
  </si>
  <si>
    <t>A new record for our mission to the Sun, the end of an era for a prolific planet hunter, and our next mission to Mars is closing in on its destination … a few of the stories to tell you about – This Week at NASA!
This video is available for download from NASA's Image and Video Library: https://images.nasa.gov/details-NHQ_2018_1102_The%20Closest%20Spacecraft%20to%20the%20Sun%20on%20This%20Week%20@NASA%20%E2%80%93%20November%202,%202018.html</t>
  </si>
  <si>
    <t>le6NhxabmHs</t>
  </si>
  <si>
    <t>https://youtu.be/7k2uKb9vCOI</t>
  </si>
  <si>
    <t>First 8K Video from Space - Ultra HD</t>
  </si>
  <si>
    <t>Science gets scaled up with the first 8K ultra high definition (UHD) video from the International Space Station. Get closer to the in-space experience and see how the international partnership-powered human spaceflight is improving lives on Earth, while enabling humanity to explore the universe. More: https://go.nasa.gov/2zgPY5o Special thanks to the European Space Agency, the ISS National Lab, and astronauts Alexander Gerst, Serena Auñón-Chancellor, Ricky Arnold and Drew Feustel.
Download this video: https://images.nasa.gov/details-First-8K-Video-from-Space.html
Featured investigations and facilities:
0:01, 2:36 BEST seeks to advance use of sequencing DNA and RNA in space. https://go.nasa.gov/2tNntKu
0:13 The Minus Eighty-Degree Laboratory Freezer for ISS (MELFI) is a cold storage unit that maintains experiment samples at ultra-cold temperatures throughout a mission.  https://go.nasa.gov/2RkJAl5
0:21 The Advanced Plant Habitat (APH), a recent addition to the space station, is the largest growth chamber aboard the orbiting laboratory. https://go.nasa.gov/2JCi8vV
0:33 Canadarm2 is part of Canada's contribution to the space station. This 17-metre-long robotic arm was extensively involved in the assembly of the orbiting laboratory. https://go.nasa.gov/2ReaU42
0:41 Crew Earth Observations record how the planet is changing over time, from human-caused changes like urban growth and reservoir construction, to natural dynamic events such as hurricanes, floods and volcanic eruptions. https://go.nasa.gov/2KLFAaq
0:49 The Light Microscopy Module (LMM) is a modified commercial, highly flexible, state-of-the-art light imaging microscope facility that provides researchers with powerful diagnostic hardware and software onboard the space station. https://go.nasa.gov/2RfdYwS
0:53 ACE-T-2 looks at the assembly of complex structures from micron-scale colloidal particles interacting via tunable attractive interactions. https://go.nasa.gov/2Re2ppS
0:57 Plant Habitat-1 comprehensively compares differences in genetics, metabolism, photosynthesis, and gravity sensing between plants grown in space and on Earth. https://go.nasa.gov/2MdDBfc
1:05 The Cupola provides an observation and work area for the International Space Station crew that gives visibility to support the control of the station’s robotic arms, and a beautiful view of the Earth, celestial objects and visiting vehicles. https://go.nasa.gov/2CRsxCT 
1:14 Atomization observes the disintegration processes of low-speed water jets under various conditions to improve spray combustion processes inside rocket and jet engines. https://go.nasa.gov/2RkKrlN
1:30 BCAT-CS focuses on the study of forces between particles that cluster together by studying sediments of quartz and clay particles. https://go.nasa.gov/2p6WBSV
1:38 Functional Immune analyzes blood and saliva samples to determine the changes taking place in crew members’ immune systems during flight. https://go.nasa.gov/2RfUMz1
2:03 Life Support Rack (LSR) is a technology demonstrator for closed loop air revitalization. https://go.nasa.gov/2Rdfi3C   
2:15 The Japanese Experiment Module Airlock is used to deliver science experiments to external platforms, and prepare small satellites for deployment from station. https://go.nasa.gov/2RdcBik
2:23 SPHERES Tether Slosh combines fluid dynamics equipment with robotic capabilities aboard the space station to investigate automated strategies for steering passive cargo that contain fluids. https://go.nasa.gov/2RfQPdQ
Follow updates on the science conducted aboard the space station on Twitter:
https://twitter.com/iss_research 
For more information on how you can conduct your research in microgravity, visit https://go.nasa.gov/2q84LJj</t>
  </si>
  <si>
    <t>7k2uKb9vCOI</t>
  </si>
  <si>
    <t>2018 11 01</t>
  </si>
  <si>
    <t>https://youtu.be/a3NF-r98y1M</t>
  </si>
  <si>
    <t>Dusk for Dawn, NASA's Mission to the Asteroid Belt</t>
  </si>
  <si>
    <t>The mission has ended for NASA’s Dawn spacecraft, but the science lives on. Dawn was an intrepid explorer of the asteroid belt and the first mission to orbit two worlds beyond Earth: https://go.nasa.gov/2zl1Y5T. For more info on the mission, visit https://dawn.jpl.nasa.gov</t>
  </si>
  <si>
    <t>a3NF-r98y1M</t>
  </si>
  <si>
    <t>2018 10 31</t>
  </si>
  <si>
    <t>https://youtu.be/60D5EWLb20Y</t>
  </si>
  <si>
    <t>NASA Explorers  The Snow Below</t>
  </si>
  <si>
    <t>Snow is one part of the cryosphere that many of us have actually encountered, but it also plays a crucial role in regulating Earth’s climate. Through decades of remote sensing, NASA has kept a close eye on the ebb and flow of snow cover. #NASAExplorers also venture into the field at the far reaches of Earth to study snow, a critical resource for the millions of people who rely on it for drinking water.</t>
  </si>
  <si>
    <t>60D5EWLb20Y</t>
  </si>
  <si>
    <t>https://youtu.be/_V7J05fK5e0</t>
  </si>
  <si>
    <t>Legacy of NASA’s Kepler Space Telescope  More Planets Than Stars</t>
  </si>
  <si>
    <t>After 9 years in space collecting data that revealed our night sky to be filled with trillions of hidden planets, NASA is ending the Kepler space telescope’s science operations. Kepler discovered over 2,600 planets, some of which could be promising places for life. https://go.nasa.gov/2P2umV1</t>
  </si>
  <si>
    <t>_V7J05fK5e0</t>
  </si>
  <si>
    <t>2018 10 30</t>
  </si>
  <si>
    <t>https://youtu.be/tznqvq2Po8o</t>
  </si>
  <si>
    <t>You have heard of astronaut ice-cream? Well, these trick-or-treaters are loaded up with “NASA candy.” Watch as these kids marvel at the special Halloween treats in store for them. Also, as the kids will be doing, check out NASA’s InSight landing on Mars on November 26, 2018, at www.nasa.gov/insight.</t>
  </si>
  <si>
    <t>tznqvq2Po8o</t>
  </si>
  <si>
    <t>2018 10 28</t>
  </si>
  <si>
    <t>https://youtu.be/1Lb-r9-Dczw</t>
  </si>
  <si>
    <t>Supersonic Parachute for NASA's Mars 2020 Rover Is Go</t>
  </si>
  <si>
    <t>Watch as NASA tests a new parachute for landing the Mars 2020 rover on the Red Planet. On Sept. 7, NASA’s ASPIRE project broke a record when its rocket-launched parachute deployed in 4-10ths of a second—the fastest inflation of this size chute in history: https://go.nasa.gov/2Ro4eAL</t>
  </si>
  <si>
    <t>1Lb-r9-Dczw</t>
  </si>
  <si>
    <t>2018 10 26</t>
  </si>
  <si>
    <t>https://youtu.be/mi2PCuGSllo</t>
  </si>
  <si>
    <t>Talking Moon to Mars and more on This Week @NASA – October 26, 2018</t>
  </si>
  <si>
    <t>A week full of Moon to Mars and more for administrator Bridenstine, seeking ideas for future cargo deliveries to our Gateway, and an oddity of an iceberg … a few of the stories to tell you about – This Week at NASA!
This video is available for download from NASA's Image and Video Library: https://images.nasa.gov/details-NHQ_2018_1026_Talking%20Moon%20to%20Mars%20and%20more%20on%20This%20Week%20@NASA%20%E2%80%93%20October%2026,%202018.html</t>
  </si>
  <si>
    <t>mi2PCuGSllo</t>
  </si>
  <si>
    <t>2018 10 25</t>
  </si>
  <si>
    <t>https://youtu.be/cToazVt_aCc</t>
  </si>
  <si>
    <t>Life at the Lab  Predicting Severe Weather</t>
  </si>
  <si>
    <t>NASA is working to predict severe weather by studying cloud tops using latest generation satellite technology. This research can help alert forecasters of damaging hail and tornados even earlier than before. More: https://go.nasa.gov/2vNheY9</t>
  </si>
  <si>
    <t>cToazVt_aCc</t>
  </si>
  <si>
    <t>2018 10 24</t>
  </si>
  <si>
    <t>https://youtu.be/L2H_vIqyWTU</t>
  </si>
  <si>
    <t>NASA Explorers  Cryosphere - The Big Thaw</t>
  </si>
  <si>
    <t>NASA Explorers is a new digital series that takes you inside the space agency and follows the pioneers, risk-takers and experts at the front line of exploration. Season 1, “Cryosphere,” joins NASA scientists on their journey to the frozen ends of the Earth as they study our rapidly changing world from satellites, planes and boots on the ground. The Cryosphere is a place we all depend on, but many of us will never go to. As temperatures rise, the frozen regions of Earth are changing rapidly. NASA scientists are locked in a race against time to understand our shifting climate and how it affects life on Earth.</t>
  </si>
  <si>
    <t>L2H_vIqyWTU</t>
  </si>
  <si>
    <t>https://youtu.be/3KrToNURGvI</t>
  </si>
  <si>
    <t>Flight Over a Rectangular Iceberg in the Antarctic</t>
  </si>
  <si>
    <t>Can you spot the sharp-angled, rectangular iceberg? This footage (partially sped up) is from an Oct. 16, 2018 flight over the northern Antarctic Peninsula by our Operation IceBridge DC-8 aircraft. Mission Scientist John Sonntag provides commentary. More: https://go.nasa.gov/2JdEy71
Operation IceBridge is NASA’s longest-running aerial survey of polar ice. During the survey, designed to assess changes in the ice height of several glaciers draining into the Larsen A, B and C embayments, IceBridge senior support scientist Jeremy Harbeck saw a very sharp-angled, tabular iceberg floating among sea ice just off of the Larsen C ice shelf. A photo of the iceberg (seen at right) was widely shared after it was posted on social media.</t>
  </si>
  <si>
    <t>3KrToNURGvI</t>
  </si>
  <si>
    <t>2018 10 23</t>
  </si>
  <si>
    <t>https://youtu.be/g9dNgHGtHqU</t>
  </si>
  <si>
    <t>NASA Explorers  Cryosphere Trailer</t>
  </si>
  <si>
    <t>It’s not rockets and satellites that make NASA soar. It’s people. NASA Explorers is a new digital series that takes you inside the space agency and follows the pioneers, risk-takers and experts at the frontline of exploration. Season 1, “Cryosphere,” joins NASA scientists on their journey to the frozen ends of the Earth as they study our rapidly changing world from satellites, planes and boots on the ground.</t>
  </si>
  <si>
    <t>g9dNgHGtHqU</t>
  </si>
  <si>
    <t>https://youtu.be/hLP_IQJ8Tso</t>
  </si>
  <si>
    <t>Administrator Bridenstine Joins Washington Post Discussion  The New Space Age</t>
  </si>
  <si>
    <t>The Washington Post hosted “Transformers: Space” which featured prominent speakers in the fields of space science and policy. The New Space Age discussion included NASA Administrator Jim Bridenstine, Planetary Society CEO Bill Nye and Dr. Heidi Hammel, Vice President of the Board of Directors of the Planetary Society.  These speakers discussed the most important issues on the country’s space agenda including the future of the International Space Station, America’s plans to return to the Moon, and the search for life in the cosmos.
This video is available for download from NASA's Image and Video Library: https://images.nasa.gov/details-NASA%20Administrator%20Participates%20in%20a%20Washington%20Post%20Discussion%20The%20New%20Space%20Age.html</t>
  </si>
  <si>
    <t>hLP_IQJ8Tso</t>
  </si>
  <si>
    <t>2018 10 22</t>
  </si>
  <si>
    <t>https://youtu.be/ur5txa42D9I</t>
  </si>
  <si>
    <t>Take a Tour of Distant Cosmic Object GRB150101B</t>
  </si>
  <si>
    <t>Views of distant cosmic object GRB 150101B were generated with data from NASA's Chandra X-Ray Observatory. This object may be a relative to GW170817, where astronomers made the first X-ray detection of a gravitational wave source. More: https://go.nasa.gov/2NKjMN1</t>
  </si>
  <si>
    <t>ur5txa42D9I</t>
  </si>
  <si>
    <t>2018 10 20</t>
  </si>
  <si>
    <t>https://youtu.be/cFC71rFejvo</t>
  </si>
  <si>
    <t>Clair de Lune 4K Version - Moon Images from NASA's Lunar Reconnaissance Orbiter</t>
  </si>
  <si>
    <t>This visualization uses a digital 3D model of the Moon built from global elevation maps and image mosaics by NASA's Lunar Reconnaissance Orbiter mission. It was created to accompany a performance of Claude Debussy's Clair de Lune by the National Symphony Orchestra Pops, led by conductor Emil de Cou, at the Kennedy Center for the Performing Arts in Washington, DC, on June 1 and 2, 2018, as part of a celebration of NASA's 60th anniversary.
Clair de Lune (moonlight in French) was published in 1905, as the third of four movements in the composer's Suite Bergamasque, and unlike the other parts of this work, Clair is quiet, contemplative, and slightly melancholy, evoking the feeling of a solitary walk through a moonlit garden.
The visuals were composed like a nature documentary, with clean cuts and a mostly stationary virtual camera. The viewer follows the Sun throughout a lunar day, seeing sunrises and then sunsets over prominent features on the Moon. The sprawling ray system surrounding Copernicus crater, for example, is revealed beneath receding shadows at sunrise and later slips back into darkness as night encroaches.
This video is public domain and along with other supporting visualizations can be downloaded from the Scientific Visualization Studio at: http://svs.gsfc.nasa.gov/4655
Credit: NASA's Scientific Visualization Studio 
If you liked this video, subscribe to the NASA Goddard YouTube channel: http://www.youtube.com/NASAExplorer
Visualization Credits 
Ernie Wright (USRA)
Lead Visualizer and Editor
Laurence Schuler (ADNET Systems Inc.)
Technical Support 
Ian Jones (ADNET Systems Inc.)
Technical Support 
Wade Sisler (NASA/GSFC)
Producer 
Noah Petro (NASA/GSFC)
Scientist</t>
  </si>
  <si>
    <t>cFC71rFejvo</t>
  </si>
  <si>
    <t>https://youtu.be/QcFmSH9GY2k</t>
  </si>
  <si>
    <t>NASA Administrator Talks Training, Future Missions with Newest Astronaut Class</t>
  </si>
  <si>
    <t>NASA’s newest class of astronaut trainees joined agency Administrator Jim Bridenstine Sept. 27 at NASA headquarters, to talk about their experiences in the training program, hopes for future missions, and more, in a live episode of “Watch This Space”.
Astronaut candidates Zena Cardman, Jasmin Moghbeli, Jonny Kim, Frank Rubio, Matthew Dominick, Warren Hoburg, Kayla Barron, Bob Hines, Raja Chari, Loral O' Hara and Jessica Watkins were joined by Canadian Space Agency astronaut candidates Joshua Kutryk and Jenni Sidey-Gibbons. The first U.S. astronauts, the “Original Seven,” were selected in 1959. Since then, NASA has selected 21 more groups of astronauts. This latest class, announced on June 7, 2017, includes a physician, biologist, geologist, military pilots and engineers.
Once their training is complete, they may be assigned to any of a variety of missions, including: performing research on the International Space Station, launching from American soil on spacecraft built by U.S. commercial companies, and departing for deep space missions on NASA’s new Orion spacecraft and Space Launch System rocket.
Learn more about the 2017 astronaut candidate class at: https://www.nasa.gov/2017astronauts.
This video is available for download from NASA's Image and Video Library:https://images.nasa.gov/details-NASA%20Administrator%20Talks%20Training,%20Future%20Missions%20with%20Newest%20Astronaut%20Class.html</t>
  </si>
  <si>
    <t>QcFmSH9GY2k</t>
  </si>
  <si>
    <t>2018 10 19</t>
  </si>
  <si>
    <t>https://youtu.be/iauo11KsAPY</t>
  </si>
  <si>
    <t>Administrator Bridenstine chats with astronaut Nick Hague on This Week @NASA – October 19, 2018</t>
  </si>
  <si>
    <t>Our administrator chats with astronaut Nick Hague, OSIRIS-REx “brakes” for a certain asteroid, and what landing site is right for our next mission to Mars? A few of the stories to tell you about – This Week at NASA!
This video is available for download from NASA's Image and Video Library: https://images.nasa.gov/details-NHQ_2018_1019_Administrator%20Bridenstine%20chats%20with%20astronaut%20Nick%20Hague%20on%20This%20Week%20@NASA%20%E2%80%93%20October%2019,%202018.html</t>
  </si>
  <si>
    <t>iauo11KsAPY</t>
  </si>
  <si>
    <t>https://youtu.be/LNkmwrTjKuo</t>
  </si>
  <si>
    <t>Launch Pad Water Deluge System Test at NASA Kennedy Space Center</t>
  </si>
  <si>
    <t>This system is used to reduce extreme heat and energy generated by a rocket launch.🚀 On Oct. 15, 2018, the Ignition Overpressure Protection and Sound Suppression water deluge system at Kennedy Space Center's Launch Pad 39B was tested, sending water about 100 feet in the air. The test is part of preparation for launching our Space Launch System rocket on Exploration Mission-1 and subsequent missions. 
Modifications were made to the pad after a previous wet flow test, increasing the performance of the system. During launch, this water deluge system will release approximately 450,000 gallons of water across the mobile launcher and Flame Deflector.
Credit: NASA Kennedy Space Center</t>
  </si>
  <si>
    <t>LNkmwrTjKuo</t>
  </si>
  <si>
    <t>2018 10 18</t>
  </si>
  <si>
    <t>https://youtu.be/40VBnLyrUyw</t>
  </si>
  <si>
    <t>NASA's Dawn Mission Nears the End</t>
  </si>
  <si>
    <t>After 11 years of 🌌breathtaking imagery, ⚙️unprecedented feats of engineering &amp; 🛰️spacecraft records broken — it’s nearly time to bid farewell to NASA's Dawn spacecraft as it comes to the expected end of the mission. Learn about its final orbits at Ceres: https://go.nasa.gov/dawnfinale</t>
  </si>
  <si>
    <t>40VBnLyrUyw</t>
  </si>
  <si>
    <t>2018 10 17</t>
  </si>
  <si>
    <t>https://youtu.be/UTaE0_jrHk0</t>
  </si>
  <si>
    <t>NASA Administrator Bridenstine Talks With Astronaut Nick Hague</t>
  </si>
  <si>
    <t>NASA Administrator Jim Bridenstine talks via satellite with astronaut Nick Hague in Houston. Hague and Russian crewmate Alexey Ovchinin safely made a ballistic landing in Kazakhstan on Oct. 11, when the launch of their Soyuz spacecraft to the International Space Station was aborted due to an anomaly.
This video is available for download from NASA's Image and Video Library: https://images.nasa.gov/details-NHQ_2018_1017_NASA%20Administrator%20Bridenstine%20Talks%20With%20Astronaut%20Nick%20Hague.html</t>
  </si>
  <si>
    <t>UTaE0_jrHk0</t>
  </si>
  <si>
    <t>https://youtu.be/vqEpCDCnduU</t>
  </si>
  <si>
    <t>Q&amp;A with Astronaut Nick Hague on Launch Anomaly and Safe Landing</t>
  </si>
  <si>
    <t>On Thurs., Oct. 11, 2018, Nick Hague's planned launch to the International Space Station aboard a Soyuz spacecraft ended minutes later in a safe landing on Earth, after an issue with the rocket's booster: https://youtu.be/LUwnLFKfuBE He answered questions for the first time on Oct. 16, in a Facebook Live event with NASA's followers.  
Learn more about the incident: https://www.nasa.gov/feature/astronaut-cosmonaut-safe-after-abort-during-launch-to-international-space-station
Learn more about astronaut Nick Hague: https://www.nasa.gov/astronauts/biographies/tyler-nick-hague</t>
  </si>
  <si>
    <t>vqEpCDCnduU</t>
  </si>
  <si>
    <t>2018 10 15</t>
  </si>
  <si>
    <t>https://youtu.be/Vk2AkJmt6GQ</t>
  </si>
  <si>
    <t>NASA Employees Celebrate Hispanic Heritage Month</t>
  </si>
  <si>
    <t>NASA employees tell their stories for Hispanic Heritage Month. Each year, Americans observe National Hispanic Heritage month from September 15 – October 15, by celebrating the histories, cultures and contributions of American citizens whose ancestors came from Spain, Mexico, the Caribbean and Central and South America. https://go.nasa.gov/2PAkYnH</t>
  </si>
  <si>
    <t>Vk2AkJmt6GQ</t>
  </si>
  <si>
    <t>https://youtu.be/jxlvbFOIXUk</t>
  </si>
  <si>
    <t>Space Station Science at 17,500 Miles Per Hour</t>
  </si>
  <si>
    <t>The International Space Station is your orbiting laboratory, and the science being conducted there will help us push farther into deep space, while providing benefits back on Earth. Microgravity unlocks new worlds of discovery. See what we’re learning: https://go.nasa.gov/2fKxty8</t>
  </si>
  <si>
    <t>jxlvbFOIXUk</t>
  </si>
  <si>
    <t>2018 10 12</t>
  </si>
  <si>
    <t>https://youtu.be/KNElTfFtBL4</t>
  </si>
  <si>
    <t>Soyuz Crew Lands Safely After Launch Anomaly on This Week @NASA – October 12, 2018</t>
  </si>
  <si>
    <t>Soyuz crew is safe following a launch anomaly, another major hurricane seen from space, and testing continues for the rocket engine that will power us to deep space … a few of the stories to tell you about – This Week at NASA!
This video is available for download from NASA's Image and Video Library: https://images.nasa.gov/details-NHQ_2018_1012_Soyuz%20Crew%20Lands%20Safely%20After%20Launch%20Anomaly%20on%20This%20Week%20@NASA%20%E2%80%93%20October%2012,%202018.html</t>
  </si>
  <si>
    <t>KNElTfFtBL4</t>
  </si>
  <si>
    <t>https://youtu.be/VTFHiRbOFkU</t>
  </si>
  <si>
    <t>Historic NASA Mission Hits the Big Screen</t>
  </si>
  <si>
    <t>The cast and crew of Universal’s feature film First Man reflect on the story of Neil Armstrong and the Apollo 11 moon landing, one of NASA’s most notable figures and one of the agency's crowning achievements. They also note their visits to NASA and working with the agency's staff in the production of the film. NASA provided our historical expertise, footage and imagery, plus allowed for filming access at our facilities.
Film footage provided courtesy of Universal Pictures.</t>
  </si>
  <si>
    <t>VTFHiRbOFkU</t>
  </si>
  <si>
    <t>2018 10 11</t>
  </si>
  <si>
    <t>https://youtu.be/wolBYX84Efk</t>
  </si>
  <si>
    <t>Apollo 50th  First Crew Launches on Apollo 7</t>
  </si>
  <si>
    <t>On October 11th, 1968, just 15 months from President Kennedy’s deadline for a moon landing, NASA launched its first Apollo crew into space.  Apollo 7’s Wally Schirra, Donn Eisele, and Walter Cunningham spent 11 days in low Earth orbit, thoroughly testing the Apollo Command and Service Module’s systems. The crew also won an Emmy for the first live television broadcasts from an American spacecraft.
This video is available for download from NASA's Image and Video Library: https://images.nasa.gov/details-NHQ_2018_1011_Apollo%2050th%20-%20First%20Crew%20Launches%20on%20Apollo%207.html</t>
  </si>
  <si>
    <t>wolBYX84Efk</t>
  </si>
  <si>
    <t>https://youtu.be/LUwnLFKfuBE</t>
  </si>
  <si>
    <t>Crew Safe After Soyuz Launch Abort</t>
  </si>
  <si>
    <t>NASA astronaut Nick Hague and Russian cosmonaut Alexey Ovchinin are in good condition following an aborted launch of their Soyuz spacecraft.
The Soyuz MS-10 spacecraft launched from the Baikonur Cosmodrome in Kazakhstan to the International Space Station at 4:40 a.m. EDT Thursday, October 11 (2:40 p.m. in Baikonur) carrying American astronaut Nick Hague and Russian cosmonaut Alexey Ovchinin. Shortly after launch, there was an anomaly with the booster and the launch ascent was aborted, resulting in a ballistic landing of the spacecraft. Search and rescue teams were deployed to the landing site. Hague and Ovchinin are out of the capsule and are reported to be in good condition.
Note: This video is edited for length, but includes the launch, the initial report of the issue, and the confirmation that the crew landed safely.</t>
  </si>
  <si>
    <t>LUwnLFKfuBE</t>
  </si>
  <si>
    <t>2018 10 09</t>
  </si>
  <si>
    <t>https://youtu.be/QbDb4J7dgUk</t>
  </si>
  <si>
    <t>Hurricane Michael From Space on October 9</t>
  </si>
  <si>
    <t>Cameras outside the International Space Station captured views of Hurricane Michael at 12:13 p.m. and 12:50 p.m. EDT Oct. 9 from an altitude of 255 miles as the storm churned over the Gulf of Mexico moving northwest at 12 miles an hour. More: https://go.nasa.gov/2NxKdp4 
Michael is expected to make landfall Wednesday, Oct. 10 as a category 3 hurricane over the Florida panhandle.
For more info: www.nasa.gov/station</t>
  </si>
  <si>
    <t>QbDb4J7dgUk</t>
  </si>
  <si>
    <t>2018 10 05</t>
  </si>
  <si>
    <t>https://youtu.be/SH7koYc0tac</t>
  </si>
  <si>
    <t>Sixty Years of NASA and Counting, on This Week @NASA – October 5, 2018</t>
  </si>
  <si>
    <t>Celebrating sixty years of NASA, space station crew makes a safe return to Earth , and evidence of a possible discovery outside our solar system … a few of the stories to tell you about – This Week at NASA!
This video is available for download from NASA's Image and Video Library: https://images.nasa.gov/details-NHQ_2018_1005_Sixty%20Years%20of%20NASA%20and%20Counting,%20on%20This%20Week%20@NASA%20%E2%80%93%20October%205,%202018.html</t>
  </si>
  <si>
    <t>SH7koYc0tac</t>
  </si>
  <si>
    <t>https://youtu.be/3lQA9K9CrQk</t>
  </si>
  <si>
    <t>Possible Moon Found Outside Solar System by Hubble and Kepler Telescopes</t>
  </si>
  <si>
    <t>The Hubble and Kepler space telescopes found evidence for what could be a giant moon accompanying a gas-giant planet that orbits the star Kepler-1625, located 8,000 light-years away in the constellation Cygnus. News release: https://go.nasa.gov/2yc4sCY 
The moon may be as big as Neptune and it orbits a planet several times more massive than Jupiter.  
Credit: NASA’s Goddard Space Flight Center/Katrina Jackson 
Music Credits: 
"Momentum" by Guillaume Bernard [SACEM]; KTSA Publishing SACEM; Gum Tapes; Killer Tracks Production Music 
"Continental Drift" by Estelle Treville [SACEM], Pascal Marius [SACEM]; KTSA Publishing SACEM; Gum Tapes; Killer Tracks Production Music 
Find the science paper at http://advances.sciencemag.org/content/4/10/eaav1784 
Visuals are also available at https://go.nasa.gov/2OanZP2
This video is public domain and along with other supporting visualizations can be downloaded from the Scientific Visualization Studio at: https://svs.gsfc.nasa.gov/13087</t>
  </si>
  <si>
    <t>3lQA9K9CrQk</t>
  </si>
  <si>
    <t>2018 10 02</t>
  </si>
  <si>
    <t>https://youtu.be/uDhDZi9Qxhk</t>
  </si>
  <si>
    <t>Supercomputer Simulation Reveals Supermassive Black Holes</t>
  </si>
  <si>
    <t>A new supercomputer model could help astronomers find spiraling, merging systems of two supermassive black holes. These mergers happen often in the universe, but are hard to see. Watch as the simulation reveals the merger's brighter, more variable X-rays. https://go.nasa.gov/2OsaMAs 
Credit: NASA's Goddard Space Flight Center 
Music: "Games Show Sphere 01" from Killer Tracks 
This video is public domain and along with other supporting visualizations can be downloaded from the Scientific Visualization Studio at: http://svs.gsfc.nasa.gov/13043</t>
  </si>
  <si>
    <t>uDhDZi9Qxhk</t>
  </si>
  <si>
    <t>2018 10 01</t>
  </si>
  <si>
    <t>https://youtu.be/i5k7von5rKI</t>
  </si>
  <si>
    <t>Message from the Administrator  Celebrating NASA's 60th Birthday</t>
  </si>
  <si>
    <t>NASA Administrator Jim Bridenstine's message to the NASA workforce on the agency's accomplishments over six incredible decades, and future plans including missions to the Moon and on to Mars. For more, visit: https://www.nasa.gov/60</t>
  </si>
  <si>
    <t>i5k7von5rKI</t>
  </si>
  <si>
    <t>https://youtu.be/1UaBgr_sq9A</t>
  </si>
  <si>
    <t>NASA  60 Years in 60 Seconds</t>
  </si>
  <si>
    <t>Congress passed the National Aeronautics and Space Act, on July 16 and President Eisenhower signed it into law on July 29, 1958. NASA opened for business on Oct. 1, 1958, with T. Keith Glennan as our first administrator. Our history tells a story of exploration, innovation and discoveries. The next 60 years, that story continues. Learn more: https://www.nasa.gov/60
This video is available for download from NASA's Image and Video Library: https://images.nasa.gov/details-NASA%2060%20Years%20in%2060%20Seconds.html</t>
  </si>
  <si>
    <t>1UaBgr_sq9A</t>
  </si>
  <si>
    <t>2018 09 30</t>
  </si>
  <si>
    <t>https://youtu.be/BKxrkKSzILs</t>
  </si>
  <si>
    <t>NASA Astronaut Drew Feustel Records Music Video from Space</t>
  </si>
  <si>
    <t>NASA astronaut Drew Feustel recorded this music video from space. Feustel launched to the International Space Station in March 2018 and is currently serving as Expedition 56 Commander. Drew thanks all who helped bring this to life, including his friend, Gord Sinclair, for giving him permission to use the song, and the crew of Expeditions 55 and 56 for their support and participation in NASA’s human space exploration mission.
Learn more about the International Space Station by visiting https://www.nasa.gov/mission_pages/station/main/index.html</t>
  </si>
  <si>
    <t>BKxrkKSzILs</t>
  </si>
  <si>
    <t>2018 09 28</t>
  </si>
  <si>
    <t>https://youtu.be/vZBSZLn60Ms</t>
  </si>
  <si>
    <t>Opportunity Spotted as Dust Settles on Mars on This Week @NASA – September 28, 2018</t>
  </si>
  <si>
    <t>A dusty Opportunity spotted on Mars, hot firing the rocket engine that will power us to deep space, and a visit with our newest class of astronaut candidates … a few of the stories to tell you about – This Week at NASA!
This video is available for download from NASA's Image and Video Library: https://images.nasa.gov/details-NHQ_2018_0928_Opportunity%20Spotted%20as%20Dust%20Settles%20on%20Mars%20on%20This%20Week%20@NASA%20%E2%80%93%20September%2028,%202018.html</t>
  </si>
  <si>
    <t>vZBSZLn60Ms</t>
  </si>
  <si>
    <t>https://youtu.be/GMDiL_DICeU</t>
  </si>
  <si>
    <t>NASA 60th  Humans in Space</t>
  </si>
  <si>
    <t>It is part of the human spirit to explore. During 60 years, we have selected 350 people as astronauts to lead the way. For nearly two decades, humans have been living and working aboard the International Space Station in low-Earth orbit to enable future missions forward to the Moon and on to Mars while also leading discoveries that improve life on Earth. Congress passed the National Aeronautics and Space Act on July 16, and President Eisenhower signed it into law on July 29, 1958. NASA opened for business on Oct. 1, 1958. Our history tells a story of exploration, innovation and discoveries. That story continues in the next 60 years. Learn more: https://www.nasa.gov/60
This video is available for download from NASA's Image and Video Library: https://images.nasa.gov/details-NHQ_2018_0926_NASA%2060_Humans%20in%20Space%20FINAL.html</t>
  </si>
  <si>
    <t>GMDiL_DICeU</t>
  </si>
  <si>
    <t>2018 09 25</t>
  </si>
  <si>
    <t>https://youtu.be/6jq8-UjhHh4</t>
  </si>
  <si>
    <t>Sunset, Nighttime and Sunrise from the International Space Station</t>
  </si>
  <si>
    <t>Astronaut Ricky Arnold, a member of the Expedition 56 crew on the space station, shared this video of Earth through one recent night and into sunrise and the dawn of a new orbit. Each day, the station travels through 16 sunrises and sunsets. More station facts: https://go.nasa.gov/2ORXpGv</t>
  </si>
  <si>
    <t>6jq8-UjhHh4</t>
  </si>
  <si>
    <t>2018 09 24</t>
  </si>
  <si>
    <t>https://youtu.be/TrIyqnAFHNs</t>
  </si>
  <si>
    <t>How Do We Prepare a Spacecraft for Launch  Countdown to T-Zero for NASA's TESS Mission</t>
  </si>
  <si>
    <t>Revisit the April 18, 2018, launch of NASA's Transiting Exoplanet Survey Satellite (TESS) aboard a SpaceX Falcon 9 rocket. TESS is already scanning the skies, identifying planet candidates that may be orbiting distant stars. https://go.nasa.gov/2Q3J9ei 
TESS is NASA's next step in the search for planets outside of our solar system, including those that could support life. The mission will find exoplanets that periodically block part of the light from their host stars, events called transits. TESS will survey 200,000 of the brightest stars near the sun to search for transiting exoplanets.</t>
  </si>
  <si>
    <t>TrIyqnAFHNs</t>
  </si>
  <si>
    <t>2018 09 22</t>
  </si>
  <si>
    <t>https://youtu.be/coF4nm-y1Uw</t>
  </si>
  <si>
    <t>Citizen Scientists  Help Make a Better World Land Map</t>
  </si>
  <si>
    <t>Want to be a citizen scientist, virtually adopting pixels of land? Get the GLOBE Observer app at https://go.nasa.gov/2swTzKV. Help us map as much land as possible between Sept. 22, Public Lands Day, and Oct. 1, NASA's 60th anniversary. More: https://go.nasa.gov/2NdWgwt
Music credit: "Feet on the Ground," from Killer Tracks
Video credit: NASA's Goddard Space Flight Center
This video is public domain and along with other supporting visualizations can be downloaded from the Scientific Visualization Studio at: https://svs.gsfc.nasa.gov/13053</t>
  </si>
  <si>
    <t>coF4nm-y1Uw</t>
  </si>
  <si>
    <t>2018 09 21</t>
  </si>
  <si>
    <t>https://youtu.be/fO1LK8IAX9s</t>
  </si>
  <si>
    <t>A Festival of “First Lights” on This Week @NASA – September 21, 2018</t>
  </si>
  <si>
    <t>Several NASA instruments see their first light, another active week for our administrator, and discover just how much space is in our daily lives … a few of the stories to tell you about – This Week at NASA!
This video is available for download from NASA's Image and Video Library: https://images.nasa.gov/details-A%20Festival%20of%20%E2%80%9CFirst%20Lights%E2%80%9D%20on%20This%20Week%20@NASA%20%E2%80%93%20September%2021,%202018.html</t>
  </si>
  <si>
    <t>fO1LK8IAX9s</t>
  </si>
  <si>
    <t>https://youtu.be/YvGFtrr4KkY</t>
  </si>
  <si>
    <t>NASA Balloon Observes Rare Electric Blue Clouds</t>
  </si>
  <si>
    <t>On the cusp of our atmosphere live a thin group of seasonal electric blue clouds. Read the story: https://go.nasa.gov/2QPcrOD 
Forming fifty miles above the poles in summer, these clouds are known as noctilucent clouds or polar mesospheric clouds — PMCs. A recent NASA long-duration balloon mission observed these clouds over the course of five days at their home in the mesosphere. The resulting photos, which scientists have just begun to analyze, will help us better understand turbulence in the atmosphere, as well as in oceans, lakes, and other planetary atmospheres, and may even improve weather forecasting. 
Music credit: “In The End” By Andrew John Skeet [PRS], Andrew Michael Britton [PRS], David Stephen Goldsmith [PRS] from Killer Tracks 
Credits: David Fritts (GATS): Scientist 
Joy Ng (USRA): Producer 
Mara Johnson-Groh (Wyle Information Systems): Writer Tom Bridgman (GST): Data Visualizer 
William Putman (NASA/GSFC): Data Visualizer 
This video is public domain and along with other supporting visualizations can be downloaded from the Scientific Visualization Studio at: http://svs.gsfc.nasa.gov/13073</t>
  </si>
  <si>
    <t>YvGFtrr4KkY</t>
  </si>
  <si>
    <t>2018 09 18</t>
  </si>
  <si>
    <t>https://youtu.be/uqzovqnP5nc</t>
  </si>
  <si>
    <t>NASA Technology We Use Everyday  Introducing Home &amp; City</t>
  </si>
  <si>
    <t>Visit the site: https://go.nasa.gov/2NQHhba 
There's more space in your life than you think! NASA studies our planet, Sun, solar system &amp; beyond, but you can find thousands of NASA-influenced technologies right in your backyard.</t>
  </si>
  <si>
    <t>uqzovqnP5nc</t>
  </si>
  <si>
    <t>2018 09 17</t>
  </si>
  <si>
    <t>https://youtu.be/39jNpn3RLqI</t>
  </si>
  <si>
    <t>NASA 60th  Home, Sweet Home</t>
  </si>
  <si>
    <t>Earth is a complex, dynamic system. For 60 years, we have studied our changing planet, and our understanding continues to expand with the use of new technologies. With data from satellites, instruments on the International Space Station, airborne missions, balloons, and observations from ships and on land, we track changes to land, water, ice, and the atmosphere. Application of our Earth observations help improve life now and for future generations.
Congress passed the National Aeronautics and Space Act, on July 16 and President Eisenhower signed it into law on July 29, 1958. NASA opened for business on Oct. 1, 1958. Our history tells a story of exploration, innovation and discoveries. The next 60 years, that story continues. Learn more: https://www.nasa.gov/60
This video is available for download from NASA's Image and Video Library: https://images.nasa.gov/details-NHQ_2018_0914_NASA%2060th%20Home%20Sweet%20Home.html</t>
  </si>
  <si>
    <t>39jNpn3RLqI</t>
  </si>
  <si>
    <t>2018 09 15</t>
  </si>
  <si>
    <t>https://youtu.be/PCcO0gftbPQ</t>
  </si>
  <si>
    <t>Watching Hurricane Florence from Space on This Week @NASA – September 15, 2018</t>
  </si>
  <si>
    <t>Major hurricane Florence, seen from space, our mission to size up land and sea ice on Earth, and “catching big air” … another successful test for our Orion spacecraft … a few of the stories to tell you about – This Week at NASA!
This video is available for download from NASA's image and Video Library: https://images.nasa.gov/details-Watching Hurricane Florence from Space on This Week @NASA – September 15, 2018.html</t>
  </si>
  <si>
    <t>PCcO0gftbPQ</t>
  </si>
  <si>
    <t>2018 09 14</t>
  </si>
  <si>
    <t>https://youtu.be/2HmsjyJclWY</t>
  </si>
  <si>
    <t>Landfall of Hurricane Florence From Space</t>
  </si>
  <si>
    <t>Cameras outside the International Space Station captured views of Hurricane Florence on Sept. 14 at 7:41 a.m. EDT minutes after the storm made landfall. NASA satellites track the storm: https://go.nasa.gov/2CEmDGQ  
Florence made landfall near Wrightsville Beach, North Carolina packing winds of 90 miles an hour. The National Hurricane Center said Florence is moving very slowly to the west at only 6 miles an hour, then is expected to turn to the southwest, increasing the threat for historic storm surge and catastrophic flooding to coastline areas and inland cities in North Carolina and South Carolina.</t>
  </si>
  <si>
    <t>2HmsjyJclWY</t>
  </si>
  <si>
    <t>2018 09 13</t>
  </si>
  <si>
    <t>https://youtu.be/N02R_sqjOmI</t>
  </si>
  <si>
    <t>Hurricane Florence From Space on September 13</t>
  </si>
  <si>
    <t>High definition cameras outside the International Space Station captured new views of a somewhat weakened Hurricane Florence at 6:56 a.m. EDT Sept. 13 as it neared the U.S. Eastern seaboard.  NASA satellites track the storm: https://go.nasa.gov/2CEmDGQ |
According to the National Hurricane Center, Florence is moving northwest with winds of 110 miles an hour. On the forecast track, the center of Florence will approach the coasts of North and South Carolina later today, then move near or over the coast of southern North Carolina and eastern South Carolina in the hurricane warning area tonight and Friday. A slow motion over eastern South Carolina is forecast Friday night through Saturday night. The region is facing potential catastrophic flooding from Florence with some rainfall totals predicted to reach 40 inches.</t>
  </si>
  <si>
    <t>N02R_sqjOmI</t>
  </si>
  <si>
    <t>2018 09 12</t>
  </si>
  <si>
    <t>https://youtu.be/weoWlAs4Dr4</t>
  </si>
  <si>
    <t>Hurricane Florence From Space on September 12</t>
  </si>
  <si>
    <t>A high definition camera outside the International Space Station captured a stark and sobering view of Hurricane Florence at 7:50 a.m. EDT on Sept. 12. NASA satellites track the storm: https://go.nasa.gov/2CEmDGQ
This video was taken as Florence churned across the Atlantic in a west-northwesterly direction with winds of 130 miles an hour. The National Hurricane Center forecasts additional strengthening for Florence before it reaches the coastline of North Carolina and South Carolina early Friday, Sept. 14.</t>
  </si>
  <si>
    <t>weoWlAs4Dr4</t>
  </si>
  <si>
    <t>2018 09 11</t>
  </si>
  <si>
    <t>https://youtu.be/5rMN2rtPOTo</t>
  </si>
  <si>
    <t>International Space Station Benefits for Humanity, 3rd Edition</t>
  </si>
  <si>
    <t>How does research on the International Space Station benefit life on Earth? Read the stories of innovative science in low-Earth orbit in a new book. More: https://www.nasa.gov/stationbenefits  
The International Space Station Program Science Forum (PSF) third edition of “International Space Station Benefits for Humanity” compiles the benefits of research on an orbiting microgravity laboratory. The book provides examples of research accomplishments in areas of economic development of space, innovative technology, human health, Earth observations and disaster response, and global education. This latest edition includes new assessments of the economic value as well as greater detail than the previous version on the scientific value of research on the International Space Station.
Follow updates on the science conducted aboard the space station on Twitter: https://twitter.com/iss_research
For more information on how you can conduct your research in microgravity, visit https://go.nasa.gov/2q84LJj.</t>
  </si>
  <si>
    <t>5rMN2rtPOTo</t>
  </si>
  <si>
    <t>2018 09 10</t>
  </si>
  <si>
    <t>https://youtu.be/IllWRRayBk8</t>
  </si>
  <si>
    <t>Hurricane Florence From Space on September 10</t>
  </si>
  <si>
    <t>At 8:10 a.m. Eastern time, Sept. 10, cameras on the International Space Station captured views of Hurricane Florence. NASA satellites track the storm: https://go.nasa.gov/2CEmDGQ | Download video: https://go.nasa.gov/2Ql555y 
Florence is moving in a westerly direction across the Atlantic, headed for a likely landfall along the eastern seaboard of the U.S. late Thursday or early Friday. Now a major hurricane with winds of 115 miles an hour and increasing, the National Hurricane Center says Florence’s forecast track will take the system over the southwestern Atlantic Ocean between Bermuda and the Bahamas Tuesday and Wednesday, and Florence will approach the coast of South Carolina or North Carolina on Thursday. The station was flying 255 miles over the storm at the time this video was captured.</t>
  </si>
  <si>
    <t>IllWRRayBk8</t>
  </si>
  <si>
    <t>https://youtu.be/KFFmSA4TDKA</t>
  </si>
  <si>
    <t>NASA 60th  Trailblazing Technology</t>
  </si>
  <si>
    <t>Technology drives exploration. For 60 years, we have advanced technology to meet the rigorous needs of our missions. From GPS navigation to water filtration systems, our technologies developed for space improve your daily life on Earth. We continue to innovate and explore.
Congress passed the National Aeronautics and Space Act, on July 16 and President Eisenhower signed it into law on July 29, 1958. NASA opened for business on Oct. 1, 1958. Our history tells a story of exploration, innovation and discoveries. The next 60 years, that story continues. Learn more: https://www.nasa.gov/60
This video is available for download from NASA's Image and Video Library: https://images.nasa.gov/details-NHQ_2018_0907_NASA%2060_Technology_YT%20FINAL.html</t>
  </si>
  <si>
    <t>KFFmSA4TDKA</t>
  </si>
  <si>
    <t>2018 09 07</t>
  </si>
  <si>
    <t>https://youtu.be/PTMbHVD6DpI</t>
  </si>
  <si>
    <t>Clearing Skies for our Rovers on Mars on This Week @NASA – September 7, 2018</t>
  </si>
  <si>
    <t>An update on our Mars rovers, continued progress for our Moon to Mars effort, and a look back at Dawn – in its twilight … a few of the stories to tell you about – This Week at NASA!
This video is available for download from NASA's Image and Video Library: https://images.nasa.gov/details-NHQ_2018_0907_Clearing%20Skies%20for%20our%20Rovers%20on%20Mars%20on%20This%20Week%20@NASA%20%E2%80%93%20September%207,%202018.html</t>
  </si>
  <si>
    <t>PTMbHVD6DpI</t>
  </si>
  <si>
    <t>2018 09 06</t>
  </si>
  <si>
    <t>https://youtu.be/BUClxcUbuNM</t>
  </si>
  <si>
    <t>NASA   360 Video of Parker Solar Probe Mission to  Touch  the Sun</t>
  </si>
  <si>
    <t>Watch in 360 degrees as an United Launch Alliance Delta IV Heavy rocket lifts off from Space Launch Complex-37 at Cape Canaveral Air Force Station in Florida carrying NASA's Parker Solar Probe spacecraft. Roughly the size of a small car, the spacecraft lifted off at 3:31 a.m. EDT on Aug. 12, 2018, starting its historic mission to "touch" the Sun.
Learn more about the mission at https://www.nasa.gov/parkersolarprobe.</t>
  </si>
  <si>
    <t>BUClxcUbuNM</t>
  </si>
  <si>
    <t>https://youtu.be/PPIGi45cZKM</t>
  </si>
  <si>
    <t>NASA Administrator Jim Bridenstine talks to Commercial Crew Astronauts</t>
  </si>
  <si>
    <t>During a recent visit to Johnson Space Center, NASA Administrator Jim Bridenstine sat down with astronauts Chris Ferguson and Sunita “Suni” Williams for an informal Q&amp;A session about the Commercial Crew Program. 
NASA's Commercial Crew Program has worked with several American aerospace industry companies to facilitate the development of U.S. human spaceflight systems since 2010. Both Ferguson and Williams were selected to fly on the Boeing CST-100 Starliner for the Commercial Crew Program – marking the first time that American astronauts will launch to the International Space Station from American soil on American-made spacecraft since the Space Shuttle Program ended in 2011. 
To watch specific portions of the Q&amp;A about the future of human space exploration, click a timestamp:
2:30 – Astronaut Chris Ferguson talks about what he has been doing since it was announced that he is a member of the Commercial Crew Program  
3:30 – Astronaut Chris Ferguson explains why his flight suit says Boeing and not NASA
4:27 – Astronaut Suni Williams talks about what a day in the life of an astronaut is like and what she has been up to since she was selected for the Commercial Crew program
6:30 – Astronaut Chris Ferguson talks about how the Starliner is different from the Space Shuttle 
7:30 – Astronaut Suni Williams talks about how is the Starliner is similar to and different from the Soyuz 
8:32 – Astronaut Chris Ferguson talks about how many people the Starliner will be able to carry to the International Space Station  
9:20 – Administrator Jim Bridenstine talks about the future of space exploration for NASA 
10:58 – Astronaut Suni Williams talks about her previous spaceflights and how her Commercial Crew flight will be different 
12:20 – Astronaut Suni Williams talks about their experience landing in space vehicles 
15:20 – Administrator Jim Bridenstine and astronaut Chris Ferguson discuss thermal protection to keep astronauts safe 
17:30 – Administrator Jim Bridenstine talks about the components of the Space Launch System and how it compares to technology for avionics 
18:55 – Astronaut Chris Ferguson discusses how flying tests in the U.S. Navy prepared them for their upcoming missions 
20:28 – Astronaut Chris Ferguson discusses what it’s like to dock the Starliner 
21:30 – Astronaut Suni Williams talks about training, automation and providing input to Boeing about the Starliner
22:30 – Astronauts Chris Ferguson and Suni Williams talk about the team of individuals who make human spaceflight possible  
24:45 – Administrator Jim Bridenstine talks about the preparations that go into space exploration missions 
25:46 – Administrator Jim Bridenstine talks about NASA’s launch capabilities 
26:52 – Astronauts Chris Ferguson and Suni Williams provide guidance to Administrator Jim Bridenstine as he docks the Boeing Starliner simulator</t>
  </si>
  <si>
    <t>PPIGi45cZKM</t>
  </si>
  <si>
    <t>2018 08 31</t>
  </si>
  <si>
    <t>https://youtu.be/dr-drmOdfoY</t>
  </si>
  <si>
    <t>New Horizons Detects Next Flyby Target on This Week @NASA – August 31, 2018</t>
  </si>
  <si>
    <t>New Horizons spots its next flyby target, Administrator Bridenstine visits our west coast facilities, and using data from space to fight a life-threatening disease … a few of the stories to tell you about – This Week at NASA!
This video is available for download from NASA's Image and Video Library: https://images.nasa.gov/details-NHQ_2018_0831_New%20Horizons%20Detects%20Next%20Flyby%20Target%20on%20This%20Week%20@NASA%20%E2%80%93%20August%2031,%202018.html</t>
  </si>
  <si>
    <t>dr-drmOdfoY</t>
  </si>
  <si>
    <t>2018 08 30</t>
  </si>
  <si>
    <t>https://youtu.be/6BHQWGw8QNY</t>
  </si>
  <si>
    <t>NASA   Guy Bluford Reflects on the 35th Anniversary of His First Space Flight</t>
  </si>
  <si>
    <t>On August 30, 1983, mission specialist Guion "Guy" Bluford became the first African-American astronaut to fly in space. The dramatic night launch of space shuttle Challenger on the STS-8 mission (https://go.nasa.gov/2N8y4e8), 35 years ago today, marked an important milestone in American history. Bluford, who flew on three more shuttle missions during his NASA career, reflects on the significance of his first space flight.</t>
  </si>
  <si>
    <t>6BHQWGw8QNY</t>
  </si>
  <si>
    <t>https://youtu.be/dxV-v_YaboQ</t>
  </si>
  <si>
    <t>Bridenstine Speaks at NASA Advisory Council Meeting</t>
  </si>
  <si>
    <t>NASA Administrator Jim Bridenstine spoke the agency’s exploration goals, during a meeting of the NASA Advisory Council (NAC) on Aug. 29 at the agency’s Ames Research Center in Moffett Field, California. The Council meets several times a year for fact finding and deliberative sessions. Meetings are held at NASA Headquarters in Washington, DC, as well as at NASA Centers across the country.
This video is available for download from NASA's Image and Video Library: https://images.nasa.gov/details-NHQ_2018_0829_Bridenstine%20Speaks%20at%20NASA%20Advisory%20Council%20Meeting.html</t>
  </si>
  <si>
    <t>dxV-v_YaboQ</t>
  </si>
  <si>
    <t>2018 08 29</t>
  </si>
  <si>
    <t>https://youtu.be/tvgrXBoQY_M</t>
  </si>
  <si>
    <t>Parker Solar Probe Countdown to T-Zero for a Journey to “Touch” the Sun</t>
  </si>
  <si>
    <t>NASA's historic Parker Solar Probe mission that launched Aug. 12, 2018 from Space Launch Complex 37 on Cape Canaveral Air Force Station in Florida will revolutionize our understanding of the Sun. The Parker Solar Probe spacecraft will travel through the Sun’s atmosphere, closer to the surface than any spacecraft before it, facing brutal heat and radiation conditions — and ultimately providing humanity with the closest-ever observations of a star. This is a look at the moments leading up to T-Zero for NASA’s mission to "touch" the Sun.
Learn more about the mission at: https://www.nasa.gov/parkersolarprobe</t>
  </si>
  <si>
    <t>tvgrXBoQY_M</t>
  </si>
  <si>
    <t>https://youtu.be/BCBQYvr7dAM</t>
  </si>
  <si>
    <t>NASA 60th  The Leading Edge of Flight</t>
  </si>
  <si>
    <t>Aeronautics is our tradition. For 60 years, we have advanced aeronautics, developed new technologies and researched aerodynamics. Our advancements have transformed the way you fly. We will continue to revolutionize flight.
Congress passed the National Aeronautics and Space Act, on July 16 and President Eisenhower signed it into law on July 29, 1958. NASA opened for business on Oct. 1, 1958. Our history tells a story of exploration, innovation and discoveries. The next 60 years, that story continues. Learn more: https://www.nasa.gov/60
This video is available for download from NASA's Image and Video Library: https://images.nasa.gov/details-NHQ_2018_0828_NASA%2060_Leading%20Edge%20of%20Flight.html</t>
  </si>
  <si>
    <t>BCBQYvr7dAM</t>
  </si>
  <si>
    <t>2018 08 26</t>
  </si>
  <si>
    <t>https://youtu.be/7twrDde6P0g</t>
  </si>
  <si>
    <t>NASA Administrator Kicks Off a Celebration of Katherine Johnson’s 100th Birthday</t>
  </si>
  <si>
    <t>On Aug. 26, as part of NASA’s celebration of Katherine Johnson’s 100th birthday, agency employees received a special message from administrator Jim Bridenstine to mark the occasion. With slide rules and pencils, Katherine, a legendary NASA mathematician – and the other human computers who worked at the agency – helped our nation’s space program get off the ground, but it was their confidence, bravery and commitment to excellence that broke down racial and social barriers that continue to inspire to this day. To learn more about Katherine and other trailblazing ‘human computers,’ visit: https://www.nasa.gov/modernfigures</t>
  </si>
  <si>
    <t>7twrDde6P0g</t>
  </si>
  <si>
    <t>https://youtu.be/_ERy7-Pd0dU</t>
  </si>
  <si>
    <t>NASA wishes Katherine Johnson a Happy 100th Birthday</t>
  </si>
  <si>
    <t>In 1962, as NASA prepared for the orbital mission of John Glenn, Katherine Johnson was called upon to hand check the computer’s orbital equations that would control the trajectory of the capsule in John Glenn’s Friendship 7 mission, from blast off to splashdown.
“If she says they’re good,’” Katherine Johnson remembers the astronaut saying, “then I’m ready to go.” Glenn’s flight was a success, and marked a turning point in the competition between the United States and the Soviet Union in space. 
NASA wishes Katherine Johnson a very Happy 100th Birthday.
To learn more about Katherine and other trailblazing ‘human computers,’ visit: https://www.nasa.gov/modernfigures</t>
  </si>
  <si>
    <t>_ERy7-Pd0dU</t>
  </si>
  <si>
    <t>2018 08 24</t>
  </si>
  <si>
    <t>https://youtu.be/qJnjcmxzpOs</t>
  </si>
  <si>
    <t>Vice President Pence Talks Future Human Space Exploration on This Week @NASA – August 24, 2018</t>
  </si>
  <si>
    <t>Discussing the future of human space exploration, a vital resource is confirmed on the surface of the Moon, and a first glimpse at asteroid Bennu … a few of the stories to tell you about – This Week at NASA!
This video is available for download from NASA's Image and Video Library: https://images.nasa.gov/details-NHQ_2018_0824_Vice%20President%20Pence%20Talks%20Future%20Human%20Space%20Exploration%20on%20This%20Week%20@NASA%20%E2%80%93%20August%2024,%202018.html</t>
  </si>
  <si>
    <t>qJnjcmxzpOs</t>
  </si>
  <si>
    <t>2018 08 23</t>
  </si>
  <si>
    <t>https://youtu.be/uGI-8_G7dQY</t>
  </si>
  <si>
    <t>Vice President Pence Visits the Johnson Space Center to Discuss Future Exploration</t>
  </si>
  <si>
    <t>Vice President Mike Pence visited NASA’s Johnson Space Center in Houston on Aug. 23, 2018, to discuss the future of space exploration and other elements of human spaceflight. During his trip to the Johnson Space Center, the Vice President also toured the laboratory housing the moon rocks retrieved during the Apollo program’s lunar missions and extraterrestrial samples from other uncrewed sample return missions, as well as the Sonny Carter Training Facility (Neutral Buoyancy Lab) where astronauts practice spacewalking techniques they will employ when they fly in space.</t>
  </si>
  <si>
    <t>uGI-8_G7dQY</t>
  </si>
  <si>
    <t>2018 08 17</t>
  </si>
  <si>
    <t>https://youtu.be/C0NyvxTJGcQ</t>
  </si>
  <si>
    <t>Our Journey to Touch the Sun is Underway on This Week @NASA – August 17, 2018</t>
  </si>
  <si>
    <t>Our mission to touch the Sun is on its way, Administrator Bridenstine visits NASA spaceflight facilities, and an update on our first-ever asteroid sample return mission … a few of the stories to tell you about – This Week at NASA!
This video is available for download from NASA's Image and Video Library: https://images.nasa.gov/details-Our%20Journey%20to%20Touch%20the%20Sun%20is%20Underway%20on%20This%20Week%20@NASA%20%E2%80%93%20August%2017,%202018.html</t>
  </si>
  <si>
    <t>C0NyvxTJGcQ</t>
  </si>
  <si>
    <t>2018 08 13</t>
  </si>
  <si>
    <t>https://youtu.be/0are7UM5kMU</t>
  </si>
  <si>
    <t>NASA 60th  What’s Out There</t>
  </si>
  <si>
    <t>In the past 60 years, NASA has advanced our understanding of our solar system and beyond. We continually ask “What’s out there?” as we advance humankind and send spacecraft to explore.
Congress passed the National Aeronautics and Space Act, on July 16 and President Eisenhower signed it into law on July 29, 1958. NASA opened for business on Oct. 1, 1958. 
Our history tells a story of exploration, innovation and discoveries. The next 60 years, that story continues. Learn more: https://www.nasa.gov/60
This video is available for download from NASA's Image and Video Library: https://images.nasa.gov/details-NHQ_2018_0810_NASA%2060_What's%20Out%20There.html</t>
  </si>
  <si>
    <t>0are7UM5kMU</t>
  </si>
  <si>
    <t>2018 08 12</t>
  </si>
  <si>
    <t>https://youtu.be/AlyuSwRSVHU</t>
  </si>
  <si>
    <t>NASA's Parker Solar Probe Mission Launches to Touch the Sun</t>
  </si>
  <si>
    <t>NASA’s Parker Solar Probe mission launched Aug. 11 from Cape Canaveral Air Force Station in Florida. The mission will be the first to fly directly through the Sun’s corona – the hazardous region of intense heat and solar radiation in the Sun’s atmosphere that is visible during an eclipse. It will gather data that could help answer questions about solar physics that have puzzled scientists for decades. Gathering information about fundamental processes near the Sun can help improve our understanding of how our solar system’s star changes the space environment, where space weather can affect astronauts, interfere with satellite orbits, or damage spacecraft electronics.
This video is available for download from NASA's Image and Video Library: https://images.nasa.gov/details-NHQ_2018_0812_Parker%20Solar%20Probe%20Mission%20Launches%20to%20Touch%20the%20Sun%20-.html</t>
  </si>
  <si>
    <t>AlyuSwRSVHU</t>
  </si>
  <si>
    <t>2018 08 11</t>
  </si>
  <si>
    <t>https://youtu.be/vme1j6kivnk</t>
  </si>
  <si>
    <t>Humanity’s first mission to touch the Sun on This Week @NASA – August 11, 2018</t>
  </si>
  <si>
    <t>Humanity’s first mission to touch the Sun, Administrator Bridenstine visits Kennedy Space Center, and historic California wildfires seen from space … a few of the stories to tell you about – This Week at NASA!
This video is available for download from NASA's Image and Video Library: https://images.nasa.gov/details-NHQ_2018_0811_Humanity%E2%80%99s%20first%20mission%20to%20touch%20the%20Sun%20on%20This%20Week%20@NASA%20%E2%80%93%20August%2011,%202018.html</t>
  </si>
  <si>
    <t>vme1j6kivnk</t>
  </si>
  <si>
    <t>2018 08 09</t>
  </si>
  <si>
    <t>https://youtu.be/MvKvX-niMLA</t>
  </si>
  <si>
    <t>NASA   Parker Solar Probe  It's Surprisingly Hard to Go to the Sun</t>
  </si>
  <si>
    <t>The Parker Solar Probe will be the first-ever mission to "touch" the Sun, traveling directly into the Sun's atmosphere about 4 million miles from the surface. Read the story: https://go.nasa.gov/2KEExYZ NASA launch schedule: https://go.nasa.gov/2JfklMB  
The Sun contains 99.8 of the mass in our solar system. Its gravitational pull is what keeps everything here, from tiny Mercury to the gas giants to the Oort Cloud, 186 billion miles away.
But even though the Sun has such a powerful pull, it's surprisingly hard to actually go to the Sun: It takes 55 times more energy to go to the Sun than it does to go to Mars. Why is it so difficult? The answer lies in the same fact that keeps Earth from plunging into the Sun: Our planet is traveling very fast - about 67,000 miles per hour - almost entirely sideways relative to the Sun. The only way to get to the Sun is to cancel that sideways motion. 
Since Parker Solar Probe will skim through the Sun's atmosphere, it only needs to drop 53,000 miles per hour of sideways motion to reach its destination, but that's no easy feat. In addition to using a powerful rocket, the Delta IV Heavy, Parker Solar Probe will perform seven Venus gravity assists over its seven-year mission to shed sideways speed into Venus' well of orbital energy. These gravity assists will draw Parker Solar Probe's orbit closer to the Sun for a record approach of just 3.83 million miles from the Sun's visible surface on the final orbits. 
Though it's shedding sideways speed to get closer to the Sun, Parker Solar Probe will pick up overall speed, bolstered by Sun's extreme gravity - so it will also break the record for the fastest-ever human-made objects, clocking in at 430,000 miles per hour on its final orbits. 
Music: Percs and Pizz from Killer Tracks. 
Credit: NASA's Godddard Space flight Center</t>
  </si>
  <si>
    <t>MvKvX-niMLA</t>
  </si>
  <si>
    <t>2018 08 03</t>
  </si>
  <si>
    <t>https://youtu.be/Xd5hyAkmRQQ</t>
  </si>
  <si>
    <t>Astronauts Assigned to First Commercial Crew Flights on This Week @NASA – August 3, 2018</t>
  </si>
  <si>
    <t>Astronauts named to the first commercial crew flights, using Earth science data to benefit society, and California wildfires seen from space … a few of the stories to tell you about – This Week at NASA!
This video is available for download from NASA's Image and Video Library: https://images.nasa.gov/details-NHQ_2018_0803_Astronauts%20Assigned%20to%20First%20Commercial%20Crew%20Flights%20on%20This%20Week%20@NASA%20%E2%80%93%20August%203,%202018.html</t>
  </si>
  <si>
    <t>Xd5hyAkmRQQ</t>
  </si>
  <si>
    <t>https://youtu.be/Eu13IPVFGp0</t>
  </si>
  <si>
    <t>NASA Announces Astronaut Crews for First Commercial Vehicle Flights</t>
  </si>
  <si>
    <t>NASA announces the men and women who will be on board the first flights of the new spaceships built by Boeing and SpaceX when Americans are once again launched into space from the USA. 
News release: https://go.nasa.gov/2KoGhVS
The nine astronauts targeted to make the first flights on the Boeing CST-100 Starliner and SpaceX Crew Dragon share their thoughts about the assignment and the importance of this new capability to support the International Space Station as part of the nation’s overall space exploration plan. 
More about the Commercial Crew Program: https://go.nasa.gov/1EIx5m6</t>
  </si>
  <si>
    <t>Eu13IPVFGp0</t>
  </si>
  <si>
    <t>2018 07 31</t>
  </si>
  <si>
    <t>https://youtu.be/BzWtbN9nKB0</t>
  </si>
  <si>
    <t>Sounds of NASA Goddard's Robotic Operations Center</t>
  </si>
  <si>
    <t>The sounds you hear come from three sprightly robots: a robotic arm, motion platform and an industrial robot called Motoman SIA20D. They were recorded in Goddard’s Robotic Operations Center. Story: https://go.nasa.gov/2v2T6QX With commentary: https://youtu.be/BzWtbN9nKB0  
The Robotic Operations Center (ROC) at NASA’s Goddard Space Flight Center in Greenbelt, Maryland, is full of whirring and buzzing machines that share a purpose: to help robots get ready for space.
The ROC acts as an incubator for robotic development. The lab, which is about the size of a school gymnasium, is lined with long black curtains that, when the lights are turned off, simulate the darkness of space. The entire facility is designed to imitate how robots will look, move and work in space.
Credit: Produced at NASA’s Goddard Space Flight Center by Katie Atkinson</t>
  </si>
  <si>
    <t>BzWtbN9nKB0</t>
  </si>
  <si>
    <t>2018 07 29</t>
  </si>
  <si>
    <t>https://youtu.be/VV6QeZFaVSQ</t>
  </si>
  <si>
    <t>NASA 60th  How It All Began</t>
  </si>
  <si>
    <t>Congress passed the National Aeronautics and Space Act, on July 16 and President Eisenhower signed it into law on July 29, 1958. NASA opened for business on Oct. 1, 1958, with T. Keith Glennan as our first administrator. Our history tells a story of exploration, innovation and discoveries. The next 60 years, that story continues. Learn more: https://www.nasa.gov/60
This video is available for download from NASA's Image and Video Library:  https://images.nasa.gov/details-NHQ_2018_0727_NASA%2060_How%20It%20All%20Began.html</t>
  </si>
  <si>
    <t>VV6QeZFaVSQ</t>
  </si>
  <si>
    <t>2018 07 27</t>
  </si>
  <si>
    <t>https://youtu.be/UwWCd4UjSdg</t>
  </si>
  <si>
    <t>An Active Week for Administrator Bridenstine on This Week @NASA – July 27, 2018</t>
  </si>
  <si>
    <t>Administrator Bridenstine’s busy week, technologies for a new era of aviation and research, and highlighting science on the International Space Station … a few of the stories to tell you about – This Week at NASA!
This video is available for download from NASA's Image and Video Library: https://images.nasa.gov/details-NHQ_2018_0727_An%20Active%20Week%20for%20Administrator%20Bridenstine%20on%20This%20Week%20@NASA%20%E2%80%93%20July%2027,%202018.html</t>
  </si>
  <si>
    <t>UwWCd4UjSdg</t>
  </si>
  <si>
    <t>2018 07 26</t>
  </si>
  <si>
    <t>https://youtu.be/-I-zdmg_Dno</t>
  </si>
  <si>
    <t>NASA   Sun Sonification (raw audio)</t>
  </si>
  <si>
    <t>These are solar sounds generated from 40 days of the Solar and Heliospheric Observatory’s (SOHO) Michelson Doppler Imager (MDI) data and processed by A. Kosovichev. Read more &amp; download audio: https://go.nasa.gov/2JR0wLL 
The procedure he used for generating these sounds was the following. He started with doppler velocity data, averaged over the solar disk, so that only modes of low angular degree (l = 0, 1, 2) remained. Subsequent processing removed the spacecraft motion effects, instrument tuning, and some spurious points. Then Kosovichev filtered the data at about 3 mHz to select clean sound waves (and not supergranulation and instrumental noise). Finally, he interpolated over the missing data and scaled the data (speeded it up a factor 42,000 to bring it into the audible human-hearing range (kHz)). 
For more audio files, visit the Stanford Experimental Physics Lab Solar Sounds page.​ http://soi.stanford.edu/results/sounds.html 
Credits: A. Kosovichev, Stanford Experimental Physics Lab
Supporting materials can be downloaded from NASA's Scientific Visualization Studio at: https://svs.gsfc.nasa.gov/13011</t>
  </si>
  <si>
    <t>-I-zdmg_Dno</t>
  </si>
  <si>
    <t>2018 07 25</t>
  </si>
  <si>
    <t>https://youtu.be/K0l1RJ4Aag8</t>
  </si>
  <si>
    <t>NASA Administrator Bridenstine Chats with Astronauts Acaba and Vande Hei</t>
  </si>
  <si>
    <t>During a recent visit to NASA headquarters astronauts Joe Acaba and Mark Vande Hei sat down for an informal Q&amp;A session with Administrator Jim Bridenstine – and responded to questions from the agency’s social media followers.
The astronauts, who returned from the International Space Station in late February, talked about the station’s role as a platform to help us live and work in space. The cutting-edge research and technology development on the station is helping prepare our astronauts to take the next giant leap in human space exploration. The agency plans to return to the Moon and eventually send humans to Mars and destinations beyond.
This video is available for download from NASA's Image and Video Library: https://images.nasa.gov/details-NHQ_2018_0725_NASA%20Administrator%20Bridenstine%20Chats%20with%20Astronauts%20Acaba%20and%20Vande%20Hei.html</t>
  </si>
  <si>
    <t>K0l1RJ4Aag8</t>
  </si>
  <si>
    <t>https://youtu.be/CRu_hG3X3bI</t>
  </si>
  <si>
    <t>NASA   Sounds of the Sun (Low Frequency)</t>
  </si>
  <si>
    <t>NASA heliophysicist Alex Young explains how sound connects us with the Sun and all other stars. This piece features low frequency sounds of the Sun. Raw audio (no commentary): https://youtu.be/-I-zdmg_Dno Read more: https://go.nasa.gov/2JR0wLL  
Credit: NASA's Goddard Space Flight Center 
Micheala Sosby (NASA/GSFC): Lead Producer 
Katie Atkinson (GSFC Interns): Lead Producer 
C. Alex Young (NASA/GSFC): Narrator 
Aaron E. Lepsch (ADNET Systems Inc.): Technical Support 
Music: "Flow" by Lee Rosevere 
This video is public domain and along with other supporting materials can be downloaded from the Scientific Visualization Studio at: https://svs.gsfc.nasa.gov/13011</t>
  </si>
  <si>
    <t>CRu_hG3X3bI</t>
  </si>
  <si>
    <t>https://youtu.be/F5cjXCQ5Cpk</t>
  </si>
  <si>
    <t>NASA Administrator Bridenstine Talks Webb Science with Nobel Laureate</t>
  </si>
  <si>
    <t>NASA Administrator Jim Bridenstine recently sat down with Nobel Prize winner John Mather and the agency's Associate Administrator for Science, Thomas Zurbuchen for a conversation about NASA’s James Webb Space Telescope. They talked about the challenges of building the world’s premier space telescope and why it’s all worth it. Webb is the first telescope of its kind, an unprecedented feat of engineering, and is at the very leading edge of technological innovation and development. Webb will find the first galaxies that formed in the early universe and peer through dusty clouds to see stars forming planetary systems.
This video is available for download from NASA's Image and Video Library: https://images.nasa.gov/details-NASA%20Administrator%20Bridenstine%20Talks%20Webb%20Science%20with%20Nobel%20Laureate.html</t>
  </si>
  <si>
    <t>F5cjXCQ5Cpk</t>
  </si>
  <si>
    <t>2018 07 20</t>
  </si>
  <si>
    <t>https://youtu.be/L06p8Jba45c</t>
  </si>
  <si>
    <t>Successful Parachute Test for Orion on This Week @NASA – July 20, 2018</t>
  </si>
  <si>
    <t>Another successful parachute test for Orion, how we’re getting back to the Moon, and an Apollo 11 virtual experience … a few of the stories to tell you about – This Week at NASA!
This video is available for download from NASA's Image and Video Library: https://images.nasa.gov/details-NHQ_2018_0720_Successful%20Parachute%20Test%20for%20Orion%20on%20This%20Week%20@NASA%20%E2%80%93%20July%2020,%202018.html</t>
  </si>
  <si>
    <t>L06p8Jba45c</t>
  </si>
  <si>
    <t>https://youtu.be/RT9laVHZZQo</t>
  </si>
  <si>
    <t>How NASA's Parker Solar Probe Will Survive the Sun</t>
  </si>
  <si>
    <t>NASA's Parker Solar Probe is heading to the Sun.Thermal Protection System Engineer Betsy Congdon (Johns Hopkins APL) outlines why Parker can take the heat. More: https://go.nasa.gov/2O7YKsK | NASA launch schedule: https://go.nasa.gov/2JfklMB
Music credit: Cheeky Chappy [Main Track] by Jimmy Kaleth, Ross Andrew McLean Credit: NASA's Goddard Space Flight Center Genna Duberstein (USRA): Lead Producer/Lead Editor Rob Andreoli (AIMM): Lead Videographer Betsy Congdon (Johns Hopkins University/APL): Lead Engineer Ryan Fitzgibbons (USRA): Narrator Genna Duberstein (USRA): Writer Steve Gribben (Johns Hopkins University/APL ): Animator Brian Monroe (USRA): Animator Josh Masters (USRA): Animator Michael Lentz (USRA): Animator Genna Duberstein (USRA): Animator Mary P. Hrybyk-Keith (TRAX International Corporation): Illustrator This video is public domain and along with other supporting visualizations can be downloaded from the Scientific Visualization Studio at: https://svs.gsfc.nasa.gov/12867</t>
  </si>
  <si>
    <t>RT9laVHZZQo</t>
  </si>
  <si>
    <t>2018 07 13</t>
  </si>
  <si>
    <t>https://youtu.be/AmT9XeSDSno</t>
  </si>
  <si>
    <t>International Space Station Daytime Traverse</t>
  </si>
  <si>
    <t>A room with Earth views! NASA astronaut Ricky Arnold captured this spectacular view from the International Space Station, starting above San Francisco and moving southward through the Americas. Space Station news: https://go.nasa.gov/1DbzULl
Follow Ricky Arnold: https://twitter.com/astro_ricky
Each day, the station completes 16 orbits of our home planet as the six humans living and working aboard our orbiting laboratory conduct important science and research. Their work will not only benefit life here on Earth, but will help us venture deeper into space than ever before.</t>
  </si>
  <si>
    <t>AmT9XeSDSno</t>
  </si>
  <si>
    <t>https://youtu.be/0M9Sxm7peC8</t>
  </si>
  <si>
    <t>Tracing The Source of a Cosmic Phenomenon on This Week @NASA – July 13, 2018</t>
  </si>
  <si>
    <t>Tracing the source of a cosmic phenomenon, the sound of plasma waves in space, and X-ray exploration of the Eagle Nebula … a few of the stories to tell you about – This Week at NASA!
This video is available for download from NASA's Image and Video Library: https://images.nasa.gov/details-NHQ_2018_0713_Tracing%20The%20Source%20of%20a%20Cosmic%20Phenomenon%20on%20This%20Week%20@NASA%20%E2%80%93%20July%2013,%202018.html</t>
  </si>
  <si>
    <t>0M9Sxm7peC8</t>
  </si>
  <si>
    <t>2018 07 12</t>
  </si>
  <si>
    <t>https://youtu.be/cbLqTfm_bac</t>
  </si>
  <si>
    <t>Rare Double Asteroid Revealed by NASA, Observatories</t>
  </si>
  <si>
    <t>Three of the world's largest radio telescopes team up to show a rare double asteroid. 2017 YE5 is only the fourth binary near-Earth asteroid ever observed in which the two bodies are roughly the same size, and not touching. More: https://go.nasa.gov/2zxrh7U
This video shows radar images of the pair gathered by Goldstone Solar System Radar, Arecibo Observatory and Green Bank Observatory. 
More information about asteroids and near-Earth objects: https://neo.jpl.nasa.gov https://www.jpl.nasa.gov/asteroidwatch</t>
  </si>
  <si>
    <t>cbLqTfm_bac</t>
  </si>
  <si>
    <t>2018 07 11</t>
  </si>
  <si>
    <t>https://youtu.be/7SQ3kLhXpS4</t>
  </si>
  <si>
    <t>Parker Solar Probe Countdown to T-Zero in 4K  Flying Faster, Hotter and Closer Than Ever to the Sun</t>
  </si>
  <si>
    <t>NASA's Parker Solar Probe and its United Launch Alliance Delta IV Heavy launch vehicle prepare for an unprecedented mission to "kiss the Sun." 
NASA launch schedule: https://go.nasa.gov/2JfklMB
About the mission: https://go.nasa.gov/2ubAwFS
The spacecraft aims to unravel 60 years' worth of mysteries surrounding the Sun’s corona. Watch this 4K video as NASA’s Launch Services Program continues the countdown to T-zero. Visit https://go.nasa.gov/SolarProbe to learn more and watch the historic launch on NASA TV in the coming weeks.</t>
  </si>
  <si>
    <t>7SQ3kLhXpS4</t>
  </si>
  <si>
    <t>2018 07 06</t>
  </si>
  <si>
    <t>https://youtu.be/rPiqC-PyLDo</t>
  </si>
  <si>
    <t>New Supplies and Research for the Space Station on This Week @NASA – July 6, 2018</t>
  </si>
  <si>
    <t>A new resupply mission arrives at the Space Station, a closer look at dwarf planet, Ceres, and the Parker Solar Probe is ready for the heat  … a few of the stories to tell you about – This Week at NASA!
This video is available for download from NASA's Image and Video Library: https://images.nasa.gov/details-NHQ_2018_0706_New%20Supplies%20and%20Research%20for%20the%20Space%20Station%20on%20This%20Week%20@NASA%20%E2%80%93%20July%206,%202018.html</t>
  </si>
  <si>
    <t>rPiqC-PyLDo</t>
  </si>
  <si>
    <t>2018 07 03</t>
  </si>
  <si>
    <t>https://youtu.be/3kljit1CqKI</t>
  </si>
  <si>
    <t>NASA   Superstar Eta Carinae Shoots Cosmic Rays</t>
  </si>
  <si>
    <t>A new study using data from NASA's NuSTAR space telescope suggests that the most luminous and massive stellar system within 10,000 light-years, Eta Carinae, is accelerating particles to high energies -- some of which may reach Earth as cosmic rays. https://go.nasa.gov/2tPxKpA
Cosmic rays with energies greater than 1 billion electron volts (eV) come to us from beyond our solar system. But because these particles -- electrons, protons and atomic nuclei -- all carry an electrical charge, they veer off course whenever they encounter magnetic fields. This scrambles their paths and masks their origins. Eta Carinae, located about 7,500 light-years away in the southern constellation of Carina, contains a pair of massive stars whose eccentric orbits bring them unusually close every 5.5 years. The stars contain 90 and 30 times the mass of our Sun. 
Both stars drive powerful outflows called stellar winds, which emit low-energy X-rays where they collide. NASA's Fermi Gamma-ray Space Telescope observes gamma rays -- light packing far more energy than X-rays -- from a source in the direction of Eta Carinae. 
But Fermi's vision isn't as sharp as X-ray telescopes, so astronomers couldn't confirm the connection. To bridge this gap, astronomers turned to NASA's NuSTAR observatory. Launched in 2012, NuSTAR can focus X-rays of much greater energy than any previous telescope. 
The team examined NuSTAR observations acquired between March 2014 and June 2016, along with lower-energy X-ray observations from the European Space Agency's XMM-Newton satellite over the same period. NuSTAR detects a source emitting X-rays above 30,000 eV, some three times higher than can be explained by shock waves in the colliding winds. For comparison, the energy of visible light ranges from about 2 to 3 eV. 
The researchers say both the X-ray emission s een by NuSTAR and the gamma-ray emission seen by Fermi is best explained by electrons accelerated in shock waves where the winds collide. The X-rays detected by NuSTAR and the gamma rays detected by Fermi arise from starlight given a huge energy boost by interactions with these electrons. Some of the superfast electrons, as well as other accelerated particles, must escape the system and perhaps some eventually wander to Earth, where they may be detected as cosmic rays. Zoom into Eta Carinae, where the outflows of two massive stars collide and shoot accelerated particles cosmic rays into space. 
Credit: NASA's Goddard Space Flight Center 
Music: "Expectant Aspect" from Killer Tracks 
This video is public domain and may be downloaded from NASA Goddard's Scientific Visualization Studio at: https://svs.gsfc.nasa.gov/12989</t>
  </si>
  <si>
    <t>3kljit1CqKI</t>
  </si>
  <si>
    <t>2018 07 02</t>
  </si>
  <si>
    <t>https://youtu.be/qY5b4QXLSJk</t>
  </si>
  <si>
    <t>Happy 4th of July from NASA</t>
  </si>
  <si>
    <t>NASA wishes you a safe and happy Independence Day.
Since the beginning of human space flight, NASA’s astronauts, rockets and
spacecraft have flown the American flag to Earth orbit, the Moon, Mars, and beyond.
https://www.nasa.gov/content/the-american-flag-in-us-missions</t>
  </si>
  <si>
    <t>qY5b4QXLSJk</t>
  </si>
  <si>
    <t>2018 06 29</t>
  </si>
  <si>
    <t>https://youtu.be/TV4oNZzRBYY</t>
  </si>
  <si>
    <t>New Resupply Mission Launches to Space Station on This Week @NASA – June 29, 2018</t>
  </si>
  <si>
    <t>Almost three tons of supplies and science experiments are headed to the International Space Station, and – Webb Telescope is now targeting March of 2021 as a new launch date … a few of the stories to tell you about – This Week at NASA!
This video is available for download from NASA's Image and Video Library: https://images.nasa.gov/details-NHQ_2018_0629_New%20Resupply%20Mission%20Launches%20to%20Space%20Station%20on%20This%20Week%20@NASA%20%E2%80%93%20June%2029,%202018.html</t>
  </si>
  <si>
    <t>TV4oNZzRBYY</t>
  </si>
  <si>
    <t>2018 06 28</t>
  </si>
  <si>
    <t>https://youtu.be/aEY6CIM7YUI</t>
  </si>
  <si>
    <t xml:space="preserve">SpaceX's CRS-15 Mission to the Space Station  What's On Board </t>
  </si>
  <si>
    <t>Packed with more than 5,900 pounds of research, supplies and hardware, the SpaceX Dragon spacecraft will launch on a Falcon 9 rocket from Space Launch Complex 40 at Cape Canaveral Air Force Station in Florida. About the research on board: https://go.nasa.gov/2LymYKJ
About 10 minutes after launch, Dragon reaches its preliminary orbit, at which point it will deploy its solar arrays and begin a carefully choreographed series of thruster firings to reach the International Space Station.
In addition to bringing research to station, the Dragon’s unpressurized trunk is carrying a new Canadian-built Latching End Effector, or LEE. This new LEE is being launched as a spare to replace the failed unit astronauts removed during a series of spacewalks in the fall of 2017. Each end of the Canadarm2 robotic arm has an identical LEE, and they are used as the “hands” that grapple payloads and visiting cargo spaceships. They also enable Canadarm2 to “walk” to different locations on the orbiting outpost, including Canada’s Mobile Base, which travels along rails on the space station’s main truss.
Follow updates on the science conducted aboard the space station on Twitter: https://twitter.com/iss_research
For more information on how you can conduct your research in microgravity, visit https://go.nasa.gov/2q84LJj.</t>
  </si>
  <si>
    <t>aEY6CIM7YUI</t>
  </si>
  <si>
    <t>2018 06 27</t>
  </si>
  <si>
    <t>https://youtu.be/M7mYVftosSc</t>
  </si>
  <si>
    <t>NASA Science Leaders  Webb Telescope Complex and Unprecedented</t>
  </si>
  <si>
    <t>Thomas Zurbuchen, associate administrator of NASA’s Science Mission Directorate, and John Mather, senior project scientist, comment on an independent review board’s findings on the agency’s James Webb Space Telescope. Webb is now targeting March 2021 as a new launch date, after the board assessed delays in integration and testing. NASA and the board unanimously agree that Webb can still achieve mission success.</t>
  </si>
  <si>
    <t>M7mYVftosSc</t>
  </si>
  <si>
    <t>https://youtu.be/6CmtZLKgIWs</t>
  </si>
  <si>
    <t>Administrator Bridenstine  NASA is Committed to Webb Telescope</t>
  </si>
  <si>
    <t>NASA Administrator Jim Bridenstine discusses the findings of the Independent Review Board on one of our flagship missions, the James Webb Space Telescope. Despite Webb’s major challenges during the final testing and integration phase, the board and NASA unanimously agreed that Webb will achieve mission success with the implementation of the board’s recommendations, many of which are already underway.</t>
  </si>
  <si>
    <t>6CmtZLKgIWs</t>
  </si>
  <si>
    <t>2018 06 22</t>
  </si>
  <si>
    <t>https://youtu.be/OeJhXAigzNc</t>
  </si>
  <si>
    <t>Administrator Bridenstine Attends National Space Council Meeting on This Week @NASA – June 22, 2018</t>
  </si>
  <si>
    <t>The third meeting of the National Space Council, seeking a partnership to power our Gateway, and – an educational activity that’s quite a blast … a few of the stories to tell you about – This Week at NASA!
This video is available for download from NASA's Image and Video Library: https://images.nasa.gov/details-NHQ_2018_0622_Administrator%20Bridenstine%20Attends%20National%20Space%20Council%20Meeting%20on%20This%20Week%20@NASA%20%E2%80%93%20June%2022,%202018.html</t>
  </si>
  <si>
    <t>OeJhXAigzNc</t>
  </si>
  <si>
    <t>https://youtu.be/UN42PgZTKTg</t>
  </si>
  <si>
    <t>NASA   Charon at 40  The Discovery of Pluto’s Largest Moon</t>
  </si>
  <si>
    <t>The largest of Pluto's five moons, Charon, was discovered on June 22, 1978, by James Christy and Robert Harrington at the U.S. Naval Observatory in Flagstaff, Arizona.  
Read the story: https://www.nasa.gov/feature/charon-at-40-four-decades-of-discovery-on-pluto-s-largest-moon 
Charon was discovered only about six miles from where Pluto itself was discovered at Lowell Observatory. They weren't even looking for satellites of Pluto – Christy, examining a series of grainy telescope images, trying to refine Pluto's orbit around the Sun.
Christy and others tell the story of this amazing scientific find, which fueled Pluto’s transformation from a telescopic dot into an actual planetary system – and a source of many discoveries to come.</t>
  </si>
  <si>
    <t>UN42PgZTKTg</t>
  </si>
  <si>
    <t>2018 06 20</t>
  </si>
  <si>
    <t>https://youtu.be/o19qjafoy64</t>
  </si>
  <si>
    <t>NASA   Eat Like an Astronaut</t>
  </si>
  <si>
    <t>Astronauts on the International Space Station get food that’s chosen for nutritional value and specially prepared and packaged to be accessible on orbit.  Could the same food feed the needs of people stuck on planet Earth?  We conducted an experiment to find out how well two regular people could get by eating only astronaut food for a full week—a week that included a holiday weekend feast, just to up the difficulty factor.  Could they resist the lure of their favorite foods? Take a look at how they fared…</t>
  </si>
  <si>
    <t>o19qjafoy64</t>
  </si>
  <si>
    <t>2018 06 19</t>
  </si>
  <si>
    <t>https://youtu.be/ksSqhjUBCNM</t>
  </si>
  <si>
    <t>Highlights of the National Space Council's Third Meeting</t>
  </si>
  <si>
    <t>President Trump, Vice President Pence, and NASA Administrator Jim Bridenstine speak at the third meeting of the National Space Council, held at the White House on June 18, 2018.</t>
  </si>
  <si>
    <t>ksSqhjUBCNM</t>
  </si>
  <si>
    <t>2018 06 15</t>
  </si>
  <si>
    <t>https://youtu.be/zvfNUGkSQ_k</t>
  </si>
  <si>
    <t>Administrator Bridenstine Chats with Astronauts on This Week @NASA – June 15, 2018</t>
  </si>
  <si>
    <t>Administrator Bridenstine chats with a couple of our astronauts, a massive dust storm on Mars, and astronauts at work outside the space station … a few of the stories to tell you about – This Week at NASA!
This video is available for download from NASA's Image and Video Library: https://images.nasa.gov/details-NHQ_2018_0615_Administrator%20Bridenstine%20Chats%20with%20Astronauts%20on%20This%20Week%20@NASA%20%E2%80%93%20June%2015,%202018.html</t>
  </si>
  <si>
    <t>zvfNUGkSQ_k</t>
  </si>
  <si>
    <t>2018 06 14</t>
  </si>
  <si>
    <t>https://youtu.be/wK22fHb2pjE</t>
  </si>
  <si>
    <t>NASA Prepares to Fly a Large Unmanned Aircraft in Public Airspace Without Chase Plane for First Time</t>
  </si>
  <si>
    <t>NASA’s remotely-piloted Ikhana aircraft performs flight tests in preparation to fly in the National Airspace System without a safety chase aircraft. On June 12, 2018, NASA successfully flew the historic flight. News release: https://www.nasa.gov/press-release/nasa-flies-large-unmanned-aircraft-in-public-airspace-without-chase-plane-for-first
The flight will help to move the United States one step closer to normalizing unmanned aircraft operations in the airspace used by commercial and private pilots. The Ikhana aircraft is based at NASA’s Armstrong Flight Research Center in Edwards, California.</t>
  </si>
  <si>
    <t>wK22fHb2pjE</t>
  </si>
  <si>
    <t>2018 06 08</t>
  </si>
  <si>
    <t>https://youtu.be/xNerVZZYPNU</t>
  </si>
  <si>
    <t>Curiosity’s New Mars Science Results on This Week @NASA – June 8, 2018</t>
  </si>
  <si>
    <t>A new crew aboard the space station, Curiosity rover’s new science findings on Mars, and – Celebrating 60 years of NASA … a few of the stories to tell you about – This Week at NASA!
This video is available for download from NASA's Image and Video Library: https://images.nasa.gov/details-NHQ_2018_0608_Curiosity%E2%80%99s%20New%20Mars%20Science%20Results%20on%20This%20Week%20@NASA%20%E2%80%93%20June%208,%202018.html</t>
  </si>
  <si>
    <t>xNerVZZYPNU</t>
  </si>
  <si>
    <t>2018 06 07</t>
  </si>
  <si>
    <t>https://youtu.be/a0gsz8EHiNc</t>
  </si>
  <si>
    <t>Ancient Organics Discovered on Mars</t>
  </si>
  <si>
    <t>The Curiosity rover has discovered ancient organic molecules on Mars, embedded within sedimentary rocks that are billions of years old. News Release: https://www.nasa.gov/press-release/nasa-finds-ancient-organic-material-mysterious-methane-on-mars 
Credit: NASA's Goddard Space Flight Center/Dan Gallagher
Graphics from the NASA-TV broadcast of this discovery are available at: http://svs.gsfc.nasa.gov/12967
Music provided by Killer Tracks: "Crystalline" by Enrico Cacace &amp; Manuel Bandettini, "Based On True Events" by Eric Chevalier, "Mirrored Cubes" by Laurent Dury, "Lost In The Sky" by Matthews Samar</t>
  </si>
  <si>
    <t>a0gsz8EHiNc</t>
  </si>
  <si>
    <t>2018 06 06</t>
  </si>
  <si>
    <t>https://youtu.be/TY4OtS9RXfs</t>
  </si>
  <si>
    <t>The National Symphony Orchestra Pops Celebrates NASA’s 60th Anniversary</t>
  </si>
  <si>
    <t>The National Symphony Orchestra Pops and the John F. Kennedy Center for the Preforming Arts hosted a celebration for NASA's 60th Anniversary June 1, 2018.
This video is available for download from NASA's Image and Video Library: https://images.nasa.gov/details-NHQ_2018_0606_The%20National%20Symphony%20Orchestra%20Pops%20Celebrates%20NASA%E2%80%99s%2060th%20Anniversary.html</t>
  </si>
  <si>
    <t>TY4OtS9RXfs</t>
  </si>
  <si>
    <t>2018 06 01</t>
  </si>
  <si>
    <t>https://youtu.be/O0XS6g8hVqg</t>
  </si>
  <si>
    <t>The Next Station Crew Prepares to Launch on This Week @NASA – June 1, 2018</t>
  </si>
  <si>
    <t>Tracking the space station’s next crew, a distant and lonely neutron star, and taking the bite out of some very dangerous bugs – a few of the stories to tell you about – This Week at NASA!
This video is available for download from NASA's Image and Video Library: https://images.nasa.gov/details-NHQ_2018_0601_Tracking%20the%20Space%20Station%E2%80%99s%20Next%20Crew%20on%20This%20Week%20@NASA%20%E2%80%93%20June%201,%202018.html</t>
  </si>
  <si>
    <t>O0XS6g8hVqg</t>
  </si>
  <si>
    <t>2018 05 26</t>
  </si>
  <si>
    <t>https://youtu.be/qZkTyEe7DfY</t>
  </si>
  <si>
    <t>Astronaut Alan Bean  Moonwalker, Skylab Commander, Artist</t>
  </si>
  <si>
    <t>NASA remembers Apollo 12 astronaut Alan Bean, who walked on the Moon in 1969, commanded the second Skylab crew in 1973 and went on in retirement to paint the remarkable worlds and sights he had seen like no other artist. 
Learn more about his life at https://www.nasa.gov/feature/alan-bean
Download this video at https://images.nasa.gov/details-Remembering%20Astronaut%20Alan%20Bean%20(UPDATE_02).html</t>
  </si>
  <si>
    <t>qZkTyEe7DfY</t>
  </si>
  <si>
    <t>2018 05 25</t>
  </si>
  <si>
    <t>https://youtu.be/08ivM_PI8zA</t>
  </si>
  <si>
    <t>Launching a Mission to Study Earth’s Water on This Week @NASA – May 25, 2018</t>
  </si>
  <si>
    <t>Tracking the movement of Earth’s water, resupplying the International Space Station, and our Administrator testifies about the agency’s proposed budget – a few of the stories to tell you about – This Week at NASA!
This video is available for download from NASA's Image and Video Library: https://images.nasa.gov/details-NHQ_2018_0525_Following%20the%20movement%20of%20Earth%E2%80%99s%20water%20on%20This%20Week%20@NASA%20%E2%80%93%20May%2025,%202018.html</t>
  </si>
  <si>
    <t>08ivM_PI8zA</t>
  </si>
  <si>
    <t>https://youtu.be/kFUDNTLHypU</t>
  </si>
  <si>
    <t>Memorial Day Message from NASA Administrator Jim Bridenstine</t>
  </si>
  <si>
    <t>As we all go our separate ways this Memorial Day weekend, I urge everyone to remember the heroic sacrifice of the men and women who died in defense of our country while serving in the United States military. 
It is the dedication and commitment of these men and women, those who were willing to make the ultimate sacrifice for the principles of our nation, that have made the United States the greatest country on Earth.
This video is available for download from NASA's Image and Video Library: https://images.nasa.gov/details-NHQ_2018_0524_Memorial%20Day%20Message%20from%20NASA%20Administrator%20Jim%20Bridenstine.html</t>
  </si>
  <si>
    <t>kFUDNTLHypU</t>
  </si>
  <si>
    <t>2018 05 24</t>
  </si>
  <si>
    <t>https://youtu.be/kvgDOLHu7Uo</t>
  </si>
  <si>
    <t xml:space="preserve">Orbital ATK CRS-9 Mission to the Space Station  What's On Board </t>
  </si>
  <si>
    <t>Orbital ATK’s Cygnus spacecraft launched to the International Space Station aboard an Antares rocket on May 21, and is scheduled to arrive at the orbiting laboratory in the early morning hours of May 24. Among the research it will deliver to the station is the Cold Atom Lab (CAL), a facility to create a spot ten billion times colder than the vacuum of space, which could help answer some big questions in modern physics. Zaiput Flow Technologies will seek to validate a liquid-liquid separator to enhance flow chemistry production in space. Researchers from Penn State University are sending an experiment to investigate and understand the complex process of cement solidification, which could address the high priority need for lightweight space structures for habitats that protect crew members. A fleet of CubeSats spanning everything from Earth science to educational outreach is also heading to the orbiting laboratory for deployment into low-Earth orbit.</t>
  </si>
  <si>
    <t>kvgDOLHu7Uo</t>
  </si>
  <si>
    <t>2018 05 22</t>
  </si>
  <si>
    <t>https://youtu.be/G1hhKzBq6kw</t>
  </si>
  <si>
    <t>Administrator Bridenstine  Twin Spacecraft Launch to Study the Earth</t>
  </si>
  <si>
    <t>NASA Administrator Jim Bridenstine talks about the GRACE Follow-on (GRACE-FO) mission to track Earth's water movement. 
GRACE-FO is scheduled to launch May 22, 2018 aboard a SpaceX Falcon 9 rocket from Vandenberg Air Force Base, California. The mission will monitor changes in underground water storage, the amount of water in ice sheets and glaciers and sea level caused by the addition of water to the ocean. Learn even more about the mission at: https://gracefo.jpl.nasa.gov/mission/spacecraft/overview/.</t>
  </si>
  <si>
    <t>G1hhKzBq6kw</t>
  </si>
  <si>
    <t>2018 05 19</t>
  </si>
  <si>
    <t>https://youtu.be/K4_QxyC8nsc</t>
  </si>
  <si>
    <t>Cold Atom Lab Launching on Board Orbital ATK Mission to Space Station</t>
  </si>
  <si>
    <t>The new Cold Atom Lab (CAL) facility is among the cargo launching to the International Space Station on the Orbital ATK CRS-9 mission. The Cold Atom Lab could help answer some big questions in modern physics. CAL produces clouds of atoms that are ten billion times colder than deep space. The facility uses lasers and magnetic forces to freeze the atoms until they are almost motionless. In the microgravity environment on the space station, it’s possible to observe these ultra-cold atoms for much longer in than what’s possible on the ground. The research done using CAL could potentially lead to a number of improved technologies, including sensors, quantum computers and atomic clocks used in spacecraft navigation. Read more at: https://coldatomlab.jpl.nasa.gov/</t>
  </si>
  <si>
    <t>K4_QxyC8nsc</t>
  </si>
  <si>
    <t>2018 05 18</t>
  </si>
  <si>
    <t>https://youtu.be/qWE6D8nE8RY</t>
  </si>
  <si>
    <t>Astronauts Working Outside the Space Station on This Week @NASA – May 18, 2018</t>
  </si>
  <si>
    <t>Our astronauts doing work outside the space station, an agencywide town hall with our new administrator, and old data provide new insight about Jupiter’s moon Europa – a few of the stories to tell you about – This Week at NASA!
This video is available for download from NASA's Image and Video Library: https://images.nasa.gov/details-NHQ_2018_0518_Astronauts%20Working%20Outside%20the%20Space%20Station%20on%20This%20Week%20@NASA%20%E2%80%93%20May%2018,%202018.html</t>
  </si>
  <si>
    <t>qWE6D8nE8RY</t>
  </si>
  <si>
    <t>2018 05 11</t>
  </si>
  <si>
    <t>https://youtu.be/BNCGiH2_uio</t>
  </si>
  <si>
    <t>A Copter Companion for the Mars 2020 Rover on This Week @NASA – May 11, 2018</t>
  </si>
  <si>
    <t>Sending a helicopter to Mars, a busy week for our new Administrator, and showcasing how technology enables exploration – a few of the stories to tell you about – This Week at NASA!
This video is available for download from NASA's Image and Video Library: https://images.nasa.gov/details-NHQ_2018_0511_A%20Copter%20Companion%20for%20the%20Mars%202020%20Rover%20on%20This%20Week%20@NASA%20%E2%80%93%20May%2011,%202018.html</t>
  </si>
  <si>
    <t>BNCGiH2_uio</t>
  </si>
  <si>
    <t>2018 05 10</t>
  </si>
  <si>
    <t>https://youtu.be/wS247Ofb8g8</t>
  </si>
  <si>
    <t>STEM in 30 - Ask an Astronaut with Randy Bresnik and Paolo Nespoli</t>
  </si>
  <si>
    <t>NASA Astronaut Randy "Komrade" Bresnik and ESA Astronaut Paolo Nespoli joined STEM in 30 to answer questions about their recent six-month stay on the International Space Station. 
This video is available for download from NASA's Image and Video Library: https://images.nasa.gov/details-NHQ_2018_0510_STEM%20in%2030%20-%20Ask%20an%20Astronaut%20with%20Randy%20Komrade%20Bresnik%20and%20Paolo%20Nespoli.html</t>
  </si>
  <si>
    <t>wS247Ofb8g8</t>
  </si>
  <si>
    <t>2018 05 09</t>
  </si>
  <si>
    <t>https://youtu.be/0OXahEkf6WA</t>
  </si>
  <si>
    <t>Administrator Bridenstine Speaks at Humans to Mars Summit</t>
  </si>
  <si>
    <t>NASA Administrator Jim Bridenstine delivered the keynote address at the Humans to Mars Summit 2018, on Wednesday, May 9 at The George Washington University, in Washington. The annual event addresses the technical, scientific and policy challenges of making human exploration of Mars a reality.
This video is available for download from NASA's Image and Video Library: https://images.nasa.gov/details-NHQ_2018_0509_Administrator%20Bridenstine%20Speaks%20at%20Humans%20to%20Mars%20Summit.html</t>
  </si>
  <si>
    <t>0OXahEkf6WA</t>
  </si>
  <si>
    <t>2018 05 08</t>
  </si>
  <si>
    <t>https://youtu.be/JtzCaLE4Si4</t>
  </si>
  <si>
    <t>Administrator Bridenstine  ‘We Are Going to the Moon’</t>
  </si>
  <si>
    <t>NASA Administrator Jim Bridenstine asked commercial companies to help get the agency back to the Moon as quickly as possible during an ‘industry day', Tuesday, May 8, 2018, held at NASA Headquarters in Washington.  NASA is calling for commercial proposals for delivering instruments, experiments, and other small payloads to the surface of the Moon as early as next year. This solicitation is part of a broader Exploration Campaign that will pave the way for a human return to the Moon.
This video is available for download from NASA's Image and Video Library: https://images.nasa.gov/details-NHQ_2018_0508_Administrator%20Bridenstine%20-%20We%20Are%20Going%20the%20Moon.html</t>
  </si>
  <si>
    <t>JtzCaLE4Si4</t>
  </si>
  <si>
    <t>2018 05 05</t>
  </si>
  <si>
    <t>https://youtu.be/cm9zA64LScU</t>
  </si>
  <si>
    <t>Our Newest Mission to Mars on This Week @NASA – May 5, 2018</t>
  </si>
  <si>
    <t>Our newest mission to Mars is on its way, Vice President Pence visits our Jet Propulsion Laboratory, and observing our planet’s ever-changing water cycle  – a few of the stories to tell you about – This Week at NASA!
This video is available for download from NASA's Image and Video Library: https://images.nasa.gov/details-NHQ_20218_0505_Our%20Newest%20Mission%20to%20Mars%20on%20This%20Week%20@NASA%20%E2%80%93%20May%205,%202018.html</t>
  </si>
  <si>
    <t>cm9zA64LScU</t>
  </si>
  <si>
    <t>https://youtu.be/52A_Q-KY3-g</t>
  </si>
  <si>
    <t>Administrator Bridenstine  InSight Will Map the Inside of Mars</t>
  </si>
  <si>
    <t>NASA Administrator Jim Bridenstine shares thoughts on the Mars InSight mission,  the search for evidence of life beyond Earth,  returning humans to the Moon and why Earth is his favorite planet.
To learn more about InSight, visit https://mars.nasa.gov/insight/.
This video is available for download from NASA's Image and Video Library: https://images.nasa.gov/details-NHQ_2018_0505_Administrator%20Bridenstine%20-%20InSight%20Will%20Map%20the%20Inside%20of%20Mars.html</t>
  </si>
  <si>
    <t>52A_Q-KY3-g</t>
  </si>
  <si>
    <t>2018 05 03</t>
  </si>
  <si>
    <t>https://youtu.be/QETZbYUSNkU</t>
  </si>
  <si>
    <t>NASA's InSight Mars Mission  Countdown to T-Zero</t>
  </si>
  <si>
    <t>InSight, NASA's next Mars explorer, has arrived at Vandenberg Air Force Base in California - a big step forward in the countdown to T-zero on May 5, 2018. The spacecraft is called InSight - short for Interior Exploration using Seismic Investigations, Geodesy and Heat Transport - and it's being tested, fueled and encapsulated for launch aboard the powerful United Launch Alliance Atlas V rocket. The upcoming liftoff will mark the first time an interplanetary mission has launched from the West Coast.</t>
  </si>
  <si>
    <t>QETZbYUSNkU</t>
  </si>
  <si>
    <t>2018 05 02</t>
  </si>
  <si>
    <t>https://youtu.be/SgOap2DGh6A</t>
  </si>
  <si>
    <t>NASA Space Missions Possible Because of Small Businesses</t>
  </si>
  <si>
    <t>NASA Deputy Associate Administrator recognizes the 2018 National Small Business Week; a time to celebrate the critical contributions of America’s entrepreneurs and small business owners. NASA honors its 2017 Agency Small Business Advocate Award winners and acknowledges the contributions made by NASA civil servant personnel throughout the Agency. The Agency 2017 Small Industry Award winners are also highlighted and they recognize the outstanding Small Business Prime Contractor, Small Business Subcontractor, Large Business Prime Contractor, and Mentor-Protégé Agreement that support NASA in achieving its mission.
You can learn more about our fast and future work with small businesses at https://www.osbp.nasa.gov/.</t>
  </si>
  <si>
    <t>SgOap2DGh6A</t>
  </si>
  <si>
    <t>2018 04 30</t>
  </si>
  <si>
    <t>https://youtu.be/3LTa2VAqKm8</t>
  </si>
  <si>
    <t>Bridenstine Sworn in as NASA Administrator on This Week @NASA – April 27, 2018</t>
  </si>
  <si>
    <t>Vice President Pence swears in our new NASA Administrator, a Hubble anniversary flythrough of a nebula, and the smell in the clouds of one of our outermost planets – a few of the stories to tell you about – This Week at NASA!
This video is available for download from NASA's Image and Video Library: https://images.nasa.gov/details-NHQ_2018_0427_%20Bridenstine%20Sworn%20in%20as%20NASA%20Administrator%20on%20This%20Week%20@NASA%20%E2%80%93%20April%2027,%202018.html</t>
  </si>
  <si>
    <t>3LTa2VAqKm8</t>
  </si>
  <si>
    <t>2018 04 24</t>
  </si>
  <si>
    <t>https://youtu.be/DwaD0UKsX3g</t>
  </si>
  <si>
    <t>Welcome Jim Bridenstine to the NASA Family</t>
  </si>
  <si>
    <t>Jim Bridenstine officially took office as the 13th administrator of NASA on Monday, April 23rd, after he was given the oath of office by Vice President Mike Pence at the agency’s headquarters in Washington.
This video is available for download from NASA's Image and Video Library: 
https://go.nasa.gov/2vIT6Iw</t>
  </si>
  <si>
    <t>DwaD0UKsX3g</t>
  </si>
  <si>
    <t>2018 04 20</t>
  </si>
  <si>
    <t>https://youtu.be/195rWd_YCzo</t>
  </si>
  <si>
    <t>A New Administrator is Confirmed on This Week @NASA – April 20, 2018</t>
  </si>
  <si>
    <t>A new NASA Administrator is confirmed, our next planet-hunting mission launches, and the first 3-D microscopic image on the space station – a few of the stories to tell you about – This Week at NASA!
This video is available for download from NASA's Image and Video Library: https://images.nasa.gov/details-NHQ_2018_0420_A%20New%20Administrator%20is%20Confirmed%20on%20This%20Week%20@NASA%20%E2%80%93%20April%2020,%202018.html</t>
  </si>
  <si>
    <t>195rWd_YCzo</t>
  </si>
  <si>
    <t>2018 04 13</t>
  </si>
  <si>
    <t>https://youtu.be/IXUAJqEozFw</t>
  </si>
  <si>
    <t>Human Exploration Rover Challenge on This Week @NASA – April 13, 2018</t>
  </si>
  <si>
    <t>A challenge for the next generation of explorers, an eye-popping virtual tour of the Moon, and introducing the public to a universe of discovery – a few of the stories to tell you about – This Week at NASA!
This video is available for download from NASA's Image and Video Library: https://images.nasa.gov/details-NHQ_2018_0413_Human%20Exploration%20Rover%20Challenge%20on%20This%20Week%20@NASA%20%E2%80%93%20April%2013,%202018.html</t>
  </si>
  <si>
    <t>IXUAJqEozFw</t>
  </si>
  <si>
    <t>2018 04 11</t>
  </si>
  <si>
    <t>https://youtu.be/ACgTZ01d9O0</t>
  </si>
  <si>
    <t>Dwarf Wheat Grows in International Space Station’s Advanced Plant Habitat</t>
  </si>
  <si>
    <t>The Advanced Plant Habitat is up and running aboard the International Space Station. This time lapse demonstrates the growth of dwarf wheat in the new facility. Read more: https://www.nasa.gov/mission_pages/station/research/Giving_Roots_and_Shoots_Their_Space_APH
Many more investigations are scheduled, and the facility allows scientists a better understanding of plant responses to microgravity.</t>
  </si>
  <si>
    <t>ACgTZ01d9O0</t>
  </si>
  <si>
    <t>https://youtu.be/LPvfeOiKbm8</t>
  </si>
  <si>
    <t>Jupiter’s Dynamo</t>
  </si>
  <si>
    <t>NASA’s Juno mission has provided the first view of the dynamo, or engine, powering Jupiter's magnetic field. The new global portrait reveals unexpected irregularities and regions of surprising magnetic field intensity. Read more: https://go.nasa.gov/2JAvQzm
Red areas show where magnetic field lines emerge from the planet, while blue areas show where they return. As Juno continues its mission, it will improve our understanding of Jupiter's complex magnetic environment.
Credit: NASA Goddard Space Flight Center
This video is public domain and along with other supporting visualizations can be downloaded from the Scientific Visualization Studio at: https://svs.gsfc.nasa.gov/13007</t>
  </si>
  <si>
    <t>LPvfeOiKbm8</t>
  </si>
  <si>
    <t>https://youtu.be/By6sZ6RGCEQ</t>
  </si>
  <si>
    <t>Low 3-D Flyover of Jupiter’s North Pole in Infrared</t>
  </si>
  <si>
    <t>In this animation the viewer is taken low over Jupiter’s north pole to illustrate the 3-D aspects of the region’s central cyclone and the eight cyclones that encircle it. 
Read more: https://www.nasa.gov/feature/jpl/nasa-s-juno-mission-provides-infrared-tour-of-jupiter-s-north-pole
The movie utilizes imagery derived from data collected by the Jovian Infrared Auroral Mapper (JIRAM) instrument aboard NASA's Juno mission during its fourth pass over the massive planet.  Infrared cameras are used to sense the temperature of Jupiter’s atmosphere and provide insight into how the powerful cyclones at Jupiter's poles work. In the animation, the yellow areas are warmer (or deeper into Jupiter’s atmosphere) and the dark areas are colder (or higher up in Jupiter’s atmosphere).  In this picture the highest “brightness temperature” is around 260K (about -13°C) and the lowest around 190K (about -83°C). The “brightness temperature” is a measurement of the radiance, at 5 µm, traveling upward from the top of the atmosphere towards Juno, expressed in units of temperature.
Credit: NASA/JPL-Caltech/SwRI/ASI/INAF/JIRAM</t>
  </si>
  <si>
    <t>By6sZ6RGCEQ</t>
  </si>
  <si>
    <t>2018 04 06</t>
  </si>
  <si>
    <t>https://youtu.be/jwsGitHemno</t>
  </si>
  <si>
    <t>Lowering the Boom of Supersonic Flight on This Week @NASA – April 6, 2018</t>
  </si>
  <si>
    <t>Building the future of quiet supersonic flight, science and supplies delivered to the space station, and uncovering the farthest star ever seen – a few of the stories to tell you about, This Week at NASA!
This video is available for download from NASA's Image and Video Library: https://images.nasa.gov/details-Lowering%20the%20Boom%20of%20Supersonic%20Flight%20on%20This%20Week%20@NASA%20%E2%80%93%20April%206,%202018.html</t>
  </si>
  <si>
    <t>jwsGitHemno</t>
  </si>
  <si>
    <t>https://youtu.be/5ehN5NxvNBk</t>
  </si>
  <si>
    <t>SpaceX's Dragon Arrives at the International Space Station (Time-lapse)</t>
  </si>
  <si>
    <t>This time-lapse video packs 90 minutes from the SpaceX Dragon resupply ship’s rendezvous and capture maneuvers at the International Space Station on April 4, 2018 into just one minute.
About the mission: https://www.nasa.gov/press-release/new-research-heading-to-space-station-aboard-14th-spacex-resupply-mission
This is SpaceX’s 14th cargo mission to the space station under NASA’s Commercial Resupply Services contract. Dragon is scheduled to depart the station in May, 2018 and return to Earth with more than 3,500 pounds of research, hardware and crew supplies.</t>
  </si>
  <si>
    <t>5ehN5NxvNBk</t>
  </si>
  <si>
    <t>2018 04 03</t>
  </si>
  <si>
    <t>https://youtu.be/aExTQGcIGKo</t>
  </si>
  <si>
    <t>NASA Psyche Mission  Journey to a Metal World</t>
  </si>
  <si>
    <t>Psyche is both the name of an asteroid orbiting the Sun between Mars and Jupiter — and the name of a NASA space mission to visit that asteroid, led by Arizona State University. Join the Psyche team to explore why this mission was selected for NASA’s Discovery Program, how we’ll get to the asteroid, what we hope to learn from Psyche, and the importance of scientific discovery.
Credits: NASA/JPL-Caltech/Arizona State Univ./Peter Rubin/SSL</t>
  </si>
  <si>
    <t>aExTQGcIGKo</t>
  </si>
  <si>
    <t>2018 04 02</t>
  </si>
  <si>
    <t>https://youtu.be/tHvU42lpzJI</t>
  </si>
  <si>
    <t xml:space="preserve">SpaceX's CRS-14 Mission to the Space Station  What's On Board </t>
  </si>
  <si>
    <t>Over 5,800 pounds of NASA science, crew supplies and hardware will launch to the International Space Station on SpaceX's Dragon spacecraft. It's scheduled to launch April 2, 2018 at 4:30 p.m. EDT, and you can watch live on NASA Television. This will be SpaceX's 14th cargo mission to the station. Learn more about the investigations on board: https://www.nasa.gov/mission_pages/station/research/SpX-14_research_launch_feature</t>
  </si>
  <si>
    <t>tHvU42lpzJI</t>
  </si>
  <si>
    <t>2018 03 30</t>
  </si>
  <si>
    <t>https://youtu.be/3T8dn2EmlBU</t>
  </si>
  <si>
    <t>Astronauts at Work Outside the Space Station on This Week @NASA – March 30, 2018</t>
  </si>
  <si>
    <t>Our astronauts at work outside the space station, preparing for launch of our next planet-hunting mission, and finding exploding stars – a few of the stories to tell you about, This Week at NASA!
This video is available for download from NASA's Image and Video Library: https://images.nasa.gov/details-NHQ_2018_0330_Astronauts%20at%20Work%20Outside%20the%20Space%20Station%20on%20This%20Week%20@NASA%20%E2%80%93%20March%2030,%202018.html</t>
  </si>
  <si>
    <t>3T8dn2EmlBU</t>
  </si>
  <si>
    <t>2018 03 23</t>
  </si>
  <si>
    <t>https://youtu.be/YEmR2PBPvec</t>
  </si>
  <si>
    <t>New Crew Arrives at the Space Station on This Week @NASA – March 23, 2018</t>
  </si>
  <si>
    <t>A new crew at the space station, some science on the next SpaceX resupply mission, and testing Orion’s parachutes – a few of the stories to tell you about – This Week at NASA!
This video is available for download from NASA's Image and Video Library: https://images.nasa.gov/details-NHQ_2018_0323_New%20Crew%20Arrives%20at%20the%20Space%20Station%20on%20This%20Week%20@NASA%20%E2%80%93%20March%2023,%202018.html</t>
  </si>
  <si>
    <t>YEmR2PBPvec</t>
  </si>
  <si>
    <t>2018 03 16</t>
  </si>
  <si>
    <t>https://youtu.be/UkvshMc3z1s</t>
  </si>
  <si>
    <t>A Nearby Ancient “Relic Galaxy” on This Week @NASA – March 16, 2018</t>
  </si>
  <si>
    <t>Uncovering a relic galaxy in our own cosmic backyard, preparing for launch to the space station, and honoring the legacy of Stephen Hawking – a few of the stories to tell you about – This Week at NASA!
This video is available for download from NASA's Image and Video Library: https://images.nasa.gov/details-NHQ_2018_0316_A%20Nearby%20Ancient%20%E2%80%9CRelic%20Galaxy%E2%80%9D%20on%20This%20Week%20@NASA%20%E2%80%93%20March%2016,%202018.html</t>
  </si>
  <si>
    <t>UkvshMc3z1s</t>
  </si>
  <si>
    <t>2018 03 14</t>
  </si>
  <si>
    <t>https://youtu.be/wf4gBKk1Des</t>
  </si>
  <si>
    <t>NASA Honors Legacy of Renowned Astrophysicist Stephen Hawking</t>
  </si>
  <si>
    <t>NASA is honoring visionary physicist Stephen Hawking, who died at his home in Cambridge, England, early Wednesday morning.
Acting NASA Administrator Robert Lightfoot noted Hawking’s role as a “passionate communicator who wanted to share the excitement of discovery with all,” adding that his “impact cannot be overstated.” 
“Stephen’s breakthroughs in the fields of physics and astronomy not only changed how we view the cosmos, but also has played, and will continue to play, a pivotal role in shaping NASA’s efforts to explore our solar system and beyond,” said Lightfoot.
This video is available for download from NASA's Image and Video Library: https://images.nasa.gov/details-NHQ_2018_0314_NASA%20Honors%20Legacy%20of%20Renowned%20Astrophysicist%20Stephen%20Hawking.html</t>
  </si>
  <si>
    <t>wf4gBKk1Des</t>
  </si>
  <si>
    <t>2018 03 09</t>
  </si>
  <si>
    <t>https://youtu.be/urQ2ZbtzhfU</t>
  </si>
  <si>
    <t>Send Your Name to the Sun on This Week @NASA – March 9, 2018</t>
  </si>
  <si>
    <t>A chance to send your name to the Sun, testing systems for our Orion spacecraft, and sizing up Earth, from space – a few of the stories to tell you about – This Week at NASA!
This video is available for download from NASA's Image and Video Library: https://images.nasa.gov/details-NHQ_2018_0309_Send%20Your%20Name%20to%20the%20Sun%20on%20This%20Week%20@NASA%20%E2%80%93%20March%209,%202018.html</t>
  </si>
  <si>
    <t>urQ2ZbtzhfU</t>
  </si>
  <si>
    <t>2018 03 07</t>
  </si>
  <si>
    <t>https://youtu.be/hF0UjhPSS3A</t>
  </si>
  <si>
    <t>NASA's Juno Spacecraft Reveals the Depth of Jupiter's Colored Bands</t>
  </si>
  <si>
    <t>For hundreds of years, this gaseous giant planet appeared shrouded in colorful bands of clouds extending from dusk to dawn, referred to as zones and belts.  Story: https://www.nasa.gov/feature/jpl/nasa-juno-findings-jupiter-s-jet-streams-are-unearthly
The bands were thought to be an expression of Jovian weather, related to winds blowing eastward and westward at different speeds.  
This animation illustrates a recent discovery by Juno that demonstrates these east-west flows, also known as jet-streams penetrate deep into the planet's atmosphere, to a depth of about 1,900 miles (3,000 kilometers).  Due to Jupiter's rapid rotation (Jupiter's day is about 10 hours), these flows extend into the interior parallel to Jupiter's axis of rotation, in the form of nested cylinders. Below this layer the flows decay, possibly slowed by Jupiter's strong magnetic field.  
The depth of these flows surprised scientists who estimate the total mass involved in these jet streams to be about 1% of Jupiter's mass (Jupiter's mass is over 300 times that of Earth). This discovery was revealed by the unprecedented accuracy of Juno's measurements of the gravity field.
Credit: NASA/JPL-Caltech/SwRI/ASI</t>
  </si>
  <si>
    <t>hF0UjhPSS3A</t>
  </si>
  <si>
    <t>2018 03 05</t>
  </si>
  <si>
    <t>https://youtu.be/YpS7PHX7Tjo</t>
  </si>
  <si>
    <t>Space Station Crew Returns Safely on This Week @NASA – March 5, 2018</t>
  </si>
  <si>
    <t>A safe return from the International Space Station, a new weather satellite launched into orbit, and our next mission to Mars moves closer to launch … a few of the stories to tell you about – This Week at NASA!
This video is available for download from NASA's Image and Video Library: https://images.nasa.gov/details-NHQ_2018_0305_Space%20Station%20Crew%20Returns%20Safely%20on%20This%20Week%20@NASA%20%E2%80%93%20March%205,%202018.html</t>
  </si>
  <si>
    <t>YpS7PHX7Tjo</t>
  </si>
  <si>
    <t>2018 02 23</t>
  </si>
  <si>
    <t>https://youtu.be/DVvZ1abXsk8</t>
  </si>
  <si>
    <t>The Second Meeting of the National Space Council on This Week @NASA – February 23, 2018</t>
  </si>
  <si>
    <t>Vice President Mike Pence led the second meeting of the National Space Council, Next Space Station Crew Trains for Launch, and Webb Telescope to Reveal Secrets of Mars … a few of the stories to tell you about – This Week at NASA!
This video is available for download from NASA's Image and Video Library: https://images.nasa.gov/details-NHQ_2018_0223_The%20Second%20Meeting%20of%20the%20National%20Space%20Council%20on%20This%20Week%20@NASA%20%E2%80%93%20February%2023,%202018.html</t>
  </si>
  <si>
    <t>DVvZ1abXsk8</t>
  </si>
  <si>
    <t>2018 02 21</t>
  </si>
  <si>
    <t>https://youtu.be/la67FdwAOXU</t>
  </si>
  <si>
    <t>Transformation of America's Multi-User Spaceport</t>
  </si>
  <si>
    <t>NASA's Kennedy Space Center is a thriving spaceport where commercial companies and government entities work together to ensure America is leading in space. 
This video is available for download from NASA's Image and Video Library: https://images.nasa.gov/details-KSC-20180221-VP-MMS01_VP%20Space%20Council%20Wrap.html</t>
  </si>
  <si>
    <t>la67FdwAOXU</t>
  </si>
  <si>
    <t>https://youtu.be/H0K4bLFVQ1w</t>
  </si>
  <si>
    <t>NASA Provides Coverage of the National Space Council Meeting</t>
  </si>
  <si>
    <t>NASA’s Kennedy Space Center in Florida hosted a meeting of the National Space Council, chaired by Vice President Mike Pence on Wednesday, Feb. 21. This was the second meeting of the council, which President Trump reestablished last year. “Moon, Mars, and Worlds Beyond: Winning the Next Frontier” included testimonials from leaders in the civil, commercial, and national security sectors about the importance of the United States’ space enterprise.
This video is available for download from NASA's Image and Video Library: https://images.nasa.gov/details-KSC-20180221-VP-CDC01-0001_Vice_President_Mike_Pence_National_Space_Council_Meeting_SSPF-3183467.html</t>
  </si>
  <si>
    <t>H0K4bLFVQ1w</t>
  </si>
  <si>
    <t>2018 02 20</t>
  </si>
  <si>
    <t>https://youtu.be/kJo157o_qaw</t>
  </si>
  <si>
    <t xml:space="preserve">What is the RS-25 Engine </t>
  </si>
  <si>
    <t>The RS-25 was the main engine of the space shuttle. There will be four RS-25's used for the Space Launch System (SLS) rocket.
This video is available for download from NASA's Image and Video Library: https://images.nasa.gov/details-NHQ_2018_0220_What%20is%20the%20RS%20-25%20Engine.html</t>
  </si>
  <si>
    <t>kJo157o_qaw</t>
  </si>
  <si>
    <t>2018 02 16</t>
  </si>
  <si>
    <t>https://youtu.be/Q9BVD4cd7H8</t>
  </si>
  <si>
    <t>A Strong State of NASA on This Week @NASA – February 16, 2018</t>
  </si>
  <si>
    <t>The Fiscal Year 2019 budget and the State of NASA, astronauts at work outside the International Space Station, and the arrival of our next planet-hunting satellite … a few of the stories to tell you about – This Week at NASA!
This video is available for download from NASA's Image and Video Library: https://images.nasa.gov/details-NHQ_2018_0216_A%20Strong%20State%20of%20NASA%20on%20This%20Week%20@NASA%20%E2%80%93%20February%2016,%202018.html</t>
  </si>
  <si>
    <t>Q9BVD4cd7H8</t>
  </si>
  <si>
    <t>2018 02 13</t>
  </si>
  <si>
    <t>https://youtu.be/Q2CuyPIXD1s</t>
  </si>
  <si>
    <t xml:space="preserve">State of NASA  How Cool Is That </t>
  </si>
  <si>
    <t>On Feb. 12, NASA centers across the country hosted “State of NASA” events, following President Trump’s Fiscal Year 2019 budget proposal delivery to the U.S. Congress. The events included an address, by acting NASA Administrator Robert Lightfoot, to the agency’s workforce, from NASA’s Marshall Space Flight Center, in Huntsville, Alabama. During his speech, Lightfoot highlighted how the budget would help the agency achieve its goals for space exploration.
This video is available for download from NASA's Image and Video Library: 
https://go.nasa.gov/2EnzVbj</t>
  </si>
  <si>
    <t>Q2CuyPIXD1s</t>
  </si>
  <si>
    <t>2018 02 12</t>
  </si>
  <si>
    <t>https://youtu.be/Fe2HxMDyKXk</t>
  </si>
  <si>
    <t>“State of NASA” Events Highlight Agency Goals for Space Exploration</t>
  </si>
  <si>
    <t>On Feb. 12, NASA centers across the country hosted “State of NASA” events, following President Trump’s Fiscal Year 2019 budget proposal delivery to the U.S. Congress. The events included an address, by acting NASA Administrator Robert Lightfoot, to the agency’s workforce, from NASA’s Marshall Space Flight Center, in Huntsville, Alabama. During his speech, Lightfoot highlighted how the budget would help the agency achieve its goals for space exploration.
This video is available for download from NASA's Image and Video Library: https://images.nasa.gov/details-NHQ_2018_0212_Annual%20'State%20of%20NASA'%20Speech%20to%20Highlight%20Agency%20Goals%20for%20Space%20Exploration.html</t>
  </si>
  <si>
    <t>Fe2HxMDyKXk</t>
  </si>
  <si>
    <t>https://youtu.be/jAbj2C3Jdpg</t>
  </si>
  <si>
    <t>Exploration. It's What We Do.</t>
  </si>
  <si>
    <t>Exploration is a tradition at NASA. We reach for new heights and reveal the unknown for the benefit of humankind. 
On February, 12, 2018,  Acting Administrator Robert Lightfoot gave a State of NASA address to roll out the Fiscal Year 2019 Budget proposal. This video highlights the future-facing vision of those plans.
#StateofNASA
This video is available for download from NASA's Image and Video Library: 
https://images.nasa.gov/details-NHQ_2018_0212_Exploration.%20It's%20What%20We%20Do..html</t>
  </si>
  <si>
    <t>jAbj2C3Jdpg</t>
  </si>
  <si>
    <t>2018 02 09</t>
  </si>
  <si>
    <t>https://youtu.be/GiZMaKlluF8</t>
  </si>
  <si>
    <t>Webb Telescope Moves Westward on This Week @NASA – February 9, 2018</t>
  </si>
  <si>
    <t>Our Webb Space Telescope – on the move, new details about the atmospheres of some Earth-sized exoplanets, and another milestone in the transformation of an historic launch pad … a few of the stories to tell you about – This Week at NASA!
This video is available for download from NASA's Image and Video Library: https://images.nasa.gov/details-NHQ_2018_0209_Webb%20Telescope%20Moves%20Westward%20on%20This%20Week%20@NASA%20%E2%80%93%20February%209,%202018.html</t>
  </si>
  <si>
    <t>GiZMaKlluF8</t>
  </si>
  <si>
    <t>2018 02 02</t>
  </si>
  <si>
    <t>https://youtu.be/SJOz3qjfQXU</t>
  </si>
  <si>
    <t>Celestial Triple Treat on This Week @NASA – February 2, 2018</t>
  </si>
  <si>
    <t>Super Blue Blood Moon – a rare triple treat up in the sky, celebrating America’s first explorer in space, and smoke and fire – another Space Launch System engine test … a few of the stories to tell you about – This Week at NASA!
This video is available for download from NASA's Image and Video Library: https://images.nasa.gov/details-NHQ_2018_0202_Celestial%20Triple%20Treat%20on%20This%20Week%20@NASA%20%E2%80%93%20February%202,%202018.html</t>
  </si>
  <si>
    <t>SJOz3qjfQXU</t>
  </si>
  <si>
    <t>2018 01 31</t>
  </si>
  <si>
    <t>https://youtu.be/Y2-xZ-1HE-Q</t>
  </si>
  <si>
    <t>Explorer 1  How America's First Satellite Helped Create NASA</t>
  </si>
  <si>
    <t>On Jan. 31, 1958, at 10:48 p.m. EST, Explorer 1 launched into space, hurtling into Earth's orbit in seven and a half minutes. Read more: https://go.nasa.gov/2nwic63
The next day's front-page news declared that the United States was now officially in the Space Age. 
Music: Look Forward by Laurent Dury, The Space Between by Max Concors, Picking Locks by James Alexander Dorman and Foraging At Dusk by Benjamin James Parsons. Complete transcript available.
This video is public domain and along with other supporting visualizations can be downloaded from the Scientific Visualization Studio at: http://svs.gsfc.nasa.gov/12837 
Credit: NASA's Goddard Space Flight Center/LK Ward</t>
  </si>
  <si>
    <t>Y2-xZ-1HE-Q</t>
  </si>
  <si>
    <t>2018 01 26</t>
  </si>
  <si>
    <t>https://youtu.be/IrydklNpcFI</t>
  </si>
  <si>
    <t>Jan. 31, 2018 Super Blue Blood Moon and Lunar Eclipse</t>
  </si>
  <si>
    <t>January 31 brings a lunar trifecta: the super blue blood Moon! Starting at 5:30 a.m. Eastern, NASA TV will offer a livestream of the Moon. This full moon is the third in a series of “supermoons,” when the Moon is closer to Earth in its orbit -- known as perigee -- and about 14 percent brighter than usual. It’s the second full moon of the month, commonly known as a “blue moon.” The super blue moon will pass through Earth’s shadow to give viewers in the right location a total lunar eclipse. While the Moon is in the Earth’s shadow it will take on a reddish tint, known as a “blood moon.”  More: https://www.nasa.gov/feature/super-blue-blood-moon-coming-jan-31
Credit: NASA 360
This video is available for download from NASA's Image and Video Library: https://images.nasa.gov/details-NHQ_2018_0126_Jan.%2031,%202018%20Super%20Blue%20Blood%20Moon.html</t>
  </si>
  <si>
    <t>IrydklNpcFI</t>
  </si>
  <si>
    <t>https://youtu.be/9ubytEsCaS0</t>
  </si>
  <si>
    <t>Going EVA Outside the Space Station on This Week @NASA – January 26, 2018</t>
  </si>
  <si>
    <t>The first space station spacewalk of the new year, launching GOLD to study Earth’s near-space environment, and – read all about it … there’s NASA tech you probably use every day … a few of the stories to tell you about – This Week at NASA!
This video is available for download from NASA's Image and Video Library: https://images.nasa.gov/details-NHQ_2018_0126_Going%20EVA%20Outside%20the%20Space%20Station%20on%20This%20Week%20@NASA%20%E2%80%93%20January%2026,%202018.html</t>
  </si>
  <si>
    <t>9ubytEsCaS0</t>
  </si>
  <si>
    <t>2018 01 19</t>
  </si>
  <si>
    <t>https://youtu.be/cu3-EZKF6gY</t>
  </si>
  <si>
    <t>Feel the Rumble! RS-25 Engine Test on This Week @NASA – January 19, 2018</t>
  </si>
  <si>
    <t>Firing the engine that will power humans to deep space, testing a potential source of power for future exploration, and practicing water recovery of the Orion spacecraft – a few of the stories to tell you about – This Week at NASA!
This video is available for download from NASA's Image and Video Library: https://images.nasa.gov/details-NHQ_2018_0119_Feel%20the%20Rumble!%20RS-25%20Engine%20Test%20on%20This%20Week%20@NASA%20%E2%80%93%20January%2019,%202018.html</t>
  </si>
  <si>
    <t>cu3-EZKF6gY</t>
  </si>
  <si>
    <t>2018 01 18</t>
  </si>
  <si>
    <t>https://youtu.be/jBMztWLpTGs</t>
  </si>
  <si>
    <t>2017 Takes Second Place for Hottest Year</t>
  </si>
  <si>
    <t>Earth's surface temperatures in 2017 were the second warmest since since 1880, when global estimates first become feasible, NASA scientists found. News release: https://www.nasa.gov/press-release/long-term-warming-trend-continued-in-2017-nasa-noaa
Global temperatures in 2017 were second only to 2016, which still holds the record for the hottest year; however, 2017 was the warmest year on record that did not start with an El Nino weather pattern, as the previous two years did. In a separate, independent analysis, NOAA scientists found that 2017 was the third-warmest year in their record. The minor difference is due to different methods to analyze global temperatures used by the two agencies, although over the long-term the records remain in strong agreement. 
Music: Sojourner Rover by Craig Warnock [PRS], Lee Ahmad Baker [PRS], Sean Hennessey [PRS] 
This video is public domain and along with other supporting visualizations can be downloaded from the Scientific Visualization Studio at: http://svs.gsfc.nasa.gov/12822 
Credit: NASA's Goddard Space Flight Center/Kathryn Mersmann</t>
  </si>
  <si>
    <t>jBMztWLpTGs</t>
  </si>
  <si>
    <t>2018 01 12</t>
  </si>
  <si>
    <t>https://youtu.be/PQWeWmKB_II</t>
  </si>
  <si>
    <t>Webb Space Telescope Update on This Week @NASA – January 12, 2018</t>
  </si>
  <si>
    <t>The James Webb Space Telescope’s cryogenic vacuum testing at our Johnson Space Center verified it’s ready for the cold, harsh environment of space, and its mission to uncover a part of the universe we have not seen. From distant worlds orbiting other stars, to mysterious cosmic structures, Webb could help answer questions about our universe and our place in it. Launch of Webb is set for 2019. Also, Flight through Orion Nebula, 360 Degree View from the Center of the Galaxy, and Raging Water on Launch Pad!
This video is available for download from NASA's Image and Video Library: https://images.nasa.gov/details-NHQ_2018_0112_Webb%20Space%20Telescope%20Update%20on%20This%20Week%20@NASA%20%E2%80%93%20January%2012,%202018.html</t>
  </si>
  <si>
    <t>PQWeWmKB_II</t>
  </si>
  <si>
    <t>2018 01 11</t>
  </si>
  <si>
    <t>https://youtu.be/fkWrjrdT3Zg</t>
  </si>
  <si>
    <t>Flight Through Orion Nebula in Visible and Infrared Light</t>
  </si>
  <si>
    <t>By combining the visible and infrared capabilities of the Hubble and Spitzer space telescopes, astronomers and visualization specialists from NASA’s Universe of Learning program have created a spectacular, three-dimensional, fly-through movie of the magnificent Orion nebula, a nearby stellar nursery. Using actual scientific data along with Hollywood techniques, a team at the Space Telescope Science Institute in Baltimore, Maryland, and the Caltech/IPAC in Pasadena, California, has produced the best and most detailed multi-wavelength visualization yet of the Orion nebula.
Credits: Space Telescope Science Institute
More: https://www.nasa.gov/feature/goddard/2018/hubble-yields-new-discoveries-at-the-winter-aas-meeting 
Download: http://hubblesite.org/news_release/news/2018-04</t>
  </si>
  <si>
    <t>fkWrjrdT3Zg</t>
  </si>
  <si>
    <t>2018 01 10</t>
  </si>
  <si>
    <t>https://youtu.be/qU7QwIOsodw</t>
  </si>
  <si>
    <t>Webb Telescope Tested for Space, Ready for Science</t>
  </si>
  <si>
    <t>NASA’s James Webb Space Telescope is a civilization scale mission, set to look back to the first galaxies formed after the Big Bang and help answer the question “are we alone in the universe?” After passing a key test at Johnson Space Center designed to simulate the cold vacuum of space, Webb is ready for the next step ahead of a launch in 2019.
This video is available for download from NASA's Image and Video Library: https://images.nasa.gov/details-NHQ_2018_0110_Webb%20Telescope%20Tested%20for%20Space,%20Ready%20for%20Science.html</t>
  </si>
  <si>
    <t>qU7QwIOsodw</t>
  </si>
  <si>
    <t>2018 01 06</t>
  </si>
  <si>
    <t>https://youtu.be/6qBb_iKZbGM</t>
  </si>
  <si>
    <t>NASA Remembers Moonwalker, Shuttle Commander John Young</t>
  </si>
  <si>
    <t>Astronaut John Young, who walked on the Moon during Apollo 16 and commanded the first space shuttle mission, has passed away at the age of 87.
He is the only person to go into space as part of the Gemini, Apollo and space shuttle programs and was the first to fly into space six times -- or seven times, when counting his liftoff from the Moon during Apollo 16.
This video is available for download from NASA's Image and Video Library: https://images.nasa.gov/details-NHQ_2018_0106_Remembering%20NASA%20Astronaut%20John%20Young,%201930-2018.html</t>
  </si>
  <si>
    <t>6qBb_iKZbGM</t>
  </si>
  <si>
    <t>2018 01 04</t>
  </si>
  <si>
    <t>https://youtu.be/_F1wS-fcx6M</t>
  </si>
  <si>
    <t>GOES-16 Satellite Tracks East Coast Storm</t>
  </si>
  <si>
    <t>This 24-hour infrared loop from the National Oceanic and Atmospheric Administration (NOAA) GOES-16 satellite shows the evolution of the deepening east coast cyclone. The Geostationary Operational Environmental Satellite (GOES) – R Series is a collaborative development and acquisition effort between NOAA and NASA. 
The Geostationary Operational Environmental Satellite (GOES) – R Series is a collaborative development and acquisition effort between NOAA and NASA. The GOES-16 (GOES-East) satellite, the first of the series, provides continuous imagery and atmospheric measurements of Earth’s western hemisphere and space weather monitoring.
Credit: NOAA
About GOES-16: https://www.goes-r.gov/</t>
  </si>
  <si>
    <t>_F1wS-fcx6M</t>
  </si>
  <si>
    <t>2017 12 29</t>
  </si>
  <si>
    <t>https://youtu.be/HCBZ8I2yC1w</t>
  </si>
  <si>
    <t>Moon Phases 2018 - Northern Hemisphere - 4K</t>
  </si>
  <si>
    <t>This 4K visualization shows the Moon's phase and libration at hourly intervals throughout 2018, as viewed from the Northern Hemisphere. Two 'supermoons' will ring in the New Year on Jan. 1, 2018 and Jan. 31, 2018.
Each frame represents one hour. In addition, this visualization shows the moon's orbit position, sub-Earth and subsolar points, distance from the Earth at true scale, and labels of craters near the terminator.
Southern hemisphere version: https://www.youtube.com/watch?v=zv6zmKcmBf0
Credit: NASA’s Goddard Space Flight Center/David Ladd (USRA)
Ernie Wright (USRA): Lead Visualizer
John Keller (NASA/GSFC): Scientist
Noah Petro (NASA/GSFC): Scientist
Music Credits: Killer Tracks: "Illuminating" - Kelly McCollough. "Touching Clouds" - Kelly Mccullough.
This video is public domain and along with other supporting visualizations can be downloaded from the Scientific Visualization Studio at: https://svs.gsfc.nasa.gov/4604</t>
  </si>
  <si>
    <t>HCBZ8I2yC1w</t>
  </si>
  <si>
    <t>2017 12 28</t>
  </si>
  <si>
    <t>https://youtu.be/0xs7b1Sp_ac</t>
  </si>
  <si>
    <t>Most Liked NASA Instagram Images of 2017</t>
  </si>
  <si>
    <t>More than 360 images and videos were posted to the NASA Instagram account in 2017. This video showcases the 10 most liked posts from the year.
Follow @NASA on Instagram form more beautiful images and videos in 2018: https://www.instagram.com/nasa/
10. Black Hole Friday: https://www.instagram.com/p/Bb5Fj4jH-m7/?taken-by=nasa
9. Earth from Space Station: https://www.instagram.com/p/BbFCvXTnjis/?taken-by=nasa
8. Black Hole Friday: https://www.instagram.com/p/Bb4ZEwPnqq3/?taken-by=nasa
7. Supernova Remnant: https://www.instagram.com/p/BcnwMzwnUDw/?taken-by=nasa
6. Swirling Clouds on Jupiter: https://www.instagram.com/p/BcPvPGGnnm5/?taken-by=nasa
5. Interstellar Asteroid: https://www.instagram.com/p/Bbu66LDHdEo/?taken-by=nasa
4. Space Station Lunar Transit: https://www.instagram.com/p/BcQgmsxHtaM/?taken-by=nasa
3. Earth at Night from Space Station: https://www.instagram.com/p/Bc8Q0tCnMOh/?taken-by=nasa
2. Total Solar Eclipse: https://www.instagram.com/p/BYEfvA8BPLy/?taken-by=nasa
1. Total Solar Eclipse: https://www.instagram.com/p/BYEswcABpQZ/?taken-by=nasa
This video is available for download from NASA's Image and Video library: https://images.nasa.gov/details-Top%202017%20Images.html</t>
  </si>
  <si>
    <t>0xs7b1Sp_ac</t>
  </si>
  <si>
    <t>2017 12 27</t>
  </si>
  <si>
    <t>https://youtu.be/NqWwhY_8j0I</t>
  </si>
  <si>
    <t>Top 17 Earth From Space Images of 2017 in 4K</t>
  </si>
  <si>
    <t>The astronauts and cosmonauts on the International Space Station take pictures of Earth out their windows nearly every day, and over a year that adds up to thousands of photos. The people at the Earth Science and Remote Sensing Unit at NASA’s Johnson Space Center in Houston had the enviable job of going through this year’s crop to pick their top 17 photos of Earth for 2017—here’s what they chose!
Gateway to Astronaut Photography of Earth: https://eol.jsc.nasa.gov/Collections/CEO-Top-Picks/2017/
Download this video:
https://archive.org/details/jsc2017m001088_Top-17-Earth-Images-of-2017</t>
  </si>
  <si>
    <t>NqWwhY_8j0I</t>
  </si>
  <si>
    <t>2017 12 19</t>
  </si>
  <si>
    <t>https://youtu.be/CxguTV-xwiI</t>
  </si>
  <si>
    <t>NASA's 2018 To Do List</t>
  </si>
  <si>
    <t>This is NASA's 2018 'To Do' list.
The work we do, which will continue in 2018, helps the United States maintain its world leadership in space exploration and scientific discovery. 
Launches, discoveries and more exploration await in the year ahead. 
This video is available for download from NASA's Image and Video Library: 
images-assets.nasa.gov/video/NHQ_2017_1219_NASA 2018 TO DO LIST_FINAL/NHQ_2017_1219_NASA 2018 TO DO LIST_FINAL~orig.mp4</t>
  </si>
  <si>
    <t>CxguTV-xwiI</t>
  </si>
  <si>
    <t>2017 12 15</t>
  </si>
  <si>
    <t>https://youtu.be/RZTnYRA9y9A</t>
  </si>
  <si>
    <t>Liftoff! SpaceX Cargo Mission Heads to the International Space Station</t>
  </si>
  <si>
    <t>The SpaceX Falcon 9 rocket and Dragon spacecraft lifts off at 10:36 a.m. EST, Dec. 15, 2017, on the company’s 13th mission to deliver supplies, equipment and science materials to the International Space Station.
More on the NASA science on board Dragon: https://www.nasa.gov/mission_pages/station/research/news/resupply_critical_science_to_ISS</t>
  </si>
  <si>
    <t>RZTnYRA9y9A</t>
  </si>
  <si>
    <t>https://youtu.be/UUPoFt72wmY</t>
  </si>
  <si>
    <t xml:space="preserve">What's on Board the Next SpaceX Cargo Mission to the Space Station </t>
  </si>
  <si>
    <t>Packed with almost 4,800 pounds of research, crew supplies and hardware for the International Space Station, the SpaceX Dragon spacecraft will launch on a Falcon 9 rocket from Space Launch Complex 40 at Cape Canaveral Air Force Station in Florida.
More: https://www.nasa.gov/spacex</t>
  </si>
  <si>
    <t>UUPoFt72wmY</t>
  </si>
  <si>
    <t>2017 12 14</t>
  </si>
  <si>
    <t>https://youtu.be/0uzv-tEa7SI</t>
  </si>
  <si>
    <t>Artificial Intelligence and NASA Data Used to Discover Eighth Planet Circling Distant Star</t>
  </si>
  <si>
    <t>Our solar system now is tied for most number of planets around a single star, with the recent discovery of an eighth planet circling Kepler-90, a Sun-like star 2,545 light years from Earth. The planet was discovered in data from NASA’s Kepler space telescope. More info: http://www.nasa.gov/press-release/artificial-intelligence-nasa-data-used-to-discover-eighth-planet-circling-distant-star/index.html 
The newly-discovered Kepler-90i -- a sizzling hot, rocky planet that orbits its star once every 14.4 days -- was found by researchers from Google and The University of Texas at Austin using machine learning. Machine learning is an approach to artificial intelligence in which computers “learn.” In this case, computers learned to identify planets by finding in Kepler data instances where the telescope recorded signals from planets beyond our solar system, known as exoplanets.
Video credit: NASA/Ames Research Center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</si>
  <si>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0uzv-tEa7SI</t>
  </si>
  <si>
    <t>2017 12 13</t>
  </si>
  <si>
    <t>https://youtu.be/PRgpuvjV_Vs</t>
  </si>
  <si>
    <t>New Findings From NASA's Dawn Mission at Dwarf Planet Ceres</t>
  </si>
  <si>
    <t>More than 300 bright spots have been located on the surface of Ceres. Scientists with NASA's Dawn mission say the bright material indicates the dwarf planet is an active, evolving world.
More: https://www.nasa.gov/feature/jpl/bright-areas-on-ceres-suggest-geologic-activity</t>
  </si>
  <si>
    <t>PRgpuvjV_Vs</t>
  </si>
  <si>
    <t>2017 12 12</t>
  </si>
  <si>
    <t>https://youtu.be/H9-uzsKHEIw</t>
  </si>
  <si>
    <t>2017 - The Year @NASA (Update)</t>
  </si>
  <si>
    <t>2017: A year of groundbreaking discoveries and record-setting exploration at NASA. The Moon became a focal point for the agency, we brought you unique coverage of the first coast-to-coast total solar eclipse in the U.S. in 99 years, we announced the most Earth-size planets ever found in the habitable zone of a star outside our solar system, and more!
This video is available for download from NASA's Image and Video Library: https://images.nasa.gov/details-NHQ_2017_1212_2017%20-%20The%20Year%20@NASA%20-%20Updated%2012-12-2017.html</t>
  </si>
  <si>
    <t>H9-uzsKHEIw</t>
  </si>
  <si>
    <t>2017 12 11</t>
  </si>
  <si>
    <t>https://youtu.be/YzKxUM_RJsE</t>
  </si>
  <si>
    <t>New Policy Directs NASA to Return Astronauts to Moon</t>
  </si>
  <si>
    <t>Acting NASA Administrator Robert Lightfoot and National Space Council Executive Secretary Scott Pace comment on Space Policy Directive 1, signed Monday, Dec. 11, 2017, by President Trump at the White House. 
The policy calls on NASA to work with international and commercial partners to send humans to the Moon, with a horizon goal of sending astronauts to Mars.</t>
  </si>
  <si>
    <t>YzKxUM_RJsE</t>
  </si>
  <si>
    <t>https://youtu.be/uj3Lq7Gu94Y</t>
  </si>
  <si>
    <t>Fly into the Great Red Spot of Jupiter with NASA’s Juno Mission</t>
  </si>
  <si>
    <t>This animation takes the viewer on a simulated flight into, and then out of, Jupiter’s upper atmosphere at the location of the Great Red Spot. It was created by combining an image from the JunoCam imager on NASA's Juno spacecraft with a computer-generated animation.
The perspective begins about 2,000 miles (3,000 kilometers) above the cloud tops of the planet's southern hemisphere. The bar at far left indicates altitude during the quick descent; a second gauge next to that depicts the dramatic increase in temperature that occurs as the perspective dives deeper down. The clouds turn crimson as the perspective passes through the Great Red Spot. Finally, the view ascends out of the spot.
For more, visit https://www.nasa.gov/feature/jpl/nasas-juno-probes-the-depths-of-jupiters-great-red-spot</t>
  </si>
  <si>
    <t>uj3Lq7Gu94Y</t>
  </si>
  <si>
    <t>2017 12 08</t>
  </si>
  <si>
    <t>https://youtu.be/1Or_6O4hutc</t>
  </si>
  <si>
    <t>Don't Miss the Geminid Meteor Shower, Peaking on Dec. 13</t>
  </si>
  <si>
    <t>The Geminid meteor shower will put on a dazzling show for skywatchers when it peaks overnight on Dec. 13-14, 2017. NASA will show a livestream of the Geminid shower beginning at 9 p.m. EST (10 p.m. Central) on Dec. 13, from the Automated Lunar and Meteor Observatory at NASA's Marshall Space Flight Center in Huntsville, Alabama.
More: https://www.nasa.gov/centers/marshall/news/news/releases/2017/heads-up-earthlings-the-geminids-are-here.html</t>
  </si>
  <si>
    <t>1Or_6O4hutc</t>
  </si>
  <si>
    <t>2017 12 06</t>
  </si>
  <si>
    <t>https://youtu.be/tVyhB_yaa70</t>
  </si>
  <si>
    <t>Space Station's Expandable Habitat Gets Extended Mission</t>
  </si>
  <si>
    <t>The mission of the Bigelow Expandable Activity Module (BEAM) on the International Space Station has been, well, expanded.  After more than a year and a half on orbit providing performance data on expandable habitat technologies, NASA and Bigelow Aerospace have reached agreement to extend the life of the privately-owned module.  For a minimum of three more years, BEAM will be a more operational element of the station used in crew activities and on board storage, allowing time to gather more data on the technology’s structural integrity, thermal stability, and resistance to space debris, radiation and microbial growth.
More about the BEAM habitat: 
https://www.nasa.gov/beam
https://www.nasa.gov/mission_pages/station/research/news/habitat_tests_technology
Download this video: https://archive.org/details/Jsc2017m001123NASAExpandsBEAMsMission</t>
  </si>
  <si>
    <t>tVyhB_yaa70</t>
  </si>
  <si>
    <t>2017 12 04</t>
  </si>
  <si>
    <t>https://youtu.be/UVGgrLqsAzw</t>
  </si>
  <si>
    <t>Pizza Night on the Space Station!</t>
  </si>
  <si>
    <t>Pizza delivery to the International Space Station!  Our Expedition 53 crew had a blast channeling our inner chef by building tasty pizzas for movie night. Whose pizza looks the tastiest? 
What’s it like to make pizza in space?  Team skills come in handy when your food floats.
FOLLOW RANDY BRESNIK!
Facebook: https://www.facebook.com/AstroKomrade/
Twitter: https://twitter.com/AstroKomrade
Instagram: https://www.instagram.com/astrokomrade/
HD download link: https://archive.org/details/GMT321_23...
______________________________________    
FOLLOW THE SPACE STATION!
Twitter: https://twitter.com/Space_Station
Facebook: https://www.facebook.com/ISS
Instagram: https://instagram.com/iss/</t>
  </si>
  <si>
    <t>UVGgrLqsAzw</t>
  </si>
  <si>
    <t>2017 12 01</t>
  </si>
  <si>
    <t>https://youtu.be/odJq1g-nGj0</t>
  </si>
  <si>
    <t>The Joe Show on Third Rock Radio</t>
  </si>
  <si>
    <t>Tune into Third Rock Radio for The Joe Show starring Joe Acaba as a guest DJ on Thursday, December 7th at 5pm ET.
Visit: thirdrockradio.rfcmedia.com
Third Rock Radio's Guest DJ series spotlights NASA astronauts aboard the International Space Station, playing music and sharing their experiences.
This video is available for download from NASA's Image and Video Library: https://images.nasa.gov/details-NHQ%20_2017_%201201_The%20Joe%20Show%20on%20Third%20Rock%20Radio.html</t>
  </si>
  <si>
    <t>odJq1g-nGj0</t>
  </si>
  <si>
    <t>https://youtu.be/O-woH3u7hJk</t>
  </si>
  <si>
    <t>James Webb Space Telescope Out of Chamber “A” on This Week @NASA – December 1, 2017</t>
  </si>
  <si>
    <t>Our James Webb Space Telescope is now out of the historic Chamber A vacuum facility at our Johnson Space Center in Houston, after completing cryogenic testing designed to ensure the telescope works well in the cold, airless environment of space. Set to launch in 2019, Webb will study every phase in the history of our Universe, starting with the first luminous glows following the Big Bang. Also, NASA’s Next Mars Rover Mission, New Space Station Crew Trains for Launch, Update for Next SpaceX Launch to Space Station, Giant Black Hole Pair Photobombs Andromeda Galaxy, and Historic Apollo Mission Control Center Will Be Restored!
This video is available for download from NASA's Image and Video Library: https://images.nasa.gov/details-NHQ_2017_1201_James%20Webb%20Space%20Telescope%20Out%20of%20Chamber%20%E2%80%9CA%E2%80%9D%20on%20This%20Week%20@NASA%20%E2%80%93%20December%201,%202017.html</t>
  </si>
  <si>
    <t>O-woH3u7hJk</t>
  </si>
  <si>
    <t>https://youtu.be/A4v5YgC9vkE</t>
  </si>
  <si>
    <t>ScienceCasts  A Supermoon Trilogy</t>
  </si>
  <si>
    <t>A series of three supermoons will appear on the celestial stage on December 3, 2017, January 1, 2018, and January 31, 2018.
Visit http://science.nasa.gov/ for more.</t>
  </si>
  <si>
    <t>A4v5YgC9vkE</t>
  </si>
  <si>
    <t>2017 11 29</t>
  </si>
  <si>
    <t>https://youtu.be/LZOKYqEiyiw</t>
  </si>
  <si>
    <t>ESA Astronaut Discusses Life in Space with Aspiring Students</t>
  </si>
  <si>
    <t>Aboard the International Space Station, Expedition 53 Flight Engineer Paolo Nespoli of ESA (European Space Agency) discussed how students can aspire to be astronauts and engineers during a “Mission X” competition in-flight event Nov. 29. Mission X is an international educational challenge, focusing on fitness and nutrition that encourages students to train like an astronaut. Teams of primary school-aged students (8-12 years old) learn the principles of healthy eating and exercise, compete for points by finishing training modules, and learn about the world's future in space and educational possibilities for their own future.
This video is available for download from NASA's Image and Video Library: https://images.nasa.gov/details-NHQ_2017_1129_ESA%20Astronaut%20Discusses%20Life%20in%20Space%20with%20Aspiring%20Students.html</t>
  </si>
  <si>
    <t>LZOKYqEiyiw</t>
  </si>
  <si>
    <t>2017 11 28</t>
  </si>
  <si>
    <t>https://youtu.be/Wfoy_OvNDvw</t>
  </si>
  <si>
    <t>Action Cam Footage From October 2017 Spacewalk</t>
  </si>
  <si>
    <t>NASA astronaut Randy Bresnik captured this footage with a GoPro camera on Oct. 20, 2017 during a spacewalk outside the International Space Station. Bresnik reflected on this quiet moment, "Sometimes on a #spacewalk, you just have to take a moment to enjoy the beauty of our planet Earth. This Go-Pro footage is from our spacewalk where Joe Acaba and I refurbished the Canadarm2 robotic arm and the Dextre robotic arm extension."  
Read more about the spacewalk: https://blogs.nasa.gov/spacestation/2017/10/20/expedition-53-spacewalk-successfully-comes-to-an-end/
Follow Randy Bresnik: https://twitter.com/astrokomrade
https://www.facebook.com/AstroKomrade/
https://www.instagram.com/astrokomrade/</t>
  </si>
  <si>
    <t>Wfoy_OvNDvw</t>
  </si>
  <si>
    <t>2017 11 27</t>
  </si>
  <si>
    <t>https://youtu.be/l1y-EbdrHbU</t>
  </si>
  <si>
    <t>Space Station Crew Discusses Life in Space with West Point Cadets</t>
  </si>
  <si>
    <t>Aboard the International Space Station, Expedition 53 Commander Randy Bresnik and Flight Engineers Mark Vande Hei and Joe Acaba of NASA discussed life and research aboard the orbital outpost during an in-flight event Nov. 27 with cadets at the U.S. Military Academy in West Point, New York. Bresnik, who is a retired Marine Colonel, is in the final weeks of his five-and-a-half-month mission on the station, while Vande Hei, a former Army Colonel, and Acaba, a former Marine reservist, will remain aboard the complex until late February.
This video is available for download from NASA's Image and Video Library: https://images.nasa.gov/details-NHQ_2017_1127_Space%20Station%20Crew%20Discusses%20Life%20in%20Space%20with%20West%20Point%20Cadets.html</t>
  </si>
  <si>
    <t>l1y-EbdrHbU</t>
  </si>
  <si>
    <t>2017 11 24</t>
  </si>
  <si>
    <t>https://youtu.be/iAwbmjcGMZk</t>
  </si>
  <si>
    <t>New Details about Interstellar Visitor on This Week @NASA – November 24, 2017</t>
  </si>
  <si>
    <t>New data reveal that the interstellar asteroid that recently zipped through our solar system is rocky, cigar-shaped, and has a somewhat reddish hue. It’s the first confirmed object from another star observed in our solar system, and was discovered Oct. 19 by the University of Hawaii’s Pan-STARRS1 telescope team, funded by NASA’s Near-Earth Object Observations Program. The telescope team named it ‘Oumuamua (oh MOO-uh MOO-uh) – Hawaiian for “a messenger from afar arriving first.” The unusually-shaped asteroid, which is up to a quarter mile long and perhaps 10 times as long as it is wide, may provide new clues into how other solar systems formed. Also, Advanced Weather Satellite Launched, James Webb Space Telescope Completes Final Cryogenic Testing, Recurring Martian Streaks: Flowing Sand, Not Water? and Happy Thanksgiving, from Space!
This video is available for download from NASA's Image and Video Library: https://images.nasa.gov/details-NHQ_2017_1124_New%20Details%20about%20Interstellar%20Visitor%20on%20This%20Week%20@NASA%20%E2%80%93%20November%2024,%202017.html</t>
  </si>
  <si>
    <t>iAwbmjcGMZk</t>
  </si>
  <si>
    <t>2017 11 22</t>
  </si>
  <si>
    <t>https://youtu.be/BwkC8QVfQLY</t>
  </si>
  <si>
    <t>Space Station Crew Members Discuss Life in Space with Military Media</t>
  </si>
  <si>
    <t>Aboard the International Space Station, Expedition 53 Commander Randy Bresnik and Flight Engineers Mark Vande Hei and Joe Acaba of NASA discussed life and research aboard the orbital outpost during a pair of in-flight interviews Nov. 22 with the Soldiers TV Network and Marines Media organization. Bresnik, who is a retired Marine Colonel, is in the final weeks of his five-and-a-half-month mission on the station, while Vande Hei, a former Army Colonel, and Acaba, a former Marine reservist, will remain aboard the complex until late February.
This video is available for download from NASA's Image and Video Library: https://images.nasa.gov/details-NHQ_2017_1122_Space%20Station%20Crew%20Members%20Discuss%20Life%20in%20Space%20with%20Military%20Media.html</t>
  </si>
  <si>
    <t>BwkC8QVfQLY</t>
  </si>
  <si>
    <t>2017 11 20</t>
  </si>
  <si>
    <t>https://youtu.be/zjW2pfltx5U</t>
  </si>
  <si>
    <t>Astronauts Discuss Life in Space with Tennessee Students</t>
  </si>
  <si>
    <t>Aboard the International Space Station, Expedition 53 Commander Randy Bresnik and Flight Engineer Mark Vande Hei of NASA discussed life and research on the orbital laboratory during an in-flight educational event Nov. 20 with students at the Southside Elementary School in Lebanon, Tennessee.
This video is available for download from NASA's Image and Video Library: https://images.nasa.gov/details-NHQ_2017_1120_Astronauts%20Discuss%20Life%20in%20Space%20with%20Tennessee%20Students.html</t>
  </si>
  <si>
    <t>zjW2pfltx5U</t>
  </si>
  <si>
    <t>2017 11 18</t>
  </si>
  <si>
    <t>https://youtu.be/GJtEGtbfJ34</t>
  </si>
  <si>
    <t>NASA Launches NOAA Weather Satellite to Improve Forecasts</t>
  </si>
  <si>
    <t>Early on the morning of Saturday, Nov. 18, NASA successfully launched for the National Oceanic and Atmospheric Administration (NOAA) the first in a series of four advanced polar-orbiting satellites, equipped with next-generation technology and designed to improve the accuracy of U.S. weather forecasts out to seven days. The Joint Polar Satellite System-1 (JPSS-1) lifted off on a United Launch Alliance Delta II rocket from Vandenberg Air Force Base on California’s central coast. JPSS-1 data will improve weather forecasting and help agencies involved with post-storm recovery by visualizing storm damage and the geographic extent of power outages.
This video is available for download from NASA's Image and Video Library: https://images.nasa.gov/details-NHQ_2017_1118_NASA%20Launches%20NOAA%20Weather%20Satellite%20to%20Improve%20Forecasts.html</t>
  </si>
  <si>
    <t>GJtEGtbfJ34</t>
  </si>
  <si>
    <t>2017 11 17</t>
  </si>
  <si>
    <t>https://youtu.be/gDHUDFwUkfw</t>
  </si>
  <si>
    <t>Science and Supplies Launched to Space Station on This Week @NASA – November 17, 2017</t>
  </si>
  <si>
    <t>An Orbital ATK Cygnus cargo spacecraft arrived at the International Space Station on Nov. 14, carrying about 7,400 pounds of supplies, and science and research materials. The Cygnus – named after late NASA astronaut Eugene Cernan – was launched two days earlier from our Wallops Flight Facility in Virginia. Cygnus also carried several small satellites designed to conduct technology demonstrations of laser communication, research on the effects of microgravity on bacterial antibiotic resistance, and a variety of other studies. Also, Dream Chaser Free Flight Test, Mars 2020 Supersonic Parachute Test, and New “Gravity Assist” Podcast Debuts!
This video is available for download from NASA's Image and Video Library: https://images.nasa.gov/details-NHQ_2017_1117_Science%20and%20Supplies%20Launched%20to%20Space%20Station%20on%20This%20Week%20@NASA%20–%20November%2017,%202017.html</t>
  </si>
  <si>
    <t>gDHUDFwUkfw</t>
  </si>
  <si>
    <t>2017 11 14</t>
  </si>
  <si>
    <t>https://youtu.be/K9hQ5SqZKd0</t>
  </si>
  <si>
    <t>Orbital ATK's Cygnus Rendzevous and Installation to the International Space Station</t>
  </si>
  <si>
    <t>Orbital ATK’s Cygnus spacecraft arrived at the International Space Station Nov. 14 after a two-day journey following its launch Nov. 12 on the company’s Antares rocket from the Wallops Flight Facility in Virginia. Dubbed the “SS Gene Cernan” after the late Gemini and Apollo astronaut who was the last man to walk on the moon, Cygnus was captured by Expedition 53 Flight Engineer Paolo Nespoli of ESA (the European Space Agency) and Commander Randy Bresnik of NASA using the station’s Canadarm2 robotic arm. Cygnus was loaded with some 3 ½ tons of supplies and science experiments for the Expedition crew members on the unique orbiting laboratory and is scheduled to remain attached to the Unity module until early January.
This video is available for download from NASA's Image and Video Library: https://images.nasa.gov/details-NHQ_2017_1114_Orbital%20ATK%20Cygnus%20CRS-8%20Rendzevous,%20Capture%20and%20Installation%20to%20the%20ISS.html</t>
  </si>
  <si>
    <t>K9hQ5SqZKd0</t>
  </si>
  <si>
    <t>2017 11 12</t>
  </si>
  <si>
    <t>https://youtu.be/HpE6h6sHg3Q</t>
  </si>
  <si>
    <t>Post-Launch Status of Orbital ATK’s Mission to the International Space Station</t>
  </si>
  <si>
    <t>On Nov. 12, Orbital ATK launched its Cygnus cargo spacecraft atop an Antares rocket to the International Space Station, from the Mid-Atlantic Regional Spaceport at NASA’s Wallops Flight Facility in Virginia. Following the launch mission managers provided a status update on the mission.
This video is available for download from NASA's Image and Video Library: https://images.nasa.gov/details-NHQ_2017_1112_Post-Launch%20Status%20of%20Orbital%20ATK%E2%80%99s%20Mission%20to%20the%20International%20Space%20Station.html</t>
  </si>
  <si>
    <t>HpE6h6sHg3Q</t>
  </si>
  <si>
    <t>https://youtu.be/_5uhDWAR88Y</t>
  </si>
  <si>
    <t>U.S. Commercial Cargo Spaceship Heads to the International Space Station</t>
  </si>
  <si>
    <t>Orbital ATK’s Antares rocket blasted off Nov. 12 from the Wallops Flight Facility in Virginia to send the company’s Cygnus spacecraft to orbit on the start of a two-day journey to deliver 3 ½ tons of supplies and science experiments to the International Space Station. Dubbed the “SS Gene Cernan” after the late Gemini and Apollo astronaut who was the last man to walk on the moon, Cygnus is scheduled to arrive at the station Nov. 14 where it will be attached to the Unity module for a three-week stay.
This video is available for download from NASA's Image and Video Library: https://images.nasa.gov/details-NHQ_2017_1112_U.S.%20Commercial%20Cargo%20Spaceship%20Heads%20to%20the%20International%20Space%20Station.html</t>
  </si>
  <si>
    <t>_5uhDWAR88Y</t>
  </si>
  <si>
    <t>2017 11 11</t>
  </si>
  <si>
    <t>https://youtu.be/WDWLzZk3AwA</t>
  </si>
  <si>
    <t>Hubble Sees Light Echo from Exploded Star on This Week @NASA – November 11, 2017</t>
  </si>
  <si>
    <t>Images from our Hubble Space Telescope show a “light echo” from the explosive death of a star some 11.4 million light-years away – still sweeping through interstellar space three years after the explosion. The “echoing” light – which looks like a ripple expanding on a pond -- is caused by light scattering off interstellar dust clouds. It illustrates that space between stars is not a totally empty void. Also, Powering Saturn's Active Ocean Moon, Help Nickname New Horizons’ Next Flyby Target, and NASA Remembers Gemini, Apollo Astronaut Dick Gordon!</t>
  </si>
  <si>
    <t>WDWLzZk3AwA</t>
  </si>
  <si>
    <t>2017 11 10</t>
  </si>
  <si>
    <t>https://youtu.be/I8PzQX3LVE0</t>
  </si>
  <si>
    <t>Orbital ATK CRS-8 Prelaunch Science Briefing</t>
  </si>
  <si>
    <t>NASA commercial cargo provider Orbital ATK is scheduled to launch its eighth mission to the International Space Station at 7:37 a.m. EST Saturday, Nov. 11 from NASA’s Wallops Flight Facility in Virginia. Live launch coverage will begin at 7 a.m. on NASA Television and the agency’s website.
On Friday, Nov. 10 scientists and researchers discussed some of the investigations and technology demonstrations to be delivered to the station during a prelaunch briefing.
Under NASA’s Commercial Resupply Services contract, Cygnus will carry about 7,400 pounds of crew supplies and hardware to the space station, including science and research in support of dozens of research investigations that will occur during Expeditions 53 and 54.
This video is available for download from NASA's Image and Video Library: https://images.nasa.gov/details-NHQ_2017_1110_Orbital%20ATK%20CRS-8%20Mission%20Science%20Briefing.html</t>
  </si>
  <si>
    <t>I8PzQX3LVE0</t>
  </si>
  <si>
    <t>https://youtu.be/cVPAkyWq1is</t>
  </si>
  <si>
    <t>Orbital ATK CRS-8 Prelaunch Mission Status Briefing</t>
  </si>
  <si>
    <t>NASA commercial cargo provider Orbital ATK is scheduled to launch its eighth mission to the International Space Station at 7:37 a.m. EST Saturday, Nov. 11 from NASA’s Wallops Flight Facility in Virginia. Live launch coverage will begin at 7 a.m. on NASA Television and the agency’s website.
On Friday, Nov. 10 mission managers provided an overview of the mission, and status of launch operations during a prelaunch briefing.
Under NASA’s Commercial Resupply Services contract, Cygnus will carry about 7,400 pounds of crew supplies and hardware to the space station, including science and research in support of dozens of research investigations that will occur during Expeditions 53 and 54.</t>
  </si>
  <si>
    <t>cVPAkyWq1is</t>
  </si>
  <si>
    <t>2017 11 08</t>
  </si>
  <si>
    <t>https://youtu.be/SyWmz0nK9lY</t>
  </si>
  <si>
    <t>Space Station Astronauts Discuss Life in Space with Virginia Students</t>
  </si>
  <si>
    <t>Aboard the International Space Station, Expedition 53 Commander Randy Bresnik and Flight Engineers Joe Acaba and Mark Vande Hei of NASA discussed life and scientific research aboard the orbital laboratory during an in-flight educational event Nov. 8 with students at the Pole Green Elementary School in Mechanicsville, Virginia. The three NASA astronauts are in various stages of their respective five-and-a-half-month missions on the complex.
This video is available for download from NASA's Image and Video Library: https://images.nasa.gov/details-NHQ_2017_1108_Space%20Station%20Astronauts%20Discuss%20Life%20in%20Space%20with%20Virginia%20Students.html</t>
  </si>
  <si>
    <t>SyWmz0nK9lY</t>
  </si>
  <si>
    <t>2017 11 06</t>
  </si>
  <si>
    <t>https://youtu.be/lFFS5HpJXpM</t>
  </si>
  <si>
    <t>Space Station Crew Member Discusses Life in Space with Italian Prime Minister</t>
  </si>
  <si>
    <t>Aboard the International Space Station, Expedition 53 Flight Engineer Paolo Nespoli of Italy and ESA (the European Space Agency) discussed the accomplishments of his mission during an in-flight conversation Nov. 6 with Italian Prime Minister Paolo Gentiloni. Nespoli is in the final month of a five-and-a-half-month mission aboard the orbiting laboratory. The crew is scheduled to return to Earth in a Russian Soyuz spacecraft Dec. 14, landing in south central Kazakhstan.</t>
  </si>
  <si>
    <t>lFFS5HpJXpM</t>
  </si>
  <si>
    <t>2017 11 03</t>
  </si>
  <si>
    <t>https://youtu.be/7M23twUDQI4</t>
  </si>
  <si>
    <t>Nomination Hearing for Bridenstine to be NASA Administrator on This Week @NASA – November 3, 2017</t>
  </si>
  <si>
    <t>On Nov. 1, Rep. Jim Bridenstine, the president’s nominee to be the next administrator of NASA, appeared before the Senate Committee on Commerce, Science, and Transportation. Bridenstine, a pilot in the U.S. Navy Reserve and former executive director of the Tulsa Air and Space Museum and Planetarium, was elected to the U.S. Congress in 2012 to represent Oklahoma’s First Congressional District. If confirmed, he would become NASA’s 13th Administrator. Also, Orion Launch Pad Emergency Exit Tests, Jack Fischer in Washington, and Next Mars Rover Will Have 23 “Eyes”!
This video is available for download from NASA's Image and Video Library: https://images.nasa.gov/details-NHQ_2017_1103_Nomination%20Hearing%20for%20Bridenstine%20to%20be%20NASA%20Administrator%20on%20This%20Week%20@NASA%20%E2%80%93%20November%203,%202017.html</t>
  </si>
  <si>
    <t>7M23twUDQI4</t>
  </si>
  <si>
    <t>https://youtu.be/WwIyKaz2wvs</t>
  </si>
  <si>
    <t>NASA Earth and Space Air Prize</t>
  </si>
  <si>
    <t>Breathable air is necessary to sustain humans both on Earth as well as in space. 
NASA is working with the Robert Wood Johnson Foundation (RWJF) to sponsor the Earth and Space Air Prize competition for a solution that could improve air quality and health in space and on Earth. This project is a technology innovation challenge to promote development of robust, durable, inexpensive, efficient, lightweight, and easy-to-use aerosol sensors for space and Earth environments. The competition asks teams or individuals to design and develop specialized sensor technology that has the potential to be useful in spaceflight as well as on Earth anywhere outdoors in a community where people may be exposed to airborne particles.
To learn more about the rules and to register for the competition please visit www.earthspaceairprize.org
This video can also be located at: 
https://images.nasa.gov/details-NHQ_2017_1026_Air%20Prize_FINAL.html</t>
  </si>
  <si>
    <t>WwIyKaz2wvs</t>
  </si>
  <si>
    <t>https://youtu.be/QBjE2sfkfAg</t>
  </si>
  <si>
    <t>Space Station Crew Members Discuss Life in Space with Media</t>
  </si>
  <si>
    <t>Aboard the International Space Station, Expedition 53 Commander Randy Bresnik and Flight Engineers Joe Acaba and Mark Vande Hei of NASA discussed life and research on the orbital laboratory during in-flight interviews Nov. 3 with KARE-TV in Minneapolis and the “Fox and Friends” morning talk program on the Fox Network. The astronauts are in various stages of their respective five-and-a-half-month missions on the orbital outpost.
This video is available for download from NASA's Image and Video Library: https://images.nasa.gov/details-NHQ_2017_1103_Space%20Station%20Crew%20Members%20Discuss%20Life%20in%20Space%20with%20Media.html</t>
  </si>
  <si>
    <t>QBjE2sfkfAg</t>
  </si>
  <si>
    <t>2017 11 02</t>
  </si>
  <si>
    <t>https://youtu.be/fahda08jNUI</t>
  </si>
  <si>
    <t>Space Station Crew Discusses Life in Space with Ohio Students</t>
  </si>
  <si>
    <t>Aboard the International Space Station, Expedition 53 Flight Engineers Mark Vande Hei and Joe Acaba of NASA discussed life and research on the outpost during an in-flight educational event Nov. 1 with students at the Shaker Heights School in Cleveland, Ohio. Vande Hei and Acaba, who launched to the station together in September, are in the midst of a five-and-a-half-month mission on the orbital laboratory.
This video is available for download from NASA's Image and Video Library: https://images.nasa.gov/#/search-results?q=ohio%20students&amp;page=1&amp;media=video&amp;yearStart=1920&amp;yearEnd=2017</t>
  </si>
  <si>
    <t>fahda08jNUI</t>
  </si>
  <si>
    <t>2017 10 30</t>
  </si>
  <si>
    <t>https://youtu.be/senTKo0imb4</t>
  </si>
  <si>
    <t>Space Station Crew Discusses Life in Space with California Students</t>
  </si>
  <si>
    <t>Aboard the International Space Station, Expedition 53 Commander Randy Bresnik and Flight Engineer Joe Acaba of NASA discussed life and research on the outpost during an in-flight educational event Oct. 30 with students at the Santa Monica High School in Santa Monica, California. Acaba, who is a native of southern California, and Bresnik are in various stages of their respective five-and-a half-month missions on the orbital laboratory.
This video is available for download from NASA's Image and Video Library: https://images.nasa.gov/#/details-NHQ_2017_1030_Space Station Crew Discusses Life in Space with California Students.html</t>
  </si>
  <si>
    <t>senTKo0imb4</t>
  </si>
  <si>
    <t>2017 10 27</t>
  </si>
  <si>
    <t>https://youtu.be/4qVKo4ByO6c</t>
  </si>
  <si>
    <t>NASA’s New “Gravity Assist” Podcast Debuts Nov. 15</t>
  </si>
  <si>
    <t>Join us November 15 for the debut of the new NASA podcast, “Gravity Assist,” hosted by Dr. Jim Green, NASA’s director of planetary science. Gravity Assist is a virtual tour of the solar system and beyond with the top scientists in the world as your guides. The weekly podcast kicks off with a special 10-part series on the solar system that begins with the Sun, and takes you outward to Pluto and beyond.
This video is available for download from NASA's Image and Video Library: https://images.nasa.gov/#/details-NHQ_2017_1027_NASA%E2%80%99s%20New%20%E2%80%9CGravity%20Assist%E2%80%9D%20Podcast%20Debuts%20Nov.15.html</t>
  </si>
  <si>
    <t>4qVKo4ByO6c</t>
  </si>
  <si>
    <t>https://youtu.be/R9rvCRix-HM</t>
  </si>
  <si>
    <t>Pence Visits Mars InSight Facility on This Week @NASA – October 27, 2017</t>
  </si>
  <si>
    <t>On Oct. 26, Vice President Mike Pence joined our Associate Administrator for Science, Thomas Zurbuchen for a close-up view of the agency’s Mars InSight spacecraft, during a visit to the Littleton, Colorado facilities of Lockheed Martin. InSight is being prepped for a May 2018 launch to the Red Planet, with landing targeted for next November. The mission will study the deep interior of Mars, with a primary goal of helping scientists understand how rocky planets – including Earth – formed and evolved. The vice president also visited a Virtual Reality lab that featured demos of the company’s human exploration efforts, including our Orion spacecraft. Orion will launch on the agency’s Space Launch System rocket, and take humans farther into the solar system than ever before. Also, Interstellar Visitor from Beyond the Solar System, Space Station Crew Talks with Pope Francis, Dawn Finds Possible Ancient Ocean Remnants at Ceres, and Take a Walk on Mars!
This video is available for download from NASA's Image and Video Library: https://images.nasa.gov/#/details-NHQ_2017_1027_Pence%20Visits%20Mars%20InSight%20Facility%20on%20This%20Week%20@NASA%20%E2%80%93%20October%2027,%202017.html</t>
  </si>
  <si>
    <t>R9rvCRix-HM</t>
  </si>
  <si>
    <t>https://youtu.be/Yyp5W1AeTr8</t>
  </si>
  <si>
    <t>If school wasn’t scary enough… here is a spooky/amusing take on watching a classroom film on Halloween.
NASA wishes you a safe and happy Halloween</t>
  </si>
  <si>
    <t>Yyp5W1AeTr8</t>
  </si>
  <si>
    <t>https://youtu.be/nO7TWsXUfCQ</t>
  </si>
  <si>
    <t>Vice President Sees Mars InSight Spacecraft in Colorado</t>
  </si>
  <si>
    <t>Vice President Mike Pence joined NASA Associate Administrator for the Science Mission Directorate, Thomas Zurbuchen for a close-up view of NASA’s Mars InSight spacecraft during a visit to Lockheed Martin’s facility in Littleton, Colorado, on Thursday, October 26. InSight is being prepped for a May 2018 launch to the Red Planet, with a landing in November. It will study the deep interior of Mars, with a primary goal of helping scientists understand how rocky planets – including Earth – formed and evolved.
The vice president also visited a Lockheed Martin Virtual Reality lab, featuring demos of the company’s human exploration efforts. Lockheed Martin is the prime contractor building NASA’s Orion spacecraft, which will launch on the agency’s Space Launch System rocket, and take humans farther into the solar system than ever before.
This video is available for download from NASA's Image and Video Library: https://images.nasa.gov/#/details-NHQ_2017_1027_Vice%20President%20Sees%20Mars%20Insight%20Spacecraft%20in%20Colorado.html</t>
  </si>
  <si>
    <t>nO7TWsXUfCQ</t>
  </si>
  <si>
    <t>2017 10 26</t>
  </si>
  <si>
    <t>https://youtu.be/2fa6JSWVDxk</t>
  </si>
  <si>
    <t>Space Station Crew Holds an Out of this World Audience with the Pope</t>
  </si>
  <si>
    <t>Aboard the International Space Station, Expedition 53 Commander Randy Bresnik and Flight Engineers Joe Acaba and Mark Vande Hei of NASA and Flight Engineer and Italian astronaut Paolo Nespoli of the European Space Agency discussed life and work in space and the spirit of international cooperation during a question and answer session Oct. 26 with Pope Francis at the Vatican. The pope also discussed the crew members’ view of the Earth from orbit and praised the crew for its accomplishments in demonstrating the value of international collaboration for peaceful purposes. The crewmembers are in various stages of their respective five and a half month missions on the outpost.
This video is available for download from NASA's Image and Video Library: https://images.nasa.gov/#/details-NHQ_2017_1026_Space%20Station%20Crew%20Holds%20an%20Out%20of%20this%20World%20Audience%20with%20the%20Pope.html</t>
  </si>
  <si>
    <t>2fa6JSWVDxk</t>
  </si>
  <si>
    <t>2017 10 25</t>
  </si>
  <si>
    <t>https://youtu.be/w6oe7oFxDaQ</t>
  </si>
  <si>
    <t>Space Station Commander Discusses Life in Space with Ukrainian Students</t>
  </si>
  <si>
    <t>Aboard the International Space Station, Expedition 53 Commander Randy Bresnik of NASA discussed life and research aboard the orbital laboratory during an in-flight question and answer session Oct. 25 with Ukrainian students gathered at the America House in Kiev, Ukraine and other Ukrainian students tied in to the event from other locations. Participating in the event in Kiev was the U.S. Ambassador to Ukraine, Marie Yovanovitch.
This video is available for download from NASA's Image and Video Library: https://images.nasa.gov/#/details-NHQ_2017_1025_Space%20Station%20Commander%20Discusses%20Life%20in%20Space%20with%20Ukrainian%20Students.html</t>
  </si>
  <si>
    <t>w6oe7oFxDaQ</t>
  </si>
  <si>
    <t>2017 10 23</t>
  </si>
  <si>
    <t>https://youtu.be/55XVfwkmepY</t>
  </si>
  <si>
    <t>Space Station Crew Discusses Life in Space with Georgia Students</t>
  </si>
  <si>
    <t>Aboard the International Space Station, Expedition 53 Commander Randy Bresnik and Flight Engineers Joe Acaba and Mark Vande Hei of NASA discussed life and research aboard the orbital outpost during an in-flight educational event Oct. 23 with students at the New Prospect Elementary School in Alpharetta, Georgia. The crew members are in various stages of their five and a half month missions on the orbital complex.
This video is available for download from NASA's Image and Video Library: https://images.nasa.gov/#/details-NHQ_2017_1023_Space%20Station%20Crew%20Discusses%20Life%20in%20Space%20with%20Georgia%20Students.html</t>
  </si>
  <si>
    <t>55XVfwkmepY</t>
  </si>
  <si>
    <t>https://youtu.be/pTvFJjy4YOE</t>
  </si>
  <si>
    <t>First Light Detected from Gravitational Wave Event on This Week @NASA – October 20, 2017</t>
  </si>
  <si>
    <t>For the first time, NASA scientists have detected light tied to a gravitational-wave event. The gravitational wave – caused by an explosive merger of two neutron stars, about 130 million light-years from Earth – produced a gamma-ray burst and a rarely seen flare-up called a "kilonova". The phenomenon was captured by our Fermi, Swift, Hubble, Chandra and Spitzer missions, along with dozens of NASA-funded ground-based observatories. Also, Trio of Station Spacewalks Completed, Fresh Findings from Cassini, and Test of SLS RS-25 Flight Engine!
This video is available for download from NASA's Image and Video Library: https://images.nasa.gov/#/details-NHQ_20171023_This%20Week%20@%20NASA.html</t>
  </si>
  <si>
    <t>pTvFJjy4YOE</t>
  </si>
  <si>
    <t>2017 10 20</t>
  </si>
  <si>
    <t>https://youtu.be/0BUxR5ZNaJg</t>
  </si>
  <si>
    <t>Space Station Crew Completes a Trio of October Spacewalks</t>
  </si>
  <si>
    <t>Outside the International Space Station, Expedition 53 Commander Randy Bresnik and Flight Engineer Joe Acaba of NASA conducted a spacewalk Oct. 20 to continue upgrades to and maintenance of station hardware. It was the third spacewalk in two weeks for Expedition 53 crewmembers outside the Quest airlock. During the excursion, Bresnik and Acaba replaced a failed camera light on the new Latching End Effector “hand” on the Canadarm2 robotic arm, installed a new high definition camera on the starboard truss of the complex, replaced a fuse on the Dextre Special Dexterous Manipulator attachment for the arm and removed thermal blankets from two spare electrical routing units for future robotic replacement work, if required. It was the fifth spacewalk in Bresnik’s career and the third for Acaba.
This video is available for download from NASA's Image and Video Library: https://images.nasa.gov/#/details-NHQ_2017_1020_ISS%20Expedition%2053%20U.S.%20Spacewalk.html</t>
  </si>
  <si>
    <t>0BUxR5ZNaJg</t>
  </si>
  <si>
    <t>2017 10 19</t>
  </si>
  <si>
    <t>https://youtu.be/lFqfCDEp6iw</t>
  </si>
  <si>
    <t>NASA Tests RS-25 Flight Engine for Space Launch System</t>
  </si>
  <si>
    <t>Engineers at NASA’s Stennis Space Center in Mississippi on Oct. 19 completed a hot-fire test of RS-25 rocket engine E2063, a flight engine for NASA’s new Space Launch System (SLS) rocket. Engine E2063 is scheduled to help power SLS on its Exploration Mission-2 (EM-2), the first flight of the new rocket to carry humans.
This video is available for download from NASA's Image and Video Library: https://images.nasa.gov/#/details-NASA%20Tests%20RS-25%20Flight%20Engine%20for%20Space%20Launch%20System.html</t>
  </si>
  <si>
    <t>lFqfCDEp6iw</t>
  </si>
  <si>
    <t>2017 10 16</t>
  </si>
  <si>
    <t>https://youtu.be/OfGaqdMPDfc</t>
  </si>
  <si>
    <t>A Year of Education on the Space Station Highlighted During In-Fight Event</t>
  </si>
  <si>
    <t>Aboard the International Space Station, Expedition 53 Flight Engineers Joe Acaba of NASA, a former educator, and Paolo Nespoli of the European Space Agency discussed the value of education aboard the orbital complex during a Facebook Live question and answer session Oct. 16. Joined by ISS Program Manager Kirk Shireman on the ground from the Johnson Space Center in Houston, Acaba and Nespoli fielded questions about their life and work in orbit and how it can stimulate students to pursue careers in mathematics, science and engineering. Acaba and another former educator, NASA astronaut Ricky Arnold who will launch to the station next March, are conducting back-to-back missions on the station to contribute their educator skills in a year’s worth of interaction with students around the world.
This video is available for download from NASA's Image and Video Library: https://images.nasa.gov/#/details-NHQ_2017_1016_A%20Year%20of%20Education%20on%20the%20Space%20Station%20Highlighted%20During%20In-Fight%20Event.html</t>
  </si>
  <si>
    <t>OfGaqdMPDfc</t>
  </si>
  <si>
    <t>https://youtu.be/pfjqWhY_7Sc</t>
  </si>
  <si>
    <t>Russian Cargo Craft Completes Journey to International Space Station</t>
  </si>
  <si>
    <t>The unpiloted Russian ISS Progress 68 cargo craft arrived at the International Space Station Oct. 16 on a resupply mission following a two day journey following its launch from the Baikonur Cosmodrome in Kazakhstan. The Progress delivered almost three tons of food, fuel and supplies for the Expedition 53 crew. The Progress automatically linked up to the Pirs Docking Compartment, where it will remain until next March.
This video is available for download from NASA's Image Library: https://images.nasa.gov/#/details-YT%20AVAIL%20NHQ_2017_1014_ISS%20Progress%2068%20Docking%20Coverage.html</t>
  </si>
  <si>
    <t>pfjqWhY_7Sc</t>
  </si>
  <si>
    <t>2017 10 14</t>
  </si>
  <si>
    <t>https://youtu.be/9ZU516uCuzk</t>
  </si>
  <si>
    <t>Russian Cargo Craft Launches for Journey to International Space Station</t>
  </si>
  <si>
    <t>The unpiloted Russian ISS Progress 68 cargo craft launched to the International Space Station Oct. 14 from the Baikonur Cosmodrome in Kazakhstan. The Progress carried almost three tons of food, fuel and supplies for the Expedition 53 crew on the station. The spacecraft was scheduled to make a quick, two-orbit journey to the station.
This video is available for download from NASA's Image and Video Library: https://images.nasa.gov/#/details-NHQ_2017_1014_ISS%20Progress%2068%20Launch%20Coverage.html</t>
  </si>
  <si>
    <t>9ZU516uCuzk</t>
  </si>
  <si>
    <t>2017 10 13</t>
  </si>
  <si>
    <t>https://youtu.be/NIDUGPqZK-8</t>
  </si>
  <si>
    <t>October Spacewalks Aboard the Space Station on This Week @NASA – October 13, 2017</t>
  </si>
  <si>
    <t>The Oct. 10th spacewalk outside the International Space Station was the second in less than a week by NASA’s Randy Bresnik and Mark Vande Hei – and one of three U.S. spacewalks planned for October. The astronauts lubricated the new latching end effector they installed on the Canadarm2 robotic arm on Oct. 5. They also replaced a faulty camera system and completed several other tasks. Joe Acaba will join Bresnik for the next spacewalk – currently scheduled for Oct. 20. Also, California Wildfires Seen from Space, NASA Pinpoints Cause of Earth’s Record CO2 Levels, Send Your Name to Mars, Celebrating the First Piloted Supersonic Flight, and Potential Asteroid Warning Network Tested!
This video is available for download from NASA's Image and Video Library: https://images.nasa.gov/#/details-NHQ_2017_1013_October%20Spacewalks%20Aboard%20the%20Space%20Station%20on%20This%20Week%20@NASA%20%E2%80%93%20October%2013,%202017.html</t>
  </si>
  <si>
    <t>NIDUGPqZK-8</t>
  </si>
  <si>
    <t>2017 10 12</t>
  </si>
  <si>
    <t>https://youtu.be/4aUjf9y556M</t>
  </si>
  <si>
    <t>Pushing the Envelope</t>
  </si>
  <si>
    <t>The first generation X-1 aircraft changed aviation history in numerous ways, and not simply because they were the first aircraft to fly faster than the speed of sound. Rather, they established the concept of the research aircraft, built solely for experimental purposes.
NASA continues this legacy of experimental aircraft today.
This video is available for download from NASA's Image and Video Library: https://images.nasa.gov/#/details-NHQ_2017_1012_Pushing%20the%20Envelope.html</t>
  </si>
  <si>
    <t>4aUjf9y556M</t>
  </si>
  <si>
    <t>https://youtu.be/n-N3pdOYf7Y</t>
  </si>
  <si>
    <t>NASA Hispanic Heritage Month Event, ¡Latinos STEM Up!</t>
  </si>
  <si>
    <t>On Oct. 12, NASA’s Hispanic Outreach and Leadership Alliance (HOLA) celebrated Hispanic Heritage month with a panel discussion of the contributions of Hispanics to NASA’s mission and the importance of Hispanic representation in science, technology, engineering and mathematics (STEM) education and careers.
This video is available for download from NASA's Image and Video Library: https://images.nasa.gov/#/details-NHQ_%202017_1012_NASA%20Hispanic%20Heritage%20Month%20Event,%20%C2%A1Latinos%20STEM%20Up!.html</t>
  </si>
  <si>
    <t>n-N3pdOYf7Y</t>
  </si>
  <si>
    <t>2017 10 11</t>
  </si>
  <si>
    <t>https://youtu.be/o1zywEl-Sj0</t>
  </si>
  <si>
    <t>Next Space Station Crew Previews Mission</t>
  </si>
  <si>
    <t>NASA astronaut Scott Tingle and crewmates Anton Shkaplerov of the Russian space agency Roscosmos and Norishege Kanai of the Japan Aerospace Exploration Agency (JAXA) discussed their upcoming mission to the International Space Station in a news conference on Oct. 11 at NASA’s Johnson Space Center in Houston.
Tingle, Shkaplerov and Kanai will launch to the space station aboard the Soyuz MS-07 spacecraft on Dec. 17 from the Baikonur Cosmodrome in Kazakhstan. They will join the station’s Expedition 54 crew, and return to Earth in April 2018 as members of Expedition 55. During a planned four-month mission, the station crew members will take part in about 250 research investigations and technology demonstrations not possible on Earth in order to advance scientific knowledge of Earth, space, physical and biological sciences. Science conducted on the space station continues to yield benefits for humanity and will enable future long-duration human and robotic exploration into deep space, including missions past the Moon and Mars. This will be the first spaceflight for Tingle and Kanai, and the third for Shkaplerov.
This video is available for download from NASA's Image and Video Library: https://images.nasa.gov/#/details-NHQ_2017_1011_Next%20Space%20Station%20Crew%20Previews%20Mission.html</t>
  </si>
  <si>
    <t>o1zywEl-Sj0</t>
  </si>
  <si>
    <t>https://youtu.be/zQEPKKmQGG0</t>
  </si>
  <si>
    <t>Living and Working in Space  Advanced Food Tech</t>
  </si>
  <si>
    <t>There's no refrigerator on the International Space Station. So, NASA's research efforts develop safe, nutritious and palatable foods that will sustain astronauts during long space missions.</t>
  </si>
  <si>
    <t>zQEPKKmQGG0</t>
  </si>
  <si>
    <t>2017 10 10</t>
  </si>
  <si>
    <t>https://youtu.be/WKkRvg4Kl2E</t>
  </si>
  <si>
    <t>Outer Space Treaty at 50</t>
  </si>
  <si>
    <t>Astronauts on board the International Space Station salute the 50th anniversary of the Outer Space Treaty. NASA works with the United Nations to support the peaceful exploration of space.
This video is available for download from NASA's Image and Video Library: https://images.nasa.gov/#/details-NHQ_20171006_OST%20ISS%20Message.html</t>
  </si>
  <si>
    <t>WKkRvg4Kl2E</t>
  </si>
  <si>
    <t>2017 10 06</t>
  </si>
  <si>
    <t>https://youtu.be/MxCZHuvJHuY</t>
  </si>
  <si>
    <t>National Space Council Meets on This Week @NASA – October 6, 2017</t>
  </si>
  <si>
    <t>Vice President Mike Pence called for renewed U.S. leadership in space during the first meeting of the National Space Council – outlining exploration goals that include returning American astronauts to the Moon, to build the foundation needed to send Americans to Mars and beyond. The October 5 council meeting, held at the Smithsonian National Air and Space Museum’s Steven F. Udvar-Hazy Center, outside Washington, brought together representatives from all aspects and sectors of the national space enterprise, for the first time in a quarter century – including NASA’s Acting Administrator, Robert Lightfoot. Also, U.S. Spacewalk aboard the Space Station, Eugene Parker Views Solar Probe Spacecraft, Scientists Find Giant Black Hole Pairs, and Parachute Test Platform Launched!
This video is available for download from NASA's Image and Video Library: https://images.nasa.gov/#/details-NHQ_2017_1006_National%20Space%20Council%20Meets%20on%20This%20Week%20@NASA%20%E2%80%93%20October%206,%202017.html</t>
  </si>
  <si>
    <t>MxCZHuvJHuY</t>
  </si>
  <si>
    <t>https://youtu.be/SKeYEZ6WrAg</t>
  </si>
  <si>
    <t>Space Station Crew Discusses Their Mission with Michigan Students</t>
  </si>
  <si>
    <t>Aboard the International Space Station, Expedition 53 Commander Randy Bresnik and Flight Engineer Joe Acaba of NASA discussed life and research on the orbital outpost during an in-flight educational event Oct. 6 with students at the Gaylord St. Mary Cathedral School in Gaylord, Michigan. Bresnik launched to the station in July and is scheduled to be on station through mid-December, while Acaba is in the first month of a planned five-and-a-half month mission on the laboratory.
This video is available for download from NASA's Image and Video Library: https://images.nasa.gov/#/details-NHQ_2017_1006_Space%20Station%20Crew%20Discusses%20Their%20Mission%20with%20Michigan%20Students.html</t>
  </si>
  <si>
    <t>SKeYEZ6WrAg</t>
  </si>
  <si>
    <t>2017 10 05</t>
  </si>
  <si>
    <t>https://youtu.be/5FERa2oxWhQ</t>
  </si>
  <si>
    <t>Vice President Pence Calls for Human Missions to Moon, Mars at National Space Council</t>
  </si>
  <si>
    <t>Vice President Mike Pence called for returning U.S. astronauts to the Moon and eventual missions to Mars during the first meeting of the National Space Council, held on October 5 at the Smithsonian National Air and Space Museum’s Steven F. Udvar-Hazy Center, outside Washington. Chaired by the Vice President, the council meeting brought together representatives from all aspects and sectors of the national space enterprise, for the first time in a quarter century. NASA’s Acting Administrator, Robert Lightfoot was among the participants.
This video is available for download from NASA's Image and Video Library: https://images.nasa.gov/#/details-NHQ_%202017_1005_Leading%20the%20Next%20Frontier%20An%20Event%20with%20the%20National%20Space%20Council.html</t>
  </si>
  <si>
    <t>5FERa2oxWhQ</t>
  </si>
  <si>
    <t>2017 10 04</t>
  </si>
  <si>
    <t>https://youtu.be/pB9Lhnvm7Gc</t>
  </si>
  <si>
    <t>NASA Launches Parachute Test Platform from Wallops</t>
  </si>
  <si>
    <t>NASA tested a parachute platform during the flight of a Terrier-Black Brant IX suborbital sounding rocket on Oct. 4, from the agency’s Wallops Flight Facility in Virginia. The rocket carried the Advanced Supersonic Parachute Inflation Research Experiment (ASPIRE) from NASA’s Jet Propulsion Laboratory in Pasadena, Calif. The mission will evaluate the performance of the ASPIRE payload, which is designed to test parachute systems in a low-density, supersonic environment.
This video is available for download from NASA's Image and Video Library: https://images.nasa.gov/#/details-NHQ_2017_1004_NASA%20Launches%20Parachute%20Test%20Platform%20from%20Wallops.html</t>
  </si>
  <si>
    <t>pB9Lhnvm7Gc</t>
  </si>
  <si>
    <t>2017 10 02</t>
  </si>
  <si>
    <t>https://youtu.be/JeB_QzGljqc</t>
  </si>
  <si>
    <t>NASA Briefing Previews Upcoming Spacewalks on ISS</t>
  </si>
  <si>
    <t>On Oct. 2, NASA held a briefing at the Johnson Space Center in Houston, to preview a trio of spacewalks in October to perform maintenance outside the International Space Station. Expedition 53 Commander Randy Bresnik of NASA will lead all three spacewalks, joined on Oct. 5 and 10 by Flight Engineer Mark Vande Hei, also of NASA. Flight Engineer Joe Acaba of NASA will join Bresnik on Oct. 18 for the third spacewalk. NASA TV coverage of the spacewalks will begin at 6:30 a.m. on Oct. 5, 10 and 18. Each spacewalk is scheduled to start at approximately 8:05 a.m., however, the spacewalks may begin earlier if the crew is running ahead of schedule.
This video is available for download from NASA's Image and Video Library: https://images.nasa.gov/#/details-NHQ_2017_1002_NASA%20Briefing%20Previews%20Upcoming%20Spacewalks%20on%20ISS.html</t>
  </si>
  <si>
    <t>JeB_QzGljqc</t>
  </si>
  <si>
    <t>https://youtu.be/WiFrayRL_UQ</t>
  </si>
  <si>
    <t>Space Station Commander Talks to South Carolina Students</t>
  </si>
  <si>
    <t>Aboard the International Space Station, Expedition 53 Commander Randy Bresnik of NASA discussed life and work aboard the orbital laboratory during an in-flight educational event Oct. 2 with students at The Citadel STEM Center at the Laing Middle School near Charleston, South Carolina. Bresnik holds a Bachelor of Arts degree in mathematics and an honorary doctorate in aeronautics from The Citadel. He launched to the station in July and will remain on board through mid-December.
This video is available for download from NASA's Image and Video Library: https://images.nasa.gov/#/details-Space%20Station%20Commander%20Talks%20to%20South%20Carolina%20Students.html</t>
  </si>
  <si>
    <t>WiFrayRL_UQ</t>
  </si>
  <si>
    <t>2017 09 29</t>
  </si>
  <si>
    <t>https://youtu.be/yM5BFvtLORU</t>
  </si>
  <si>
    <t>Vice President Visits Marshall Space Flight Center on This Week @NASA – September 29, 2017</t>
  </si>
  <si>
    <t>Vice President Mike Pence visited our Marshall Space Flight Center on Sept. 25 to thank employees working on NASA’s human spaceflight programs. He also spoke to the three NASA astronauts currently serving onboard the International Space Station. During a tour, the Vice President also saw progress being made on our Space Launch System rocket, that will send astronauts in our Orion spacecraft on missions around the Moon and ultimately to Mars. Also, NASA Data and Tech Aid in Disaster Relief, Congressional Hearing on August 21 Solar Eclipse, OSIRIS-REx Views Earth During Flyby, and “Bladed Terrain” on Pluto Made of Frozen Methane!
This video is available for download from NASA's Image and Video Library: https://images.nasa.gov/#/details-NHQ_2017_0929_Vice%20President%20Visits%20Marshall%20Space%20Flight%20Center%20on%20This%20Week%20@NASA%20%E2%80%93%20September%2029,%202017.html</t>
  </si>
  <si>
    <t>yM5BFvtLORU</t>
  </si>
  <si>
    <t>2017 09 28</t>
  </si>
  <si>
    <t>https://youtu.be/dJQZtn-vdjk</t>
  </si>
  <si>
    <t>Eclipse 2017 Hearing</t>
  </si>
  <si>
    <t>dJQZtn-vdjk</t>
  </si>
  <si>
    <t>2017 09 27</t>
  </si>
  <si>
    <t>https://youtu.be/UeFSTs8udh4</t>
  </si>
  <si>
    <t>Space Station Crew Discusses Life in Space with Students in Washington, D C</t>
  </si>
  <si>
    <t>Aboard the International Space Station, Expedition 53 Commander Randy Bresnik of NASA discussed life and research on the orbital outpost during an educational in-flight event Sept. 27 with students gathered at the National Air and Space Museum in Washington, D.C. The so-called “STEM in 30” group of students is focused on investigations regarding station science and Bresnik’s contributions to the research being conducted in orbit.
This video is available for download from NASA's Image and Video Library: https://images.nasa.gov/#/details-NHQ_2017_0927_Space%20Station%20Crew%20Discusses%20Life%20in%20Space%20with%20Students%20in%20Washington,%20D.C..html</t>
  </si>
  <si>
    <t>UeFSTs8udh4</t>
  </si>
  <si>
    <t>2017 09 25</t>
  </si>
  <si>
    <t>https://youtu.be/j0YnpkNw794</t>
  </si>
  <si>
    <t>Vice President Pence Visits NASA's Marshall Space Flight Center</t>
  </si>
  <si>
    <t>Vice President Mike Pence offered his thanks Monday to employees working on NASA’s human spaceflight programs during a tour of the agency’s Marshall Space Flight Center in Huntsville, Alabama. The Vice President saw the progress being made on NASA’s Space Launch System (SLS), the world’s most powerful deep space rocket, that will send astronauts on missions around the Moon and ultimately to Mars. He also visited Marshall’s Payload Operations Integration Center, where the agency manages all research aboard the International Space Station.
This video is available for download from NASA's Image and Video Library: https://images.nasa.gov/#/details-NHQ_2017_0925_Vice%20President%20Pence%20Visits%20NASA%27s%20Marshall%20Space%20Flight%20Center.html</t>
  </si>
  <si>
    <t>j0YnpkNw794</t>
  </si>
  <si>
    <t>https://youtu.be/GiOnzj6tnM8</t>
  </si>
  <si>
    <t>Vice President Pence Talks with Astronauts on Space Station</t>
  </si>
  <si>
    <t>Vice President Mike Pence talked with NASA Astronauts and Expedition 53 crew members Joe Acaba, Randy Bresnik and Mark Vande Hei onboard the International Space Station from the Payload Operations Integration Center (POIC) of the NASA Marshall Space Flight Center, Monday, Sept. 25, 2017 in Huntsville, Alabama.  The Vice President visited the space center to view test hardware for NASA’s Space Launch System, America’s new deep space rocket and to call the crew onboard the International Space Station.</t>
  </si>
  <si>
    <t>GiOnzj6tnM8</t>
  </si>
  <si>
    <t>2017 09 23</t>
  </si>
  <si>
    <t>https://youtu.be/wxFFm12L_Ak</t>
  </si>
  <si>
    <t>Satellite Animation Shows Hurricane Maria and Post Tropical Storm Jose</t>
  </si>
  <si>
    <t>This animation of NOAA's GOES East satellite imagery from Sept. 21 at 7:45 a.m. EDT (1145 UTC) to Sept. 23 ending at 7:45 a.m. EDT (1145 UTC) shows Jose becoming a post-tropical storm winding down near New England while Hurricane Maria moved over Puerto Rico and toward the Bahamas.
This video is available for download from NASA's Image and Video Library: https://images.nasa.gov/#/details-NHQ_2017_0923_Satellite%20Animation%20Shows%20Hurricane%20Maria%20and%20Post-Tropical%20Storm%20Jose.html</t>
  </si>
  <si>
    <t>wxFFm12L_Ak</t>
  </si>
  <si>
    <t>2017 09 22</t>
  </si>
  <si>
    <t>https://youtu.be/MvDhX7NAs-g</t>
  </si>
  <si>
    <t>Tracking Hurricane Maria from Space on This Week @NASA – September 22, 2017</t>
  </si>
  <si>
    <t>Satellite data continues to enable weather forecasters to look inside and outside of powerful hurricanes. Imagery from NOAA's GOES East satellite, captured Sept. 17 to Sept. 20, shows Hurricane Jose along the U.S. east coast, and Hurricane Maria, as it moved through the Leeward Islands, strengthening to a Category 5 hurricane, and making landfall in Puerto Rico. Meanwhile, The Global Precipitation Measurement (GPM) satellite found rain falling inside Maria at a rate of over 6.44 inches per hour in powerful storms that reached above 9.7 miles high. Also, SpaceX Dragon Returns with Science, Katherine Johnson Research Facility Opened, Earth’s Gravity Assist to OSIRIS-REx, Hubble Spots Asteroids Orbiting Each Other, and Engineering the Future!
This video is available for download from NASA's Image and Video Library: https://images.nasa.gov/#/details-NHQ_2017_0922_This%20Week%20@NASA.html</t>
  </si>
  <si>
    <t>MvDhX7NAs-g</t>
  </si>
  <si>
    <t>https://youtu.be/xV38PQW3AmE</t>
  </si>
  <si>
    <t>Katherine Johnson Research Facility Opened</t>
  </si>
  <si>
    <t>On Sept. 22, the new Katherine G. Johnson Computational Research Facility was officially opened at NASA’s Langley Research Center in Hampton, Va. Johnson, who is now 99 years old, worked as a "human computer" at Langley in the 1960’s, calculating trajectories for America's first spaceflights. The new 37,000-square-foot state-of-the-art facility will be used for innovative research and development in support of our air mobility and space exploration missions.</t>
  </si>
  <si>
    <t>xV38PQW3AmE</t>
  </si>
  <si>
    <t>2017 09 20</t>
  </si>
  <si>
    <t>https://youtu.be/U4fdBlzisP4</t>
  </si>
  <si>
    <t>Space Station Crew Members Discuss Life in Space with the Media</t>
  </si>
  <si>
    <t>Aboard the International Space Station, Expedition 53 Flight Engineers Mark Vande Hei and Joe Acaba of NASA and Paolo Nespoli of the European Space Agency discussed life and work aboard the orbital complex in a pair of in-flight interviews Sept. 20 with KSTP-TV, Minneapolis and the Associated Press. Vande Hei and Acaba are in the initial days of a five and a half month mission on the station while Nespoli is in his third month on board the laboratory.</t>
  </si>
  <si>
    <t>U4fdBlzisP4</t>
  </si>
  <si>
    <t>2017 09 18</t>
  </si>
  <si>
    <t>https://youtu.be/1-_2pQvUlhw</t>
  </si>
  <si>
    <t>Space Station Crew Member Discusses His First Days in Space with Minnesota Students</t>
  </si>
  <si>
    <t>Aboard the International Space Station, Expedition 53 Flight Engineer Mark Vande Hei of NASA fielded questions about life and work on the orbital outpost during an in-flight educational event Sept. 18 with students from the Pine River-Backus schools in Pine River, Minnesota. Vande Hei is in the second week of a five and a half month mission on the station, having launched to the complex Sept. 13 from the Baikonur Cosmodrome in Kazakhstan.</t>
  </si>
  <si>
    <t>1-_2pQvUlhw</t>
  </si>
  <si>
    <t>2017 09 17</t>
  </si>
  <si>
    <t>https://youtu.be/2vN1TSz8XvY</t>
  </si>
  <si>
    <t>U.S. Commercial Cargo Ship Departs Space Station</t>
  </si>
  <si>
    <t>The SpaceX/Dragon cargo craft departed the International Space Station Sept. 17, one month after delivering more than three tons of supplies and scientific experiments for the station’s residents. Expedition 53 Flight Engineer Paolo Nespoli of the European Space Agency and station Commander Randy Bresnik used the Cnadarm2 robotic arm to release Dragon after it was detached from the Earth-facing port of the Harmony module. Dragon was scheduled to move to a safe distance away from the station for its engine to conduct a deorbit burn, enabling it to drop out of orit for a parachute-assisted splashdown in the Pacific southwest of Long Beach, California. Dragon was launched on a SpaceX Falcon 9 rocket from the Kennedy Space Center on Aug. 14, arriving at the orbital outpost Aug. 16.
This video is available for download from NASA's Image and Video Library: https://images.nasa.gov/#/details-NHQ_2017_0917_U.S.%20Commercial%20Cargo%20Ship%20Departs%20Space%20Station.html</t>
  </si>
  <si>
    <t>2vN1TSz8XvY</t>
  </si>
  <si>
    <t>2017 09 15</t>
  </si>
  <si>
    <t>https://youtu.be/mAsbkShdv8U</t>
  </si>
  <si>
    <t>Farewell to Cassini on This Week @NASA – September 15, 2017</t>
  </si>
  <si>
    <t>On Sept. 15, our Cassini spacecraft concluded its remarkable mission with a plunge into Saturn’s atmosphere. This was the last of 22 close orbits Cassini made between Saturn and its rings as part of the mission’s Grand Finale. No other spacecraft has ever explored this unique region. Although the spacecraft may be gone after the finale, the enormous amount of data collected about Saturn, its magnetosphere, rings and moons during this last dive is expected to yield new discoveries for decades. Also, Recovering from Irma, New Crew Launches to the Space Station, Successful Orion Chute Test and Shane Kimbrough in Washington!
This video is available for download from NASA's Image and Video Library: https://images.nasa.gov/#/details-NHQ_2017_0915_Farewell%20to%20Cassini%20on%20This%20Week%20@NASA%20%E2%80%93%20September%2015,%202017.html</t>
  </si>
  <si>
    <t>mAsbkShdv8U</t>
  </si>
  <si>
    <t>https://youtu.be/bk4Bj9mtbAU</t>
  </si>
  <si>
    <t>Goodbye Cassini</t>
  </si>
  <si>
    <t>NASA’s Cassini Spacecraft Ends Its Historic Exploration of Saturn
A thrilling epoch in the exploration of our solar system came to a close today, as NASA's Cassini spacecraft made a fateful plunge into the atmosphere of Saturn, ending its 13-year tour of the ringed planet.
Cassini's plunge brings to a close a series of 22 weekly "Grand Finale" dives between Saturn and its rings, a feat never before attempted by any spacecraft.
This video is available for download from NASA's Image and Video Library:
https://images.nasa.gov/#/details-NHQ_2017_0915_Goodbye%20Cassini.html</t>
  </si>
  <si>
    <t>bk4Bj9mtbAU</t>
  </si>
  <si>
    <t>https://youtu.be/rKneHOU7SFk</t>
  </si>
  <si>
    <t>Cassini Post-End of Mission News Conference</t>
  </si>
  <si>
    <t>On Sept. 15, NASA held a news conference from the agency’s Jet Propulsion Laboratory, in Pasadena, California, following the final mission activities of the agency’s Cassini mission to Saturn. Cassini, which arrived in orbit around Saturn in 2004 on a mission to study the giant planet, its rings, moons and magnetosphere, concluded its remarkable mission with an intentional plunge into Saturn's atmosphere.
This video is available for download from NASA's Image and Video Library: https://images.nasa.gov/#/details-NHQ_2017_0915_Cassini%20Post%20End%20of%20Mission%20News%20Conference.html</t>
  </si>
  <si>
    <t>rKneHOU7SFk</t>
  </si>
  <si>
    <t>https://youtu.be/B2XQLHDtkqw</t>
  </si>
  <si>
    <t>Cassini End of Mission Commentary</t>
  </si>
  <si>
    <t>On Sept. 15, NASA's Cassini spacecraft completed its remarkable story of exploration with an intentional plunge into Saturn's atmosphere, ending its mission after nearly 20 years in space. Live commentary of Cassini’s end of mission activities was shown on NASA TV and the agency’s website. Launched in 1997, Cassini arrived in orbit around Saturn in 2004 on a mission to study the giant planet, its rings, moons and magnetosphere.
This video is available for download from NASA's Image and Video Library: https://images.nasa.gov/#/details-NHQ_2017_0915_Cassini%20End%20of%20Mission%20Commentary.html</t>
  </si>
  <si>
    <t>B2XQLHDtkqw</t>
  </si>
  <si>
    <t>2017 09 14</t>
  </si>
  <si>
    <t>https://youtu.be/2zy0dUu8eoo</t>
  </si>
  <si>
    <t>NASA Previews Cassini End of Mission Activities</t>
  </si>
  <si>
    <t>On Sept. 13, NASA held a news conference from the agency’s Jet Propulsion Laboratory, in Pasadena, California to discuss details of final mission activities for the agency’s Cassini mission to Saturn. On Sept. 15, the Cassini spacecraft will complete its remarkable story of exploration with an intentional plunge into Saturn's atmosphere, ending its mission after nearly 20 years in space.</t>
  </si>
  <si>
    <t>2zy0dUu8eoo</t>
  </si>
  <si>
    <t>2017 09 13</t>
  </si>
  <si>
    <t>https://youtu.be/w7F1GIyAru4</t>
  </si>
  <si>
    <t>Expedition 53-54 Crew Safely Onboard the Space Station</t>
  </si>
  <si>
    <t>After docking their Soyuz MS-06 spacecraft to the Poisk module on the Russian segment of the International Space Station, Expedition 53-54 Soyuz Commander Alexander Misurkin of Roscosmos and flight engineers Mark Vande Hei and Joe Acaba of NASA were greeted by station Commander Randy Bresnik of NASA and flight engineers Sergey Ryazanskiy of Roscosmos and Paolo Nespoli of the European Space Agency, as the hatches between the spacecraft were opened.
This video is available for download from NASA's Image and Video Library: https://images.nasa.gov/#/details-NHQ_2017_0913_Expedition%2053-54%20Crew%20Safely%20Onboard%20the%20Space%20Station.html</t>
  </si>
  <si>
    <t>w7F1GIyAru4</t>
  </si>
  <si>
    <t>https://youtu.be/GT_s3amuO8o</t>
  </si>
  <si>
    <t>Expedition 53-54 Crew Docks to the Space Station</t>
  </si>
  <si>
    <t>After launching in their Soyuz MS-06 spacecraft from the Baikonur Cosmodrome in Kazakhstan, Expedition 53-54 Soyuz Commander Alexander Misurkin of Roscosmos and flight engineers Mark Vande Hei and Joe Acaba of NASA arrived at the International Space Station. The trio docked their Soyuz to the Poisk module on the Russian segment of the complex, to complete their six-hour journey to the station.
This video is available for download from NASA's Image and Video Library: https://images.nasa.gov/#/details-NHQ_2017_0912_Expedition%2053-54%20Crew%20Docks%20to%20the%20Space%20Station.html</t>
  </si>
  <si>
    <t>GT_s3amuO8o</t>
  </si>
  <si>
    <t>https://youtu.be/d3S7iy_4pvs</t>
  </si>
  <si>
    <t>New Soyuz Crew Launches to the International Space Station</t>
  </si>
  <si>
    <t>Expedition 53-54 Soyuz Commander Alexander Misurkin of Roscosmos and flight engineers Mark Vande Hei and Joe Acaba of NASA launched on the Russian Soyuz MS-06 spacecraft Sept. 13 (Kazakhstan time) from the Baikonur Cosmodrome in Kazakhstan. The trio began a six-hour journey to the International Space Station and the start of a five-and-a-half month mission on the outpost. The footage contains the crew’s prelaunch activities including their departure from their crew quarters, suit-up in the Cosmodrome’s Integration Facility, walkout to the crew bus and arrival at the launch pad to board the spacecraft.
This video is available for download from NASA's Image and Video Library: https://images.nasa.gov/#/details-NHQ_2017_0912_New%20Soyuz%20Crew%20Launches%20to%20the%20International%20Space%20Station.html</t>
  </si>
  <si>
    <t>d3S7iy_4pvs</t>
  </si>
  <si>
    <t>2017 09 11</t>
  </si>
  <si>
    <t>https://youtu.be/Rj8LfEpw_o0</t>
  </si>
  <si>
    <t>NASA Astronauts Back From Space, Talk with Media</t>
  </si>
  <si>
    <t>NASA astronauts Peggy Whitson and Jack Fischer, who returned to Earth on Sept. 2 after spending months aboard the International Space Station, discussed their mission during a news conference on Sept. 11 at the agency’s Johnson Space Center.
Although Whitson and Fischer returned to Earth together, they arrived at the space station separately. Whitson launched from the Baikonur Cosmodrome in Kazakhstan on Nov. 17 and spent more than nine months in space. She now holds the U.S. record for cumulative time in space, with 665 days in orbit during three long-duration missions. Fischer launched to the space station on April 20 and spent 136 days in orbit on his first space mission, during which he took part in two spacewalks that total just under seven hours.</t>
  </si>
  <si>
    <t>Rj8LfEpw_o0</t>
  </si>
  <si>
    <t>2017 09 10</t>
  </si>
  <si>
    <t>https://youtu.be/K06H50XKcqw</t>
  </si>
  <si>
    <t>Expedition 53-54 Soyuz Spacecraft Prepared for Launch in Kazakhstan</t>
  </si>
  <si>
    <t>At the Baikonur Cosmodrome in Kazakhstan, the Soyuz MS-06 spacecraft and its Soyuz booster were transported from the Integration Facility to the launch pad on a railcar Sept. 10 for final preparations before launch Sept. 13 to the International Space Station. The Soyuz MS-06 will carry Expedition 53-54 Soyuz Commander Alexander Misurkin of Roscosmos and flight engineers Mark Vande Hei and Joe Acaba of NASA to the orbital complex for a five-and-a-half month mission. Also included are interviews at the launch pad with Joe Montalbano, Deputy ISS Program Manager and Sean Fuller, Director of Human Spaceflight Programs in Russia following the rocket's rollout.
This video is available for download from NASA's Image and Video Library:  https://images.nasa.gov/#/details-NHQ_2017_0910_VF_E53-54%20Soyuz%20MS-06%20Rollout%20to%20the%20Launch%20Pad.html</t>
  </si>
  <si>
    <t>K06H50XKcqw</t>
  </si>
  <si>
    <t>2017 09 08</t>
  </si>
  <si>
    <t>https://youtu.be/1LL24zQMYJM</t>
  </si>
  <si>
    <t>Irma Tracked from Space on This Week @NASA – September 8, 2017</t>
  </si>
  <si>
    <t>During the week of Sept. 5, spacecraft captured imagery of hurricane Irma as the storm reached category 5 status in the Atlantic Ocean. Irma was seen from the International Space Station, Global Precipitation Measurement mission or GPM, and the Suomi National Polar-orbiting Partnership satellite. Imagery from space is used to help forecasters and officials track and characterize storms and other natural events. Also, Johnson Space Center Recovering from Harvey, Whitson and Fischer Return to Earth, 40 Years of Voyager, and Bridenstine Nominated for Administrator!
This video is available for download from NASA's Image and Video Library: https://images.nasa.gov/#/details-NHQ_2017_0908_Irma%20Tracked%20from%20Space%20on%20This%20Week%20@NASA%20%E2%80%93%20September%208,%202017.html</t>
  </si>
  <si>
    <t>1LL24zQMYJM</t>
  </si>
  <si>
    <t>2017 09 07</t>
  </si>
  <si>
    <t>https://youtu.be/b4g8daHqNp4</t>
  </si>
  <si>
    <t>Expedition 53-54 Crew Prepares for Launch in Kazakhstan</t>
  </si>
  <si>
    <t>After arriving at the Baikonur Cosmodrome in Kazakhstan Sept. 6, Expedition 53-54 Soyuz Commander Alexander Misurkin of Roscosmos and Flight Engineers Mark Vande Hei and Joe Acaba of NASA and their backups, Anton Shkaplerov of Roscosmos and Scott Tingle and Shannon Walker of NASA participated in a variety of activities as they prepared for the launch of Misurkin, Vande Hei and Acaba Sept. 13 from the Baikonur Cosmodrome in Kazakhstan in the Soyuz MS-06 spacecraft for a five-and-a-half-month mission aboard the International Space Station. The footage includes the crew’s arrival in Baikonur, their second Soyuz fit check in the Cosmodrome’s Integration Facility and the ceremonial Cosmonaut Hotel crew quarters flag-raising ceremony.</t>
  </si>
  <si>
    <t>b4g8daHqNp4</t>
  </si>
  <si>
    <t>https://youtu.be/D4m3BOtAaj0</t>
  </si>
  <si>
    <t>Highlights from Voyager's 40th Anniversary</t>
  </si>
  <si>
    <t>On September 5th, NASA celebrated 40 years of the Voyager 1 &amp; 2 spacecraft -- humanity's farthest and longest-lived mission.
This video is available for download from NASA's Image and Video Library: https://images.nasa.gov/#/details-NHQ_20170906_Voyager%2040th%20Social.html</t>
  </si>
  <si>
    <t>D4m3BOtAaj0</t>
  </si>
  <si>
    <t>2017 09 06</t>
  </si>
  <si>
    <t>https://youtu.be/2FEnuXVVL0Q</t>
  </si>
  <si>
    <t>Expedition 53-54 Training and Prelaunch Activities Aug. 28 - Sept. 6</t>
  </si>
  <si>
    <t>Expedition 53-54 Soyuz Commander Alexander Misurkin of Roscosmos and Flight Engineers Mark Vande Hei and Joe Acaba of NASA and their backups, Anton Shkaplerov of Roscosmos and Scott Tingle and Shannon Walker of NASA conducted their first Soyuz vehicle fit check in the Integration Facility at the Baikonur Cosmodrome in Kazakhstan Aug. 28 and final qualification training at the Gagarin Cosmonaut Training Center in Star City, Russia Aug. 30 and 31. On September 1 both the prime and backup crews held a news conference and toured the Gagarin Museum at the Gagarin Cosmonaut Training Center in Star City, Russia. They viewed historic space artifacts, and visited Red Square in Moscow for traditional ceremonies, including the laying of flowers at the Kremlin Wall where Russian space icons are interred. The Expedition 53 crew participated in traditional ceremonies Sept. 6 at the Gagarin Cosmonaut Training Center in Star City, Russia, outside Moscow. Afterward, they departed for the Baikonur Cosmodrome in Kazakhstan to complete training for launch of Misurkin, Vande Hei and Acaba Sept. 13 from the Baikonur Cosmodrome in Kazakhstan in the Soyuz MS-06 spacecraft for a five-and-a-half-month mission aboard the International Space Station.</t>
  </si>
  <si>
    <t>2FEnuXVVL0Q</t>
  </si>
  <si>
    <t>https://youtu.be/s_bbZHIVkmY</t>
  </si>
  <si>
    <t>Expedition 52 Crew Receives Warm Welcome in Kazakhstan and Star City</t>
  </si>
  <si>
    <t>Expedition 52 Commander Fyodor Yurchikhin of Roscosmos and Flight Engineers Peggy Whitson and Jack Fischer of NASA were greeted in a traditional ceremony at the airport in Karaganda, Kazakhstan Sept. 3, a few hours after landing in their Soyuz MS-04 spacecraft in Kazakhstan near the town of Dzhezkazgan. After the ceremony, the crew split up, with Yurchikhin returning to his home in Star City, Russia, while Whitson and Fischer flew back to their homes in Houston on a NASA jet. Whitson, who has logged more days in space than any other U.S. astronaut, completed a 10-month mission, her third long duration flight, while Yurchikhin and Fischer completed 136 days in space. The landing marked the first time since Nov. 26, 2010, that two NASA astronauts returned to Earth in a Russian Soyuz spacecraft.</t>
  </si>
  <si>
    <t>s_bbZHIVkmY</t>
  </si>
  <si>
    <t>2017 09 05</t>
  </si>
  <si>
    <t>https://youtu.be/ZmcZZbfb0EY</t>
  </si>
  <si>
    <t>40th Anniversary of Voyager</t>
  </si>
  <si>
    <t>On September 5, 1977, Voyager 1 was launched on a mission to explore where nothing had flown before. First on its journey were Jupiter and Saturn and it is currently exploring interstellar space. Its twin spacecraft, Voyager 2, visited Uranus and Neptune and is now in the outermost layer of the heliosphere, called the heliosheath. Forty years later, both spacecraft continue to send back data and are searching for the heliopause, the region where the Sun’s influence wanes, which has never been reached by any spacecraft.
This video is available for download from NASA's Image and Video Library: https://images.nasa.gov/#/details-NHQ_2017_0905_40th%20Anniversary%20of%20Voyager.html</t>
  </si>
  <si>
    <t>ZmcZZbfb0EY</t>
  </si>
  <si>
    <t>2017 09 03</t>
  </si>
  <si>
    <t>https://youtu.be/dSXffXSSHRM</t>
  </si>
  <si>
    <t>Expedition 52 Crew Lands Safely in Kazakhstan</t>
  </si>
  <si>
    <t>Expedition 52 Commander Fyodor Yurchikhin of Roscosmos and Flight Engineers Peggy Whitson and Jack Fischer of NASA landed safely near the town of Dzhezkazgan, Kazakhstan Sept. 3 after bidding farewell to their colleagues on the complex and undocking their Soyuz MS-04 spacecraft from the Poisk Module on the International Space Station. The landing marked the first time since Nov. 26, 2010 that two NASA astronauts returned to Earth in a Russian Soyuz spacecraft. Whitson, who has logged more days in space than any other U.S. astronaut, completed a 10-month mission, her third long duration flight, while Yurchikhin and Fischer completed 136 days in space.
This video is available for download from NASA's Image and Video Library: https://images.nasa.gov/#/details-NHQ_2017_0902_Expedition%2052%20Crew%20Lands%20Safely%20in%20Kazakhstan.html</t>
  </si>
  <si>
    <t>dSXffXSSHRM</t>
  </si>
  <si>
    <t>2017 09 02</t>
  </si>
  <si>
    <t>https://youtu.be/qBRmfjc0EDY</t>
  </si>
  <si>
    <t>Job Well Done aboard the Space Station</t>
  </si>
  <si>
    <t>Expedition 52 Commander Fyodor Yurchikhin of Roscosmos and Flight Engineers Peggy Whitson and Jack Fischer of NASA, bid farewell to the crew remaining on the orbital outpost, including NASA’s Randy Bresnik.
This video is available for download from NASA's Image and Video Library: https://images.nasa.gov/#/details-NHQ_201_0902_Job%20Well%20Done%20aboard%20the%20Space%20Station.html</t>
  </si>
  <si>
    <t>qBRmfjc0EDY</t>
  </si>
  <si>
    <t>https://youtu.be/7AGVxYhcA4M</t>
  </si>
  <si>
    <t>Change of Command aboard the Space Station</t>
  </si>
  <si>
    <t>The reins of the International Space Station were passed from Fyodor Yurchikhin of Roscosmos to Randy Bresnik of NASA during a ceremony on the orbital outpost Sept. 1. Yurchikhin is returning to Earth with his crewmates, Peggy Whitson and Jack Fischer of NASA in the Soyuz MS-04 spacecraft for a landing Sept. 3. Whitson, who has logged more days in space than any other U.S. astronaut, is completing a 10-month mission, her third long duration flight, while Yurchikhin and Fischer are completing 136 days in space.
This video is available for download from NASA's Image and Video Library: https://images.nasa.gov/#/details-NHQ_2017_0902_Change%20of%20Command%20aboard%20the%20Space%20Station.html</t>
  </si>
  <si>
    <t>7AGVxYhcA4M</t>
  </si>
  <si>
    <t>2017 09 01</t>
  </si>
  <si>
    <t>https://youtu.be/E_H3RdpyjE0</t>
  </si>
  <si>
    <t>Catastrophic Storm Seen from Space on This Week @NASA – September 1, 2017</t>
  </si>
  <si>
    <t>We worked with our partner agencies to use space-based assets to capture imagery of Hurricane Harvey that impacted the Texas-Louisiana Gulf Coast region. Imagery captured from the vantage point of space, provides data that weather forecasters, emergency responders and other officials can use to better inform the public. Views from the International Space Station, and NOAA’s GOES East satellite showed the massive size and movement of the storm. While our Global Precipitation Measurement (GPM) Mission analyzed the storm’s record-breaking rainfall – which led to catastrophic flooding in Texas and Louisiana. Due to the storm, our Johnson Space Center in Houston is closed through Labor Day, while the region recovers, but Mission Control remains operational in support of the crew aboard the International Space Station. Also, Final RS-25 Engine Test of the Summer, Key SLS Rocket Hardware Finished, and Researching Quiet Supersonic Flight!
This video is available for download from NASA's Image and Video Library: https://images.nasa.gov/#/details-NHQ_2017_0901_Catastrophic%20Storm%20Seen%20from%20Space%20on%20This%20Week%20@NASA%20%E2%80%93%20September%201,%202017.html</t>
  </si>
  <si>
    <t>E_H3RdpyjE0</t>
  </si>
  <si>
    <t>2017 08 31</t>
  </si>
  <si>
    <t>https://youtu.be/qYNIsgDrIRE</t>
  </si>
  <si>
    <t>Voyager 1 Trajectory through the Solar System</t>
  </si>
  <si>
    <t>This visualization tracks the trajectory of the Voyager 1 spacecraft through the solar system. Launched on September 5, 1977, it was one of two spacecraft sent to visit the giant planets of the outer solar system. Voyager 1 flew by Jupiter and Saturn before being directed out of the solar system.
To fit the 40 year history of the mission into a short visualization, the pacing of time accelerates through most of the movie, starting at about 5 days per second at the beginning and speeding up to about 11 months per second after the planet flybys are past.
The termination shock and heliopause are the 'boundaries' created when the plasma between the stars interacts with the plasma flowing outward from the Sun. They are represented with simple grid models and oriented so their 'nose' is pointed in the direction (Right Ascension = 17h 24m, declination = 17 degrees south) represented by more recent measurements from other missions.
https://svs.gsfc.nasa.gov/4139
Credit: NASA's Scientific Visualization Studio</t>
  </si>
  <si>
    <t>qYNIsgDrIRE</t>
  </si>
  <si>
    <t>https://youtu.be/l8TA7BU2Bvo</t>
  </si>
  <si>
    <t>Voyager 2 Trajectory through the Solar System</t>
  </si>
  <si>
    <t>This visualization tracks the trajectory of the Voyager 2 spacecraft through the solar system. Launched on August 20, 1977, it was one of two spacecraft sent to visit the giant planets of the outer solar system. Like Voyager 1, Voyager 2 flew by Jupiter and Saturn, but the Voyager 2 mission was extended to fly by Uranus and Neptune before being directed out of the solar system.
To fit the 40 year history of the mission into a short visualization, the pacing of time accelerates through most of the movie, starting at about 5 days per second at the beginning and speeding up to about 11 months per second after the planet flybys are past.
The termination shock and heliopause are the 'boundaries' created when the plasma between the stars interacts with the plasma flowing outward from the Sun. They are represented with simple grid models and oriented so their 'nose' is pointed in the direction (Right Ascension = 17h 24m, declination = 17 degrees south) represented by more recent measurements from other missions.
Credit: NASA's Scientific Visualization Studio
https://svs.gsfc.nasa.gov/4140</t>
  </si>
  <si>
    <t>l8TA7BU2Bvo</t>
  </si>
  <si>
    <t>2017 08 30</t>
  </si>
  <si>
    <t>https://youtu.be/g5BvriNNb64</t>
  </si>
  <si>
    <t>Final RS-25 Engine Test of the Summer</t>
  </si>
  <si>
    <t>On Aug. 30, engineers at our Stennis Space Center wrapped up a summer of hot fire testing for flight controllers on RS-25 engines that will help power the new Space Launch System rocket being built to carry astronauts to deep-space destinations, including Mars. The 500-second hot fire of a flight controller or “brain” of the engine marked another step toward the nation’s return to human deep-space exploration missions. Four RS-25 engines, equipped with flight-worthy controllers will help power the first integrated flight of our Space Launch System rocket with our Orion spacecraft, known as Exploration Mission One.
This video is available for download from NASA's Image and Video Library: https://images.nasa.gov/#/details-NHQ_2017_0830_Final%20RS-25%20Engine%20Test%20of%20the%20Summer.html</t>
  </si>
  <si>
    <t>g5BvriNNb64</t>
  </si>
  <si>
    <t>2017 08 25</t>
  </si>
  <si>
    <t>https://youtu.be/WjxZd7fPSVI</t>
  </si>
  <si>
    <t>Space Station Cameras Peer down on Major Hurricane Harvey</t>
  </si>
  <si>
    <t>Cameras outside the International Space Station captured views of Hurricane Harvey during a flyover of the massive storm at 5:15 p.m. EDT Aug. 25.
This video is available for download from NASA's Image and Video Library: https://images.nasa.gov/#/details-NHQ_2017_0825_Space%20Station%20Cameras%20Peer%20down%20on%20Major%20Hurricane%20Harvey.html</t>
  </si>
  <si>
    <t>WjxZd7fPSVI</t>
  </si>
  <si>
    <t>https://youtu.be/xBMAI7hZS1s</t>
  </si>
  <si>
    <t>Eclipse Across America on This Week @NASA – August 25, 2017</t>
  </si>
  <si>
    <t>The Aug. 21 eclipse across America generated interest and excitement far and wide. Our coverage of the historic eclipse – the first coast-to-coast total solar eclipse for the U.S. in 99 years – was widespread … Anchored from the College of Charleston, in South Carolina – we showed you views of the eclipse that only NASA could. Views from space, from Earth’s atmosphere and from the ground – with expert observation and analysis provided from many of the 14 states around the country, situated along the path of totality. That’s where thousands of people flocked – for the ultimate eclipse experience – total darkness in the middle of the day!
This video is available for download from NASA's Image and Video Library: https://images.nasa.gov/#/details-NHQ_2017_0825_Eclipse%20Across%20America%20on%20This%20Week%20@NASA%20%E2%80%93%20August%2025,%202017.html</t>
  </si>
  <si>
    <t>xBMAI7hZS1s</t>
  </si>
  <si>
    <t>2017 08 24</t>
  </si>
  <si>
    <t>https://youtu.be/3gDkDpzB8Zo</t>
  </si>
  <si>
    <t>Space Station Camera Captures New Views of Hurricane Harvey</t>
  </si>
  <si>
    <t>The National Hurricane Center (NHC) upgraded the remnants of tropical storm Harvey to a tropical depression on August 23, 2017 at 11 a.m. EDT (1500 UTC).  Harvey became better organized and was revived after moving from Mexico's Yucatan Peninsula into the Bay of Campeche. The warm waters of the Gulf of Mexico and favorable vertical wind shear promoted the regeneration of the tropical cyclone. This video includes views from The International Space Station recorded on August 24, 2017 at 6:15 p.m. Eastern Time.
This video is available for download from NASA's Image and Video Library: https://images.nasa.gov/#/details-NHQ_2017_0824_Space%20Station%20Camera%20Captures%20New%20Views%20of%20Hurricane%20Harvey.html</t>
  </si>
  <si>
    <t>3gDkDpzB8Zo</t>
  </si>
  <si>
    <t>https://youtu.be/nr4Sozvo5aU</t>
  </si>
  <si>
    <t>Eclipse 2017  Through the Eyes of NASA</t>
  </si>
  <si>
    <t>During the eclipse, 14 states across the U.S. were in the path of totality and experienced more than two minutes of darkness in the middle of the day – with a partial eclipse viewable all across North America. The broadcast – Eclipse Across America: Through the Eyes of NASA – covered locations along the path of totality, from Oregon to South Carolina including public reactions from all ages. The eclipse’s long path over land provided a unique opportunity to study the Sun, Earth, Moon and their interaction. 
This video is available for download from NASA's Image and Video Library: 
“Total Eclipse Preview Show”, Total Solar Eclipse: “Through The Eyes of NASA,” Part 1
https://images.nasa.gov/#/details-NHQ_2017_0821_Total%20Solar%20Eclipse%20Noon%20to%201%20pm%20ET.html
Total Solar Eclipse: “Through The Eyes of NASA,” Part 2
https://images.nasa.gov/#/details-NHQ_2017_0821_Total%20Solar%20Eclipse%201%20pm%20to%202%20pm%20ET.html
Total Solar Eclipse: “Through The Eyes of NASA,” Part 3
https://images.nasa.gov/#/details-NHQ_2017_0821_Total%20Solar%20Eclipse%202%20pm%20to%203%20pm%20ET.html
Total Solar Eclipse: “Through The Eyes of NASA,” Part 4
https://images.nasa.gov/#/details-NHQ_2017_0821_Total%20Solar%20Eclipse%203%20pm%20to%204%20pm%20ET.html</t>
  </si>
  <si>
    <t>nr4Sozvo5aU</t>
  </si>
  <si>
    <t>2017 08 23</t>
  </si>
  <si>
    <t>https://youtu.be/7pWf_3sc2K4</t>
  </si>
  <si>
    <t>Space Station Crew Unveils  Space Suit  Designed by Cancer Patients on Earth</t>
  </si>
  <si>
    <t>Aboard the International Space Station, Expedition 52 Flight Engineers Peggy Whitson, Jack Fischer and Randy Bresnik of NASA discussed the latest “UNITY” space suit that arrived on the orbital laboratory aboard the SpaceX/Dragon cargo craft Aug. 16 during an in-flight conversation with former astronaut Nicole Stott at Mission Control in Houston Aug. 23. In Sept. 2016, an historic 14-day global art endeavor was mounted by Stott and the Space Suit Art Project team. As a result, the “UNITY” Space Suit was constructed from paintings by pediatric cancer patients and astronauts and cosmonauts from the five international space agencies that built the station.</t>
  </si>
  <si>
    <t>7pWf_3sc2K4</t>
  </si>
  <si>
    <t>2017 08 22</t>
  </si>
  <si>
    <t>https://youtu.be/7NoATJhCt1Y</t>
  </si>
  <si>
    <t>Space Station Crew Discusses Life in Space with NASA's Newest Astronauts</t>
  </si>
  <si>
    <t>Aboard the International Space Station, Expedition 52 Flight Engineers Peggy Whitson, Jack Fischer and Randy Bresnik of NASA conducted a question and answer session with the agency’s newest class of astronauts during an in-flight “orientation” session Aug. 22 with the new selectees. Twelve new astronauts were announced by NASA on June 7 and will begin extensive training this year for future flight assignments.</t>
  </si>
  <si>
    <t>7NoATJhCt1Y</t>
  </si>
  <si>
    <t>2017 08 18</t>
  </si>
  <si>
    <t>https://youtu.be/HsOll65Wseg</t>
  </si>
  <si>
    <t>Eclipse-Like Events on This Week @NASA – August 18, 2017</t>
  </si>
  <si>
    <t>Natural phenomena such as the Aug. 21, 2017 solar eclipse can inspire awe, but scientists can also use eclipse-like events to learn more about the universe. For instance, a total eclipse, or an occultation in scientific terms – happens when a celestial body completely blocks light from a star, like our sun. This type of event can help astronomers learn more about an object’s atmosphere, including whether it might be surrounded by rings or other planetary matter. During a similar event, called a transit, variations in light that result when a closer object passes in front of a star, but only blocks a small part of the star, have been used by missions such as our Kepler space telescope, to discover new planets outside our solar system. Also, SpaceX Launches Science, Supplies to Space Station, New Communications Satellite Launched, Cassini Begins Final Five Orbits around Saturn and Spacewalk aboard the Space Station!</t>
  </si>
  <si>
    <t>HsOll65Wseg</t>
  </si>
  <si>
    <t>https://youtu.be/LwOmJRZQfmw</t>
  </si>
  <si>
    <t>Third Generation Satellite Joins NASA's Communication Network</t>
  </si>
  <si>
    <t>On Friday, August 18, NASA launched the third in a series of three advanced, Tracking and Data Relay Satellites, known as TDRS-M, from Cape Canaveral Air Force Station, in Florida. This latest addition to the fleet will augment a space communications network that provides the critical path for high data-rate communication to a host of spacecraft including the International Space Station and its resupply vehicles, the Hubble Space Telescope and many of NASA’s Earth-observing fleet spacecraft.</t>
  </si>
  <si>
    <t>LwOmJRZQfmw</t>
  </si>
  <si>
    <t>2017 08 17</t>
  </si>
  <si>
    <t>https://youtu.be/HcvXtZoSoY0</t>
  </si>
  <si>
    <t>Space Station Cosmonauts take a Walk in Space</t>
  </si>
  <si>
    <t>Outside the International Space Station, Expedition 52 Commander Fyodor Yurchikhin and Flight Engineer Sergey Ryazanskiy conducted a spacewalk Aug. 17 to assess the condition of the exterior of the Russian segment of the complex and to install struts and handrails to facilitate future excursions. During the outing, Ryazanskiy manually deployed five small nanosatellites to collect data on a variety of scientific investigations. The spacewalk, which was the 202nd in support of space station assembly and maintenance, was the ninth in Yurchikhin’s career and the fourth for Ryazanskiy.</t>
  </si>
  <si>
    <t>HcvXtZoSoY0</t>
  </si>
  <si>
    <t>https://youtu.be/Nc2ZoTzP5gg</t>
  </si>
  <si>
    <t>NASA News Briefing Previews Launch of TDRS-M Communications Satellite</t>
  </si>
  <si>
    <t>On Aug. 17, NASA held a news conference to preview the launch and mission of its next Tracking and Data Relay Satellite, TDRS-M. TDRS-M, which is targeted for launch atop a United Launch Alliance Atlas V rocket from Cape Canaveral Air Force Station in Florida, no earlier than Aug. 18, is the third in a series of three advanced TDRS satellites. The fleet of TDRS satellites provides the critical path for high data-rate communication to a host of spacecraft including the International Space Station and its resupply vehicles, the Hubble Space Telescope and many of NASA’s Earth-observing fleet spacecraft.</t>
  </si>
  <si>
    <t>Nc2ZoTzP5gg</t>
  </si>
  <si>
    <t>2017 08 16</t>
  </si>
  <si>
    <t>https://youtu.be/Iv70HHJBJyU</t>
  </si>
  <si>
    <t>U.S. Commercial Cargo Craft Arrives at the International Space Station</t>
  </si>
  <si>
    <t>The SpaceX Falcon 9 rocket launched from the Kennedy Space Center, Florida Aug. 14, sending an unpiloted Dragon cargo vehicle on a delivery run to the International Space Station. Loaded with more than three tons of supplies and scientific investigations, the Dragon is scheduled to arrive at the station on Aug. 16 where it will be captured by Expedition 52 crewmembers Jack Fischer of NASA and Paolo Nespoli of the European Space Agency operating the station’s Canadarm2 robotic arm. Dragon will spend about a month attached to the Earth-facing port of the Harmony module.</t>
  </si>
  <si>
    <t>Iv70HHJBJyU</t>
  </si>
  <si>
    <t>2017 08 15</t>
  </si>
  <si>
    <t>https://youtu.be/Re5y4hKFOUg</t>
  </si>
  <si>
    <t>Record-Breaking Station Crew Member Discusses Life in Space with the Media</t>
  </si>
  <si>
    <t>Aboard the International Space Station, Expedition 52 Flight Engineer Peggy Whitson of NASA discussed her record-breaking mission on the outpost during a pair of in-flight interviews Aug. 15 with Women’s Day Magazine and ABC “This Week” correspondent Martha Raddatz. Whitson, who is nearing the end of her third long-duration mission on the orbital laboratory, has spent more days in space than any other U.S. astronaut in history.</t>
  </si>
  <si>
    <t>Re5y4hKFOUg</t>
  </si>
  <si>
    <t>2017 08 14</t>
  </si>
  <si>
    <t>https://youtu.be/A6_mw1MRaeM</t>
  </si>
  <si>
    <t>Post-Launch Status of Next Space Station Supply Mission</t>
  </si>
  <si>
    <t>On August 14, a post-launch status briefing was held at Kennedy Space Center, following the launch of the twelfth SpaceX resupply mission to the International Space Station. SpaceX launched its Dragon spacecraft aboard the company's Falcon 9 rocket from Launch Complex 39A at KSC.</t>
  </si>
  <si>
    <t>A6_mw1MRaeM</t>
  </si>
  <si>
    <t>https://youtu.be/f_BIxC7TH_o</t>
  </si>
  <si>
    <t>SpaceX Dragon CRS-12 Launches to the International Space Station</t>
  </si>
  <si>
    <t>A SpaceX Falcon 9 rocket launched from NASA’s Kennedy Space Center in Florida Aug. 14, sending an unpiloted Dragon cargo spacecraft on a delivery run to the International Space Station. Loaded with more than three tons of supplies and scientific investigations, the Dragon is scheduled to arrive at the station Aug. 16 where it will be captured by Expedition 52 crewmembers Jack Fischer of NASA and Paolo Nespoli of ESA (European Space Agency) operating the station’s Canadarm2 robotic arm. Dragon will spend about a month attached to the Earth-facing port of the Harmony module.</t>
  </si>
  <si>
    <t>f_BIxC7TH_o</t>
  </si>
  <si>
    <t>https://youtu.be/huC1j4VOdls</t>
  </si>
  <si>
    <t>SpaceX Dragon CRS-12 What's on Board Science Briefing</t>
  </si>
  <si>
    <t>On Aug 13, NASA held a briefing at the agency’s Kennedy Space Center in Florida to discuss the science, research and technology payloads being transported to the International Space Station aboard the next SpaceX mission to the ISS. SpaceX is scheduled to launch its 11th Commercial Resupply Services mission to the International Space Station no earlier than 12:31 p.m. EST Monday, Aug 14. The launch will take place from Launch Complex 39A at NASA’s Kennedy Space Center in Florida. Live coverage of the launch will begin at 12:00 p.m. on NASA Television and the agency’s website.
This video is also available from NASA's Image and Video Library: https://images.nasa.gov/#/details-KSC-20170813-VP_CDC01-0001-CRS_12_Whats_on_Board-3166671.html</t>
  </si>
  <si>
    <t>huC1j4VOdls</t>
  </si>
  <si>
    <t>2017 08 13</t>
  </si>
  <si>
    <t>https://youtu.be/mUCSFkCy7CE</t>
  </si>
  <si>
    <t>SpaceX Dragon CRS-12 Prelaunch News Conference</t>
  </si>
  <si>
    <t>On Aug. 13, NASA held a briefing at the agency’s Kennedy Space Center in Florida to provide an overview of the next SpaceX mission to the International Space Station. The SpaceX Dragon spacecraft will lift off on top of the company's Falcon 9 rocket, no earlier than 12:31 p.m. EST Monday, Aug. 14, from Launch Complex 39A at NASA’s Kennedy Space Center in Florida. The Dragon will carry science research, crew supplies and hardware to the orbiting laboratory in support of the Expedition 52 and 53 crew members.
This video is also available from NASA's Image and Video Library: https://images.nasa.gov/#/details-NHQ_2017_0813_SpaceXDragon%20CRS-12%20Prelaunch%20News%20Conference.html</t>
  </si>
  <si>
    <t>mUCSFkCy7CE</t>
  </si>
  <si>
    <t>2017 08 11</t>
  </si>
  <si>
    <t>https://youtu.be/Dfq_VJRV-qw</t>
  </si>
  <si>
    <t>Preparing for Eclipse 2017 on This Week @NASA – August 11, 2017</t>
  </si>
  <si>
    <t>The Aug. 21 total solar eclipse across America is generating a lot of interest – and a lot of questions. You’ll find answers to many of your eclipse questions at NASA’s Eclipse 2017 website -- eclipse2017.nasa.gov. The site is full of information to help you prepare for this rare celestial event – including eclipse-related activities, events, viewing safety tips, and other resources. Then, on the day of the eclipse, you can see the event “Through the Eyes of NASA” – during a special NASA TV broadcast that includes coast-to-coast coverage from the ground, from the air and from space. Coverage begins with a special pre-show at noon eastern – followed by in-depth coverage at 1pm. You can also watch on Aug. 21 at www.nasa.gov/eclipselive. Also, TDRS-M Update, Webb’s Sunshield Layers Installed, RS-25 Engine Testing Rolls On, and Chief Technologist Visits Industry Partner!
This video is also available from NASA's Image and Video Library: https://images.nasa.gov/#/details-NHQ_2017_0811_Preparing%20for%20Eclipse%202017%20on%20This%20Week%20@NASA%20%E2%80%93%20August%2011,%202017.html</t>
  </si>
  <si>
    <t>Dfq_VJRV-qw</t>
  </si>
  <si>
    <t>https://youtu.be/Wo9rBW-y-OI</t>
  </si>
  <si>
    <t>2017 Total Solar Eclipse Across America Promo</t>
  </si>
  <si>
    <t>On Monday, August 21, 2017, all of North America will be treated to an eclipse of the sun. Anyone within the path of totality can see one of nature’s most awe inspiring sights - a total solar eclipse.
This video is also available in NASA's Image and Video Library: https://goo.gl/WYxX38</t>
  </si>
  <si>
    <t>Wo9rBW-y-OI</t>
  </si>
  <si>
    <t>2017 08 10</t>
  </si>
  <si>
    <t>https://youtu.be/n-VFMjzyR-Y</t>
  </si>
  <si>
    <t>Space Station Crew Member Discusses Life in Space on a NASA Podcast</t>
  </si>
  <si>
    <t>Aboard the International Space Station, Expedition 52 Flight Engineer Jack Fischer of NASA discussed life and research on the complex during a NASA Johnson Space Center podcast in-flight interview Aug. 10. Fischer is in the final weeks of a four and a half month mission on the outpost, headed for a landing Sept. 3 in Kazakhstan in a Russian Soyuz spacecraft.</t>
  </si>
  <si>
    <t>n-VFMjzyR-Y</t>
  </si>
  <si>
    <t>2017 08 09</t>
  </si>
  <si>
    <t>https://youtu.be/cXgJVrmdYrY</t>
  </si>
  <si>
    <t>RS-25 Rocket Engine Test</t>
  </si>
  <si>
    <t>The 8.5-minute test conducted at NASA’s Stennis Space Center is part of a series of tests designed to put the upgraded former space shuttle engines through the rigorous temperature and pressure conditions they will experience during a launch. The tests also support the development of a new controller, or “brain,” for the engine, which monitors engine status and communicates between the rocket and the engine, relaying commands to the engine and transmitting data back to the rocket.
This video is available for download from NASA's Image and Video Library: https://goo.gl/1mNM3c</t>
  </si>
  <si>
    <t>cXgJVrmdYrY</t>
  </si>
  <si>
    <t>https://youtu.be/7apSAxXbmg0</t>
  </si>
  <si>
    <t>2017 Total Solar Eclipse Viewing Tips - Narrated by George Takei</t>
  </si>
  <si>
    <t>On Monday, August 21, 2017, all of North America will be treated to an eclipse of the sun. Anyone within the path of totality can see one of nature’s most awe inspiring sights - a total solar eclipse. This video, narrated by actor George Takei, provides a few viewing tips for the public.</t>
  </si>
  <si>
    <t>7apSAxXbmg0</t>
  </si>
  <si>
    <t>https://youtu.be/grS7l1JJrY0</t>
  </si>
  <si>
    <t>Space Station Crew Member Discusses Record-Breaking Mission with the Media</t>
  </si>
  <si>
    <t>Aboard the International Space Station, Expedition 52 Flight Engineer Peggy Whitson of NASA discussed her record-breaking mission on the outpost during a pair of in-flight interviews Aug. 9 with KMA Radio in Shenandoah, Iowa and Space.com. Whitson, who set the record for most days in space by a U.S. astronaut back in April, is headed for the completion of a 289-day flight on this, her third long duration flight on the station. She is scheduled to return to Earth on Sept. 3 in Kazakhstan on a Russian Soyuz spacecraft.</t>
  </si>
  <si>
    <t>grS7l1JJrY0</t>
  </si>
  <si>
    <t>2017 08 07</t>
  </si>
  <si>
    <t>https://youtu.be/dtqwaSBf4gE</t>
  </si>
  <si>
    <t>Space Station Crew Member Discusses Life in Space with California Scouts</t>
  </si>
  <si>
    <t>Aboard the International Space Station, Expedition 52 Flight Engineer Jack Fischer of NASA discussed his mission and life aboard the orbital complex during an in-flight educational event Aug. 7 with the Boy Scouts of the Bay Area in Pleasant Hill, California. Fischer is in the final weeks of a four and a half month mission on the outpost, headed for a landing Sept. 3 in Kazakhstan in a Russian Soyuz spacecraft.</t>
  </si>
  <si>
    <t>dtqwaSBf4gE</t>
  </si>
  <si>
    <t>2017 08 04</t>
  </si>
  <si>
    <t>https://youtu.be/d1RmxG-BjVk</t>
  </si>
  <si>
    <t>Earth like Atmosphere Unlikely to Survive Exoplanet’s Orbit on This Week @NASA – August 4, 2017</t>
  </si>
  <si>
    <t>Scientists are studying our closest Earth-size exoplanet neighbor – Proxima b – to determine if it’s habitable. A recent computer simulation has provided good data on the question. Using Earth as a model – the simulation placed a planet with an Earth-like atmosphere into Proxima b’s orbit around its host star, Proxima Centauri. The simulation determined that the planet would likely lose its atmosphere from the effects of Proxima Centauri’s intense radiation and frequent flaring. Observations from our Chandra X-ray Observatory and other data were used for the simulation. Also, Getting a Feel for Eclipses, SOHO Reveals Rapidly Rotating Solar Core, Curiosity’s Five-Year Anniversary on Mars, and Putting NASA Earth Science to Work!</t>
  </si>
  <si>
    <t>d1RmxG-BjVk</t>
  </si>
  <si>
    <t>2017 08 02</t>
  </si>
  <si>
    <t>https://youtu.be/zxX9qunKh6k</t>
  </si>
  <si>
    <t>Italian Space Station Veteran Discusses Life in Space with Italian Media</t>
  </si>
  <si>
    <t>Aboard the International Space Station, Expedition 52 Flight Engineer Paolo Nespoli of the European Space Agency discussed his first days in orbit since returning to the outpost during an in-flight interview Aug. 2 with members of the Italian media. The 60-year old Nespoli, who hails from Milan, is making his third flight into space and second long duration mission on the orbital complex.</t>
  </si>
  <si>
    <t>zxX9qunKh6k</t>
  </si>
  <si>
    <t>2017 07 29</t>
  </si>
  <si>
    <t>https://youtu.be/5SrcM1Gg5Yk</t>
  </si>
  <si>
    <t>Expedition 52-53 Crew Welcomed Aboard the Space Station</t>
  </si>
  <si>
    <t>On July 28, A few hours after docking their Soyuz MS-05 spacecraft to the International Space Station, Expedition 52-53 Soyuz Commander Sergey Ryazanskiy of Roscosmos, Paolo Nespoli of the European Space Agency and Flight Engineer Randy Bresnik of NASA opened hatches and were greeted by station Commander Fyodor Yurchikhin of Roscosmos and Flight Engineers Jack Fischer and Peggy Whitson of NASA. Ryazanskiy, Nespoli and Bresnik will spend four months on the station.</t>
  </si>
  <si>
    <t>5SrcM1Gg5Yk</t>
  </si>
  <si>
    <t>https://youtu.be/EQwq6H4aNX4</t>
  </si>
  <si>
    <t>Expedition 52-53 Crew Docks to the Space Station</t>
  </si>
  <si>
    <t>After launching earlier in the day in their Soyuz MS-05 spacecraft from the Baikonur Cosmodrome in Kazakhstan, Expedition 52-53 Soyuz Commander Sergey Ryazanskiy of Roscosmos and Flight Engineers Randy Bresnik of NASA and Paolo Nespoli of the European Space Agency arrived at the International Space Station on July 28.</t>
  </si>
  <si>
    <t>EQwq6H4aNX4</t>
  </si>
  <si>
    <t>2017 07 28</t>
  </si>
  <si>
    <t>https://youtu.be/SwoVyJzrkU4</t>
  </si>
  <si>
    <t>New Crew Launches to the Space Station on This Week @NASA – July 28, 2017</t>
  </si>
  <si>
    <t>Acting Administrator Robert Lightfoot was in Kazakhstan on July 28 to observe the launch to the International Space Station of our astronaut Randy Bresnik with his crewmates – Sergey Ryazanskiy of Roscosmos, and Paolo Nespoli of the European Space Agency. The trio is scheduled to spend more than four months on the station working on hundreds of science and technology experiments. Also, New 4K Footage of Spacewalk, NASA Technologies Showcased at AirVenture Event, Preparing to Chase the Total Solar Eclipse from the Sky, and Another Successful RS-25 Engine Test!</t>
  </si>
  <si>
    <t>SwoVyJzrkU4</t>
  </si>
  <si>
    <t>https://youtu.be/YDGlV_lATao</t>
  </si>
  <si>
    <t>Crew Launches to International Space Station</t>
  </si>
  <si>
    <t>Expedition 52-53 Soyuz Commander Sergey Ryazanskiy of Roscosmos and Flight Engineers Randy Bresnik of NASA and Paolo Nespoli of ESA (European Space Agency) launched on the Russian Soyuz MS-05 spacecraft July 28 from the Baikonur Cosmodrome in Kazakhstan. The trio began a six-hour journey to the International Space Station and the start of a four-and-a-half month mission on the outpost.</t>
  </si>
  <si>
    <t>YDGlV_lATao</t>
  </si>
  <si>
    <t>2017 07 27</t>
  </si>
  <si>
    <t>https://youtu.be/YQSiqoHlMY8</t>
  </si>
  <si>
    <t>Russian State Commission Meeting and Final ISS Expedition 52-53 Pre-Launch Crew News Conference</t>
  </si>
  <si>
    <t>In preparation for launch, the final meeting between the Russian State Commission and the crew of International Space Expedition 52/53 meets in Baikonur Kazakhstan.</t>
  </si>
  <si>
    <t>YQSiqoHlMY8</t>
  </si>
  <si>
    <t>2017 07 26</t>
  </si>
  <si>
    <t>https://youtu.be/47UatQC0mm8</t>
  </si>
  <si>
    <t>Expedition 52-53 Soyuz Vehicle is Prepared for Launch in Kazakhstan</t>
  </si>
  <si>
    <t>At the Baikonur Cosmodrome in Kazakhstan, the Soyuz MS-05 spacecraft and its Soyuz booster are transported from the Integration Facility to the launch pad on a railcar July 26 for final preparations before launch July 28 to the International Space Station. The Soyuz MS-05 will carry Expedition 52-53 Soyuz Commander Sergey Ryazanskiy of Roscosmos and Flight Engineers Randy Bresnik of NASA and Paolo Nespoli of ESA (European Space Agency) to the orbital complex for a four-and-a-half month mission.</t>
  </si>
  <si>
    <t>47UatQC0mm8</t>
  </si>
  <si>
    <t>2017 07 25</t>
  </si>
  <si>
    <t>https://youtu.be/B0ggPP5QYck</t>
  </si>
  <si>
    <t>NASA’s RS-25 Rocket Engine Fires Up Again</t>
  </si>
  <si>
    <t>Engineers conduct the third in a series of RS-25 flight controller tests on July 25, 2017, for NASA’s Space Launch System (SLS) rocket. The more than 8 1/2 minute test on the A-1 Test Stand at NASA’s Stennis Space Center in Mississippi signaled another step toward launch of NASA’s new Space Launch System (SLS). The SLS rocket, powered by four RS-25 engines, along with the Orion spacecraft will take astronauts on a new era of exploration beyond Earth’s orbit into deep space.</t>
  </si>
  <si>
    <t>B0ggPP5QYck</t>
  </si>
  <si>
    <t>https://youtu.be/fQxxvxHX6gM</t>
  </si>
  <si>
    <t>Space Station Crew Member Discusses Life in Space with Media Outlets</t>
  </si>
  <si>
    <t>Aboard the International Space Station, Expedition 52 Flight Engineer Jack Fischer of NASA discussed life and research on the complex during a pair of in-flight interviews July 25 with KOA Radio, Denver and KFI Radio, Los Angeles. Fischer is in the final weeks of a four and a half month mission on the outpost, headed for a return to Earth Sept. 3 aboard a Russian Soyuz spacecraft.</t>
  </si>
  <si>
    <t>fQxxvxHX6gM</t>
  </si>
  <si>
    <t>2017 07 21</t>
  </si>
  <si>
    <t>https://youtu.be/nbQU5NlXa2o</t>
  </si>
  <si>
    <t>Happy 100th Anniversary, Langley on This Week @NASA – July 21, 2017</t>
  </si>
  <si>
    <t>Our Langley Research Center officially celebrated its 100th anniversary on July 17. Groundbreaking took place on that date in 1917, for what is now known as Building 587 – the first aeronautical research laboratory erected in 1918 for NASA’s predecessor, the National Advisory Committee for Aeronautics (NACA). The establishment of Langley – NASA’s first field center – marked the start of our quest to achieve aerospace excellence through the scientific study of flight. Also, ISS Research &amp; Development Conference, Next Station Crew Heads to Launch Site, Electrons Whistle in Space, and Mars Day!</t>
  </si>
  <si>
    <t>nbQU5NlXa2o</t>
  </si>
  <si>
    <t>https://youtu.be/CANsRjeEnQ0</t>
  </si>
  <si>
    <t>NASA Participates in Mars Day Activities at National Air and Space Museum</t>
  </si>
  <si>
    <t>NASA participated in the July 21 Mars Day event at the Smithsonian National Air and Space Museum (NASM) in Washington, D.C. The museum hosts this annual event, which includes exhibits, speakers and educational activities, to celebrate the Red Planet.
Jim Green, director of NASA’s Planetary Science Division, along with other NASA scientists and engineers, was on hand to talk with visitors about the agency’s Mars exploration missions. There was also a Mars concept rover on display, developed by vehicle designers the Parker Brothers with advice from NASA. The vehicle is currently on an East Coast tour from its home base at the Kennedy Space Center Visitor’s Complex in Florida. The concept rover is designed to engage and educate the public by demonstrating the types of features and equipment a future human exploration vehicle may need.</t>
  </si>
  <si>
    <t>CANsRjeEnQ0</t>
  </si>
  <si>
    <t>2017 07 17</t>
  </si>
  <si>
    <t>https://youtu.be/49bzaUBVoUQ</t>
  </si>
  <si>
    <t>Expedition 52-53 Crew Departs for Kazakh Launch Site</t>
  </si>
  <si>
    <t>Expedition 52-53 Soyuz Commander Sergey Ryazanskiy of Roscosmos and Flight Engineers Randy Bresnik of NASA and Paolo Nespoli of ESA (European Space Agency), and their backups, Alexander Misurkin of Roscosmos, Mark Vande Hei of NASA and Norishige Kanai of the Japan Aerospace Exploration Agency participated in traditional ceremonies July 16 at the Gagarin Cosmonaut Training Center in Star City, Russia, outside Moscow. Afterward, they departed for the Baikonur Cosmodrome in Kazakhstan to complete training for launch of Ryazanskiy, Bresnik and Nespoli July 28 from the Baikonur Cosmodrome in Kazakhstan in the Soyuz MS-05 spacecraft.</t>
  </si>
  <si>
    <t>49bzaUBVoUQ</t>
  </si>
  <si>
    <t>https://youtu.be/ks1SRA6Sljw</t>
  </si>
  <si>
    <t>Celebrating 100 Years of NASA Langley  A Storied Legacy, A Soaring Future</t>
  </si>
  <si>
    <t>NASA Langley – 100 Years:  Something happened 100 years ago that changed forever the way we fly, the way we explore space and how we study our home planet. That something was the establishment of what is now NASA’s Langley Research Center in Hampton, Virginia, which commemorates its 100th anniversary on July 17, 2017.
Astronaut Neil Armstrong, the first human to step foot on the moon and who learned how to do so by training at Langley said, "If a competition were held to determine the organization that had accomplished the largest number of advancements to aeronautic and aerospace progress, my nomination would be this place."
This 45-minute documentary looks back across the 100 years, updates us on work being done at Langley today, and takes a peek into the future.
Find out more about NASA Langley’s centennial at: https://www.nasa.gov/langley/100</t>
  </si>
  <si>
    <t>ks1SRA6Sljw</t>
  </si>
  <si>
    <t>2017 07 14</t>
  </si>
  <si>
    <t>https://youtu.be/pMOVbfgnmsI</t>
  </si>
  <si>
    <t>Juno Spies Jupiter’s Great Red Spot on This Week @NASA – July 14, 2017</t>
  </si>
  <si>
    <t>On July 10, our Juno spacecraft completed its 7th perijove – or close flyby of Jupiter. It flew directly over the planet’s iconic Great Red Spot – about 5,600 miles above it. All of the spacecraft's science instruments, and its JunoCam imager were active – providing the first up-close look at the ten-thousand-mile-wide storm that has intrigued humans for hundreds of years. Juno's next close flyby of Jupiter will occur on Sept. 1. Also, The Path Ahead for New Horizons, Orion Egress Testing, and Langley’s Centennial Symposium.</t>
  </si>
  <si>
    <t>pMOVbfgnmsI</t>
  </si>
  <si>
    <t>2017 07 10</t>
  </si>
  <si>
    <t>https://youtu.be/Ym7p4ZM4mj8</t>
  </si>
  <si>
    <t>International Space Station Expedition 52-53 Crew News Conference</t>
  </si>
  <si>
    <t>Expedition 52-53 Soyuz Commander Sergey Ryazanskiy of Roscosmos and Flight Engineers Randy Bresnik of NASA and Paolo Nespoli of the European Space Agency conducted a news conference at the Gagarin Cosmonaut Training Center in Star City, July. 10. Ryazanskiy, Bresnik and Nespoli are scheduled to launch on July. 28, Kazakh time, from the Baikonur Cosmodrome in Kazakhstan in the Soyuz MS-05 spacecraft or a four and a half month mission on the International Space Station.</t>
  </si>
  <si>
    <t>Ym7p4ZM4mj8</t>
  </si>
  <si>
    <t>https://youtu.be/8Kv_MQYmCUU</t>
  </si>
  <si>
    <t>Expedition 52-53 Crew Conducts Traditional Ceremonies in Star City and Moscow, Russia</t>
  </si>
  <si>
    <t>Expedition 52-53 Soyuz Commander Sergey Ryazanskiy of Roscosmos and Flight Engineers Randy Bresnik of NASA and Paolo Nespoli of the European Space Agency, and their backups, Alexander Misurkin of Roscosmos, Mark Vande Hei of NASA and Norishige Kanai of the Japan Aerospace Exploration Agency visited the Gagarin Museum at the Gagarin Cosmonaut Training Center in Star City, Russia July 10 where they viewed historic space artifacts, then visited Red Square in Moscow for traditional ceremonies, including the laying of flowers at the Kremlin Wall where Russian space icons are interred. Ryazanskiy, Bresnik and Nespoli are scheduled to launch on July 28 from the Baikonur Cosmodrome in Kazakhstan in the Soyuz MS-05 spacecraft for a four and a half month mission on the International Space Station.</t>
  </si>
  <si>
    <t>8Kv_MQYmCUU</t>
  </si>
  <si>
    <t>https://youtu.be/-V9DBBOfJIA</t>
  </si>
  <si>
    <t>Space Station Crew Members Discusses Life in Space with the Media</t>
  </si>
  <si>
    <t>Aboard the International Space Station, Expedition 52 Flight Engineer Jack Fischer of NASA discussed life and research aboard the orbiting laboratory during a pair of in-flight interviews July 10 with CBS Radio News and WBZ Radio in Boston. Fischer, who is in the midst of a four-and-a-half-month mission on the complex, earned a Master of Science degree in Aeronautics and Astronautics in 1998 from the Massachusetts Institute of Technology.</t>
  </si>
  <si>
    <t>-V9DBBOfJIA</t>
  </si>
  <si>
    <t>2017 07 07</t>
  </si>
  <si>
    <t>https://youtu.be/WLXK54duZfE</t>
  </si>
  <si>
    <t>Vice President Pence Visits Kennedy on This Week @NASA – July 7, 2017</t>
  </si>
  <si>
    <t>Vice President Mike Pence spoke to employees on July 6 at our Kennedy Space Center in Florida, highlighting the public/private partnerships transforming the center into a multi-user spaceport, and changing the way we do business in low-Earth orbit. Acting Administrator Robert Lightfoot and Kennedy Director Bob Cabana accompanied the Vice President on tours of several facilities currently being leased by private space companies. The tour showcased hardware, systems and infrastructure, that will soon facilitate U.S. based astronaut launches and eventual missions to deep space. Also, SpaceX Dragon Released from Space Station, Happy July 4th from Space, and 3D-Printed Habitat Challenge!</t>
  </si>
  <si>
    <t>WLXK54duZfE</t>
  </si>
  <si>
    <t>https://youtu.be/u9fip6f9eYo</t>
  </si>
  <si>
    <t>Space Station Crew Member Discusses Life in Space with Web-Based Media</t>
  </si>
  <si>
    <t>Aboard the International Space Station, Expedition 52 Flight Engineer Peggy Whitson of NASA discussed her record-breaking mission on the orbital outpost during an in-flight interview July 7 with the internet media site, NowThis.com. Whitson, who launched to the station last November, is in the final months of her third long duration mission on the complex. She has already spent more days in space than any other American astronaut and established a record for the most spacewalks conducted by a female. She is scheduled to return to Earth Sept. 3 for a landing in a Russian Soyuz spacecraft in Kazakhstan.</t>
  </si>
  <si>
    <t>u9fip6f9eYo</t>
  </si>
  <si>
    <t>2017 07 06</t>
  </si>
  <si>
    <t>https://youtu.be/cNb5e0lxGTQ</t>
  </si>
  <si>
    <t>Vice President Pence Visits NASA's Kennedy Space Center</t>
  </si>
  <si>
    <t>Vice President Mike Pence visited NASA’s Kennedy Space Center in Florida today and addressed employees at the iconic Vehicle Assembly Building. The vice president also toured Kennedy to learn more about the center’s work as a multi-user spaceport for commercial and government clients, and he saw the agency’s progress toward launching from U.S. soil on spacecraft built by American companies.  He visited the Neil Armstrong Operation’s and Checkout Building to see NASA’s Orion spacecraft that will travel past the moon, and eventually on to Mars atop the Space Launch System rocket.</t>
  </si>
  <si>
    <t>cNb5e0lxGTQ</t>
  </si>
  <si>
    <t>https://youtu.be/rCfzlxGWGgE</t>
  </si>
  <si>
    <t>Vice President Pence Arrives for Visit at NASA's Kennedy Space Center</t>
  </si>
  <si>
    <t>rCfzlxGWGgE</t>
  </si>
  <si>
    <t>2017 07 03</t>
  </si>
  <si>
    <t>https://youtu.be/7usr3kQv_1w</t>
  </si>
  <si>
    <t>U.S. Commercial Cargo Ship Departs Space Station for Earth</t>
  </si>
  <si>
    <t>The unpiloted SpaceX/Dragon cargo craft departed the International Space Station July 2 bound for a parachute-assisted splashdown in the Pacific Ocean southwest of Long Beach, California. Loaded with valuable science samples and other hardware, Dragon was robotically released by Expedition 52 Flight Engineers Jack Fischer and Peggy Whitson, who operated the station’s Canadarm2 robotic arm from the cupola work station. The Dragon, which was launched from NASA’s Kennedy Space Center in Florida on a SpaceX Falcon 9 rocket June 3, delivered more than three tons of scientific investigations and supplies for the station’s residents.</t>
  </si>
  <si>
    <t>7usr3kQv_1w</t>
  </si>
  <si>
    <t>2017 07 01</t>
  </si>
  <si>
    <t>https://youtu.be/motIlXvNEao</t>
  </si>
  <si>
    <t>President Trump Reestablishes the National Space Council on This Week @NASA - June 30, 2017</t>
  </si>
  <si>
    <t>President Donald Trump signed an Executive Order on June 30 to reestablish the National Space Council. To mark International Asteroid Day on June 30, we aired a special television program with information about the work our Planetary Defense Coordination Office and other NASA-funded programs do to find, track and characterize Near Earth Objects. These are asteroids and comets in the vicinity of Earth’s orbit that could pose an impact threat to our planet. The Planetary Defense Coordination Office also issues alerts and helps coordinate any U.S. government response to an impact threat. The broadcast was part of a 24-hour Asteroid Day program from Broadcasting Center Europe. Also, NASA Testifies at Congressional Hearings, and Colorful Clouds in Space!</t>
  </si>
  <si>
    <t>motIlXvNEao</t>
  </si>
  <si>
    <t>https://youtu.be/d1CLtV1WY34</t>
  </si>
  <si>
    <t>Happy 4th of July, from NASA</t>
  </si>
  <si>
    <t>From NASA to you, we wish you a safe and happy Independence Day. In this video, we simulated rocket and engine sounds to reflect the cannon booms in the music. 
Here is a chronological list of the engines and rocket launches we highlighted:
RS-25 Engine Test, SLS Booster Nozzle Test, Delta ll Rocket Launch, Rocket Sled Test, SpaceX Dragon Capsule Abort Test, SLS Booster Test, Orion Abort Tower Separation Animation, Orbital ATK Cygnus Launch, Atlas V Rocket Launch</t>
  </si>
  <si>
    <t>d1CLtV1WY34</t>
  </si>
  <si>
    <t>2017 06 30</t>
  </si>
  <si>
    <t>https://youtu.be/VYO-mpoC8_s</t>
  </si>
  <si>
    <t>International Asteroid Day</t>
  </si>
  <si>
    <t>To mark International Asteroid Day on June 30, we aired a special television program with information about the work our Planetary Defense Coordination Office and other NASA-funded programs do to find, track and characterize Near Earth Objects. These are asteroids and comets in the vicinity of Earth’s orbit that could pose an impact threat to our planet. The Planetary Defense Coordination Office also issues alerts and helps coordinate any U.S. government response to an impact threat. The broadcast was part of a 24-hour Asteroid Day program from Broadcasting Center Europe.</t>
  </si>
  <si>
    <t>VYO-mpoC8_s</t>
  </si>
  <si>
    <t>2017 06 29</t>
  </si>
  <si>
    <t>https://youtu.be/0YNn1C8AQRE</t>
  </si>
  <si>
    <t>Nighttime Rocket Launch Creates Colorful Clouds in Space</t>
  </si>
  <si>
    <t>The early morning skies along the mid-Atlantic coast were lit up by luminescent clouds as NASA tested a new system to support science studies of the ionosphere and aurora, with a sounding rocket launch June 24 from the Wallops Flight Facility on the eastern shore of Virginia. During the flight of a two-stage Terrier-Improved Malemute sounding rocket, 10 canisters about the size of a soft drink can were deployed in the air, 6 to 12 miles away from the 670-pound main payload. The deployed canisters formed blue-green and red artificial clouds, or vapor tracers which allow scientists on the ground to visually track particle motions in space. The development of the multi-canister ampoule ejection system is also designed to allow scientists to gather information over a much larger area than previously allowed when deploying the tracers just from the main payload. The vapor tracers were expected to be visible from New York to North Carolina and westward to Charlottesville, Virginia – with the total flight time for the mission expected to be about 8 minutes.</t>
  </si>
  <si>
    <t>0YNn1C8AQRE</t>
  </si>
  <si>
    <t>2017 06 28</t>
  </si>
  <si>
    <t>https://youtu.be/-q7mo4Q0Cu8</t>
  </si>
  <si>
    <t>Space Station Crew Member Discusses Life in Space with Network Outlets</t>
  </si>
  <si>
    <t>Aboard the International Space Station, Expedition 52 Flight Engineer Peggy Whitson of NASA discussed her record-breaking mission on the orbital laboratory in a pair of in-flight interviews June 28 with Fox News’ “Fox and Friends” program and Bloomberg News. Whitson, who already holds the record for most time in space by a U.S. astronaut, and the number of spacewalks and aggregate spacewalking time by any female space traveler, is scheduled to return to Earth in early September with more than 600 days in space on three long duration missions on the station.</t>
  </si>
  <si>
    <t>-q7mo4Q0Cu8</t>
  </si>
  <si>
    <t>2017 06 23</t>
  </si>
  <si>
    <t>https://youtu.be/VN_3fFoep1s</t>
  </si>
  <si>
    <t>Total Solar Eclipse Primer on This Week @NASA – June 23, 2017</t>
  </si>
  <si>
    <t>At the Newseum in Washington, we teamed with representatives from other federal agencies and science organizations to delve into the science behind the upcoming August 21 total solar eclipse, and provide details on how to safely view the once-in-a-century phenomenon. During the eclipse, 14 states across the U.S. will experience more than two minutes of darkness – while those elsewhere will have a partial eclipse. Meanwhile a new eclipse Forever stamp, unveiled by the U.S. Postal service changes between images of an eclipse and the moon – with the touch of a finger. The eclipse and moon images were taken by a retired NASA astrophysicist. Also, Kepler Catalog Includes New Planet Candidates, Lightfoot Meets with International Partners, and Roll-Out Solar Array Test!</t>
  </si>
  <si>
    <t>VN_3fFoep1s</t>
  </si>
  <si>
    <t>https://youtu.be/CLu3ZGVztfI</t>
  </si>
  <si>
    <t>NASA Spacecraft Fire and Combustion</t>
  </si>
  <si>
    <t>In this episode, NASA experts discuss Spacecraft Fire and Combustion Research.</t>
  </si>
  <si>
    <t>CLu3ZGVztfI</t>
  </si>
  <si>
    <t>https://youtu.be/-uWTGpzmAFI</t>
  </si>
  <si>
    <t>Space Station Crew Member Discusses Life in Space with Voice of America</t>
  </si>
  <si>
    <t>-uWTGpzmAFI</t>
  </si>
  <si>
    <t>2017 06 22</t>
  </si>
  <si>
    <t>https://youtu.be/69QceCuTojs</t>
  </si>
  <si>
    <t>RockOn RockSat C payload successfully launched</t>
  </si>
  <si>
    <t>A NASA suborbital sounding rocket carrying multiple student experiments was successfully launched at 5:30 a.m. EDT, Thursday, June 22, from the Wallops Flight Facility in Virginia. The mission carried experiments built by undergraduate students from universities and community colleges across the country through the RockOn! and RockSat-C programs.
The experiments, launch on a 36-foot long Terrier-Improved Orion sounding rocket, flew to an altitude of 72 miles and landed, via parachute, in the Atlantic Ocean.  The payload has been recovered and the students are expected to receive their experiments this afternoon to begin their data analysis.
RockOn! and RockSat-C are part of Rocket Week at Wallops.  Nearly 130 students and instructors participated in the two programs this week conducted in partnership with the Colorado and Virginia Space Grant Consortia.</t>
  </si>
  <si>
    <t>69QceCuTojs</t>
  </si>
  <si>
    <t>2017 06 21</t>
  </si>
  <si>
    <t>https://youtu.be/SI9AovFNVUQ</t>
  </si>
  <si>
    <t>2017 Total Solar Eclipse Science Briefing</t>
  </si>
  <si>
    <t>During a June 21 media briefing from the Newseum in Washington, representatives from NASA, other federal agencies, and science organizations discussed the opportunity for scientific study offered by the total solar eclipse that will cross the U.S. on August 21.
Over the course of 100 minutes, 14 states across the United States will experience more than two minutes of darkness in the middle of the day. Additionally, a partial eclipse will be viewable across all of North America. The eclipse will provide a unique opportunity to study the sun, Earth, moon and their interaction because of the eclipse’s long path over land coast to coast. Scientists will be able to take ground-based and airborne observations over a period of an hour and a half to complement the wealth of data and images provided by space assets.</t>
  </si>
  <si>
    <t>SI9AovFNVUQ</t>
  </si>
  <si>
    <t>https://youtu.be/TVBoOVC_9bc</t>
  </si>
  <si>
    <t>2017 Total Solar Eclipse Safety Briefing</t>
  </si>
  <si>
    <t>During a June 21 media briefing from the Newseum in Washington, representatives from NASA, other federal agencies, and science organizations provided important information about safely viewing the total solar eclipse that will cross the U.S. on August 21.
Over the course of 100 minutes, 14 states across the United States will experience more than two minutes of darkness in the middle of the day. Additionally, a partial eclipse will be viewable across all of North America. The eclipse will provide a unique opportunity to study the sun, Earth, moon and their interaction because of the eclipse’s long path over land coast to coast. Scientists will be able to take ground-based and airborne observations over a period of an hour and a half to complement the wealth of data and images provided by space assets.</t>
  </si>
  <si>
    <t>TVBoOVC_9bc</t>
  </si>
  <si>
    <t>https://youtu.be/lQ9jf-M9p-I</t>
  </si>
  <si>
    <t>2017 Total Solar Eclipse  - Ways to Watch</t>
  </si>
  <si>
    <t>lQ9jf-M9p-I</t>
  </si>
  <si>
    <t>2017 06 20</t>
  </si>
  <si>
    <t>https://youtu.be/VVTaWEFEOFI</t>
  </si>
  <si>
    <t>What’s Happened So Far – Mid Year @NASA – June 16, 2017</t>
  </si>
  <si>
    <t>2017 is shaping up to be another year of unprecedented exploration, amazing discoveries, technological advances and progress in development of future missions – and we’re just six months into the year. Here are some of our top stories of 2017, so far – Mid-Year at NASA!</t>
  </si>
  <si>
    <t>VVTaWEFEOFI</t>
  </si>
  <si>
    <t>2017 06 19</t>
  </si>
  <si>
    <t>https://youtu.be/SHzNT7b_V7M</t>
  </si>
  <si>
    <t>Space Station Crew Member Discusses Life in Space with Georgia Students</t>
  </si>
  <si>
    <t>Aboard the International Space Station, Expedition 52 Flight Engineer Jack Fischer of NASA discussed life and research aboard the orbital laboratory June 19 with students gathered at the Fayette County Public Library in Fayette, Georgia, during an educational in-flight event. Fischer is in the midst of a four-and-a-half-month mission on the station.</t>
  </si>
  <si>
    <t>SHzNT7b_V7M</t>
  </si>
  <si>
    <t>2017 06 16</t>
  </si>
  <si>
    <t>https://youtu.be/gGkShITnb9U</t>
  </si>
  <si>
    <t>Russian Resupply Ship Arrives at the International Space Station</t>
  </si>
  <si>
    <t>The unpiloted Russian ISS Progress 67 cargo ship automatically docked to the rear port of the station’s Zvezda Service Module on June 16, completing a two-day journey following its launch atop a Soyuz booster from the Baikonur Cosmodrome in Kazakhstan on June 14. The new Progress is delivering three tons of food, fuel and supplies to the residents of the station and will remain attached to the outpost through December.</t>
  </si>
  <si>
    <t>gGkShITnb9U</t>
  </si>
  <si>
    <t>2017 06 15</t>
  </si>
  <si>
    <t>https://youtu.be/Ular61rpIVs</t>
  </si>
  <si>
    <t>2017 Administrator’s Agency Honor Awards Celebrate NASA’s Best of the Best</t>
  </si>
  <si>
    <t>During the 2017 Administrator’s Agency Honor Awards Ceremony on June 15 at Langley Research Center, NASA’s Acting Administrator, Robert Lightfoot, presented Distinguished Service and Distinguished Public Service Medals to individuals who have made extraordinary and indelible contributions to the agency’s mission success. These awards are NASA’s most prestigious and distinguished honors.</t>
  </si>
  <si>
    <t>Ular61rpIVs</t>
  </si>
  <si>
    <t>2017 06 14</t>
  </si>
  <si>
    <t>https://youtu.be/PP7gtQhLhG4</t>
  </si>
  <si>
    <t>Russian Resupply Ship Launches to the International Space Station</t>
  </si>
  <si>
    <t>The unpiloted Russian ISS Progress 67 cargo ship launched atop a Soyuz booster June 14 from the Baikonur Cosmodrome in Kazakhstan on a two-day journey to the International Space Station. The new Progress, which is carrying three tons of food, fuel and supplies for the residents of the orbital complex, is scheduled to automatically dock to the rear port of the station’s Zvezda Service Module on June 16. It will remain attached to the station through December.</t>
  </si>
  <si>
    <t>PP7gtQhLhG4</t>
  </si>
  <si>
    <t>2017 06 09</t>
  </si>
  <si>
    <t>https://youtu.be/2IAmEKsG3Yo</t>
  </si>
  <si>
    <t>Vice President Welcomes New Astronaut Class on This Week @NASA – June 9, 2017</t>
  </si>
  <si>
    <t>Vice President Mike Pence helped announce America’s newest class of astronaut candidates on June 7 at Johnson Space Center in Houston.  The Vice President joined Acting Administrator Robert Lightfoot and Johnson Center Director Ellen Ochoa in welcoming members of the 2017 class -- who were selected from more than 18,000 applicants. After completing two years of training the new candidates could one day be conducting research on the International Space Station, launching from American soil aboard American-built spacecraft, and traveling to the moon or even Mars with the help of our Orion spacecraft and Space Launch System rocket. Also, Lightfoot testifies on FY 2018 NASA budget, Demo of Drone Traffic Management Technology, and Resupply Missions Launch to, Leave Space Station!</t>
  </si>
  <si>
    <t>2IAmEKsG3Yo</t>
  </si>
  <si>
    <t>https://youtu.be/xwAb4tYG9w8</t>
  </si>
  <si>
    <t>Space Station Crew Member Discusses Life in Space with Maryland Students</t>
  </si>
  <si>
    <t>Aboard the International Space Station, Expedition 52 Flight Engineer Jack Fischer of NASA discussed life and work aboard the orbital outpost during an in-flight educational event June 9 with students at the Leeds Elementary School in Elkton, Maryland. Fischer, who launched to the station on a Russian Soyuz spacecraft April 20, is in the midst of a four and a half month mission.</t>
  </si>
  <si>
    <t>xwAb4tYG9w8</t>
  </si>
  <si>
    <t>2017 06 07</t>
  </si>
  <si>
    <t>https://youtu.be/0gU5HAM4XSE</t>
  </si>
  <si>
    <t>2017 Astronaut Candidate Class News Conference</t>
  </si>
  <si>
    <t>On June 7, Vice President Mike Pence joined NASA’s Acting Administrator Robert Lightfoot and Johnson Space Center Director Ellen Ochoa to announce the 12 men and women who were selected to the 2017 astronaut class from more than 18,300 applicants. The new astronaut candidates could one day be performing research on the International Space Station, launching from American soil aboard spacecraft built by American companies, and traveling to the moon or even Mars with the help of NASA’s new Orion spacecraft and Space Launch System rocket.</t>
  </si>
  <si>
    <t>0gU5HAM4XSE</t>
  </si>
  <si>
    <t>https://youtu.be/PHNxd-b3baU</t>
  </si>
  <si>
    <t>Vice President Pence Tours NASA’s Historic Mission Control in Houston</t>
  </si>
  <si>
    <t>As part of his visit to NASA’s Johnson Space Center on June 7, to welcome America’s newest astronaut candidates, Vice President Mike Pence took a tour of the Christopher C. Kraft Jr. Mission Control Center and was briefed on current human spaceflight operations.
The Vice President also joined Acting Administrator Robert Lightfoot and Johnson Center Director Ellen Ochoa to announce the 12 men and women who were selected to the 2017 astronaut class from more than 18,300 applicants. The new astronaut candidates could one day be performing research on the International Space Station, launching from American soil aboard spacecraft built by American companies, and traveling to the moon or even Mars with the help of NASA’s new Orion spacecraft and Space Launch System rocket.
Get more information on astronaut selection and information on the candidates after their introduction at: https://www.nasa.gov/2017astronauts.</t>
  </si>
  <si>
    <t>PHNxd-b3baU</t>
  </si>
  <si>
    <t>https://youtu.be/LuXYPj6fIj8</t>
  </si>
  <si>
    <t>NASA’s New Astronauts to Conduct Research Off the Earth, For the Earth and Deep Space Missions</t>
  </si>
  <si>
    <t>After receiving a record-breaking number of applications to join an exciting future of space exploration, NASA has selected its largest astronaut class since 2000. Rising to the top of more than 18,300 applicants, NASA chose 12 women and men as the agency’s new astronaut candidates. Vice President Mike Pence joined Acting NASA Administrator Robert Lightfoot, Johnson Space Center Director Ellen Ochoa, and Flight Operations Director Brian Kelly to welcome the new astronaut candidates during an event June 7 at the agency’s Johnson Space Center in Houston. The astronaut candidates will return to Johnson in August to begin two years of training. Then they could be assigned to any of a variety of missions: performing research on the International Space Station, launching from American soil on spacecraft built by commercial companies, and departing for deep space missions on NASA’s new Orion spacecraft and Space Launch System rocket.</t>
  </si>
  <si>
    <t>LuXYPj6fIj8</t>
  </si>
  <si>
    <t>https://youtu.be/e1YyeNM8RLs</t>
  </si>
  <si>
    <t>NASA 2017 Astronaut Candidates</t>
  </si>
  <si>
    <t>e1YyeNM8RLs</t>
  </si>
  <si>
    <t>2017 06 05</t>
  </si>
  <si>
    <t>https://youtu.be/FF36XCcs8cM</t>
  </si>
  <si>
    <t>U.S. Commercial Cargo Ship Arrives at the Space Station</t>
  </si>
  <si>
    <t>The SpaceX/Dragon cargo ship arrived at the International Space Station after a two-day journey to deliver about 7,600  pounds of supplies and science experiments to the Expedition 52 crew. Following its launch atop the SpaceX Falcon 9 rocket June 3 from the Kennedy Space Center, Florida, Dragon was captured by Expedition 52 Flight Engineer Jack Fischer of NASA using the station’s Canadian-built robotic arm. Ground controllers then took control of the robotic arm, maneuvering Dragon to the Earth-facing port of the Harmony module, where it was installed and bolted into place. Dragon is scheduled to remain at the station for a month before it is unberthed and deorbited for a parachute-assisted splashdown in the Pacific Ocean.</t>
  </si>
  <si>
    <t>FF36XCcs8cM</t>
  </si>
  <si>
    <t>2017 06 04</t>
  </si>
  <si>
    <t>https://youtu.be/HoQPitS3lq4</t>
  </si>
  <si>
    <t>U.S. Commercial Cargo Ship Departs the Space Station</t>
  </si>
  <si>
    <t>The Orbital/ATK Cygnus cargo ship was released from the International Space Station June 4, following a 44-day stay at the complex in which approximately 7,600 pounds of supplies and scientific experiments were delivered to the station’s residents. NASA Flight Engineers Jack Fischer and Peggy Whitson were at the controls of the Canadarm2 robotic arm to release Cygnus after it was unbolted from the Earth-facing port of the Unity module. Dubbed the “SS John Glenn” after the iconic Mercury and shuttle astronaut and U.S. Senator from Ohio, Cygnus will remain in orbit for a week in support of the SAFFIRE experiment and the deployment of four small Nanoracks satellites before Orbital ATK flight controllers send commands June 11 to deorbit the spacecraft for its reentry into the Earth’s atmosphere, where it will burn up over the Pacific Ocean.</t>
  </si>
  <si>
    <t>HoQPitS3lq4</t>
  </si>
  <si>
    <t>https://youtu.be/zQ5TirURht4</t>
  </si>
  <si>
    <t>On June 3, a post-launch status briefing was held at Kennedy Space Center, following the launch of the eleventh SpaceX resupply mission to the International Space Station. SpaceX launched its Dragon spacecraft aboard the company's Falcon 9 rocket from Launch Complex 39A at KSC.</t>
  </si>
  <si>
    <t>zQ5TirURht4</t>
  </si>
  <si>
    <t>2017 06 03</t>
  </si>
  <si>
    <t>https://youtu.be/vHr-fylhVbs</t>
  </si>
  <si>
    <t>U.S. Commercial Cargo Ship heads to the Space Station</t>
  </si>
  <si>
    <t>The SpaceX Falcon 9 rocket lifted off on June 3 from Launch Pad 39A at the Kennedy Space Center, Florida, carrying the uncrewed Dragon cargo ship to orbit for the start of a delivery run to the residents of the International Space Station. Loaded with about 6,000 pounds of supplies and science experiments, Dragon is scheduled to arrive at the station on June 5, where it will be captured by Expedition 52 Flight Engineer Jack Fischer of NASA using the station’s Canadian-built robotic arm. Dragon is scheduled to remain at the station for a month before it is unberthed and deorbited for a parachute-assisted splashdown in the Pacific Ocean.</t>
  </si>
  <si>
    <t>vHr-fylhVbs</t>
  </si>
  <si>
    <t>2017 06 02</t>
  </si>
  <si>
    <t>https://youtu.be/5QKXphPsRkY</t>
  </si>
  <si>
    <t>First Mission into the Sun’s Atmosphere on This Week @NASA – June 2, 2017</t>
  </si>
  <si>
    <t>The first mission designed to fly directly into the sun’s atmosphere – Solar Probe Plus has been renamed the Parker Solar Probe, in honor of University of Chicago physicist, Eugene Parker. Parker is best known for developing the concept of solar wind, which is the stream of electrically charged particles emitted by the sun. This is the first time a NASA spacecraft has been named after a living person. Targeted for launch in 2018, the mission will help answer questions about the physics of how stars work. Also, Webb Space Telescope Showcased at JSC, Space Station Crew Safely Returns to Earth, and Centennial of JFK’s Birth!</t>
  </si>
  <si>
    <t>5QKXphPsRkY</t>
  </si>
  <si>
    <t>https://youtu.be/ggy-Ham5AW8</t>
  </si>
  <si>
    <t>Expedition 51 Crew Lands Safely in Kazakhstan to Complete More Than Six Months in Space</t>
  </si>
  <si>
    <t>Expedition 51 Flight Engineer and Soyuz Commander Oleg Novitskiy of the Russian Federal Space Agency (Roscosmos) and Flight Engineer Thomas Pesquet of ESA (European Space Agency) landed safely near the town of Dzhezkazgan, Kazakhstan June 2 after bidding farewell to their colleagues on the International Space Station and undocking their Soyuz MS-03 spacecraft from the Rassvet Module on the Russian segment of the complex. The two crew members spent 196 days in space overall and 194 days on the station conducting research and operational work.</t>
  </si>
  <si>
    <t>ggy-Ham5AW8</t>
  </si>
  <si>
    <t>https://youtu.be/eO6ooxvOYZs</t>
  </si>
  <si>
    <t>Expedition 51 Crew Departs Space Station</t>
  </si>
  <si>
    <t>On June 2, Expedition 51 Flight Engineer and Soyuz Commander Oleg Novitskiy of the Russian Federal Space Agency (Roscosmos) and Flight Engineer Thomas Pesquet of ESA (European Space Agency) said farewell to the crew remaining onboard the International Space Station. The pair then climbed aboard their Soyuz spacecraft and prepared for their journey back to Earth. The two crew members spent 196 days in space overall and 194 days on the station conducting research and operational work.</t>
  </si>
  <si>
    <t>eO6ooxvOYZs</t>
  </si>
  <si>
    <t>2017 06 01</t>
  </si>
  <si>
    <t>https://youtu.be/HKJtROhJPFE</t>
  </si>
  <si>
    <t>Expedition 51 Crew Hands Over the Space Station to Expedition 52</t>
  </si>
  <si>
    <t>The reins of command of the International Space Station were passed from NASA’s Peggy Whitson to Fyodor Yurchikhin of the Russian Federal Space Agency (Roscosmos) during a ceremony on the orbital outpost June 1. Although Whitson is remaining on the station as an Expedition 52 crew member, Yurchikhin will serve as Expedition 52 commander until he, Whitson and NASA’s Jack Fischer return home in early September. Oleg Novitskiy of Roscosmos and Thomas Pesquet of the European Space Agency will return to Earth as a two-man crew on June 2 in a Russian Soyuz spacecraft, completing a six and a half month mission.</t>
  </si>
  <si>
    <t>HKJtROhJPFE</t>
  </si>
  <si>
    <t>https://youtu.be/UZRf6yxzjbQ</t>
  </si>
  <si>
    <t>Pre-Launch Status of Next Space Station Supply Mission</t>
  </si>
  <si>
    <t>On May 31, a prelaunch status briefing was held at Kennedy Space Center, prior to launch of the eleventh SpaceX resupply mission to the International Space Station. SpaceX is targeting launch of its Dragon spacecraft aboard the company's Falcon 9 rocket for 5:55 p.m. EDT Thursday, June 1 from Launch Complex 39A at KSC.</t>
  </si>
  <si>
    <t>UZRf6yxzjbQ</t>
  </si>
  <si>
    <t>https://youtu.be/jRyKWzTT6kg</t>
  </si>
  <si>
    <t>NASA names Unique Solar Mission after University of Chicago Physicist Eugene Parker</t>
  </si>
  <si>
    <t>On May 31, NASA renamed humanity’s first mission to fly a spacecraft directly into the sun’s atmosphere in honor of Professor Eugene Parker, a pioneering physicist at the University of Chicago. This is the first time in agency history a spacecraft has been named for a living individual. Parker, the S. Chandrasekhar Distinguished Service Professor Emeritus in Physics, is best known for developing the concept of solar wind—the stream of electrically charged particles emitted by the sun.
Previously named Solar Probe Plus, the Parker Solar Probe will launch in summer 2018. Placed in orbit within four million miles of the sun’s surface, and facing heat and radiation unlike any spacecraft in history, the spacecraft will explore the sun’s outer atmosphere and make critical observations that will answer decades-old questions about the physics of how stars work. The resulting data will improve forecasts of major space weather events that impact life on Earth, as well as satellites and astronauts in space.</t>
  </si>
  <si>
    <t>jRyKWzTT6kg</t>
  </si>
  <si>
    <t>2017 05 31</t>
  </si>
  <si>
    <t>https://youtu.be/kv-hgH4vnvo</t>
  </si>
  <si>
    <t>What's On Board Next Space Station Supply Mission</t>
  </si>
  <si>
    <t>On May 31, NASA held a briefing at the Kennedy Space Center to preview the science cargo being transported to the International Space Station on the next SpaceX resupply mission to the station. SpaceX is targeting launch of its eleventh commercial resupply services mission to the International Space Station for 5:55 p.m. EDT Thursday, June 1 from Launch Complex 39A at NASA’s Kennedy Space Center in Florida.</t>
  </si>
  <si>
    <t>kv-hgH4vnvo</t>
  </si>
  <si>
    <t>https://youtu.be/cBOm3WzoLeQ</t>
  </si>
  <si>
    <t>Space Station Crew Member Discusses Life in Space with Denver Media</t>
  </si>
  <si>
    <t>Aboard the International Space Station, Expedition 51 Flight Engineer Jack Fischer of NASA discussed life and research aboard the orbital laboratory during an in-flight interview May 30 with KMGH-TV, Denver. Fischer, who is a native of Louisville, Colorado, is in the midst of a four and a half month mission on the complex.</t>
  </si>
  <si>
    <t>cBOm3WzoLeQ</t>
  </si>
  <si>
    <t>2017 05 26</t>
  </si>
  <si>
    <t>https://youtu.be/VQH725d5-WA</t>
  </si>
  <si>
    <t>Lightfoot Discusses FY 2018 Budget Proposal on This Week @NASA – May 26, 2017</t>
  </si>
  <si>
    <t>Acting Administrator Robert Lightfoot discussed our Fiscal Year 2018 budget request on May 23, during his State of NASA address. $19.1 billion is being requested for the agency, under the president’s budget proposal, a sign, Lightfoot says reflects the president’s and the administration’s confidence in NASA. Lightfoot thanked employees and attributed the confidence reflected in the budget proposal to the work of thousands of people. Also, Unscheduled Spacewalk Outside Space Station, Space Launch System Engine Testing Heats Up, and Kepler Data Help Confirm Orbit of Exoplanet!</t>
  </si>
  <si>
    <t>VQH725d5-WA</t>
  </si>
  <si>
    <t>2017 05 25</t>
  </si>
  <si>
    <t>https://youtu.be/hEOkHbpXSTs</t>
  </si>
  <si>
    <t>Acting Administrator Robert Lightfoot Discusses NASA's FY2018 NASA Budget Request</t>
  </si>
  <si>
    <t>Acting NASA Administrator Robert Lightfoot discussed the agency’s Fiscal Year 2018 budget request on May 23, during an agencywide town hall State of NASA address at NASA Headquarters in Washington. The address also was broadcast on NASA Television and streamed on the agency’s homepage and mobile apps.</t>
  </si>
  <si>
    <t>hEOkHbpXSTs</t>
  </si>
  <si>
    <t>2017 05 24</t>
  </si>
  <si>
    <t>https://youtu.be/gqcAYs4fcfo</t>
  </si>
  <si>
    <t>NASA  Dream. Innovate. Build. Discover.</t>
  </si>
  <si>
    <t>On May 23, the Acting Administrator Robert Lightfoot gave a State of NASA address at Headquarters to rollout the Fiscal Year 2018 Budget proposal. This video highlights the future-facing vision of those plans.</t>
  </si>
  <si>
    <t>gqcAYs4fcfo</t>
  </si>
  <si>
    <t>2017 05 19</t>
  </si>
  <si>
    <t>https://youtu.be/gKcAh-RtVus</t>
  </si>
  <si>
    <t>2017 U.S. Astronaut Hall of Fame Induction</t>
  </si>
  <si>
    <t>The U.S. Astronaut Hall of Fame welcomed astronaut inductees Ellen Ochoa and Bob Cabana to its ranks during a May 19 ceremony at the Kennedy Space Center Visitor Complex, in Florida. 
Ellen Ochoa, the first Hispanic woman to travel to space and current director of the agency’s Johnson Space Center in Houston, and Michael Foale, the only U.S. astronaut to serve on both the International Space Station and Russian space station Mir, bring the total number of space explorers honored in the hall of fame to 95.
Bob Cabana, 2008 hall of famer and current director of NASA’s Kennedy Space Center in Florida, presided over the ceremony at Kennedy’s visitor complex to welcome the new inductees.
Ochoa joined NASA in 1988 as a research engineer at NASA’s Ames Research Center in California after earning a doctorate in electrical engineering from Stanford University. She joined Johnson in 1990, when she was selected as an astronaut candidate. After completing astronaut training, she served on the nine-day STS-56 mission aboard the space shuttle Discovery in 1993, conducting atmospheric studies to better understand the effect of solar activity on Earth’s climate and environment.
Ochoa has flown in space four times, including the STS-66, STS-96 and STS-110 missions, logging nearly 1,000 hours in orbit. She is Johnson’s first Hispanic director and its second female director. She also has served as the center’s deputy director and director of Flight Crew Operations.</t>
  </si>
  <si>
    <t>gKcAh-RtVus</t>
  </si>
  <si>
    <t>https://youtu.be/1s3f1rETyEU</t>
  </si>
  <si>
    <t>Media View Barge Pegasus and SLS Hardware on This Week @NASA – May 19, 2017</t>
  </si>
  <si>
    <t>On May 16, NASA held a media event at Marshall Space Flight Center in Huntsville, Alabama, to highlight the recent arrival of the barge Pegasus with the first core stage test article for NASA's Space Launch System (SLS) rocket. NASA modified Pegasus to accommodate the massive SLS core stage, increasing the barge's length and weight-carrying capacity. The core stage test article – manufactured at the agency’s Michoud Assembly Facility, in New Orleans – is the first of four core stage test articles scheduled to be delivered to Marshall for testing. This delivery marks a critical milestone toward Exploration Mission-1 (EM-1), the first flight of SLS and NASA’s Orion spacecraft. It also brings the agency a step closer to sending humans to deep space destinations – including Mars. Also, Lightfoot Discusses Future Exploration Goals, Ochoa, Foale Inducted into Hall of Fame, and Virtual Tour of Meteorite Lab!</t>
  </si>
  <si>
    <t>1s3f1rETyEU</t>
  </si>
  <si>
    <t>https://youtu.be/hrHMvlxYGf0</t>
  </si>
  <si>
    <t>Space Station Crew Members Discuss Life in Space with Utah Students, Officials</t>
  </si>
  <si>
    <t>Aboard the International Space Station, Expedition 51 Commander Peggy Whitson and Flight Engineer Jack Fischer discussed life and research aboard the orbital laboratory during an in-flight educational event May 19 with students at the Space Dynamics Laboratory of Utah State University in North Logan, Utah. Sen. Orrin Hatch (R-Utah) joined the event along with local and university officials. Whitson is the in the midst of a nine-and-a-half month mission on the complex, while Fischer is performing research during a four-and-a-half month mission. The two astronauts will return to Earth in early September for a landing in a Russian Soyuz spacecraft in south central Kazakhstan.</t>
  </si>
  <si>
    <t>hrHMvlxYGf0</t>
  </si>
  <si>
    <t>2017 05 17</t>
  </si>
  <si>
    <t>https://youtu.be/b1oZKIsnWeU</t>
  </si>
  <si>
    <t>STEM in 30 - World War I  Legacy, Letters, and Belgian War Lace</t>
  </si>
  <si>
    <t>The Smithsonian National Air and Space Museum’s STEM in 30 series of live, fast-paced, 30-minute webcasts are designed to increase interest and engagement in STEM for students. This STEAM (science, technology, engineering, art, math) inspired STEM in 30 episode looks at some of the technological advances of World War I that solidified the airplane’s legacy as a fighting machine. In conjunction with the Embassy of Belgium, the show also dives into how the war affected the lives of children in an occupied country and how lace makers helped feed a nation. The episode will also look at present works of art by artist soldiers on display in the Artist Soldiers: Artistic Expression in the First World War exhibition.</t>
  </si>
  <si>
    <t>b1oZKIsnWeU</t>
  </si>
  <si>
    <t>2017 05 12</t>
  </si>
  <si>
    <t>https://youtu.be/TwBVaAH7q-k</t>
  </si>
  <si>
    <t>Space Station Crew Conducts Milestone Spacewalk</t>
  </si>
  <si>
    <t>Outside the International Space Station, Expedition 51 Commander Peggy Whitson and Flight Engineer Jack Fischer of NASA conducted a spacewalk May 12 to replace an avionics box responsible for routing power and data commands to experiments on the orbital outpost. In addition to that work, the two spacewalkers installed a data cable for the Alpha Magnetic Spectrometer and a new high definition camera on the station’s truss. The spacewalk was the 200th in support of space station assembly and maintenance since 1998, the ninth for Whitson, who vaulted into third place on the all-time list for most spacewalking hours, and the first for Fischer.</t>
  </si>
  <si>
    <t>TwBVaAH7q-k</t>
  </si>
  <si>
    <t>https://youtu.be/BZOMDa_02ck</t>
  </si>
  <si>
    <t>Milestone Spacewalk on the Space Station on This Week @NASA – May 12, 2017</t>
  </si>
  <si>
    <t>On May 12, Peggy Whitson and Jack Fischer conducted a spacewalk outside the International Space Station. This was the 200th spacewalk in support of station assembly and maintenance. Prior to the outing, during their pre-breathe activities in the airlock, the spacewalkers had to share Whitson’s service and cooling umbilical (SCU), due to an issue with the SCU connected to Fischer’s suit. That device provides electricity, cooling and communications during the pre-breathe phase of a spacewalk. Despite a late start, the pair completed the primary task of replacing an avionics box that supplies electricity and data connections to the science experiments on the orbital laboratory. It was Whitson’s ninth spacewalk and the first for Fischer. Also, Exploration Mission-1 Announcement, Future Space Station Crew Previews Mission, Humans to Mars Summit 2017, James Webb Space Telescope at JSC, and Martian New Year in Mars, PA!</t>
  </si>
  <si>
    <t>BZOMDa_02ck</t>
  </si>
  <si>
    <t>2017 05 10</t>
  </si>
  <si>
    <t>https://youtu.be/wWMu_47tsFs</t>
  </si>
  <si>
    <t>Future Space Station Crew Previews Upcoming Mission</t>
  </si>
  <si>
    <t>NASA astronauts Joe Acaba and Mark Vande Hei and Alexander Misurkin, of the Russian Space Agency, Roscosmos will launch aboard a Soyuz spacecraft from the Baikonur Cosmodrome, Sept. 13 to the International Space Station, where they will join the station’s Expedition 53 and 54 crews. The trio participated in a news conference May 10 at the agency’s Johnson Space Center in Houston to preview their upcoming mission.
During their planned five-month stay on the orbital laboratory, the crew members will take part in approximately 250 research investigations and technology demonstrations not possible on Earth, in order to advance scientific knowledge of Earth, space, physical and biological sciences. The will return to Earth in March 2018.</t>
  </si>
  <si>
    <t>wWMu_47tsFs</t>
  </si>
  <si>
    <t>https://youtu.be/FF8k9NWaRuw</t>
  </si>
  <si>
    <t>NASA Celebrates Mars New Year in Mars, Pennsylvania</t>
  </si>
  <si>
    <t>NASA helped the town of Mars, Pennsylvania ring in the Martian New Year, May 5-6. Citizens of the town, just north of Pittsburgh, invited the agency to help celebrate Mars New Year, which happens about every two Earth years. Activities included two days of science, technology, engineering, arts and mathematics or (STEAM) activities, to encourage young people to pursue careers in these fields of study, which are critical to NASA's journey to Mars.</t>
  </si>
  <si>
    <t>FF8k9NWaRuw</t>
  </si>
  <si>
    <t>https://youtu.be/KwUKPyWRT9A</t>
  </si>
  <si>
    <t>NASA Astronaut Discusses Life in Space with his Alma Mater</t>
  </si>
  <si>
    <t>Aboard the International Space Station, Expedition 51 Flight Engineer Jack Fischer of NASA discussed his research and other work on the orbital laboratory during an in-flight educational event May 10 with students at the Massachusetts Institute of Technology in Cambridge, Massachusetts. Fischer, who is in the first month of a four-and-a-half month mission on the complex, graduated from MIT in 1998 with a Master of Science degree in Aeronautical and Astronautical Engineering.</t>
  </si>
  <si>
    <t>KwUKPyWRT9A</t>
  </si>
  <si>
    <t>2017 05 09</t>
  </si>
  <si>
    <t>https://youtu.be/RTSNKC-VDmU</t>
  </si>
  <si>
    <t>Space Station Crew Member Discusses Life in Space with French Officials, Students</t>
  </si>
  <si>
    <t>Aboard the International Space Station, Expedition 51 Flight Engineer Thomas Pesquet of the ESA (European Space Agency) discussed his mission on the orbital laboratory during an in-flight conversation with officials and students gathered at the Cite de L’Espace in Toulouse, France on May 9. Pesquet is in the final weeks of a six-and-a-half month mission on the station, headed for a landing on June 2 in a Russian Soyuz spacecraft in Kazakhstan.</t>
  </si>
  <si>
    <t>RTSNKC-VDmU</t>
  </si>
  <si>
    <t>2017 05 05</t>
  </si>
  <si>
    <t>https://youtu.be/z3F5ZXhuD70</t>
  </si>
  <si>
    <t>Webb Telescope Passes Important Optical Test on This Week @NASA – May 5, 2017</t>
  </si>
  <si>
    <t>NASA’s James Webb Space Telescope (JWST) has successfully passed the center of curvature test at Goddard Space Flight Center, in Greenbelt, Md. This important optical measurement of Webb’s fully assembled primary mirror was the final test held at Goddard before the telescope is shipped off for end-to-end cryogenic testing at Johnson Space Center in Houston. When that’s complete, the world’s most advanced observatory goes to Northrop Grumman Aerospace Systems in Redondo Beach, California, for final assembly and testing. Webb is targeted for launch in 2018 on a mission to help unravel some of the greatest mysteries of the universe. Also, Cassini Update, NASA Visits Midwest Company Helping Build Orion, Orion’s Launch Abort System Motor Tested, Wind Tunnel Tests Continue with SLS, and Community College Aerospace Scholars!</t>
  </si>
  <si>
    <t>z3F5ZXhuD70</t>
  </si>
  <si>
    <t>2017 05 04</t>
  </si>
  <si>
    <t>https://youtu.be/eeY-0-kZmrw</t>
  </si>
  <si>
    <t>RNASA Space Awards Gala 2017</t>
  </si>
  <si>
    <t>Each year since 1987, the Rotary National Award for Space Achievement (RNASA) Foundation has presented the National Space Trophy and other awards honoring those who have contributed to our nation's space program, at a gala event in April in Houston, Texas. The 2017 award was presented on April 28 to Dr. John Grunsfeld, former NASA astronaut and associate administrator of the agency’s Science Mission Directorate, in recognition of his outstanding achievements in space exploration.</t>
  </si>
  <si>
    <t>eeY-0-kZmrw</t>
  </si>
  <si>
    <t>2017 05 03</t>
  </si>
  <si>
    <t>https://youtu.be/u5Har_tEsPs</t>
  </si>
  <si>
    <t>Space Station Crew Member Discusses Life in Space with French Media</t>
  </si>
  <si>
    <t>Aboard the International Space Station, Expedition 51 Flight Engineer Thomas Pesquet of the European Space Agency discussed the progress of his mission on the orbital laboratory during an in-flight interview May 3 with France Info TV. Pesquet, who launched to the station last November, is in the final month of his flight which will span more than a half year.</t>
  </si>
  <si>
    <t>u5Har_tEsPs</t>
  </si>
  <si>
    <t>2017 05 01</t>
  </si>
  <si>
    <t>https://youtu.be/0JLg21Dh56I</t>
  </si>
  <si>
    <t>Space Station Crew Discusses Life in Space with the Media</t>
  </si>
  <si>
    <t>Aboard the International Space Station, Expedition 51 Commander Peggy Whitson and Flight Engineer Jack Fischer of NASA discussed life and research on the orbital outpost during a pair of in-flight interviews May 1 with the CNN Digital Network and KUSA-TV in Denver. Whitson recently broke the record for most days in space by a U.S. astronaut, and will be joined by Fischer, who is a Colorado native, for a spacewalk May 12.</t>
  </si>
  <si>
    <t>0JLg21Dh56I</t>
  </si>
  <si>
    <t>2017 04 28</t>
  </si>
  <si>
    <t>https://youtu.be/y93Mgx-yfUg</t>
  </si>
  <si>
    <t>Whitson Receives Call from President Trump on This Week @NASA – April 28, 2017</t>
  </si>
  <si>
    <t>On April 24 aboard the International Space Station, NASA astronaut Peggy Whitson set a new record for cumulative time spent in space by a U.S. astronaut. President Donald Trump marked the milestone with a call from the Oval Office, with First Daughter Ivanka Trump, and NASA astronaut Kate Rubins – to the station, where Whitson was joined by NASA’s Jack Fischer. Whitson, who in 2008 became the first woman to command the space station, also holds the record for most spacewalks by a female astronaut. NASA worked with the Department of Education, on behalf of the White House, to make the president’s call to the station available to schools across America. Whitson encouraged students to think about how the steps they take in the classroom today could someday help NASA make the next giant leap in space exploration. Also, First Live 4K Broadcast from Space, Kate Rubins Visits National Institutes of Health, Cassini Begins its Grand Finale, and 2017 Astrobiology Science Conference!</t>
  </si>
  <si>
    <t>y93Mgx-yfUg</t>
  </si>
  <si>
    <t>https://youtu.be/j0IYSEIhGkY</t>
  </si>
  <si>
    <t>NASA's First 100 Days</t>
  </si>
  <si>
    <t>From a presidential call from the Oval Office with a record-breaking American Astronaut to announcing the discovery of Earth-sized planets outside our solar system, NASA's been busy during the first 100 days of President Trump’s term. Among the key moments was March 21 when President Trump signed the National Aeronautics and Space Administration Transition Authorization Act of 2017, the first comprehensive NASA authorization passed by Congress in more than six years. This bill helps ensure NASA remains at the forefront of exploration and discovery. NASA appreciates the strong support of the President, as well as our citizens in America and friends around the world.</t>
  </si>
  <si>
    <t>j0IYSEIhGkY</t>
  </si>
  <si>
    <t>https://youtu.be/zQyWjzw_wfQ</t>
  </si>
  <si>
    <t>NASA Acting Administrator Robert Lightfoot's 2017 National Small Business Week message.</t>
  </si>
  <si>
    <t>Acting NASA Administrator Robert Lightfoot recognizes the 2017 National Small Business Week;  a time to celebrate the critical contributions of America’s entrepreneurs and small business owners. NASA honors its 2016 Agency Small Business Advocate Award winners and acknowledges the contributions made by NASA civil servant personnel throughout the Agency. The Agency 2016 Small Industry Award winners are also highlighted and they recognize the outstanding Small Business Prime Contractor, Small Business Subcontractor, Large Business Prime Contractor, and Mentor-Protégé Agreement that support NASA in achieving its mission.</t>
  </si>
  <si>
    <t>zQyWjzw_wfQ</t>
  </si>
  <si>
    <t>2017 04 26</t>
  </si>
  <si>
    <t>https://youtu.be/zEPCeXWQtyM</t>
  </si>
  <si>
    <t>4K UHD Television Downlinked from the Space Station in Ground-Breaking Demonstration</t>
  </si>
  <si>
    <t>Aboard the International Space Station, Expedition 51 Commander Peggy Whitson and Flight Engineer Jack Fischer of NASA downlinked 4K Ultra-High Definition television from the Destiny Laboratory April 26 in the first-ever live demonstration of the new video capability from space. Speaking to a gathering of the National Association of Broadcasters in Las Vegas, Whitson and Fischer answered questions about the 4K UHD capability as well as questions about life and research in orbit. On April 24, Whitson set a new record for most days in space by a U.S. astronaut --- 534 days --- as she remains in orbit until early September. Fischer arrived on the complex April 20 for a four and a half month mission.</t>
  </si>
  <si>
    <t>zEPCeXWQtyM</t>
  </si>
  <si>
    <t>2017 04 24</t>
  </si>
  <si>
    <t>https://youtu.be/5HMwKwWnV4k</t>
  </si>
  <si>
    <t>President Trump Calls Space Station Crew on Record-Setting Day</t>
  </si>
  <si>
    <t>From the Oval Office at the White House, President Trump called Expedition 51 Commander Peggy Whitson and Flight Engineer Jack Fischer of NASA April 24 to offer congratulations to Whitson on the day she broke the record for most cumulative days on orbit by a U.S. astronaut. Whitson’s 534-day total surpassed the record held by NASA’s Jeff Williams. Trump’s daughter Ivanka and NASA astronaut Kate Rubins joined the president to discuss Whitson’s presence as a role model for young women and students as she continues her more than nine-month mission on station.</t>
  </si>
  <si>
    <t>5HMwKwWnV4k</t>
  </si>
  <si>
    <t>2017 04 22</t>
  </si>
  <si>
    <t>https://youtu.be/3Qycsss6bXI</t>
  </si>
  <si>
    <t>Expedition 52-52 Launches to the Space Station on This Week @NASA – April 21, 2017</t>
  </si>
  <si>
    <t>On April 20, Expedition 51-52 Flight Engineer Jack Fischer of NASA and Soyuz Commander Fyodor Yurchikhin of the Russian Space Agency, Roscosmos launched to the International Space Station aboard a Soyuz spacecraft, from the Baikonur Cosmodrome in Kazakhstan. About six-hours later, the pair arrived at the orbital outpost and were greeted by station Commander Peggy Whitson of NASA and other members of the crew. Fischer and Yurchikhin will spend four and a half months conducting research aboard the station. Also, U.S. Resupply Mission Heads to the Space Station, Time Magazine Recognizes Planet-Hunting Scientists, Landslides on Ceres Reflect Ice Content, Mars Rover Opportunity Leaves 'Tribulation', and Earth Day in the Nation’s Capital!</t>
  </si>
  <si>
    <t>3Qycsss6bXI</t>
  </si>
  <si>
    <t>https://youtu.be/c-BY-JpUfsQ</t>
  </si>
  <si>
    <t>U.S. Commercial Cargo Ship Arrives at the International Space Station</t>
  </si>
  <si>
    <t>On April 22, hours  arriving at the International Space Station, Orbital ATK’s Cygnus resupply ship was captured by Expedition 51 Flight Engineer Thomas Pesquet of the European Space Agency and Commander Peggy Whitson of NASA using the Canadarm2 robotic arm. Later, Cygnus was installed to the Earth-facing port of the Unity module where it will reside for the next three months. Cygnus is packed with 7,600 pounds of supplies and research for the crew aboard the orbiting laboratory</t>
  </si>
  <si>
    <t>c-BY-JpUfsQ</t>
  </si>
  <si>
    <t>2017 04 21</t>
  </si>
  <si>
    <t>https://youtu.be/NFJ50KZDTrc</t>
  </si>
  <si>
    <t>NASA Celebrates Earth Day</t>
  </si>
  <si>
    <t>For more than five decades, NASA has used the unique vantage point of space to understand and explore our home planet, improve lives and safeguard our future. From Earth-observing satellites, airborne field campaigns, and basic research, NASA studies our planet’s dynamic environmental – oceans, ice sheets, forests and atmosphere – to pioneer new insights into how the complex Earth system works
Join us on April 22nd as NASA celebrates Earth Day  @NASAEarth</t>
  </si>
  <si>
    <t>NFJ50KZDTrc</t>
  </si>
  <si>
    <t>2017 04 20</t>
  </si>
  <si>
    <t>https://youtu.be/TQgZ8QM_t04</t>
  </si>
  <si>
    <t>Expedition 51-52 Crew Welcomed Aboard the Space Station</t>
  </si>
  <si>
    <t>On April 20, A few hours after docking their Soyuz MS-04 spacecraft to the International Space Station, Expedition 51-52 Soyuz Commander Fyodor Yurchikhin of Roscosmos and Flight Engineer Jack Fischer of NASA opened hatches and were greeted by station Commander Peggy Whitson of NASA and Flight Engineers Oleg Novitskiy of Roscosmos and Thomas Pesquet of the European Space Agency. Yurchikhin and Fischer will spend four and a half months on the station.</t>
  </si>
  <si>
    <t>TQgZ8QM_t04</t>
  </si>
  <si>
    <t>https://youtu.be/UXrQJ5h0xFs</t>
  </si>
  <si>
    <t>Expedition 51-52 Crew Docks to the Space Station</t>
  </si>
  <si>
    <t>After launching earlier in the day in their Soyuz MS-04 spacecraft from the Baikonur Cosmodrome in Kazakhstan, Expedition 51-52 Soyuz Commander Fyodor Yurchikhin of Roscosmos and Flight Engineer Jack Fischer of NASA arrived at the International Space Station April 20 to complete a six-hour journey, docking their vehicle to the Poisk module on the Russian segment of the complex.</t>
  </si>
  <si>
    <t>UXrQJ5h0xFs</t>
  </si>
  <si>
    <t>https://youtu.be/XdS7xrP6xG8</t>
  </si>
  <si>
    <t>Expedition 51-52 Launches to the International Space Station</t>
  </si>
  <si>
    <t>Expedition 51-52 Soyuz Commander Fyodor Yurchikhin of Roscosmos and Flight Engineer Jack Fischer of NASA launched on the Russian Soyuz MS-04 spacecraft April 20 from the Baikonur Cosmodrome in Kazakhstan to begin a six-hour journey to the International Space Station and the start of a four and a half month mission on the outpost.</t>
  </si>
  <si>
    <t>XdS7xrP6xG8</t>
  </si>
  <si>
    <t>2017 04 19</t>
  </si>
  <si>
    <t>https://youtu.be/r2MCnCjzFZc</t>
  </si>
  <si>
    <t>Expedition 51-52 Crew Meets Officials and Reporters as Launch Approaches</t>
  </si>
  <si>
    <t>At their Cosmonaut Hotel crew quarters in Baikonur, Kazakhstan, Expedition 51-52 Soyuz Commander Fyodor Yurchikhin of Roscosmos and Flight Engineer Jack Fischer of NASA along with their backups, Sergey Ryazanskiy of Roscomos and Randy Bresnik of NASA appeared before the Russian State Commission April 19 as officials gave their final approval for the launch of Yurchikhin and Fischer to the International Space Station April 20 in their Soyuz MS-04 spacecraft for a four and a half month mission. After the State Commission meeting, the crew members conducted a news conference with reporters attending the launch.</t>
  </si>
  <si>
    <t>r2MCnCjzFZc</t>
  </si>
  <si>
    <t>https://youtu.be/osno3wJuj7Q</t>
  </si>
  <si>
    <t>STEM in 30 - Women Paving the Way to Mars</t>
  </si>
  <si>
    <t>Sally Ride was the first American woman in Space. Ride is among many women who have been and continue to be critical to the aerospace industry. Learn more about the women who are paving the way to Mars and beyond with STEM in 30, a TV show for middle school science students. 
“One small step for man.” “Boldly go where no man has gone before.” These iconic gender-specific phrases don’t tell the entire story. Women have been and continue to be an important part of the aerospace industry, from the first woman in space, Valentina Tereshkova, to human computer Katherine Johnson who helped send humans to the Moon, to Christina Koch, one of NASA’s newest astronauts. In this episode of STEM in 30, we will explore the women who are helping pave the way to Mars.</t>
  </si>
  <si>
    <t>osno3wJuj7Q</t>
  </si>
  <si>
    <t>https://youtu.be/cvOWo7iDT6M</t>
  </si>
  <si>
    <t>What’s New in Aerospace  Celebrating Earth Day with Kathy Sullivan</t>
  </si>
  <si>
    <t>In celebration of Earth Day, this episode of the Smithsonian National Air and Space Museum’s “What's New in Aerospace?” series featured a conversation with first-hand Earth observer and geologist Kathy Sullivan. Sullivan, a former astronaut and recent administrator of the National Oceanic and Atmospheric Administration (NOAA) shared her perspective on visual observations of our changing planet, the importance of satellite technologies in looking at Earth through multiple lenses, and how all that data can be combined and shared on a global scale.</t>
  </si>
  <si>
    <t>cvOWo7iDT6M</t>
  </si>
  <si>
    <t>https://youtu.be/suqMoiTvxrg</t>
  </si>
  <si>
    <t>Adopt the Planet</t>
  </si>
  <si>
    <t>NASA Invites Public to “Adopt Our Planet” in Anticipation of Earth Day
Visit: go.nasa.gov/adopt
NASA invites the public to share in learning about the fine details that make up our global environment by "adopting" a small part of our home planet. Participants will receive a personalized adoption certificate for their unique numbered piece of Earth (approximately 35 miles wide) to print and share on social media. The certificate features NASA Earth science data collected for that location.</t>
  </si>
  <si>
    <t>suqMoiTvxrg</t>
  </si>
  <si>
    <t>2017 04 18</t>
  </si>
  <si>
    <t>https://youtu.be/Wb0eLZISnxE</t>
  </si>
  <si>
    <t>Post-Launch Status of Orbital ATK Mission to Space Station</t>
  </si>
  <si>
    <t>During a press briefing April 18, officials from NASA, Orbital ATK and United Launch Alliance provided a post-launch status of Orbital ATK’s seventh resupply mission to the International Space Station. Several hours earlier, Orbital ATK’s Cygnus cargo spacecraft was launched to the station from Cape Canaveral Air Force Station in Florida, aboard a United Launch Alliance rocket. Cygnus is packed with 7,600 pounds of supplies and research for the crew aboard the orbiting laboratory.</t>
  </si>
  <si>
    <t>Wb0eLZISnxE</t>
  </si>
  <si>
    <t>https://youtu.be/7I78wLrWBmA</t>
  </si>
  <si>
    <t>Orbital ATK’s Cygnus Cargo Spacecraft Launches to the ISS</t>
  </si>
  <si>
    <t>On April 18, Orbital ATK’s Cygnus cargo space craft launched from Cape Canaveral Air Force Station in Florida aboard a United Launch Alliance rocket, on Orbital ATK’s seventh resupply mission to the International Space Station. Cygnus is packed with 7,600 pounds of supplies and research for the crew aboard the orbiting laboratory.</t>
  </si>
  <si>
    <t>7I78wLrWBmA</t>
  </si>
  <si>
    <t>2017 04 17</t>
  </si>
  <si>
    <t>https://youtu.be/rQXl0vreQkA</t>
  </si>
  <si>
    <t>What’s On Board Next Space Station Supply Mission</t>
  </si>
  <si>
    <t>During a press briefing April 17, NASA, Orbital ATK and United Launch Alliance previewed the cargo being transported to the International Space Station on the seventh Orbital ATK resupply mission to the ISS. Launch is being targeted for 11:11 a.m. EDT Tuesday, April 18, from Cape Canaveral Air Force Station in Florida.</t>
  </si>
  <si>
    <t>rQXl0vreQkA</t>
  </si>
  <si>
    <t>https://youtu.be/q6DZacU-yMo</t>
  </si>
  <si>
    <t>Pre-Launch Status of Next Orbital ATK Mission to ISS</t>
  </si>
  <si>
    <t>During a press briefing April 17, NASA, Orbital ATK and United Launch Alliance provided a pre-launch status of Orbital ATK’s seventh resupply mission to the International Space Station. Launch is targeted for 11:11 a.m. EDT Tuesday, April 18, from Cape Canaveral Air Force Station in Florida.</t>
  </si>
  <si>
    <t>q6DZacU-yMo</t>
  </si>
  <si>
    <t>https://youtu.be/YwsPKE1QUwg</t>
  </si>
  <si>
    <t>Expedition 51-52 Soyuz Vehicle is Prepared for Launch in Kazakhstan</t>
  </si>
  <si>
    <t>At the Baikonur Cosmodrome in Kazakhstan, the Soyuz MS-04 spacecraft and its Soyuz booster were mated in the Integration Facility April 17 and transported to the launch pad on a railcar April 18 for final preparations before launch to the International Space Station April 20. The Soyuz MS-04 will carry Expedition 51-52 Soyuz Commander Fyodor Yurchikhin of Roscosmos and Flight Engineer Jack Fischer of NASA to the orbital complex for a four and a half month mission.</t>
  </si>
  <si>
    <t>YwsPKE1QUwg</t>
  </si>
  <si>
    <t>https://youtu.be/v4gG3LQf2RI</t>
  </si>
  <si>
    <t>Aboard the International Space Station, Expedition 51 Flight Engineer Thomas Pesquet of the European Space Agency discussed life and research aboard the orbital laboratory during an in-flight interview April 17 with RTL Radio in Paris. Pesquet, who launched to the station last November, will return to Earth June 2 with Russian cosmonaut Oleg Novitskiy to complete more than half year in space.</t>
  </si>
  <si>
    <t>v4gG3LQf2RI</t>
  </si>
  <si>
    <t>2017 04 14</t>
  </si>
  <si>
    <t>https://youtu.be/t1pBC9q8DLM</t>
  </si>
  <si>
    <t>Expedition 51-52 Prepares for Launch in Kazakhstan</t>
  </si>
  <si>
    <t>t1pBC9q8DLM</t>
  </si>
  <si>
    <t>https://youtu.be/sfCoPZnvhpQ</t>
  </si>
  <si>
    <t>Oceans Beyond Earth on This Week @NASA – April 14, 2017</t>
  </si>
  <si>
    <t>Two long-running NASA missions are providing new details about ocean bearing moons of Jupiter and Saturn – further heightening scientific interest in these and other “ocean worlds” in our solar system and beyond. The details – discussed during an April 13 NASA science briefing – include the announcement by the Cassini mission that a key ingredient for life has been found in the ocean on Saturn's moon Enceladus. Meanwhile, researchers using the Hubble Space Telescope observed a probable plume erupting from the surface of Jupiter's moon Europa, at the same location where Hubble saw evidence of a plume in 2014. Researchers say this could be circumstantial evidence of water erupting from the moon’s interior. Hubble's monitoring of plume activity on Europa and Cassini's long-term investigation of Enceladus are laying the groundwork for NASA's Europa Clipper mission, which is being planned for launch in the 2020s. Also, Expedition 50 Returns Home Safely, Next Space Station Crew at Launch Site, Student Launch Event, Groundbreaking for New Lab, and Yuri’s Night, First Space Shuttle Mission Celebrated!</t>
  </si>
  <si>
    <t>sfCoPZnvhpQ</t>
  </si>
  <si>
    <t>2017 04 13</t>
  </si>
  <si>
    <t>https://youtu.be/s-TCk5HdBiE</t>
  </si>
  <si>
    <t>Space Station Commander Discusses Her Record Flight with the Media</t>
  </si>
  <si>
    <t>Aboard the International Space Station, Expedition 51 Commander Peggy Whitson of NASA discussed life and research and the records she is setting in a pair of in-flight interviews April 13 with the ABC News and the Associated Press. Whitson, who already established the record for most spacewalks and most spacewalking hours by a female, will break the mark for most days in space by a U.S. astronaut. On April 24, she will surpass NASA’s Jeff Williams’ record of 534 days in orbit. Whitson is in the midst of a flight spanning almost 10 months on the station, her third long duration mission on the complex.</t>
  </si>
  <si>
    <t>s-TCk5HdBiE</t>
  </si>
  <si>
    <t>https://youtu.be/3n-0CSCcJuQ</t>
  </si>
  <si>
    <t>NASA Reveals New Discoveries on Oceans Beyond Earth During Science Briefing</t>
  </si>
  <si>
    <t>During a NASA science briefing on April 13, representatives from the agency discussed new results about ocean worlds in our solar system based on data gathered by NASA’s Cassini spacecraft and the Hubble Space Telescope.
The two veteran missions are providing tantalizing new details about icy, ocean-bearing moons of Jupiter and Saturn, further enhancing the scientific interest of these and other "ocean worlds" in our solar system and beyond.
New research from Cassini indicates that hydrogen gas, which could potentially provide a chemical energy source for life, is pouring into the ocean of Saturn's icy moon Enceladus from hydrothermal vents in the seafloor. The Cassini spacecraft detected the hydrogen in the plume of gas and icy material spraying from Enceladus during its deepest dive through the plume on Oct. 28, 2015.This means that ocean microbes -- if any exist there -- could use the hydrogen to produce energy
NASA’s Hubble Space Telescope saw a probable plume of material erupting from the moon’s surface on 2016, at the same location where Hubble saw evidence of a plume in 2014. These images bolster evidence that the Europa plumes could be a real phenomenon, flaring up intermittently in the same region on the moon's surface.
Both Cassini and Hubble investigations are laying the groundwork for NASA's Europa Clipper mission, which is being planned for launch in the 2020s.</t>
  </si>
  <si>
    <t>3n-0CSCcJuQ</t>
  </si>
  <si>
    <t>2017 04 12</t>
  </si>
  <si>
    <t>https://youtu.be/nJiwSL-2ECw</t>
  </si>
  <si>
    <t>Space Station Commander Discusses Record Flight with the Media</t>
  </si>
  <si>
    <t>Aboard the International Space Station, Expedition 51 Commander Peggy Whitson of NASA discussed life and research and the records she is setting in a pair of in-flight interviews April 12 with the CBS Radio Network and CNN. Whitson, who already established the record for most spacewalks and most spacewalking hours by a female, will break the mark for most days in space by a U.S. astronaut. On April 24, she will surpass NASA’s Jeff Williams’ record of 534 days in orbit. Whitson is in the midst of a flight spanning almost 10 months on the station, her third long duration mission on the complex.</t>
  </si>
  <si>
    <t>nJiwSL-2ECw</t>
  </si>
  <si>
    <t>2017 04 11</t>
  </si>
  <si>
    <t>https://youtu.be/EwQTNNp2uUI</t>
  </si>
  <si>
    <t>Expedition 50 Crew Receives a Warm Welcome in Kazakhstan</t>
  </si>
  <si>
    <t>Expedition 50 Commander Shane Kimbrough of NASA and Soyuz Commander Sergey Ryzhikov and Flight Engineer Andrey Borisenko of Roscosmos were greeted in a traditional ceremony at the airport in Karaganda, Kazakhstan April 10, a few hours after landing in their Soyuz MS-02 spacecraft in Kazakhstan near the town of Dzhezkazgan. After the ceremony, the crew split up, with Ryzhikov and Borisenko returning to their training base in Star City, Russia, while Kimbrough flew back to his home in Houston on a NASA jet. The trio spent 173 days in space.</t>
  </si>
  <si>
    <t>EwQTNNp2uUI</t>
  </si>
  <si>
    <t>2017 04 10</t>
  </si>
  <si>
    <t>https://youtu.be/BWP90RQq_Wc</t>
  </si>
  <si>
    <t>Expedition 50 Crew Lands Safely in Kazakhstan to Complete Six Month Mission</t>
  </si>
  <si>
    <t>Expedition 50 Commander Shane Kimbrough of NASA and Soyuz Commander Sergey Ryzhikov and Flight Engineer Andrey Borisenko of Roscosmos landed safely near the town of Dzhezkazgan, Kazakhstan April 10 after bidding farewell to their colleagues on the complex and undocking their Soyuz MS-02 spacecraft from the Poisk Module on the International Space Station. The trio spent 173 days in space conducting research and operational work in support of the station.</t>
  </si>
  <si>
    <t>BWP90RQq_Wc</t>
  </si>
  <si>
    <t>2017 04 09</t>
  </si>
  <si>
    <t>https://youtu.be/9J_k3ro0sLk</t>
  </si>
  <si>
    <t>Expedition 50 Crew Hands Over the Space Station to Expedition 51</t>
  </si>
  <si>
    <t>The reins of the International Space Station were passed from NASA’s Shane Kimbrough to NASA’s Peggy Whitson during a ceremony on the orbital outpost April 9. Kimbrough is returning to Earth April 10 with his Expedition 50 crewmates, Sergey Ryzhikov and Andrey Borisenko of Roscosmos in the Soyuz MS-02 spacecraft for a landing on the steppe of Kazakhstan to complete a 173-day mission. Whitson remains on the station as commander of Expedition 51 along with Flight Engineers Oleg Novitskiy of Roscosmos and Thomas Pesquet of the European Space Agency.</t>
  </si>
  <si>
    <t>9J_k3ro0sLk</t>
  </si>
  <si>
    <t>2017 04 07</t>
  </si>
  <si>
    <t>https://youtu.be/mJYMzsQZ5SY</t>
  </si>
  <si>
    <t>NASA Cassini Mission Prepares for “Grand Finale” on This Week @NASA – April 7, 2017</t>
  </si>
  <si>
    <t>NASA held a news conference April 4 at the Jet Propulsion Laboratory, with participation from NASA headquarters, to preview the final phase of the Cassini spacecraft’s mission to Saturn. On April 26, Cassini will begin its “Grand Finale” – a series of deep dives between the planet and its rings. No other mission has ever explored this unique region that is so close to the planet. Cassini will make 22 orbits that swoop between the rings and the planet before ending its 20-year mission on Sept. 15, with a final plunge into Saturn. The mission team hopes to gain powerful insights into the planet's internal structure and the origins of the rings, obtain the first-ever sampling of Saturn's atmosphere and particles coming from the main rings, and capture the closest-ever views of Saturn's clouds and inner rings. Also, Next Space Station Crew Travels to Launch Site, New Target Launch Date for Orbital ATK Mission to ISS, Lightfoot Visits Industry Partners, Human Exploration Rover Challenge, and John Glenn Interred at Arlington National Cemetery.</t>
  </si>
  <si>
    <t>mJYMzsQZ5SY</t>
  </si>
  <si>
    <t>2017 04 06</t>
  </si>
  <si>
    <t>https://youtu.be/gtwhd_3LWXY</t>
  </si>
  <si>
    <t>NASA astronaut and U.S. Senator John Glenn was laid to rest at Arlington National Cemetery</t>
  </si>
  <si>
    <t>The following is a statement from acting NASA Administrator Robert Lightfoot on the interment Thursday of astronaut and U.S. Senator John Glenn at Arlington National Cemetery in Virginia:
“As we say our final goodbye today to a great American and NASA pioneer, we send our deepest sympathies to the family of John Glenn, and our heartfelt condolences to his devoted wife Annie on what would have been their 74th wedding anniversary.
“Senator Glenn was more than an astronaut – he was the hero we needed in a rapidly changing world and an icon of our American spirit. We will never forget him, and future generations will continue to live out his legacy as we venture farther into the solar system.
“God speed, Senator Glenn. Our deepest gratitude, and everlasting respect and affection go with you.”</t>
  </si>
  <si>
    <t>gtwhd_3LWXY</t>
  </si>
  <si>
    <t>https://youtu.be/_ykgj5IurzI</t>
  </si>
  <si>
    <t>Former NASA Astronaut, U.S. Senator John Glenn Laid to Rest in Arlington Cemetery</t>
  </si>
  <si>
    <t>On April 6, former astronaut and U.S. Senator John Glenn was interred at Arlington National Cemetery in Virginia. Glenn, who passed away Dec. 8, 2016 at the age of 95, served four terms as a U.S. senator from Ohio, and was one of NASA's original seven Mercury astronauts. His flight on Friendship 7 on Feb. 20, 1962, made him the first American to orbit Earth. The riveting flight united our nation, launched America to the forefront of the space race and secured for him a unique place in the annals of history.</t>
  </si>
  <si>
    <t>_ykgj5IurzI</t>
  </si>
  <si>
    <t>2017 04 04</t>
  </si>
  <si>
    <t>https://youtu.be/G9lFTYLr2AY</t>
  </si>
  <si>
    <t>NASA Previews ‘Grand Finale’ of Cassini Saturn Mission</t>
  </si>
  <si>
    <t>NASA held a news conference April 4, at the agency’s Jet Propulsion Laboratory (JPL) in Pasadena, California, to preview the beginning of Cassini's final mission segment, known as the Grand Finale, which begins in late April. The briefing was shown live on NASA Television and on the agency’s website.
Cassini has been orbiting Saturn since June 2004, studying the planet, its rings and its moons. A final close flyby of Saturn's moon Titan on April 22 will reshape the Cassini spacecraft's orbit so that it begins its final series of 22 weekly dives through the unexplored gap between the planet and its rings. The first of these dives is planned for April 26. Following these closer-than-ever encounters with the giant planet, Cassini will make a mission-ending plunge into Saturn's upper atmosphere on Sept. 15.</t>
  </si>
  <si>
    <t>G9lFTYLr2AY</t>
  </si>
  <si>
    <t>https://youtu.be/85CdUFxr8yM</t>
  </si>
  <si>
    <t>ISS Expedition 51-52 Pre Flight Training Footage</t>
  </si>
  <si>
    <t>Footage contains training activities of the International Space Station’s Expedition 51-52 crew, including NASA astronaut Jack Fischer. Fischer and Commander Fyodor Yurchikhin of Roscosmos are scheduled to launch April 20 from the Baikonur Cosmodrome in Kazakhstan in the Soyuz MS-04 spacecraft for a four and a half month mission.</t>
  </si>
  <si>
    <t>85CdUFxr8yM</t>
  </si>
  <si>
    <t>2017 04 03</t>
  </si>
  <si>
    <t>https://youtu.be/n08MwZn2qCs</t>
  </si>
  <si>
    <t>Expedition 51-52 Crew Conducts Traditional Ceremonies in Star City and Moscow, Russia</t>
  </si>
  <si>
    <t>Expedition 51-52 Soyuz Commander Fyodor Yurchikhin of Roscosmos and Flight Engineer Jack Fischer of NASA along with their backups, Sergey Ryazanskiy of Roscosmos and Randy Bresnik of NASA visited the Gagarin Museum at the Gagarin Cosmonaut Training Center in Star City, Russia April 3 where they viewed historic space artifacts, then visited Red Square in Moscow for traditional ceremonies, including the laying of flowers at the Kremlin Wall where Russian space icons are interred. Yurchikhin and Fischer are scheduled to launch on April 20 from the Baikonur Cosmodrome in Kazakhstan in the Soyuz MS-04 spacecraft for a four and a half month mission on the International Space Station.</t>
  </si>
  <si>
    <t>n08MwZn2qCs</t>
  </si>
  <si>
    <t>https://youtu.be/Cc2ytcEsy1o</t>
  </si>
  <si>
    <t>International Space Station Expedition 51-52 Crew News Conference</t>
  </si>
  <si>
    <t>Expedition 50-51 Soyuz Commander Fyodor Yurchikhin of Roscosmos and Flight Engineer Jack Fischer of NASA conducted a news conference at the Gagarin Cosmonaut Training Center in Star City, April. 3. Fyodor Yurchikhin and Jack Fischer are scheduled to launch on April 20 from the Baikonur Cosmodrome in Kazakhstan in the Soyuz MS-04 spacecraft for a four and a half month mission on the International Space Station.</t>
  </si>
  <si>
    <t>Cc2ytcEsy1o</t>
  </si>
  <si>
    <t>https://youtu.be/hzt6_JaUyFU</t>
  </si>
  <si>
    <t>Space Station Crew Members Discuss Life in Space with California Students</t>
  </si>
  <si>
    <t>Aboard the International Space Station, Expedition 50 Commander Shane Kimbrough and Flight Engineer Peggy Whitson of NASA discussed life and scientific studies aboard the orbital laboratory during an in-flight educational event April 3 with students at the Betsy Ross Elementary School in Anaheim, California. Kimbrough will be returning to Earth April 10 aboard a Russian Soyuz spacecraft while Whitson will remain in orbit in the midst of her mission on the complex.</t>
  </si>
  <si>
    <t>hzt6_JaUyFU</t>
  </si>
  <si>
    <t>2017 03 31</t>
  </si>
  <si>
    <t>https://youtu.be/KivgQJzKtfY</t>
  </si>
  <si>
    <t>Space Station Crew Members Walk In Space to Connect Docking Adapter Component</t>
  </si>
  <si>
    <t>Outside the International Space Station, Expedition 50 Commander Shane Kimbrough and Flight Engineer Peggy Whitson of NASA conducted a spacewalk March 30 to connect the newly relocated Pressurized Mating Adapter-3 (PMA-3) to the Harmony module in preparation for the delivery of an International Docking Adapter to PMA-3 to which U.S. commercial crew spacecraft will link up to in the years ahead. The mating adapter was robotically relocated from the port side of the Tranquility module to Harmony March 26 by ground controllers. Kimbrough and Whitson also installed the second of two upgraded computer relay boxes on the station’s truss and installed shields and covers over PMA-3 and the vacant port on Tranquility to which the PMA had been attached. It was the 199th spacewalk in support of space station assembly and maintenance, the sixth in Kimbrough’s career and the eighth for Whitson, who surpassed NASA’s Suni Williams for most spacewalks and most aggregate spacewalking time by a female.</t>
  </si>
  <si>
    <t>KivgQJzKtfY</t>
  </si>
  <si>
    <t>https://youtu.be/V-EAJV3e9xw</t>
  </si>
  <si>
    <t>Expedition 50 - 51 Crew Undergoes Final Training Outside Moscow</t>
  </si>
  <si>
    <t>Expedition 51-52 Soyuz Commander Fyodor Yurchikhin of Roscosmos and Flight Engineer Jack Fischer of NASA along with their backups, Sergey Ryazanskiy of Roscosmos and Randy Bresnik of NASA conducted final qualification training at the Gagarin Cosmonaut Training Center in Star City, Russia March 30 and 31.  Yurchikhin and Fischer are scheduled to launch April 20 from the Baikonur Cosmodrome in Kazakhstan in the Soyuz MS-04 spacecraft for a four and a half month mission on the International Space Station.</t>
  </si>
  <si>
    <t>V-EAJV3e9xw</t>
  </si>
  <si>
    <t>https://youtu.be/CZmCHDJOSwU</t>
  </si>
  <si>
    <t>Space Station Upgrades Continue on This Week @NASA – March 31, 2017</t>
  </si>
  <si>
    <t>Work continues aboard the International Space Station on upgrades to prepare it for future operational activities. Ground controllers, using the station’s robotic arm, moved the Pressurized Mating Adapter-3 (PMA-3) from the Tranquility module to the station’s Harmony module March 26. PMA-3 will be outfitted with one of two International Docking Adapters to accommodate U.S. commercial spacecraft carrying astronauts on future missions. Four days after the PMA-3 move, NASA’s Shane Kimbrough and Peggy Whitson conducted the second in a series of three planned spacewalks to complete work related to the upgrades. The third spacewalk is planned in April. Also, James Webb Space Telescope Completes Acoustic and Vibration Tests, MAVEN Data Helps Measure Loss of Mars’ Atmosphere, Getting Excited About STEM, and New NASA App for Amazon Fire TV!</t>
  </si>
  <si>
    <t>CZmCHDJOSwU</t>
  </si>
  <si>
    <t>2017 03 28</t>
  </si>
  <si>
    <t>https://youtu.be/c8RSgL2dxCk</t>
  </si>
  <si>
    <t>NASA 2017 Women's History Month Profile - Steffi Valkov, AFRC</t>
  </si>
  <si>
    <t>Steffi Valkov is a Flight Operations Engineer at NASA Armstrong Flight Research Center. Steffi's current project, UAS Integration in the NAS, has her fulfilling multiple roles which include leading flight operations working groups, developing flight test scenarios, and control room duties.</t>
  </si>
  <si>
    <t>c8RSgL2dxCk</t>
  </si>
  <si>
    <t>https://youtu.be/fHu3VdaH7gU</t>
  </si>
  <si>
    <t>NASA Participates in Women's History STEM Event</t>
  </si>
  <si>
    <t>NASA participated in an education-related Women’s History Month celebration, March 28 at the Smithsonian National Air and Space Museum, in Washington, DC. The program, featured appearances and presentations by NASA Astronaut Kay Hire, several NASA engineers and scientists, Secretary of Education Betsy DeVos, and Ivanka Trump, from the White House. There were also activities geared toward getting students excited about Science, Technology, Engineering and Math (STEM) and a screening of the film, “Hidden Figures”.</t>
  </si>
  <si>
    <t>fHu3VdaH7gU</t>
  </si>
  <si>
    <t>2017 03 25</t>
  </si>
  <si>
    <t>https://youtu.be/mdtKAbS4FuE</t>
  </si>
  <si>
    <t>NASA Highlighted in President's Weekly Address</t>
  </si>
  <si>
    <t>President Trump, who signed into law the NASA Transition Authorization Act of 2017 on March 21, highlighted America’s space agency during his weekly address on March 25.</t>
  </si>
  <si>
    <t>mdtKAbS4FuE</t>
  </si>
  <si>
    <t>2017 03 24</t>
  </si>
  <si>
    <t>https://youtu.be/cM16zp1tNvI</t>
  </si>
  <si>
    <t>President Signs NASA Transition Authorization Act on This Week @NASA – March 24, 2017</t>
  </si>
  <si>
    <t>On March 21, President Trump signed the National Aeronautics and Space Administration Transition Authorization Act of 2017. The bipartisan legislation reaffirms Congress’ commitment to the agency and directs it to pursue a balanced portfolio for space exploration and space science, including continued development of the Space Launch System, Orion, Commercial Crew Program; space and planetary science missions, such as the James Webb Space Telescope, Wide-Field Infrared Survey Telescope, and Europa mission; and ongoing operations of the International Space Station and Commercial Resupply Services Program. In a statement, acting NASA Administrator Robert Lightfoot, who attended the signing, along with two astronauts and members of Congress, thanked the president and Congress for supporting the agency and its mission. Also, Spacewalk Outside the Space Station, SpaceX’s Dragon Returns Safely to Earth, Jeff Williams Visits Washington Area, Advanced Woven Thermal Protection, and Lunar and Planetary Science Conference.</t>
  </si>
  <si>
    <t>cM16zp1tNvI</t>
  </si>
  <si>
    <t>https://youtu.be/mTc22ZPMl_c</t>
  </si>
  <si>
    <t>Space Station Crew Members Walk in Space with an Eye to the Future</t>
  </si>
  <si>
    <t>Expedition 50 Commander Shane Kimbrough of NASA and Flight Engineer Thomas Pesquet of the European Space Agency conducted a spacewalk outside the International Space Station March 24 to disconnect cables and electrical connections on Pressurized Mating Adapter-3 (PMA-3), lubricate the latching end effector on the Canadarm2 robotic arm and replace a computer relay box on the station’s truss. PMA-3 will be robotically relocated March 30 by ground controllers from the port side of the Tranquility module to the space-facing side of the Harmony module for the future installation of a second International Docking Adapter that will accommodate the arrivals of commercial crew vehicles. The spacewalk is the first of three planned in a two-week period for station crewmembers that will see PMA-3 reconnected to its new location on Harmony and an avionics box replaced that routes electricity and data to station experiments.</t>
  </si>
  <si>
    <t>mTc22ZPMl_c</t>
  </si>
  <si>
    <t>2017 03 23</t>
  </si>
  <si>
    <t>https://youtu.be/pORQHY59Qqs</t>
  </si>
  <si>
    <t>NASA’s Stennis Space Center Conducts RS-25 Engine Test</t>
  </si>
  <si>
    <t>On March 23, NASA conducted a test of an RS-25 engine at the agency’s Stennis Space Center in Bay St. Louis, Mississippi. Four RS-25’s will help power NASA’s Space Launch System (SLS) rocket to space. During this test, engineers evaluated the engine’s new controller or “brain”, which communicates with the SLS vehicle. Once test data is certified, the engine controller will be removed and installed on one of the four flight engines that will help power the first integrated flight of SLS and the Orion spacecraft.</t>
  </si>
  <si>
    <t>pORQHY59Qqs</t>
  </si>
  <si>
    <t>https://youtu.be/CbtfsIY1f1Q</t>
  </si>
  <si>
    <t>What’s New in Aerospace – A Presentation by NASA Astronaut Jeff Williams</t>
  </si>
  <si>
    <t>The Smithsonian National Air and Space Museum’s What’s New in Aerospace series of live, fast-paced, webcasts are designed to increase interest and engagement in STEM. This episode features a special conversation with NASA Astronaut Jeff Williams, who recently returned from the International Space Station. He will discuss taking photographs of Earth from orbit, what it’s like to be away from family for so long, and other interesting items about his four spaceflights.</t>
  </si>
  <si>
    <t>CbtfsIY1f1Q</t>
  </si>
  <si>
    <t>2017 03 22</t>
  </si>
  <si>
    <t>https://youtu.be/crr5Uk-Tvzk</t>
  </si>
  <si>
    <t>NASA Press Briefing Previews Three U.S. Spacewalks</t>
  </si>
  <si>
    <t>On March 22, NASA previewed three upcoming spacewalks planned in late March and early April for the Expedition 50 astronauts onboard the International Space Station. The trio of spacewalks will prepare the station for the future arrival of U.S. commercial crew spacecraft and upgrade station hardware. The spacewalks currently are scheduled for March 24, April 2 and April 7. NASA TV will provide complete coverage beginning each day at 6:30 a.m., with the six-and-a-half hour spacewalks scheduled to begin about 7 a.m.</t>
  </si>
  <si>
    <t>crr5Uk-Tvzk</t>
  </si>
  <si>
    <t>2017 03 21</t>
  </si>
  <si>
    <t>https://youtu.be/OV1nZdG0oQk</t>
  </si>
  <si>
    <t>NASA Acting Administrator Statement on the NASA Authorization Act of 2017</t>
  </si>
  <si>
    <t>The following is a statement from NASA acting Administrator Robert Lightfoot on President Trump signing Tuesday the National Aeronautics and Space Administration Transition Authorization Act of 2017.
“We would like to thank President Trump for his support of the agency in signing the National Aeronautics and Space Administration Transition Authorization Act of 2017.
“We also want to express our gratitude to a bipartisan Congress for its thoughtful consideration of the agency’s path forward. We are grateful for the longstanding support and trust of the American people, which enables our nation’s space, aeronautics, science, and technology development programs to thrive.
“Our workforce has proven time and again that it can meet any challenge, and the continuing support for NASA ensures our nation’s space program will remain the world’s leader in pioneering new frontiers in exploration, innovation, and scientific achievement.”</t>
  </si>
  <si>
    <t>OV1nZdG0oQk</t>
  </si>
  <si>
    <t>https://youtu.be/GZHzZANk6jA</t>
  </si>
  <si>
    <t>Space Station Crew Members Answer Questions from Social Media Devotees</t>
  </si>
  <si>
    <t>Aboard the International Space Station, Expedition 50 Commander Shane Kimbrough and Flight Engineer Peggy Whitson discussed life and research on the complex and upcoming spacewalks as they answered questions posed by social media followers in an in-flight event March 21. Kimbrough, Whitson and Flight Engineer Thomas Pesquet of the European Space Agency will embark on a trio of spacewalks in late March and early April to prepare the station for the installation of a second docking adapter for the arrival of commercial crew vehicles in the future and to conduct other station maintenance.</t>
  </si>
  <si>
    <t>GZHzZANk6jA</t>
  </si>
  <si>
    <t>https://youtu.be/v1hBajn3vI8</t>
  </si>
  <si>
    <t>Space Station Crew Member Discusses Life in Space with the French President</t>
  </si>
  <si>
    <t>Aboard the International Space Station, Expedition 50 Flight Engineer Thomas Pesquet of the European Space Agency discussed life and research on the orbital outpost during an in-flight call from French President Francois Hollande on March 21. Hollande (pron: Oh-LAHND) was visiting an observatory near Lyon, France for the conversation with Pesquet, who is in the midst of a six and a half month mission on the station.</t>
  </si>
  <si>
    <t>v1hBajn3vI8</t>
  </si>
  <si>
    <t>2017 03 20</t>
  </si>
  <si>
    <t>https://youtu.be/tjxRGQ2kSf8</t>
  </si>
  <si>
    <t>Space Station Crew Member Discusses the Environment with French Students</t>
  </si>
  <si>
    <t>Aboard the International Space Station, Expedition 50 Flight Engineer Thomas Pesquet of the European Space Agency discussed life and research aboard the orbital laboratory and his view of the Earth from orbit during an in-flight question and answer session March 20 with students gathered in France to recognize “World Water Day”. Pesquet is in the midst of a six and a half month mission on the station.</t>
  </si>
  <si>
    <t>tjxRGQ2kSf8</t>
  </si>
  <si>
    <t>2017 03 19</t>
  </si>
  <si>
    <t>https://youtu.be/vc2qvfXEl7s</t>
  </si>
  <si>
    <t>U.S. Commercial Cargo Ship Departs the International Space Station</t>
  </si>
  <si>
    <t>The U.S. commercial SpaceX Dragon cargo craft was released from the International Space Station’s Canadarm2 robotic arm in the early hours of March 19, after spending more than three weeks at the orbital outpost. During that time, the crew onboard transferred onto the station several tons of supplies and scientific investigations delivered by Dragon. Expedition 50 crew members Thomas Pesquet of ESA (European Space Agency) and Commander Shane Kimbrough of NASA bid farewell to Dragon as the resupply craft moved to a safe distance away from the complex for its deorbit engine firing and a parachute-assisted splashdown in the Pacific. Dragon is returning critical science experiments for investigators back on the Earth.</t>
  </si>
  <si>
    <t>vc2qvfXEl7s</t>
  </si>
  <si>
    <t>2017 03 17</t>
  </si>
  <si>
    <t>https://youtu.be/2mUHtyA0eO4</t>
  </si>
  <si>
    <t>Space Station Astronauts Talk with West Virginia Students</t>
  </si>
  <si>
    <t>Aboard the International Space Station, Expedition 50 Commander Shane Kimbrough and Flight Engineer Peggy Whitson of NASA discussed life and research on the orbital laboratory during an educational in-flight event March 17 with students gathered at the Clay Center for the Arts and Sciences in Charleston, West Virginia. Kimbrough is in the final weeks of his six-month mission on the station, while Whitson is in the midst of her long-duration flight on the outpost.</t>
  </si>
  <si>
    <t>2mUHtyA0eO4</t>
  </si>
  <si>
    <t>https://youtu.be/MLR4P21s59o</t>
  </si>
  <si>
    <t>Study Confirms Biofuels Reduce Jet Engine Pollution on This Week @NASA – March 17, 2017</t>
  </si>
  <si>
    <t>Findings published March 15 in the journal Nature from a series of flight tests in 2013 and 2014 near NASA’s Armstrong Flight Research Center in California indicate that using biofuels helps jet engines reduce particle emissions in exhaust by as much as 50 to 70 percent. That’s both an economic and an environmental benefit. The findings were based on data from the Alternative Fuel Effects on Contrails and Cruise Emissions Study, or ACCESS. The international research program led by NASA and involving agencies from Germany and Canada, studied the effects of alternative fuels on aircraft-generated contrails, engine performance and emissions. Also, NASA @SXSW Interactive Festival, Satellites See Winter Storm from Space, CST-100 Starliner Parachute Testing, and NASA’s Pi Day Challenge!</t>
  </si>
  <si>
    <t>MLR4P21s59o</t>
  </si>
  <si>
    <t>2017 03 13</t>
  </si>
  <si>
    <t>https://youtu.be/4Fc6QABHnYA</t>
  </si>
  <si>
    <t>STEM in 30 – The Technology of Racecars to Rockets</t>
  </si>
  <si>
    <t>The Smithsonian National Air and Space Museum’s STEM in 30 series of live, fast-paced, 30-minute webcasts are designed to increase interest and engagement in STEM for students. This episode, aired live from the NASCAR Hall of Fame in Charlotte, North Carolina, examines how stock car racing and spaceflight use some of the same technologies and are subject to some of the same forces of nature.</t>
  </si>
  <si>
    <t>4Fc6QABHnYA</t>
  </si>
  <si>
    <t>2017 03 10</t>
  </si>
  <si>
    <t>https://youtu.be/bZ9D5Iz_o10</t>
  </si>
  <si>
    <t>Orion Spacecraft Parachute Test on This Week @NASA – March 10, 2017</t>
  </si>
  <si>
    <t>NASA conducted the latest successful test of the Orion spacecraft’s parachute system on March 8 in the skies above the U.S. Army’s Yuma Proving Ground in Arizona. The test was designed to evaluate the parachutes’ performance in an emergency abort situation that would require Orion to be jettisoned from the agency’s Space Launch System rocket during a launch. Even at this relatively low altitude, the parachutes are designed to fully deploy and safely return Orion and its crew to Earth. Also, Shin Honored by Aviation Week, Space Station Resupply Mission Targeted for March 19, Small Business Innovation Proposals Selected, Deep Space Atomic Clock, Modern Figures Virtual Tour, and NASA Aero “Night of Flight”!</t>
  </si>
  <si>
    <t>bZ9D5Iz_o10</t>
  </si>
  <si>
    <t>2017 03 09</t>
  </si>
  <si>
    <t>https://youtu.be/DVjZQQWp_8o</t>
  </si>
  <si>
    <t>NASA Modern Figures - Maria Caballero</t>
  </si>
  <si>
    <t>Armstrong Flight Research Center Engineer Maria Caballero Has advice for those who want to become a success in a STEM Field;  Never give up!</t>
  </si>
  <si>
    <t>DVjZQQWp_8o</t>
  </si>
  <si>
    <t>2017 03 06</t>
  </si>
  <si>
    <t>https://youtu.be/ZYU_uS19aNg</t>
  </si>
  <si>
    <t>Aboard the International Space Station, Expedition 50 Flight Engineer Thomas Pesquet of the European Space Agency discussed the progress of his six-month mission and research on the orbital laboratory during an in-flight interview March 6 with the TMC Television Network in France. Pesquet, who is French, launched to the complex in a Russian Soyuz spacecraft last November and is scheduled to return to Earth June 2.</t>
  </si>
  <si>
    <t>ZYU_uS19aNg</t>
  </si>
  <si>
    <t>2017 03 03</t>
  </si>
  <si>
    <t>https://youtu.be/3FYW37_Oypo</t>
  </si>
  <si>
    <t>NASA Advancing Aviation Technology on This Week @NASA – March 3, 2017</t>
  </si>
  <si>
    <t>On March 2, NASA’s acting Administrator, Robert Lightfoot spoke at the U.S. Chamber of Commerce’s Aviation Summit in Washington, about how the agency’s technology advancements have helped transform the aviation industry. Lightfoot was then joined by Canadian Minister of Transport Marc Garneau, who is a former astronaut and Canadian Space Agency president, and Carol Hallett, counselor to the chamber, for a discussion with NASA’s Shane Kimbrough and Peggy Whitson, via satellite from the International Space Station. The two talked about the vast array of research and technology development conducted aboard the station. Also, Anniversary of One-Year Crew’s Return, IceCube SmallSat Ready for Launch, Orion Propulsion Qualification Module Installed, Small Business Industry Awards, and African American Pioneers in Aviation and Space!</t>
  </si>
  <si>
    <t>3FYW37_Oypo</t>
  </si>
  <si>
    <t>https://youtu.be/z4bgP6QLJI8</t>
  </si>
  <si>
    <t>Space Station Crew Member Discusses Life in Space with Texas Students</t>
  </si>
  <si>
    <t>Aboard the International Space Station, Expedition 50 Flight Engineer Peggy Whitson of NASA discussed life and research on the orbital laboratory during an in-flight educational event March 3 with the Hartsfield Elementary School in Houston and members of Houston’s 4-H Clubs. Whitson, who is a 4-H Clubs alumnus, is in the midst of her third long duration mission on the station. She is scheduled to break the U.S. astronaut endurance record of 534 days in space on April 24, which NASA’s Jeff Williams currently holds.</t>
  </si>
  <si>
    <t>z4bgP6QLJI8</t>
  </si>
  <si>
    <t>2017 03 02</t>
  </si>
  <si>
    <t>https://youtu.be/NEHw-wanC1E</t>
  </si>
  <si>
    <t>Space Station Crew Members Discuss Life in Space with Acting Administrator, Aviation Industry Expert</t>
  </si>
  <si>
    <t>Aboard the International Space Station, Expedition 50 Commander Shane Kimbrough and Flight Engineer Peggy Whitson of NASA fielded questions about life and research on the orbital laboratory during an in-flight conversation with aviation industry experts. The conversation between the astronauts, NASA Acting Administrator Robert Lightfoot, Marc Garneau, the Canadian Minister of Transport and a former astronaut and president of the Canadian Space Agency, and Carol Hallett, counsel to the U.S. Chamber of Commerce, took place March 2 at the chamber’s annual Aviation Summit Conference in Washington, D.C. Kimbrough, who arrived on the station last October, is scheduled to return to Earth April 10 while Whitson, who launched to the outpost last November, is in the midst of her third long duration mission on the complex.</t>
  </si>
  <si>
    <t>NEHw-wanC1E</t>
  </si>
  <si>
    <t>2017 02 27</t>
  </si>
  <si>
    <t>https://youtu.be/zHvC4fCdvZc</t>
  </si>
  <si>
    <t>2017 NASA African American History Month Profile – Clifton T. Arnold, Jr , Stennis Space Center</t>
  </si>
  <si>
    <t>Clifton T. Arnold, Jr. is a senior project manager with NASA’s Rocket Propulsion Test Program Office at John C. Stennis Space Center near Bay St. Louis, Mississippi. He has the oversight and insight responsibility for simulating altitude rocket testing at Glenn Research Center’s Lewis Field and Plum Brook Station in Ohio. He serves on various Agency teams for engineering standards and pressure systems management. Arnold received a Bachelor of Science degree in Mechanical Engineering for Southern University in Baton Rouge, LA. He also earned a Master’s degree in Divinity from the New Orleans Baptist Theological Seminary, where he is currently pursuing a Doctor of Ministry degree. Arnold’s federal career spans 31 years with NASA and DoD, serving in positions such as a Safety and Mission Assurance Lead, Lead Operations Engineer for Manned and ELV Payloads, Project Manager Shuttle Ground Operations and DoD Armament Systems Engineer. He has authored and presented technical papers at the American Institute of Aeronautics and Astronautics (AIAA) and Joint Army, Navy, NASA and Air Force (JANNAF) conferences.</t>
  </si>
  <si>
    <t>zHvC4fCdvZc</t>
  </si>
  <si>
    <t>2017 02 24</t>
  </si>
  <si>
    <t>https://youtu.be/iwl6uD9A8Qg</t>
  </si>
  <si>
    <t>The Most Earth Size, Habitable Zone Planets around a Single Star on This Week @NASA – 02 24 2017</t>
  </si>
  <si>
    <t>NASA held a news conference Feb. 22 at the agency’s headquarters to discuss the finding by the agency’s Spitzer Space Telescope of seven Earth-sized planets around a tiny, relatively nearby, ultra-cool dwarf star. Three of the planets in this system, known as TRAPPIST-1, are in the habitable zone – the region around the star in which liquid water is most likely to thrive on a rocky planet. This is the first time so many planets have been found in a single star's habitable zone outside our solar system, and is the best target yet for studying the atmospheres of potentially habitable, Earth-sized worlds. Also, Kennedy’s Pad 39A, Back in Business, Russian Cargo Ship Arrives at Space Station, RS-25 Engine Tests Resume at Stennis, Structural Testing Begins on SLS Hardware, and 55th Anniversary of Friendship 7 Flight!</t>
  </si>
  <si>
    <t>iwl6uD9A8Qg</t>
  </si>
  <si>
    <t>https://youtu.be/ElfkWqJ1D9I</t>
  </si>
  <si>
    <t>Russian Cargo Craft Arrives at the International Space Station</t>
  </si>
  <si>
    <t>The unpiloted Russian ISS Progress 66 cargo craft automatically docked to the International Space Station Feb. 24, completing a two-day journey to deliver almost three tons of food, fuel and supplies for the residents of the complex. The Progress linked up to the Pirs Docking Compartment on the Russian segment of the complex two days after its launch on a Soyuz booster from the Baikonur Cosmodrome in Kazakhstan. It was the first launch of a Progress resupply craft to the station since a launch failure last Dec. 1 resulted in the loss of the ISS Progress 65 ship.</t>
  </si>
  <si>
    <t>ElfkWqJ1D9I</t>
  </si>
  <si>
    <t>2017 02 23</t>
  </si>
  <si>
    <t>https://youtu.be/DHMC0dqUe_o</t>
  </si>
  <si>
    <t>SpaceX Dragon Cargo Spacecraft Attached to the International Space Station</t>
  </si>
  <si>
    <t>Following the arrival of the unpiloted SpaceX Dragon cargo craft to the International Space Station on Feb. 23, the station crew used the Canadarm2 robotic arm to capture the Dragon. Ground controllers then sent commands for the robot arm to maneuver the vehicle to the Earth-facing port of the Harmony module where it was installed and bolted into place. The Dragon will spend about a month at the space station while the crew unloads the almost 5,500 pounds of supplies and scientific experiments delivered by the Dragon.</t>
  </si>
  <si>
    <t>DHMC0dqUe_o</t>
  </si>
  <si>
    <t>https://youtu.be/OyinPlh8A98</t>
  </si>
  <si>
    <t>Carrying several tons of supplies and scientific experiments, the unpiloted SpaceX Dragon cargo craft arrived at the International Space Station Feb. 23 following its launch atop the SpaceX Falcon 9 rocket from the refurbished Launch Pad 39-A at the Kennedy Space Center, Florida.</t>
  </si>
  <si>
    <t>OyinPlh8A98</t>
  </si>
  <si>
    <t>2017 02 22</t>
  </si>
  <si>
    <t>https://youtu.be/v5Xr-WkW5JM</t>
  </si>
  <si>
    <t>NASA’s Spitzer Reveals Largest Batch of Earth-Size, Habitable-Zone Planets Around a Single Star</t>
  </si>
  <si>
    <t>NASA held a news conference Feb. 22 at the agency’s headquarters to discuss the finding by the Spitzer Space Telescope of seven Earth-sized planets around a tiny, nearby, ultra-cool dwarf star. Three of these planets are in the habitable zone, the region around the star in which liquid water is most likely to thrive on a rocky planet. This is the first time so many planets have been found in a single star's habitable zone, and the first time so many Earth-sized planets have been found around the same star. The finding of this planetary system, called TRAPPIST-1, is the best target yet for studying the atmospheres of potentially habitable, Earth-sized worlds</t>
  </si>
  <si>
    <t>v5Xr-WkW5JM</t>
  </si>
  <si>
    <t>https://youtu.be/VMRhijLXKq0</t>
  </si>
  <si>
    <t>Russian Cargo Craft Sets Sail for the International Space Station</t>
  </si>
  <si>
    <t>The unpiloted Russian ISS Progress 66 cargo craft launched from the Baikonur Cosmodrome in Kazakhstan Feb. 22 atop a Soyuz booster on a two-day journey to deliver almost three tons of food, fuel and supplies for the residents of the International Space Station. The vehicle is scheduled to automatically dock to the Pirs Docking Compartment on the Russian segment of the complex Feb. 24. It was the first launch of a Progress resupply craft to the station since a launch failure last Dec. 1 resulted in the loss of the ISS Progress 65 ship.</t>
  </si>
  <si>
    <t>VMRhijLXKq0</t>
  </si>
  <si>
    <t>2017 02 21</t>
  </si>
  <si>
    <t>https://youtu.be/MPxW5Am2j-w</t>
  </si>
  <si>
    <t>Lightfoot Visits Michoud on This Week @NASA – February 18, 2017</t>
  </si>
  <si>
    <t>NASA’s Acting Administrator Robert Lightfoot visited the agency’s Michoud Assembly Facility in New Orleans Feb. 13 to view damage from the Feb. 7 tornado strike, and to speak with employees about ongoing recovery efforts at the facility. The work at Michoud is critical to supporting the production, testing and final integration of the core stage of NASA’s Space Launch System deep space rocket, the largest rocket stage ever built. Also, Flight Control Technology Evaluated, Ochoa, Foale to be Inducted into Hall of Fame, NASA Employees Honored, and Exceptional Public Achievement Award!</t>
  </si>
  <si>
    <t>MPxW5Am2j-w</t>
  </si>
  <si>
    <t>2017 02 19</t>
  </si>
  <si>
    <t>https://youtu.be/jAmvGHyylQ4</t>
  </si>
  <si>
    <t>NASA Holds Post-Launch Briefing to Discuss Status of SpaceX Mission to the ISS</t>
  </si>
  <si>
    <t>During a post-launch briefing on Feb. 19 at NASA’s Kennedy Space Center in Florida, officials from NASA and SpaceX discussed the status of the company’s 10th Commercial Resupply Services mission to the International Space Station. Several hours before the briefing, SpaceX launched a Dragon cargo spacecraft to the station carrying almost 5,500 pounds of scientific research and other supplies, for the crew aboard the station.</t>
  </si>
  <si>
    <t>jAmvGHyylQ4</t>
  </si>
  <si>
    <t>https://youtu.be/zyA2RZYCFY4</t>
  </si>
  <si>
    <t>SpaceX Launches Tenth Cargo Mission to the International Space Station</t>
  </si>
  <si>
    <t>On Feb. 19, SpaceX launched almost 5,500 pounds of scientific research and other supplies on a Dragon spacecraft to the International Space Station. The Dragon launched on top of the company’s Falcon 9 rocket from historic Launch Complex 39A at NASA’s Kennedy Space Center, where Apollo and Shuttle missions flew. This was the first commercial launch from Kennedy, and highlights the center’s transition to providing support for both government and commercial aerospace activities.</t>
  </si>
  <si>
    <t>zyA2RZYCFY4</t>
  </si>
  <si>
    <t>2017 02 18</t>
  </si>
  <si>
    <t>https://youtu.be/E4YHhIVZuWA</t>
  </si>
  <si>
    <t>SpaceX Postpones Launch of Tenth Cargo Mission to the International Space Station</t>
  </si>
  <si>
    <t>The Feb. 18 launch attempt of the SpaceX Falcon 9 rocket was scrubbed due to a second stage thrust control issue. The rocket was scheduled to launch the company’s Dragon spacecraft to the International Space Station with almost 5,500 pounds of scientific research and other supplies. Details about a future launch attempt are being evaluated.</t>
  </si>
  <si>
    <t>E4YHhIVZuWA</t>
  </si>
  <si>
    <t>https://youtu.be/z23RuPcdYD8</t>
  </si>
  <si>
    <t>NASA Holds Prelaunch Briefing about the Next Space Station Resupply Mission</t>
  </si>
  <si>
    <t>On Feb. 17, NASA held a briefing at the agency’s Kennedy Space Center in Florida to provide an overview of the next SpaceX mission to the International Space Station. The SpaceX Dragon spacecraft will lift off on top of the company's Falcon 9 rocket, no earlier than 10:01 a.m. EST Saturday, Feb. 18, from Launch Complex 39A at NASA’s Kennedy Space Center in Florida. The Dragon will carry science research, crew supplies and hardware to the orbiting laboratory in support of the Expedition 50 and 51 crew members.</t>
  </si>
  <si>
    <t>z23RuPcdYD8</t>
  </si>
  <si>
    <t>2017 02 17</t>
  </si>
  <si>
    <t>https://youtu.be/xjXYSJF-7Cs</t>
  </si>
  <si>
    <t>NASA Holds Pre-launch Briefing at Historic Pad 39A at Kennedy Space Center</t>
  </si>
  <si>
    <t>On Feb. 17, NASA held a briefing in front of SpaceX’s Launch Complex 39A at NASA’s Kennedy Space Center in Florida. The SpaceX Dragon spacecraft will lift off on top of the company's Falcon 9 rocket, no earlier than 10:01 a.m. EST Saturday, Feb. 18 from the historic pad. It will be the first launch from pad 39A since the last space shuttle mission in July 2011. It will also be the first commercial launch from Kennedy and highlights the center’s transition to a multi-user spaceport, supporting government and commercial aerospace activities. The Dragon will deliver almost 5,500 pounds of experiments, hardware and supplies to the space station.</t>
  </si>
  <si>
    <t>xjXYSJF-7Cs</t>
  </si>
  <si>
    <t>https://youtu.be/NsBDNyCtMAI</t>
  </si>
  <si>
    <t>NASA Briefing Highlights “What’s on Board” Next SpaceX Mission to the Space Station</t>
  </si>
  <si>
    <t>On Feb. 17, NASA held a briefing at the agency’s Kennedy Space Center in Florida to discuss the science, research and technology payloads being transported to the International Space Station aboard the next SpaceX mission to the ISS. SpaceX is scheduled to launch its 10th Commercial Resupply Services mission to the International Space Station no earlier than 10:01 a.m. EST Saturday, Feb. 18. The launch will take place from Launch Complex 39A at NASA’s Kennedy Space Center in Florida. Live coverage of the launch will begin at 8:30 a.m. on NASA Television and the agency’s website.</t>
  </si>
  <si>
    <t>NsBDNyCtMAI</t>
  </si>
  <si>
    <t>https://youtu.be/4wlcb5L_enA</t>
  </si>
  <si>
    <t>Space Station Crew Discusses Life in Space with Fox News</t>
  </si>
  <si>
    <t>Aboard the International Space Station, Expedition 50 Commander Shane Kimbrough and Flight Engineer Peggy Whitson of NASA discussed life and work aboard the orbital complex in an in-flight interview Feb. 17 with the Fox NewsEdge affiliate news distribution service. Kimbrough arrived to the station last October one month before Whitson, and they are in the midst of their mission of operational activity and scientific research.</t>
  </si>
  <si>
    <t>4wlcb5L_enA</t>
  </si>
  <si>
    <t>2017 02 16</t>
  </si>
  <si>
    <t>https://youtu.be/DHlSAIu03us</t>
  </si>
  <si>
    <t>2017 NASA African American History Month Profile Mark Davis, Armstrong Flight Research Center</t>
  </si>
  <si>
    <t>Mark Davis has been with NASA Armstrong Flight Research Center since April 1990, as a Aerodynamics Engineer. Mark Currently leads the Small Business Innovative Research Program working with small businesses that contribute to NASA’s Research goals.</t>
  </si>
  <si>
    <t>DHlSAIu03us</t>
  </si>
  <si>
    <t>2017 02 15</t>
  </si>
  <si>
    <t>https://youtu.be/TNPXr4Pgd2M</t>
  </si>
  <si>
    <t>NASA Presents Exceptional Public Achievement Award to Hidden Figures Director, Author</t>
  </si>
  <si>
    <t>NASA presented its Exceptional Public Achievement Award to Ted Melfi and Margot Lee Shetterly, Feb. 15 at the agency’s headquarters. Melfi and Shetterly are the director and author, respectively of the movie and book “Hidden Figures”, which highlights a group of female NASA mathematicians that made critical calculations for historic spaceflights in the early days of the space program. The award recognizes non-Government individuals for significant specific achievement or substantial improvement in operations, efficiency, service, financial savings, science, or technology, which contributes to the mission of NASA.</t>
  </si>
  <si>
    <t>TNPXr4Pgd2M</t>
  </si>
  <si>
    <t>2017 02 11</t>
  </si>
  <si>
    <t>https://youtu.be/s7vLo2Ic4ZE</t>
  </si>
  <si>
    <t>African American Pioneers in Aviation and Space</t>
  </si>
  <si>
    <t>Each February, the Smithsonian National Air and Space Museum celebrates the significant contributions African Americans have made to flight and space exploration despite the overwhelming obstacles they had to overcome. This event, which occurred Feb. 11 at the museum in Washington, DC features NASA astronaut Victor Glover.</t>
  </si>
  <si>
    <t>s7vLo2Ic4ZE</t>
  </si>
  <si>
    <t>2017 02 10</t>
  </si>
  <si>
    <t>https://youtu.be/_kuId9fC8SA</t>
  </si>
  <si>
    <t>Michoud Recovering From Tornado on This Week @NASA – February 10, 2017</t>
  </si>
  <si>
    <t>Recovery efforts are underway at NASA’s Michoud Assembly Facility in New Orleans, which was hit by a tornado Feb. 7. In accounting for all 3,500 employees at the facility, officials reported five suffered minor injuries. Buildings, structures and parked cars sustained damage, but there was no reported damage to hardware for NASA’s Space Launch System (SLS) rocket, Orion spacecraft, or the barge Pegasus docked at Michoud. NASA will release updates on the facility’s status as they become available. Also, SpaceX Launch Targeted for Mid-February, SLS Booster Hardware Arrives at KSC, and NASA Aerospace Days!</t>
  </si>
  <si>
    <t>_kuId9fC8SA</t>
  </si>
  <si>
    <t>2017 02 09</t>
  </si>
  <si>
    <t>https://youtu.be/5YSFgSEzufE</t>
  </si>
  <si>
    <t>Tornado Recovery Ongoing at NASA’s Michoud Assembly Facility, New Orleans LA</t>
  </si>
  <si>
    <t>Teams at NASA’s Michoud Assembly Facility in New Orleans are continuing with recovery efforts following a tornado strike at the facility Tuesday, Feb. 7. Michoud remains closed to all but security and emergency operations crews. For more than half a century, Michoud has been the space agency’s premiere site for manufacturing and assembly of large-scale space structures and systems.</t>
  </si>
  <si>
    <t>5YSFgSEzufE</t>
  </si>
  <si>
    <t>https://youtu.be/9XtVQn9kcYM</t>
  </si>
  <si>
    <t>Aboard the International Space Station, Expedition 50 Flight Engineer Peggy Whitson discussed life and research aboard the orbital laboratory during an in-flight educational event Feb. 9 with students from the Weslaco, Texas Independent School District. Whitson, who launched to the station last November, will surpass the record of most days in space by a U.S. astronaut – 534 days --- held by NASA’s Jeff Williams, on April 24 during this, her third flight into space.</t>
  </si>
  <si>
    <t>9XtVQn9kcYM</t>
  </si>
  <si>
    <t>2017 02 07</t>
  </si>
  <si>
    <t>https://youtu.be/qIGt7mFk7as</t>
  </si>
  <si>
    <t>NASA's Michoud Assembly Facility Impacted by Tornado</t>
  </si>
  <si>
    <t>At 11:25 a.m. CST Feb. 7, a tornado impacted NASA’s Michoud Assembly Facility in New Orleans. At this time, only minor injuries have been reported and NASA employees and other tenants are being accounted for. There is still a threat of severe weather in the area and emergency officials are continuing to monitor the situation to ensure the safety of onsite personnel. The onsite Michoud emergency response team is also conducting damage assessments of buildings and facilities.</t>
  </si>
  <si>
    <t>qIGt7mFk7as</t>
  </si>
  <si>
    <t>https://youtu.be/puXeQa8LFHM</t>
  </si>
  <si>
    <t>Space Station Crew Member Discusses Life in Space and Role Model Responsibilities</t>
  </si>
  <si>
    <t>Aboard the International Space Station, Expedition 50 Flight Engineer Peggy Whitson of NASA discussed her work and research on the orbital laboratory and her perception of herself as a role model during a pair of in-flight interviews Feb. 7 with the CBS Evening News and WFTV-TV, Orlando, Florida. Whitson, who launched to the station last November, will surpass the record of most days in space by a U.S. astronaut – 534 days --- held by NASA’s Jeff Williams, on April 24 during this, her third flight into space.</t>
  </si>
  <si>
    <t>puXeQa8LFHM</t>
  </si>
  <si>
    <t>2017 02 03</t>
  </si>
  <si>
    <t>https://youtu.be/xfL2FVHoeZQ</t>
  </si>
  <si>
    <t>Juno’s Latest Close Flyby of Jupiter on This Week @NASA – February 3, 2017</t>
  </si>
  <si>
    <t>NASA’s Juno spacecraft made its latest close flyby of Jupiter Feb. 2 -- passing about 2,700 miles above the planet’s clouds. This was the fourth close flyby since Juno began orbiting Jupiter last year on July 4. During these close passes instruments on the spacecraft probe beneath the cloud cover to collect scientific data about the planet's structure, atmosphere and magnetosphere. This information could help us better understand the planetary systems being discovered around other stars. Also, Cassini Sees Saturn’s Rings in Greater Detail, The Most Extreme Blazars, NASA at Super Bowl Event, NASA at NBA Black Heritage Celebration, and
Day of Remembrance!</t>
  </si>
  <si>
    <t>xfL2FVHoeZQ</t>
  </si>
  <si>
    <t>2017 02 01</t>
  </si>
  <si>
    <t>https://youtu.be/Jp4ZsNobZ2o</t>
  </si>
  <si>
    <t>Space Station Crew Discusses Life in Space with Social Media Attendees</t>
  </si>
  <si>
    <t>Aboard the International Space Station, Expedition 50 Commander Shane Kimbrough and Flight Engineer Peggy Whitson of NASA discussed life and research aboard the orbital laboratory during a question and answer session Feb. 1 with social media users and traditional media at Space Center Houston, the visitor’s center next door to the Johnson Space Center in Houston. The event was part of a behind the scenes tour of Johnson leading up to Super Bowl LI in Houston.</t>
  </si>
  <si>
    <t>Jp4ZsNobZ2o</t>
  </si>
  <si>
    <t>2017 01 30</t>
  </si>
  <si>
    <t>https://youtu.be/6U5N_uEn2Ko</t>
  </si>
  <si>
    <t>NASA's Day of Remembrance</t>
  </si>
  <si>
    <t>On January 31, 2017, NASA observed its annual Day of Remembrance to commemorate the crews of Apollo 1, and space shuttles Challenger and Columbia, as well as other members of the NASA family who lost their lives furthering the cause of exploration. This year also marks the 50th anniversary of the accidental fire, that occurred inside an Apollo spacecraft on the launch pad at Cape Kennedy, that tragically claimed the lives of Apollo 1 astronauts, Virgil Grissom, Edward White and Roger Chaffee.</t>
  </si>
  <si>
    <t>6U5N_uEn2Ko</t>
  </si>
  <si>
    <t>2017 01 27</t>
  </si>
  <si>
    <t>https://youtu.be/7X1qZmmP2mw</t>
  </si>
  <si>
    <t>Day of Remembrance -- Apollo 1</t>
  </si>
  <si>
    <t>On Jan. 27, 1967, the three Apollo 1 astronauts -- Gus Grissom, Ed White II and Roger Chaffee -- were preparing for what was to be the first manned Apollo flight. The astronauts were sitting atop the launch pad for a pre-launch test when a fire broke out in their Apollo capsule. The investigation into the fatal accident led to major design and engineering changes, making the Apollo spacecraft safer for the coming journeys to the moon.</t>
  </si>
  <si>
    <t>7X1qZmmP2mw</t>
  </si>
  <si>
    <t>https://youtu.be/mfjx2ZN6vU4</t>
  </si>
  <si>
    <t>New Suits for Commercial Crew Astronauts on This Week @NASA – January 27, 2017</t>
  </si>
  <si>
    <t>When NASA’s Commercial Crew Astronauts make their first trip to the International Space Station aboard Boeing’s Starliner spacecraft, they’ll be outfitted in new custom-designed spacesuits. Astronauts Eric Boe and Suni Williams tried on the new suits, which were unveiled Jan. 25. In addition to meeting NASA’s requirements for safety and functionality, the new design weighs less and is more comfortable than earlier versions. Also, Expedition 52/53 News Conference, Cargo Ship Departs the ISS, 50th Anniversary of Apollo 1 Fire and more!</t>
  </si>
  <si>
    <t>mfjx2ZN6vU4</t>
  </si>
  <si>
    <t>https://youtu.be/CRXnExLzapA</t>
  </si>
  <si>
    <t>New Apollo 1 Tribute Opened at Kennedy Space Center Visitor Complex</t>
  </si>
  <si>
    <t>On Jan. 27, a public ceremony was held at the Kennedy Space Center Visitor Complex to mark the official opening of an Apollo 1 tribute at the Apollo/Saturn V Center located in the visitor complex. Jan. 27 was the 50-year anniversary of the accidental fire that occurred inside the Apollo 1 spacecraft on the launch pad at Cape Kennedy – tragically claiming the lives of astronauts Virgil Grissom, Edward White and Roger Chaffee. The investigation of the accident led to major design and safety improvements of the Apollo spacecraft for the coming journeys to the moon.</t>
  </si>
  <si>
    <t>CRXnExLzapA</t>
  </si>
  <si>
    <t>https://youtu.be/Aw6MD_KSQDU</t>
  </si>
  <si>
    <t>Japanese Cargo Ship Departs the ISS</t>
  </si>
  <si>
    <t>After a six and half week stay at the International Space Station, the Japanese “Kounotori” H-II Transfer Vehicle cargo ship (HTV-6) departed the complex Jan. 27, headed for deorbit where it will burn up during reentry into Earth’s atmosphere over the Pacific Ocean in early February. The Japan Aerospace Exploration Agency launched the HTV-6 from the Tanegashima Space Center in southern Japan Dec. 9. It arrived at the station Dec. 13, carrying more than five tons of supplies, experiments and six new lithium-ion batteries and adapter plates to upgrade the station’s power system – which were installed earlier this month over two spacewalks.</t>
  </si>
  <si>
    <t>Aw6MD_KSQDU</t>
  </si>
  <si>
    <t>2017 01 26</t>
  </si>
  <si>
    <t>https://youtu.be/M0v9Vtu3KII</t>
  </si>
  <si>
    <t>Space Station Commander Talks with Oklahoma Students</t>
  </si>
  <si>
    <t>Aboard the International Space Station, Expedition 50 Commander Shane Kimbrough of NASA discussed life and research in orbit during an in-flight educational event Jan. 26 with students from Jenks Public Schools in Tulsa, Oklahoma. Kimbrough is in the midst of a mission that began with his launch last October to the station on a Russian Soyuz spacecraft.</t>
  </si>
  <si>
    <t>M0v9Vtu3KII</t>
  </si>
  <si>
    <t>https://youtu.be/v2cmgdBtkeA</t>
  </si>
  <si>
    <t>Kennedy Space Center Pays Tribute to NASA’s Fallen Heroes</t>
  </si>
  <si>
    <t>On Jan. 26, a live tribute was held at the Kennedy Space Center visitor complex in honor of the crews of Apollo 1, and the space shuttles Challenger and Columbia, as well as other NASA colleagues who lost their lives for the cause of exploration.</t>
  </si>
  <si>
    <t>v2cmgdBtkeA</t>
  </si>
  <si>
    <t>2017 01 25</t>
  </si>
  <si>
    <t>https://youtu.be/Zag-n8Iw5yQ</t>
  </si>
  <si>
    <t>NASA Hosts News Conference, Interviews with Next Space Station Crew</t>
  </si>
  <si>
    <t>NASA astronaut Randy Bresnik, Paolo Nespoli of ESA (European Space Agency), and Sergey Ryazanskiy of the Russian space agency Roscosmos, who are scheduled to launch to the International Space Station in late spring, participated in a news conference Jan. 25, at the agency’s Johnson Space Center in Houston.
This will be Bresnik’s second trip to the space station, the second expedition for Ryazanskiy, and Nespoli’s third trip to the space station. They will be part of Expeditions 52 and 53.</t>
  </si>
  <si>
    <t>Zag-n8Iw5yQ</t>
  </si>
  <si>
    <t>https://youtu.be/tBSMsI4bsmo</t>
  </si>
  <si>
    <t>STEM in 30 - The Biology of Long-Term Spaceflight</t>
  </si>
  <si>
    <t>The Smithsonian National Air and Space Museum’s STEM in 30 series of live, fast-paced, 30-minute webcasts are designed to increase interest and engagement in STEM for students. This episode looks at the continued research on the International Space Station, aimed at better understanding how long-term spaceflight affects the human body. This is an important step toward safely sending humans to Mars.</t>
  </si>
  <si>
    <t>tBSMsI4bsmo</t>
  </si>
  <si>
    <t>https://youtu.be/Cp4aEsSB7K0</t>
  </si>
  <si>
    <t>NASA Television Provides Coverage of Service Celebrating Life, Legacy of Eugene Cernan</t>
  </si>
  <si>
    <t>NASA Television provided live coverage of the Jan. 24 funeral service at Houston’s St. Martin’s Episcopal Church, celebrating the life and legacy of NASA astronaut and U.S. Navy Capt. Eugene A. Cernan. The former Gemini and Apollo astronaut died Jan. 16 at the age of 82.
Cernan left his mark on the history of exploration by flying three times in space, twice to the moon. He also holds the distinction of being the second American to walk in space and the last human to leave his footprints on the lunar surface.</t>
  </si>
  <si>
    <t>Cp4aEsSB7K0</t>
  </si>
  <si>
    <t>2017 01 24</t>
  </si>
  <si>
    <t>https://youtu.be/ZGc91NuZiUU</t>
  </si>
  <si>
    <t>Space Station Crew Member Discusses Life in Space with European Students</t>
  </si>
  <si>
    <t>Aboard the International Space Station, Expedition 50 Flight Engineer Thomas Pesquet of ESA (European Space Agency) discussed his mission, the spacewalk he conducted Jan. 13 and research on the complex during an in-flight question and answer session Jan. 24 with students attending an event for the European Space Education Resource Office. Pesquet is in the midst of a mission that began last November with his launch to the station on a Russian Soyuz spacecraft.</t>
  </si>
  <si>
    <t>ZGc91NuZiUU</t>
  </si>
  <si>
    <t>2017 01 19</t>
  </si>
  <si>
    <t>https://youtu.be/mD-I6Gq6eZc</t>
  </si>
  <si>
    <t>Warmest Global Temperature on Record on This Week @NASA – January 20, 2017</t>
  </si>
  <si>
    <t>NASA and the National Oceanic and Atmospheric Administration (NOAA) announced on Jan. 18, that global surface temperatures in 2016 were the warmest since modern record keeping began in 1880. The finding was based on results of independent analyses by both agencies. According to analysis by scientists at NASA’s Goddard Institute for Space Studies (GISS) in New York, 2016 is the third year in a row to set a new record for global average surface temperatures, further demonstrating a long-term warming trend. Also, Cygnus Cargo Module Arrives at KSC, Up in 30 Seconds, and Remembering Gene Cernan.</t>
  </si>
  <si>
    <t>mD-I6Gq6eZc</t>
  </si>
  <si>
    <t>https://youtu.be/TdvND-cYINQ</t>
  </si>
  <si>
    <t>Space Station Crew Member Discusses Life in Space with Iowa Media</t>
  </si>
  <si>
    <t>Aboard the International Space Station, Expedition 50 Flight Engineer Peggy Whitson of NASA discussed life and research on the orbital outpost during an in-flight interview Jan. 19 with Iowa Public Television in Johnston, Iowa. Whitson, who will become commander of the station during Expedition 51 in the spring, will break the record for most days in space by a U.S. astronaut – 534 days – on April 24.</t>
  </si>
  <si>
    <t>TdvND-cYINQ</t>
  </si>
  <si>
    <t>2017 01 18</t>
  </si>
  <si>
    <t>https://youtu.be/zbODBcnVQ7w</t>
  </si>
  <si>
    <t>Aboard the International Space Station, Expedition 50 Flight Engineer Thomas Pesquet of the European Space Agency discussed the spacewalk he conducted Jan. 13 and other aspects of life and work on orbit during an in-flight interview Jan. 18 with European broadcast outlet France 2. Pesquet is in the midst of a mission on the orbital laboratory that began with his launch on a Russian Soyuz spacecraft last November.</t>
  </si>
  <si>
    <t>zbODBcnVQ7w</t>
  </si>
  <si>
    <t>2017 01 17</t>
  </si>
  <si>
    <t>https://youtu.be/zhsH3MB11Vg</t>
  </si>
  <si>
    <t>NASA Administrator Bolden Remembers Gene Cernan</t>
  </si>
  <si>
    <t>NASA Administrator Charles Bolden shared his thoughts on the life and legacy of Gemini and Apollo astronaut Gene Cernan, who passed away on Jan. 16 at the age of 82.
Cernan flew on three separate space missions. He was the second American to walk in space as the pilot on Gemini IX; ventured to the moon on Apollo 10, the pathfinder for the first lunar landing; and as commander of Apollo 17, Cernan holds the distinction of being the last person to leave his footprints on the surface of the moon.</t>
  </si>
  <si>
    <t>zhsH3MB11Vg</t>
  </si>
  <si>
    <t>2017 01 16</t>
  </si>
  <si>
    <t>https://youtu.be/PPgc0MbMB84</t>
  </si>
  <si>
    <t>NASA Reflects on Legacy of Gene Cernan, Last Man to Walk on Moon</t>
  </si>
  <si>
    <t>Former NASA astronaut Eugene Cernan, the last man to walk on the moon, died Monday, Jan. 16, following ongoing health issues, according to a statement from his family.
"It is with very deep sadness that we share the loss of our beloved husband and father,” said Cernan’s family.  “Our family is heartbroken, of course, and we truly appreciate everyone's thoughts and prayers. Gene, as he was known by so many, was a loving husband, father, grandfather, brother and friend.”
“Even at the age of 82, Gene was passionate about sharing his desire to see the continued human exploration of space and encouraged our nation's leaders and young people to not let him remain the last man to walk on the Moon," the family continued.
Cernan, a Captain in the U.S. Navy, left his mark on the history of exploration by flying three times in space, twice to the moon. He also holds the distinction of being the second American to walk in space and the last human to leave his footprints on the lunar surface.
The following is a statement from NASA Administrator Charles Bolden on the passing of the Gemini and Apollo astronaut:
“Gene Cernan, Apollo astronaut and the last man to walk on the moon, has passed from our sphere, and we mourn his loss. Leaving the moon in 1972, Cernan said, ‘As I take these last steps from the surface for some time into the future to come, I’d just like to record that America’s challenge of today has forged man’s destiny of tomorrow.’ Truly, America has lost a patriot and pioneer who helped shape our country's bold ambitions to do things that humankind had never before achieved.”
According to the family, details regarding services will be announced in the coming days.
Note: package may include some silent video.</t>
  </si>
  <si>
    <t>PPgc0MbMB84</t>
  </si>
  <si>
    <t>2017 01 13</t>
  </si>
  <si>
    <t>https://youtu.be/9lInMFHKlIM</t>
  </si>
  <si>
    <t>Space Station Spacewalkers Continue Power Upgrades on Orbital Outpost</t>
  </si>
  <si>
    <t>Outside the International Space Station, Expedition 50 Commander Shane Kimbrough of NASA and Flight Engineer Thomas Pesquet of the European Space Agency conducted a spacewalk in U.S. spacesuits to upgrade the system for the 1A power channel of the orbital laboratory’s starboard 4 (S4) truss solar arrays. Moving adapter plates and batteries, Kimbrough completed the work to hook up electrical connections for the last three of six new lithium-ion batteries recently delivered to the station, and to move the last of the old nickel-hydrogen batteries that will be stored on the station. It was the second spacewalk in a week for Kimbrough and the fourth of his career, and the first for Pesquet in the refurbishment of two of the station’s eight power channels. On Jan. 6, Kimbrough and Flight Engineer Peggy Whitson of NASA conducted similar work for the 3A power channel of the station’s S4 solar arrays.</t>
  </si>
  <si>
    <t>9lInMFHKlIM</t>
  </si>
  <si>
    <t>https://youtu.be/3DjWsQRoZ2g</t>
  </si>
  <si>
    <t>NASA Modern Figure  Lizalyn Smith</t>
  </si>
  <si>
    <t>How has the story of Katherine Johnson impacted the career of modern aerospace engineer Lizalyn Smith?
https://www.nasa.gov/modernfigures</t>
  </si>
  <si>
    <t>3DjWsQRoZ2g</t>
  </si>
  <si>
    <t>https://youtu.be/HfrAoR_xeTk</t>
  </si>
  <si>
    <t>Another Powerful Spacewalk on This Week @NASA – January 13, 2017</t>
  </si>
  <si>
    <t>Outside the International Space Station, Expedition 50 Commander Shane Kimbrough of NASA and Flight Engineer Thomas Pesquet of the European Space Agency conducted a spacewalk on Jan. 13, to complete an upgrade that included installing adapter plates and hooking up electrical connections for six new lithium-ion batteries, which were delivered to the station in December. Kimbrough and fellow NASA astronaut Peggy Whitson began the upgrade work during a spacewalk on Jan. 6. Also, NASA at SciTech 2017, Testing How the SLS Deals with Shock, New Earth Science Field Experiments, and NASA Sees Storms Affecting the Western U.S.</t>
  </si>
  <si>
    <t>HfrAoR_xeTk</t>
  </si>
  <si>
    <t>https://youtu.be/ta907wQlllQ</t>
  </si>
  <si>
    <t>NASA Celebrates Martin Luther King, Jr. Day</t>
  </si>
  <si>
    <t>NASA honors the legacy of Martin Luther King, Jr.</t>
  </si>
  <si>
    <t>ta907wQlllQ</t>
  </si>
  <si>
    <t>https://youtu.be/b4n72ceDdVA</t>
  </si>
  <si>
    <t>NASA Modern Figure  Ruth Jones</t>
  </si>
  <si>
    <t>Want a tip on becoming a success in a STEM field? Love what you do and find passion in your work. 
https://www.nasa.gov/modernfigures</t>
  </si>
  <si>
    <t>b4n72ceDdVA</t>
  </si>
  <si>
    <t>2017 01 12</t>
  </si>
  <si>
    <t>https://youtu.be/Uw8E26uS6Xs</t>
  </si>
  <si>
    <t>Charles Bolden  Past 8 Years</t>
  </si>
  <si>
    <t>Today we celebrate the career of NASA Administrator Charles Bolden with a retrospective narrated by LeVar Burton.
#NASAPast8Years</t>
  </si>
  <si>
    <t>Uw8E26uS6Xs</t>
  </si>
  <si>
    <t>2017 01 11</t>
  </si>
  <si>
    <t>https://youtu.be/vIrUL0p25s0</t>
  </si>
  <si>
    <t>Station Crew Member Discusses Life in Space with French Media</t>
  </si>
  <si>
    <t>Aboard the International Space Station, Expedition 50 Flight Engineer Thomas Pesquet of ESA (European Space Agency) discussed life and work aboard the orbital laboratory with French media outlets Europe 1 and M6 in a pair of in-flight interviews Jan. 11. Pesquet, who launched to the station aboard a Russian Soyuz spacecraft last November, is scheduled to conduct the first spacewalk of his career Jan. 13 with station Commander Shane Kimbrough of NASA to assist in the upgrade of the power systems on the orbital outpost.</t>
  </si>
  <si>
    <t>vIrUL0p25s0</t>
  </si>
  <si>
    <t>2017 01 10</t>
  </si>
  <si>
    <t>https://youtu.be/OGuaYnHw4tk</t>
  </si>
  <si>
    <t>Space Station Commander Discusses Life in Space with Students from Former School</t>
  </si>
  <si>
    <t>Aboard the International Space Station, Expedition 50 Commander Shane Kimbrough of NASA discussed life and work aboard the orbital laboratory during an in-flight educational event Jan. 10 with students from the Lovett School in Atlanta, Georgia. Kimbrough, who launched to the station last October, graduated from the school in 1985. Kimbrough completed the first of two spacewalks Jan. 6 to help upgrade the station’s power systems, the second of which is scheduled for Jan. 13. He plans to return to Earth aboard a Russian Soyuz spacecraft in late February.</t>
  </si>
  <si>
    <t>OGuaYnHw4tk</t>
  </si>
  <si>
    <t>2017 01 06</t>
  </si>
  <si>
    <t>https://youtu.be/xPF4sJsiFaQ</t>
  </si>
  <si>
    <t>Space Station Power Upgrade on This Week @NASA – January 6, 2017</t>
  </si>
  <si>
    <t>On Jan. 6, Expedition 50 Commander Shane Kimbrough and Flight Engineer Peggy Whitson of NASA conducted the first of two planned spacewalks outside the International Space Station to upgrade the station’s power system. Kimbrough and Whitson began installation of adapter plates and completing electrical connections for six new lithium-ion batteries, which arrived in December. Kimbrough will venture outside the station again on Jan. 13 with Flight Engineer Thomas Pesquet of ESA (European Space Agency) to continue and complete the upgrade. Also, New Discovery Missions, NASA Astrophysics Mission Discussed at AAS, and Tracing the 2017 Solar Eclipse!</t>
  </si>
  <si>
    <t>xPF4sJsiFaQ</t>
  </si>
  <si>
    <t>https://youtu.be/Q3-mK7VSma4</t>
  </si>
  <si>
    <t>Space Station Crew Members Conduct a Spacewalk for Battery Replacement on the Outpost</t>
  </si>
  <si>
    <t>On the International Space Station, Expedition 50 Commander Shane Kimbrough and Flight Engineer Peggy Whitson of NASA floated outside the Quest airlock for a spacewalk to complete half of the work involved to swap out nickel-hydrogen batteries on the station’s truss with new lithium-ion batteries. Kimbrough and Whitson installed adapter plates on the truss and hooked up electrical cables as part of a complex robotics and spacewalk plan to shore up the station’s power supply for the future. It was the third spacewalk of Kimbrough’s career and the seventh for Whitson, who equaled the mark for most spacewalks by a woman previously set by NASA’s Suni Williams. Kimbrough will venture outside the station again on Jan. 13 with Flight Engineer Thomas Pesquet of ESA (European Space Agency) to continue and complete the battery work.</t>
  </si>
  <si>
    <t>Q3-mK7VSma4</t>
  </si>
  <si>
    <t>2017 01 05</t>
  </si>
  <si>
    <t>https://youtu.be/hVmX7-GOPiU</t>
  </si>
  <si>
    <t>NASA Modern Figure  Andrea Razzaghi</t>
  </si>
  <si>
    <t>Good advice: Don’t let the lack of confidence hide your true potential.
https://www.nasa.gov/modernfigures</t>
  </si>
  <si>
    <t>hVmX7-GOPiU</t>
  </si>
  <si>
    <t>https://youtu.be/hhd19ZPy4Pc</t>
  </si>
  <si>
    <t>NASA Sharing Discoveries at Annual Meeting of the American Astronomical Society</t>
  </si>
  <si>
    <t>NASA scientists are presenting exciting new findings on a wide range of topics in the field of astrophysics during the American Astronomical Society's (AAS) 229th annual meeting, Jan. 3-7 at the Gaylord Texan Resort &amp; Convention Center in Grapevine, Texas. During the five-day meeting, NASA scientists and their colleagues are presenting briefings on noteworthy discoveries -- made possible by NASA's astrophysics spacecraft -- including new findings on black holes and comets outside our solar system. NASA is also providing updates on the agency’s astrophysics missions and engaging the public and students interested in astrophysics.</t>
  </si>
  <si>
    <t>hhd19ZPy4Pc</t>
  </si>
  <si>
    <t>2017 01 04</t>
  </si>
  <si>
    <t>https://youtu.be/LuUncJgH-YA</t>
  </si>
  <si>
    <t>NASA Previews Spacewalks to Upgrade ISS Power System</t>
  </si>
  <si>
    <t>On Jan. 4, NASA held a press briefing at the agency’s Johnson Space Center in Houston to preview a pair of planned spacewalks to perform a complex upgrade to the International Space Station’s power system. NASA’s Shane Kimbrough and Peggy Whitson will conduct the spacewalk on Jan. 6. The second spacewalk, on Jan. 13, will be performed by Kimbrough and Thomas Pesquet of ESA (European Space Agency). Working on the right side truss of the space station, the crew members will install adapter plates and hook up electrical connections for six new lithium-ion batteries that were delivered to the station in December.</t>
  </si>
  <si>
    <t>LuUncJgH-YA</t>
  </si>
  <si>
    <t>https://youtu.be/nYdCU1QQQro</t>
  </si>
  <si>
    <t>NASA’s New Discovery Missions</t>
  </si>
  <si>
    <t>On Jan. 4, NASA announced the selection of two missions to explore previously unexplored asteroids. The first mission, called Lucy, will study asteroids, known as Trojan asteroids, trapped by Jupiter’s gravity. The Psyche mission will explore a very large and rare object in the solar system’s asteroid belt that’s made of metal, and scientists believe might be the exposed core of a planet that lost its rocky outer layers from a series of violent collisions. Lucy is targeted for launch in 2021 and Psyche in 2023. Both missions have the potential to open new windows on one of the earliest eras in the history of our solar system – a time less than 10 million years after the birth of our sun.</t>
  </si>
  <si>
    <t>nYdCU1QQQro</t>
  </si>
  <si>
    <t>2017 01 03</t>
  </si>
  <si>
    <t>https://youtu.be/unnoeVghr5c</t>
  </si>
  <si>
    <t>Space Station Crew Members Discuss Upcoming Spacewalks and Life in Space</t>
  </si>
  <si>
    <t>Aboard the International Space Station, Expedition 50 Commander Shane Kimbrough and Flight Engineer Peggy Whitson of NASA discussed upcoming spacewalk activity associated with the replacement of batteries on the station’s truss and other aspects of life and research on the orbital laboratory during a pair of in-flight interviews Jan. 3 with the Associated Press and the CBS Radio Network. Kimbrough and Whitson will venture outside the station’s Quest airlock Jan. 6 to install adapter plates and hook up electrical cables as part of complex robotics and spacewalk tasks to replace nickel-hydrogen batteries on the station’s right side truss with new lithium-ion batteries. Kimbrough will conduct a second spacewalk on Jan. 13 with Thomas Pesquet of ESA (European Space Agency) to continue the work.</t>
  </si>
  <si>
    <t>unnoeVghr5c</t>
  </si>
  <si>
    <t>2017 01 01</t>
  </si>
  <si>
    <t>https://youtu.be/tBDKqbCV0RM</t>
  </si>
  <si>
    <t>Happy New Year from NASA</t>
  </si>
  <si>
    <t>From all of us at NASA, here is wishing you a Happy New Year.</t>
  </si>
  <si>
    <t>tBDKqbCV0RM</t>
  </si>
  <si>
    <t>2016 12 29</t>
  </si>
  <si>
    <t>https://youtu.be/QU8NfXmbMZc</t>
  </si>
  <si>
    <t>NASA Modern Figure  Antja Chambers</t>
  </si>
  <si>
    <t>Antja Chambers is the Ammonia Emergency Response Project Manager at Johnson Space Center. See her reaction to the story told in the book and film "Hidden Figures".
For more information, visit: https://www.nasa.gov/modernfigures</t>
  </si>
  <si>
    <t>QU8NfXmbMZc</t>
  </si>
  <si>
    <t>https://youtu.be/sc7TGp2Fhls</t>
  </si>
  <si>
    <t>NASA Modern Figure  Jeanette Epps</t>
  </si>
  <si>
    <t>NASA Astronaut Jeanette Epps gives a little advice on moving forward in a STEM career.
Find out more about NASA's Modern Figures at:
https://www.nasa.gov/modernfigures</t>
  </si>
  <si>
    <t>sc7TGp2Fhls</t>
  </si>
  <si>
    <t>2016 12 28</t>
  </si>
  <si>
    <t>https://youtu.be/cTULoZggpcw</t>
  </si>
  <si>
    <t>NASA 2017 - Building the Future</t>
  </si>
  <si>
    <t>NASA looks forward to 2017.
For more information on NASA in 2016 and beyond, visit:
https://www.nasa.gov/press-release/nasa-reveals-the-unknown-in-2016</t>
  </si>
  <si>
    <t>cTULoZggpcw</t>
  </si>
  <si>
    <t>2016 12 27</t>
  </si>
  <si>
    <t>https://youtu.be/DfjLNULOz20</t>
  </si>
  <si>
    <t>Space Station Crewmembers Discuss Life in Space with Reporters in Iowa and Texas</t>
  </si>
  <si>
    <t>Aboard the International Space Station, Expedition 50 Flight Engineer Peggy Whitson and ISS Commander Shane Kimbrough of NASA discussed the progress of their mission and research on the orbital laboratory during a pair of in-flight interviews Dec. 27 with KCRG-TV in Cedar Rapids, Iowa and KTBC-TV in Austin, Texas. Whitson is a native of Beaconsfield, Iowa, while Kimbrough was born in Killeen, Texas.</t>
  </si>
  <si>
    <t>DfjLNULOz20</t>
  </si>
  <si>
    <t>2016 12 22</t>
  </si>
  <si>
    <t>https://youtu.be/1NrqBe_xm-w</t>
  </si>
  <si>
    <t>NASA Modern Figure  Kimberly Ennix-Sandhu</t>
  </si>
  <si>
    <t>The study of Science, Technology, Engineering and Mathematics is what we call STEM education. Learn more about Katherine Johnson's STEM education at https://www.nasa.gov/modernfigures.</t>
  </si>
  <si>
    <t>1NrqBe_xm-w</t>
  </si>
  <si>
    <t>https://youtu.be/UWCUGDm8NvM</t>
  </si>
  <si>
    <t>NASA facilities are spread through out the United States; and provide guidance, leadership, and work for the Space Agency.
To you and yours, the NASA family sends our warmest wishes for a wonderful holiday season.</t>
  </si>
  <si>
    <t>UWCUGDm8NvM</t>
  </si>
  <si>
    <t>https://youtu.be/3_rbhRCXQhg</t>
  </si>
  <si>
    <t>Aboard the International Space Station, Expedition 50 Flight Engineer Peggy Whitson of NASA discussed her latest mission on the orbital complex in an in-flight interview Dec. 22 with Radio Iowa. Whitson, who is a native of Iowa, is in the midst of her third long-duration flight on the station, having already amassed more time in space than any other woman in history.</t>
  </si>
  <si>
    <t>3_rbhRCXQhg</t>
  </si>
  <si>
    <t>2016 12 21</t>
  </si>
  <si>
    <t>https://youtu.be/3mrSJoogdyw</t>
  </si>
  <si>
    <t>The Stars of Passengers Quiz NASA Scientist</t>
  </si>
  <si>
    <t>NASA Scientist Tiffany Kataria drops in on Jennifer Lawrence, Chris Pratt and Michael Sheen for a fun, not so serious chat about science fiction, other worlds and time travel???</t>
  </si>
  <si>
    <t>3mrSJoogdyw</t>
  </si>
  <si>
    <t>2016 12 20</t>
  </si>
  <si>
    <t>https://youtu.be/DsSRWM85y7s</t>
  </si>
  <si>
    <t>Space Station Crew Celebrates the Holidays Aboard the Orbital Lab</t>
  </si>
  <si>
    <t>Aboard the International Space Station, Expedition 50 Commander Shane Kimbrough and Peggy Whitson of NASA and Thomas Pesquet of the European Space Agency discussed their thoughts about being in space during the holidays and how they plan to celebrate Christmas and New Year’s in a downlink message recorded Dec. 12. Kimbrough arrived on the complex in October, followed a month later by Whitson and Pesquet.</t>
  </si>
  <si>
    <t>DsSRWM85y7s</t>
  </si>
  <si>
    <t>2016 12 19</t>
  </si>
  <si>
    <t>https://youtu.be/7Pu5MizzFP0</t>
  </si>
  <si>
    <t>Space Station Commander Talks About his Mission with his Alma Mater</t>
  </si>
  <si>
    <t>Aboard the International Space Station, Expedition 50 Commander Shane Kimbrough of NASA discussed life and research on the orbital laboratory during an in-flight interview Dec. 19 with Georgia Institute of Technology. Kimbrough graduated from Georgia Institute of Technology in 1998 with a Master of Science degree in Operations Research. Kimbrough is in the midst of a four-month mission aboard the station after launching to the complex in October aboard a Russian Soyuz spacecraft.</t>
  </si>
  <si>
    <t>7Pu5MizzFP0</t>
  </si>
  <si>
    <t>2016 12 18</t>
  </si>
  <si>
    <t>https://youtu.be/hqICEGWow98</t>
  </si>
  <si>
    <t>Live Coverage of John Glenn Memorial</t>
  </si>
  <si>
    <t>NASA Television covered The Ohio State University’s public celebration of John Glenn’s life on Dec. 17, at the university’s Mershon Auditorium. The former NASA astronaut and U.S. Senator passed away Dec. 8 at the age of 95. Glenn, a decorated U.S. marine, was the first American to orbit Earth and, much later in life, became the oldest person to travel to space. Glenn was a longtime supporter of Ohio State and its students. He was a University Honors Distinguished Fellow, chaired the college’s board of directors, and was an adjunct professor in both the Department of Political Science and the School of Public Policy and Management.</t>
  </si>
  <si>
    <t>hqICEGWow98</t>
  </si>
  <si>
    <t>https://youtu.be/JjoKF6M_37M</t>
  </si>
  <si>
    <t>Ohio Service Celebrates Life of Late Former NASA Astronaut and U. S. Senator, John Glenn</t>
  </si>
  <si>
    <t>The Ohio State University hosted a public celebration of John Glenn’s life on Dec. 17, at the university’s Mershon Auditorium. The former NASA astronaut and U.S. Senator passed away Dec. 8 at the age of 95. Glenn, a decorated U.S. marine, was the first American to orbit Earth and, much later in life, became the oldest person to travel to space. He represented Ohio in the U.S. Senate from 1974-1997.
Glenn was a longtime supporter of Ohio State and its students. Upon his retirement from the U.S. Senate, he donated his personal and senate papers and other artifacts to the university. That donation grew into the John Glenn College of Public Affairs. Glenn took an active interest in the Glenn College. He was a University Honors Distinguished Fellow, chaired the college’s board of directors, and was an adjunct professor in both the Department of Political Science and the School of Public Policy and Management.</t>
  </si>
  <si>
    <t>JjoKF6M_37M</t>
  </si>
  <si>
    <t>2016 12 17</t>
  </si>
  <si>
    <t>https://youtu.be/CbtufKt1sSM</t>
  </si>
  <si>
    <t>Dec. 17 John Glenn Celebration of Life Service-Additional Footage</t>
  </si>
  <si>
    <t>Additional scenes captured by NASA Television from the Dec. 17 service at The Ohio State University's Mershon Auditorium, celebrating the life of John Glenn.</t>
  </si>
  <si>
    <t>CbtufKt1sSM</t>
  </si>
  <si>
    <t>https://youtu.be/E0gaG1aNvkE</t>
  </si>
  <si>
    <t>NASA Administrator, other Officials Pay Respects at John Glenn Viewing</t>
  </si>
  <si>
    <t>NASA Administrator Charles Bolden joined U.S. Secretary of State John Kerry, Ohio Gov. John Kasich, and others from across the country who paid their respects to former astronaut and Senator John Glenn, at public viewing of his flag-draped casket inside Ohio's Statehouse rotunda on Dec. 16. Glenn, the first American to orbit Earth passed away Dec. 8 at the age of 95.</t>
  </si>
  <si>
    <t>E0gaG1aNvkE</t>
  </si>
  <si>
    <t>https://youtu.be/-2yVN_hL-Xo</t>
  </si>
  <si>
    <t>Former NASA Astronaut and U.S. Senator John Glenn Lies in State at Ohio Capitol</t>
  </si>
  <si>
    <t>NASA Television covered the Dec. 16, a public viewing of late, former NASA astronaut and U.S. Senator John Glenn, whose body laid in repose under a United States Marine honor guard, in the Rotunda of the Ohio Statehouse. Glenn died Dec. 8 at the age of 95. He served four terms as a U.S. senator from Ohio and was one of NASA's original seven Mercury astronauts. His flight on Friendship 7 on Feb. 20, 1962, showed the world that America was a serious contender in the space race with the Soviet Union. It also made Glenn the first American to orbit Earth.</t>
  </si>
  <si>
    <t>-2yVN_hL-Xo</t>
  </si>
  <si>
    <t>https://youtu.be/BAv5bA2_5q8</t>
  </si>
  <si>
    <t>Public Viewing Held for Late, Former NASA Astronaut and U.S. Senator, John Glenn</t>
  </si>
  <si>
    <t>On Dec. 16, a public viewing took place at the Ohio Statehouse for late, former NASA astronaut and U.S. Senator John Glenn, whose body laid in repose under a United States Marine honor guard, in the Rotunda of the Statehouse. Glenn died Dec. 8 at the age of 95. He served four terms as a U.S. senator from Ohio and was one of NASA's original seven Mercury astronauts. His flight on Friendship 7 on Feb. 20, 1962, showed the world that America was a serious contender in the space race with the Soviet Union. It also made Glenn the first American to orbit Earth.
A dignified transfer with full honors procession is planned for Dec. 17. A platoon of 40 U.S. Marines will escort Glenn’s body from the Statehouse to Mershon Auditorium at The Ohio State University, where the university will host a public celebration of Glenn’s life. The service is scheduled to take place from 2 to 3 p.m. EST.</t>
  </si>
  <si>
    <t>BAv5bA2_5q8</t>
  </si>
  <si>
    <t>2016 12 15</t>
  </si>
  <si>
    <t>https://youtu.be/0at7Dq3mtFo</t>
  </si>
  <si>
    <t>What Happened This Year @NASA – December 15, 2016</t>
  </si>
  <si>
    <t>2016 marked record-breaking progress in NASA’s exploration objectives. The agency advanced the capabilities needed to travel farther into the solar system while increasing observations of our home and the universe, learning more about how to continuously live and work in space and, of course, inspiring the next generation of leaders to take up our Journey to Mars and make their own discoveries.</t>
  </si>
  <si>
    <t>0at7Dq3mtFo</t>
  </si>
  <si>
    <t>https://youtu.be/P2Aj3jGni-I</t>
  </si>
  <si>
    <t>Space Station Commander Discusses Life in Space with Massachusetts Students</t>
  </si>
  <si>
    <t>Aboard the International Space Station, Expedition 50 Commander Shane Kimbrough of NASA discussed life and research on the orbital complex during an in-flight educational event Dec. 15 with students gathered at the Nantucket New School in Nantucket, Massachusetts. Kimbrough, who arrived on the station in October, is in the midst of a four-month mission that will culminate with a landing in late February aboard a Russian Soyuz spacecraft in south central Kazakhstan.</t>
  </si>
  <si>
    <t>P2Aj3jGni-I</t>
  </si>
  <si>
    <t>https://youtu.be/JKMUpi9IP3A</t>
  </si>
  <si>
    <t>NASA Launches Satellite Constellation for Hurricane Tracking Mission</t>
  </si>
  <si>
    <t>NASA successfully launched eight small satellites that will provide scientists with advanced technology to see inside tropical storms and hurricanes like never before. Called the Cyclone Global Navigation Satellite System (CYGNSS), the constellation of eight microsatellite observatories launched Dec. 12 aboard an Orbital ATK air-launched Pegasus XL launch vehicle from Cape Canaveral Air Force Station in Florida. The rocket was dropped and launched from Orbital’s Stargazer L-1011 aircraft over the Atlantic Ocean off the coast of central Florida.</t>
  </si>
  <si>
    <t>JKMUpi9IP3A</t>
  </si>
  <si>
    <t>2016 12 14</t>
  </si>
  <si>
    <t>https://youtu.be/qoMtPgyafHg</t>
  </si>
  <si>
    <t>The Talent of Hidden Figures Visit Kennedy Space Center</t>
  </si>
  <si>
    <t>NASA Invited the creative talent behind the 20th Century Fox film "Hidden Figures" to tour the Kennedy Space Center in Florida.
Included in the tour given by KSC Center Director Bob Cabana were Taraji P. Henson, Octavia Spencer, Janelle Monáe, Pharrell Williams and Ted Melfi.
The film is based on the book of the same title, by Margot Lee Shetterly, and chronicles the lives of Katherine Johnson, Dorothy Vaughan and Mary Jackson -- African-American women working at NASA as “human computers,” who were critical to the success of John Glenn’s Friendship 7 mission in 1962.  
https://www.nasa.go/modernfigures</t>
  </si>
  <si>
    <t>qoMtPgyafHg</t>
  </si>
  <si>
    <t>https://youtu.be/BAopjEcxIUQ</t>
  </si>
  <si>
    <t>NASA Science On Display at American Geophysical Union Meeting</t>
  </si>
  <si>
    <t>NASA researchers are presenting new findings on a wide range of Earth and space science topics at the annual meeting of the American Geophysical Union this week in San Francisco. With about 24,000 attendees, the meeting is the largest gathering of Earth and space scientists in the world. The full range of NASA’s innovative science and technology is on display. Key findings include new evidence from NASA’s Curiosity rover of how ancient lakes and wet underground environments on Mars changed billions of years ago affecting their favorability for microbial life. A new Earth-observing satellite data set and imagery was released providing a near-real-time view of every large glacier and ice sheet on Earth. The meeting continues through Dec. 16.</t>
  </si>
  <si>
    <t>BAopjEcxIUQ</t>
  </si>
  <si>
    <t>https://youtu.be/qX612jbS9po</t>
  </si>
  <si>
    <t>NASA Modern Figure  Christyl Johnson</t>
  </si>
  <si>
    <t>Advice for young women.
https://www.nasa.go/modernfigures</t>
  </si>
  <si>
    <t>qX612jbS9po</t>
  </si>
  <si>
    <t>2016 12 13</t>
  </si>
  <si>
    <t>https://youtu.be/iPCaqbM3474</t>
  </si>
  <si>
    <t>Japanese Cargo Ship Attached to the International Space Station</t>
  </si>
  <si>
    <t>Several hours after arriving at the International Space Station on Dec. 13, the Japanese Aerospace Exploration Agency’s unpiloted H-II Transfer Vehicle (HTV-6) was bolted into place on the Earth-facing port of the station’s Harmony module. Dubbed “Kounotori”, the Japanese word for “white stork”, the spacecraft is loaded with more than four tons of supplies and experiments for the space station crew.</t>
  </si>
  <si>
    <t>iPCaqbM3474</t>
  </si>
  <si>
    <t>https://youtu.be/EZoJdZhvadE</t>
  </si>
  <si>
    <t>Japanese Cargo Ship Arrives at the International Space Station</t>
  </si>
  <si>
    <t>Loaded with more than four tons of supplies and experiments, the Japanese Aerospace Exploration Agency’s unpiloted H-II Transfer Vehicle (HTV-6) arrived at the International Space Station Dec. 13 four days after its launch from the Tanegashima Space Center in southern Japan. Dubbed “Kounotori”, the Japanese word for “white stork”, the resupply craft completed its rendezvous to the station and was captured by Expedition 50 Commander Shane Kimbrough of NASA and Flight Engineer Thomas Pesquet of the European Space Agency operating the Canadarm2 robotic arm from the station’s cupola.</t>
  </si>
  <si>
    <t>EZoJdZhvadE</t>
  </si>
  <si>
    <t>2016 12 12</t>
  </si>
  <si>
    <t>https://youtu.be/YWuo8bcIXiM</t>
  </si>
  <si>
    <t>NASA Invites Media to Talk with Cast of Hidden Figures</t>
  </si>
  <si>
    <t>Members of the media were invited to NASA’s Kennedy Space Center in Florida to participate in a news conference Dec. 12 with cast members from the 20th Century Fox motion picture Hidden Figures.
The film is based on the book of the same title, by Margot Lee Shetterly, and chronicles the lives of Katherine Johnson, Dorothy Vaughan and Mary Jackson -- African-American women working at NASA as “human computers,” who were critical to the success of John Glenn’s Friendship 7 mission in 1962.</t>
  </si>
  <si>
    <t>YWuo8bcIXiM</t>
  </si>
  <si>
    <t>https://youtu.be/yNxPO6nYqLc</t>
  </si>
  <si>
    <t>Friendship 7</t>
  </si>
  <si>
    <t>Astronaut John H. Glenn's first American orbital space flight. The film documents Project Mercury, including a close look at tracking stations around the world. -</t>
  </si>
  <si>
    <t>yNxPO6nYqLc</t>
  </si>
  <si>
    <t>2016 12 11</t>
  </si>
  <si>
    <t>https://youtu.be/avSZeI7WYgw</t>
  </si>
  <si>
    <t>Hidden Figures in New York</t>
  </si>
  <si>
    <t>Hidden Figures is a film based on actual events. In the film NASA has a long-standing cultural commitment to excellence that is largely driven by data, including data about our people. And our data shows progress is driven by questioning our assumptions and cultural prejudices – by embracing and nurturing all the talent we have available, regardless of gender, race or other protected status, to build a workforce as diverse as its mission. This is how we, as a nation, will take the next giant leap in exploration.
https://www.nasa.gov/modernfigures</t>
  </si>
  <si>
    <t>avSZeI7WYgw</t>
  </si>
  <si>
    <t>2016 12 10</t>
  </si>
  <si>
    <t>https://youtu.be/lXDBaQJI7-8</t>
  </si>
  <si>
    <t>Science of Small Satellite Constellation Mission Previewed during Briefing</t>
  </si>
  <si>
    <t>On Dec. 10, a news briefing at NASA’s Kennedy Space Center in Florida previewed the science of NASA’s Cyclone Global Navigation Satellite System (CYGNSS) spacecraft. CYGNSS, which is scheduled to take off aboard an Orbital Sciences ATK air-launched Pegasus XL launch vehicle Dec. 12, for deployment over the Atlantic Ocean, will make frequent and accurate measurements of ocean surface winds throughout the lifecycle of tropical storms and hurricanes. The CYGNSS constellation consists of eight microsatellite observatories that will measure surface winds in and near a hurricane’s inner core, including regions beneath the eyewall and intense inner rainbands that previously could not be measured from space.</t>
  </si>
  <si>
    <t>lXDBaQJI7-8</t>
  </si>
  <si>
    <t>https://youtu.be/9y86GAOmhC0</t>
  </si>
  <si>
    <t>Status of Small Satellite Constellation Mission Discussed during Pre-launch Briefing</t>
  </si>
  <si>
    <t>On Dec. 10, a news briefing at NASA’s Kennedy Space Center in Florida previewed the launch of NASA’s Cyclone Global Navigation Satellite System (CYGNSS) spacecraft. CYGNSS is scheduled to take off aboard an Orbital Sciences ATK air-launched Pegasus XL launch vehicle at 8:24 a.m. EST Dec. 12. The rocket is scheduled for deployment over the Atlantic Ocean from Orbital’s L-1011 carrier aircraft. CYGNSS will make frequent and accurate measurements of ocean surface winds throughout the lifecycle of tropical storms and hurricanes. The CYGNSS constellation consists of eight microsatellite observatories that will measure surface winds in and near a hurricane’s inner core, including regions beneath the eyewall and intense inner rainbands that previously could not be measured from space.</t>
  </si>
  <si>
    <t>9y86GAOmhC0</t>
  </si>
  <si>
    <t>2016 12 09</t>
  </si>
  <si>
    <t>https://youtu.be/f_wDJMKSFgY</t>
  </si>
  <si>
    <t>Space Station Crew Pays Tribute to John Glenn</t>
  </si>
  <si>
    <t>Aboard the International Space Station, Expedition 50 Commander Shane Kimbrough and Flight Engineer Peggy Whitson of NASA paid tribute to American legend John Glenn in a downlink message from the orbital outpost Dec. 9. Glenn, the last surviving Mercury 7 astronaut, former Ohio Senator and the oldest human to fly in space, died Dec. 8 at the age of 95. Glenn became the first American to orbit the Earth aboard Friendship 7 on Feb. 20, 1962. Thirty-six years later, on Oct. 29, 1998, Glenn returned to space at the age of 77 aboard the shuttle Discovery on the STS-95 mission.</t>
  </si>
  <si>
    <t>f_wDJMKSFgY</t>
  </si>
  <si>
    <t>https://youtu.be/PWaaewxwc90</t>
  </si>
  <si>
    <t>Space Station Crew Member Discusses Life in Space with Discovery Channel</t>
  </si>
  <si>
    <t>Aboard the International Space Station, Expedition 50 Flight Engineer Peggy Whitson of NASA discussed her work and research on the orbital laboratory during an in-flight interview Dec. 9 with Moxie Productions on behalf of the Discovery Channel. The production company is preparing a documentary on the 60th anniversary of NASA, which will be recognized in 2018. Whitson arrived on the station in November for a planned six-month mission.</t>
  </si>
  <si>
    <t>PWaaewxwc90</t>
  </si>
  <si>
    <t>https://youtu.be/e018fUaHqLE</t>
  </si>
  <si>
    <t>Japanese Cargo Ship Sets Sail on Resupply Run to the International Space Station</t>
  </si>
  <si>
    <t>The Japan Aerospace Exploration Agency’s H-IIB rocket launched Dec. 9 from the Tanegashima (pron: Tan-uh-GAH-shuh-mah) Space Center in southern Japan carrying the unpiloted “Kounotori” H-II Transfer Vehicle-6 (HTV-6) to orbit to begin a four-day journey to the International Space Station. The resupply craft is loaded with some 4 ½ tons of food, supplies and experiments for the Expedition 50 crewmembers on the complex, including a set of new lithium-ion batteries to enhance the station’s power supply that will be installed during a series of robotic operations and spacewalks planned for December and January.</t>
  </si>
  <si>
    <t>e018fUaHqLE</t>
  </si>
  <si>
    <t>https://youtu.be/cj6EkDzO1aA</t>
  </si>
  <si>
    <t>NASA Remembers American Legend John Glenn</t>
  </si>
  <si>
    <t>On Dec. 8, NASA Administrator Charles Bolden commented on the passing of John Glenn. Glenn, the former U.S. Senator and astronaut became the first American to orbit the Earth, when as one of NASA's original Mercury 7 astronauts, he flew aboard Friendship 7 on Feb. 20, 1962. The riveting flight united our nation, launched America to the forefront of the space race and secured for him a unique place in the annals of history.
While that first orbit was the experience of a lifetime, Glenn, who also had flown combat missions in both World War II and the Korean War as a Marine aviator, continued to serve his country as a four-term Senator from Ohio, as a trusted statesman and an educator. In 1998, at the age of 77, he became the oldest human to venture into space as a crew member on the Discovery space shuttle -- once again advancing our understanding of living and working in space.
Senator Glenn's legacy is one of risk and accomplishment, of history created and duty to country carried out under great pressure with the whole world watching. The entire NASA Family will be forever grateful for his outstanding service, commitment and friendship. Personally, I shall miss him greatly.  As a fellow Marine and aviator, he was a mentor, role model and, most importantly, a dear friend.  My prayers go out to his lovely and devoted wife, Annie, and the entire Glenn family at this time of their great loss.</t>
  </si>
  <si>
    <t>cj6EkDzO1aA</t>
  </si>
  <si>
    <t>2016 12 08</t>
  </si>
  <si>
    <t>https://youtu.be/NFQf5QCD71o</t>
  </si>
  <si>
    <t>John Glenn</t>
  </si>
  <si>
    <t>NFQf5QCD71o</t>
  </si>
  <si>
    <t>https://youtu.be/iwE4y-3WBT0</t>
  </si>
  <si>
    <t>John Glenn An American Hero</t>
  </si>
  <si>
    <t>Astronaut John Glenn's return to NASA for participation in the STS-95 mission. Includes scenes from Glenn's days as an original seven astronaut and from his current training for STS-95. Also includes Glenn's comments about his return to NASA.</t>
  </si>
  <si>
    <t>iwE4y-3WBT0</t>
  </si>
  <si>
    <t>https://youtu.be/rQUkpmvhhuQ</t>
  </si>
  <si>
    <t>Voyage of Friendship 7</t>
  </si>
  <si>
    <t>Astronaut John Glenn and the systems necessary for space travel. It pictures the sunrise and sunset as seen by astronaut John Glen while in the spacecraft, ‘FRIENDSHIP 7.’ The video also explains why voice communications disrupted as the capsule re-entered the atmosphere, shows the parachute deploy, and the Space Voyager descending to earth.</t>
  </si>
  <si>
    <t>rQUkpmvhhuQ</t>
  </si>
  <si>
    <t>https://youtu.be/YpJFdudBNUw</t>
  </si>
  <si>
    <t>The John Glenn Story</t>
  </si>
  <si>
    <t>The early life and professional career of American astronaut John Glenn. Several of the people who knew him "back when" in New Concord, Ohio take up a certain amount of time reminiscing on Glenn's boyhood and then segues into the astronaut's preparations for his space flight -- three orbits around the earth, and then home again. Included are interior shots aboard the Friendship Seven space capsule, and Glenn's comments as he works inside the capsule during this mission.</t>
  </si>
  <si>
    <t>YpJFdudBNUw</t>
  </si>
  <si>
    <t>https://youtu.be/RHTAQG8xXz8</t>
  </si>
  <si>
    <t>NASA Modern Figure  Gilena Monroe</t>
  </si>
  <si>
    <t>Katherine Johnson's legacy: "I can do this!"
https://www.nasa.go/modernfigures</t>
  </si>
  <si>
    <t>RHTAQG8xXz8</t>
  </si>
  <si>
    <t>2016 12 07</t>
  </si>
  <si>
    <t>https://youtu.be/LVk_28d5Gb8</t>
  </si>
  <si>
    <t>Passengers to an Exoplanet</t>
  </si>
  <si>
    <t>NASA is looking beyond our solar system for potentially habitable planets around other stars. Actors Jennifer Lawrence and Chris Pratt, who play interstellar travelers from the movie “Passengers,” talk about NASA’s search for a home away from home.
Learn more at https://www.nasa.gov/exoplanets</t>
  </si>
  <si>
    <t>LVk_28d5Gb8</t>
  </si>
  <si>
    <t>2016 12 06</t>
  </si>
  <si>
    <t>https://youtu.be/gBbpI9Qp2Jk</t>
  </si>
  <si>
    <t>Space Station Crew Member Discusses Life in Space with French Officials</t>
  </si>
  <si>
    <t>Aboard the International Space Station, Expedition 50 Flight Engineer Thomas Pesquet (pron: Toe-MAH Pess-KAY) of ESA (European Space Agency) discussed the first weeks of his planned six-month mission on the orbital outpost during an in-flight event Dec. 6 with French Prime Minister Manuel Valls, French Science Minister Thierry Mandon (pron: Terry Man-DAHN) and other officials gathered at the French Academy of Sciences in Paris. Pesquet arrived on the station in November and is expected to remain in orbit until mid-May.</t>
  </si>
  <si>
    <t>gBbpI9Qp2Jk</t>
  </si>
  <si>
    <t>2016 12 05</t>
  </si>
  <si>
    <t>https://youtu.be/c_IBugQhvNU</t>
  </si>
  <si>
    <t>Spinoff 2017</t>
  </si>
  <si>
    <t>The newest issue of NASA’s Spinoff publication is here! Spinoff 2017 profiles 50 technologies with NASA origins that are now found in products and services benefiting us all. These innovations demonstrate the tangible, secondary benefits of the public’s investment in America’s space program.
Spinoff is a publication of the Technology Transfer Program in NASA’s Space Technology Mission Directorate.</t>
  </si>
  <si>
    <t>c_IBugQhvNU</t>
  </si>
  <si>
    <t>2016 12 02</t>
  </si>
  <si>
    <t>https://youtu.be/n8IFx26R3VE</t>
  </si>
  <si>
    <t>Langley Centennial Celebration Highlights Hidden Figures on This Week @NASA – December 2, 2016</t>
  </si>
  <si>
    <t>On Dec. 1, NASA Administrator Charlie Bolden helped kick off a yearlong centennial celebration for the agency’s Langley Research Center in Hampton, Virginia with several events highlighting the work of the African American women of Langley’s West Computing Unit. These mathematicians performed critical calculations for several historic NASA space missions in the early days of America’s space program, and their story is told in the book, “Hidden Figures,” by author Margot Lee Shetterly and the upcoming 20th Century Fox movie of the same name. It was also discussed during a NASA education event at Langley featuring Bolden, the film’s director Ted Melfi, NASA’s Chief Historian Bill Barry, and Langley electro-optics engineer Julie Williams-Byrd – a modern-day NASA figure using science, technology, engineering and mathematics, or STEM -- skills to make an impact. Later that evening, a VIP social and screenings of the film took place at nearby Virginia Air &amp; Space Center. The women featured in Hidden Figures – Katherine Johnson, Mary Jackson and Dorothy Vaughan – known as “human computers,” helped put John Glenn in orbit, and helped Neil Armstrong and other astronauts land on the moon. Also, Cassini’s Ring-Grazing Orbit around Saturn, Next Space Station Crew Previews Mission, and Russian Cargo Ship Experiences Anomaly after Launch!</t>
  </si>
  <si>
    <t>n8IFx26R3VE</t>
  </si>
  <si>
    <t>https://youtu.be/XauCMYOxtwk</t>
  </si>
  <si>
    <t>Hidden Figures at NASA Langley Research Center</t>
  </si>
  <si>
    <t>NASA celebrates the lives and careers of the Langley West Computing Unit who helped America win the space race of the 1950s and 60s. The lives of these unsung heroines is captured in the book and film "Hidden Figures".
https://www.nasa.gov/modernfigures</t>
  </si>
  <si>
    <t>XauCMYOxtwk</t>
  </si>
  <si>
    <t>2016 12 01</t>
  </si>
  <si>
    <t>https://youtu.be/S0STm4i5hIE</t>
  </si>
  <si>
    <t>Real People Behind NASA’s Hidden Figures</t>
  </si>
  <si>
    <t>NASA kicked off a yearlong centennial celebration for its Langley Research Center in Hampton, Virginia, with events Dec. 1 highlighting the critical work done by the African American women of Langley’s West Computing Unit, a story told in the book and upcoming movie “Hidden Figures”. During a NASA education event that was streamed to schools across the country, NASA Administrator Charles Bolden, Film director Ted Melfi, NASA Chief Historian Bill Barry, who consulted on the film, and NASA Modern Figure Julie Williams-Byrd, an electro-optics engineer for the Space Mission Analysis Branch at Langley, discussed the work of past and present NASA figures benefits humanity and enable future long-duration human and robotic exploration into deep space, including the agency’s Journey to Mars.</t>
  </si>
  <si>
    <t>S0STm4i5hIE</t>
  </si>
  <si>
    <t>https://youtu.be/DRyc7Ljf-2M</t>
  </si>
  <si>
    <t>NASA Modern Figure  Christina Diaz</t>
  </si>
  <si>
    <t>Katherine Johnson's continued legacy.
https://www.nasa.go/modernfigures</t>
  </si>
  <si>
    <t>DRyc7Ljf-2M</t>
  </si>
  <si>
    <t>https://youtu.be/5E4Hy3PMizo</t>
  </si>
  <si>
    <t>Welcome to NASA's Modern Figures</t>
  </si>
  <si>
    <t>NASA Administrator Charles Bolden and Associate Administrator for Diversity and Equal Opportunity Brenda Manuel welcome you to NASA's Modern Figures Website: 
https://www.nasa.gov/modernfigures</t>
  </si>
  <si>
    <t>5E4Hy3PMizo</t>
  </si>
  <si>
    <t>https://youtu.be/_qlI0w3NS-w</t>
  </si>
  <si>
    <t>NASA Modern Figure  Julie Williams-Byrd</t>
  </si>
  <si>
    <t>Good advice on starting a STEM career.
https://www.nasa.go/modernfigures</t>
  </si>
  <si>
    <t>_qlI0w3NS-w</t>
  </si>
  <si>
    <t>https://youtu.be/hgEUMzTCaZA</t>
  </si>
  <si>
    <t>A Hidden Figure of History</t>
  </si>
  <si>
    <t>Janelle Monáe introduces the world to Mary Jackson, who worked at NASA Langley Research Center during the Project Mercury. To find out more visit: https://www.nasa.gov/modernfigures</t>
  </si>
  <si>
    <t>hgEUMzTCaZA</t>
  </si>
  <si>
    <t>https://youtu.be/Qo8EEZwUFvc</t>
  </si>
  <si>
    <t>Russian Cargo Ship Launched to the International Space Station</t>
  </si>
  <si>
    <t>The unpiloted Russian ISS Progress 65 cargo ship launched to the International Space Station Dec. 1 from the Baikonur Cosmodrome in Kazakhstan on a two-day journey to deliver more than two-and-a-half tons of food, fuel and supplies to the six members of the Expedition 50 crew. The Progress will automatically dock Dec. 3 to the rear port of the Zvezda Service Module for a six-month stay.</t>
  </si>
  <si>
    <t>Qo8EEZwUFvc</t>
  </si>
  <si>
    <t>2016 11 30</t>
  </si>
  <si>
    <t>https://youtu.be/KEp2cctB_XI</t>
  </si>
  <si>
    <t>NASA astronaut Jack Fischer and cosmonaut Fyodor Yurchikhin of the Russian space agency Roscosmos, who are targeted to launch to the International Space Station in March, participated in a news conference Nov. 30, at the agency’s Johnson Space Center in Houston.
Fischer, a first-time space flyer, and veteran cosmonaut Yurchikhin will launch to the space station in late March from the Baikonur Cosmodrome in Kazakhstan to round out Expedition 51. During their planned five-month mission, Fischer and Yurchikhin will take part in approximately 250 research investigations and technology demonstrations not possible on Earth in order to advance scientific knowledge of Earth, space, physical, and biological sciences. Science conducted on the space station continues to yield benefits for humanity and will enable future long-duration human and robotic exploration into deep space, including the agency’s Journey to Mars.</t>
  </si>
  <si>
    <t>KEp2cctB_XI</t>
  </si>
  <si>
    <t>https://youtu.be/iBqdJXvTrp4</t>
  </si>
  <si>
    <t>Space Station Crew Member Discusses Life in Space with French TV Network</t>
  </si>
  <si>
    <t>Aboard the International Space Station, Expedition 50 Flight Engineer Thomas Pesquet (pron: TOE-mah Pess-KAY) of the European Space Agency discussed the early weeks of his mission on the orbital outpost during an in-flight interview Nov. 30 with French television network TF1. Pesquet was launched to the station Nov. 18 from the Baikonur Cosmodrome in Kazakhstan for what is expected to be a six-month mission.</t>
  </si>
  <si>
    <t>iBqdJXvTrp4</t>
  </si>
  <si>
    <t>2016 11 29</t>
  </si>
  <si>
    <t>https://youtu.be/L4u-1EKsdbU</t>
  </si>
  <si>
    <t>Space Station Commander Discusses Life in Space with Texas Radio Station</t>
  </si>
  <si>
    <t>Aboard the International Space Station, Expedition 50 Commander Shane Kimbrough of NASA discussed life and research aboard the orbital laboratory during an in-flight interview Nov. 29 with KSBJ-FM Radio, Humble (pron: UM-bull), Texas. Kimbrough is in the midst of a four-month mission on the outpost.</t>
  </si>
  <si>
    <t>L4u-1EKsdbU</t>
  </si>
  <si>
    <t>2016 11 25</t>
  </si>
  <si>
    <t>https://youtu.be/LFkFH2pphKM</t>
  </si>
  <si>
    <t>Earth Expeditions  CORAL Probes the Great Barrier Reef</t>
  </si>
  <si>
    <t>The three-year COral Reef Airborne Laboratory (CORAL) mission will survey a portion of the world's coral reefs to assess the condition of these threatened ecosystems and understand their relation to the environment, including physical, chemical and human factors. CORAL will use advanced airborne instruments, including the Portable Remote Imaging Spectrometer (PRISM), and in-water measurements. The investigation will assess the reefs of Palau, the Mariana Islands, portions of Australia’s Great Barrier Reef and Hawaii beginning in 2016. With new understanding of reef condition, the future of this global ecosystem can be predicted.
https://www.nasa.gov/earthexpeditions</t>
  </si>
  <si>
    <t>LFkFH2pphKM</t>
  </si>
  <si>
    <t>2016 11 23</t>
  </si>
  <si>
    <t>https://youtu.be/5tcDB079_Ss</t>
  </si>
  <si>
    <t>Thanksgiving is a time for friends and family to come together in
Fellowship, and give thanks for all they have received in the past year.
So, whether your meal is sitting on your plates or floating out in front of you. NASA wishes you, and yours, a very Happy Thanksgiving.</t>
  </si>
  <si>
    <t>5tcDB079_Ss</t>
  </si>
  <si>
    <t>https://youtu.be/ZbT66uBUh-A</t>
  </si>
  <si>
    <t>Expedition 50-51 Arrives Safely at the Space Station on This Week @NASA – November 25, 2016</t>
  </si>
  <si>
    <t>On Nov. 19 Eastern time, two days after launching aboard a Soyuz spacecraft from the Baikonur Cosmodrome in Kazakhstan, the Expedition 50-51 crew, including NASA astronaut Peggy Whitson arrived safely at the International Space Station. A few hours after docking, Whitson and Expedition 50-51 crewmates, Oleg Novitskiy of the Russian space agency Roscosmos, and Thomas Pesquet of the European Space Agency, were greeted by space station Commander Shane Kimbrough of NASA and Sergey Ryzhikov and Andrey Borisenko of Roscosmos. The arriving crew members, who are scheduled to remain on the space station until next spring, will contribute to more than 250 research experiments while onboard the orbital laboratory. Also, Cygnus Cargo Spacecraft Leaves the Space Station, Advanced Weather Satellite Launched into Orbit, SLS Hardware Installed in Test Stand, C-Level Platforms Installed in Vehicle Assembly Building, and Giving Thanks from Space!</t>
  </si>
  <si>
    <t>ZbT66uBUh-A</t>
  </si>
  <si>
    <t>https://youtu.be/3gwEVH1haLs</t>
  </si>
  <si>
    <t>New Space Station Crew Member Discusses Life in Space with French Journalists</t>
  </si>
  <si>
    <t>Aboard the International Space Station, Expedition 50 Flight Engineer Thomas Pesquet of ESA (European Space Agency) discussed his initial impressions of the orbital laboratory and his goals for his mission during a question and answer session with French journalists Nov. 23. Pesquet launched aboard the Soyuz MS-03 vehicle from the Baikonur Cosmodrome in Kazakhstan Nov. 18, Baikonur time, and arrived on the complex two days later. He is expected to remain in orbit until next spring.</t>
  </si>
  <si>
    <t>3gwEVH1haLs</t>
  </si>
  <si>
    <t>2016 11 22</t>
  </si>
  <si>
    <t>https://youtu.be/8F-IzDcSOJ0</t>
  </si>
  <si>
    <t>NASA Celebrates Small Business Saturday</t>
  </si>
  <si>
    <t>Small Business Saturday is November 26, 2016. Small Business Saturday is a way for everyone to celebrate your community’s local small businesses.
Post a photo on Facebook or Twitter showing us how you support small business by using the following hashtags: #NASA #SmallBizSat. 
https://www.facebook.com/NASASmallBusiness
https://twitter.com/NASA_OSBP</t>
  </si>
  <si>
    <t>8F-IzDcSOJ0</t>
  </si>
  <si>
    <t>2016 11 21</t>
  </si>
  <si>
    <t>https://youtu.be/q4BiDR4_H-Y</t>
  </si>
  <si>
    <t>Space Station Commander Celebrates Thanksgiving in Orbit</t>
  </si>
  <si>
    <t>Aboard the International Space Station, Expedition 50 Commander Shane Kimbrough of NASA discussed how he and his crewmates will celebrate the Thanksgiving holiday and his view of Earth from orbit during the holiday season in a downlink message recorded Nov. 18. Kimbrough, who arrived on the station in October, is in the midst of a four-month mission.</t>
  </si>
  <si>
    <t>q4BiDR4_H-Y</t>
  </si>
  <si>
    <t>https://youtu.be/6GvM8LXVg_U</t>
  </si>
  <si>
    <t>U.S. Commercial Cargo Ship Departs the Space Station Headed for a Destructive Reentry</t>
  </si>
  <si>
    <t>Orbital ATK’s Cygnus cargo ship, dubbed the “SS Alan Poindexter”, was released from the International Space Station’s robotic arm Nov. 21, bound for a destructive entry over the Pacific Ocean after delivering some three tons of supplies and scientific experiments to the orbital outpost. Expedition 50 Commander Shane Kimbrough of NASA released Cygnus with the assistance of Flight Engineer Thomas Pesquet of ESA (European Space Agency) to complete Cygnus’ month-long supply run to the station. Now filled with trash, Cygnus will move to a safe distance away from the complex for a series of engine firings Nov. 27 that will send the craft plunging back into the Earth’s atmosphere, where it will harmlessly break up over the Pacific Ocean.</t>
  </si>
  <si>
    <t>6GvM8LXVg_U</t>
  </si>
  <si>
    <t>2016 11 20</t>
  </si>
  <si>
    <t>https://youtu.be/M_2ig1mXmY4</t>
  </si>
  <si>
    <t>Advanced Weather Satellite Separates from Launch Vehicle</t>
  </si>
  <si>
    <t>GOES –R, the first spacecraft in a new series of NASA-built advanced geostationary weather satellites, separated from the United Launch Alliance Atlas V rocket it was launched aboard Nov. 19, from Cape Canaveral Air Force Station in Florida. Once in geostationary orbit, GOES-R will be known as GOES-16 and will provide images of weather patterns and severe storms as regularly as every five minutes or as frequently as every 30 seconds. These images can be used to aid in weather forecasts, severe weather outlooks, watches and warnings, lightning conditions, maritime forecasts and aviation forecasts.</t>
  </si>
  <si>
    <t>M_2ig1mXmY4</t>
  </si>
  <si>
    <t>https://youtu.be/z3B7cIbHA8I</t>
  </si>
  <si>
    <t>Expedition 50-51 Welcomed Aboard the Space Station</t>
  </si>
  <si>
    <t>After launching Nov. 18, Kazakh time, in their Soyuz MS-03 spacecraft from the Baikonur Cosmodrome in Kazakhstan, Expedition 50-51 Soyuz Commander Oleg Novitskiy of Roscosmos and Flight Engineers Peggy Whitson of NASA and Thomas Pesquet of the European Space Agency arrived at the International Space Station Nov. 19 and were welcomed aboard the orbital complex by station Commander Shane Kimbrough of NASA and Flight Engineers Sergey Ryzhikov and Andrey Borisenko of Roscosmos.</t>
  </si>
  <si>
    <t>z3B7cIbHA8I</t>
  </si>
  <si>
    <t>https://youtu.be/u7twZyc9U6M</t>
  </si>
  <si>
    <t>Expedition 50-51 Crew Docks to the Space Station</t>
  </si>
  <si>
    <t>After launching Nov. 18, Kazakh time, in their Soyuz MS-03 spacecraft from the Baikonur Cosmodrome in Kazakhstan, Expedition 50-51 Soyuz Commander Oleg Novitskiy of Roscosmos and Flight Engineers Peggy Whitson of NASA and Thomas Pesquet of the European Space Agency docked to the International Space Station Nov. 19.The station crew and the Soyuz crew then began preparations to open the hatches between the two spacecraft.</t>
  </si>
  <si>
    <t>u7twZyc9U6M</t>
  </si>
  <si>
    <t>https://youtu.be/alu8OtrNGTQ</t>
  </si>
  <si>
    <t>Advanced Weather Satellite Launched into Orbit</t>
  </si>
  <si>
    <t>The first spacecraft in a new series of NASA-built advanced geostationary weather satellites launched into orbit aboard a United Launch Alliance Atlas V rocket Nov. 19 from Cape Canaveral Air Force Station in Florida. Once in geostationary orbit, GOES-R will be known as GOES-16 and will provide images of weather patterns and severe storms as regularly as every five minutes or as frequently as every 30 seconds. These images can be used to aid in weather forecasts, severe weather outlooks, watches and warnings, lightning conditions, maritime forecasts and aviation forecasts.</t>
  </si>
  <si>
    <t>alu8OtrNGTQ</t>
  </si>
  <si>
    <t>2016 11 18</t>
  </si>
  <si>
    <t>https://youtu.be/zt9OZaY9T5M</t>
  </si>
  <si>
    <t>NASA Social Focuses on Advanced Weather Satellite Mission</t>
  </si>
  <si>
    <t>A NASA Social was one of several media events at NASA’s Kennedy Space Center focused on GOES-R -- the first spacecraft in a new series of NASA-built advanced geostationary weather satellites that will provide images of weather patterns and severe storms as regularly as every five minutes or as frequently as every 30 seconds. These images can be used to aid in weather forecasts, severe weather outlooks, watches and warnings, lightning conditions, maritime forecasts and aviation forecasts. GOES-R is targeted for launch Nov. 19, aboard a United Launch Alliance Atlas V rocket from Cape Canaveral Air Force Station in Florida.</t>
  </si>
  <si>
    <t>zt9OZaY9T5M</t>
  </si>
  <si>
    <t>https://youtu.be/PtucbM9kXRk</t>
  </si>
  <si>
    <t>Space Station Astronaut Discusses Life in Space with Colorado Students</t>
  </si>
  <si>
    <t>Aboard the International Space Station, Expedition 50 Commander Shane Kimbrough of NASA discussed research and life on the orbital outpost during an in-flight educational event Nov. 18 with students at Wheat Ridge High School in Wheat Ridge, Colorado. The event featured the participation of Rep. Ed Perlmutter (D-Colorado), a member of the House Science, Space and Technology Committee. Kimbrough launched to the station in October for a planned four-month mission.</t>
  </si>
  <si>
    <t>PtucbM9kXRk</t>
  </si>
  <si>
    <t>https://youtu.be/2O3qFdx7OXs</t>
  </si>
  <si>
    <t>Expedition 50 51 Launches to Space Station on This Week @NASA – November 18, 2016</t>
  </si>
  <si>
    <t>The Expedition 50/51 crew, including NASA astronaut Peggy Whitson, launched aboard a Soyuz spacecraft from the Baikonur Cosmodrome in Kazakhstan Nov. 17 eastern time, to begin a two-day flight to the International Space Station. Whitson, Oleg Novitskiy of the Russian space agency Roscosmos and Thomas Pesquet of ESA (European Space Agency) are scheduled to join Expedition 50 commander Shane Kimbrough of NASA and Roscosmos cosmonauts Sergey Ryzhikov and Andrey Borisenko, who all have been aboard the orbiting laboratory since October. Whitson will assume command of the station in February – making her the first woman to command the space station twice. Whitson and her Expedition 50 crewmates are scheduled to return to Earth next spring. Also, Supermoon Shines Bright, Newman Participates in Operation IceBridge, and Advanced Weather Satellite Mission Previewed!</t>
  </si>
  <si>
    <t>2O3qFdx7OXs</t>
  </si>
  <si>
    <t>https://youtu.be/vdrJMKLP960</t>
  </si>
  <si>
    <t>Launch Day for New International Space Station Crew</t>
  </si>
  <si>
    <t>Expedition 50-51 Soyuz Commander Oleg Novitskiy of Roscosmos and Flight Engineers Peggy Whitson of NASA and Thomas Pesquet of the European Space Agency launched on the Russian Soyuz MS-03 spacecraft Nov. 18, Kazakh time, from the Baikonur Cosmodrome in Kazakhstan to begin a two-day journey to the International Space Station and the start of a five-month mission. This footage also includes the crew’s pre-launch activities.</t>
  </si>
  <si>
    <t>vdrJMKLP960</t>
  </si>
  <si>
    <t>2016 11 17</t>
  </si>
  <si>
    <t>https://youtu.be/Xq4JQyF83rk</t>
  </si>
  <si>
    <t>Officials Discuss Pre-launch Status of Next-Gen Weather Satellite</t>
  </si>
  <si>
    <t>During a pre-launch briefing on Nov. 17, officials from NASA and the National Oceanic and Atmospheric Administration (NOAA), discussed the status of GOES-R, the first spacecraft in a new series of NASA-built advanced geostationary weather satellites. GOES-R is set to launch into orbit aboard a United Launch Alliance Atlas V rocket on Nov. 19, from Space Launch Complex 41 at Cape Canaveral Air Force Station in Florida.
Once in geostationary orbit, GOES-R will be known as GOES-16 and will provide images of weather patterns and severe storms as regularly as every five minutes or as frequently as every 30 seconds. These images can be used to aid in weather forecasts, severe weather outlooks, watches and warnings, lightning conditions, maritime forecasts and aviation forecasts. It also will assist in longer term forecasting, such as in seasonal predictions and drought outlooks.</t>
  </si>
  <si>
    <t>Xq4JQyF83rk</t>
  </si>
  <si>
    <t>https://youtu.be/QCw2oYv1w5Y</t>
  </si>
  <si>
    <t>Officials Brief Media on Mission of Next-Gen Weather Satellite</t>
  </si>
  <si>
    <t>During a news briefing on Nov. 17, officials from NASA and the National Oceanic and Atmospheric Administration (NOAA), previewed the mission of GOES-R, the first spacecraft in a new series of NASA-built advanced geostationary weather satellites. GOES-R is set to launch into orbit aboard a United Launch Alliance Atlas V rocket on Nov. 19, from Space Launch Complex 41 at Cape Canaveral Air Force Station in Florida.
Once in geostationary orbit, GOES-R will be known as GOES-16 and will provide images of weather patterns and severe storms as regularly as every five minutes or as frequently as every 30 seconds. These images can be used to aid in weather forecasts, severe weather outlooks, watches and warnings, lightning conditions, maritime forecasts and aviation forecasts. It also will assist in longer term forecasting, such as in seasonal predictions and drought outlooks.</t>
  </si>
  <si>
    <t>QCw2oYv1w5Y</t>
  </si>
  <si>
    <t>https://youtu.be/7zmuuTiOQeY</t>
  </si>
  <si>
    <t>Expedition 50-51 Launches to International Space Station</t>
  </si>
  <si>
    <t>Expedition 50-51 Soyuz Commander Oleg Novitskiy of Roscosmos and Flight Engineers Peggy Whitson of NASA and Thomas Pesquet of the European Space Agency launched on the Russian Soyuz MS-03 spacecraft Nov. 18, Kazakh time, from the Baikonur Cosmodrome in Kazakhstan to begin a two-day journey to the International Space Station and the start of a five-month mission.</t>
  </si>
  <si>
    <t>7zmuuTiOQeY</t>
  </si>
  <si>
    <t>2016 11 16</t>
  </si>
  <si>
    <t>https://youtu.be/MGTgWteQHsw</t>
  </si>
  <si>
    <t>Expedition 50-51 Crew Meets Officials, Reporters as Launch Approaches</t>
  </si>
  <si>
    <t>At their Cosmonaut Hotel crew quarters in Baikonur, Kazakhstan, Expedition 50-51 Soyuz Commander Oleg Novitskiy of Roscosmos and Flight Engineers Peggy Whitson of NASA and Thomas Pesquet of the European Space Agency along with their backups, Fyodor Yurchikhin of Roscosmos, Jack Fischer of NASA and Paolo Nespoli of the European Space Agency appeared before the Russian State Commission Nov. 16. The commission gave its final approval for the launch of Novitskiy, Whitson and Pesquet to the International Space Station Nov. 18, Kazakh time, in their Soyuz MS-03 spacecraft for a five-month mission. The crew members followed the State Commission meeting with a final prelaunch news conference.</t>
  </si>
  <si>
    <t>MGTgWteQHsw</t>
  </si>
  <si>
    <t>https://youtu.be/CS37I0SIEWs</t>
  </si>
  <si>
    <t>STEM in 30 - Science in Space</t>
  </si>
  <si>
    <t>The Smithsonian National Air and Space Museum’s STEM in 30 series of live, fast-paced, 30-minute webcasts are designed to increase interest and engagement in STEM for students. This episode, from Nov. 16, 2016 explores how astronauts not only conduct scientific experiments in space, but also how many also become part of experiments themselves during space missions. Learning about the human factors of spaceflight is an important element to planning future trips to Mars. This STEM in 30 explores the effects of space on the humans who travel to the Final Frontier.</t>
  </si>
  <si>
    <t>CS37I0SIEWs</t>
  </si>
  <si>
    <t>2016 11 14</t>
  </si>
  <si>
    <t>https://youtu.be/7okywRJrrBA</t>
  </si>
  <si>
    <t>Expedition 50-51 Soyuz Rocket Moves to Launch Pad</t>
  </si>
  <si>
    <t>The Soyuz MS-03 spacecraft was transported to the launch pad at the Baikonur Cosmodrome in Kazakhstan on a railcar Nov. 14 for final preparations before launch to the International Space Station Nov. 18, Kazakh time. The Soyuz MS-03 will carry Expedition 50-51 Soyuz Commander Oleg Novitskiy of Roscosmos and Flight Engineers Peggy Whitson of NASA and Thomas Pesquet of the European Space Agency to the orbital complex for a five-month mission.</t>
  </si>
  <si>
    <t>7okywRJrrBA</t>
  </si>
  <si>
    <t>2016 11 11</t>
  </si>
  <si>
    <t>https://youtu.be/NO6Go3tMQwU</t>
  </si>
  <si>
    <t>New Earth-Observing Small Satellite Missions on This Week @NASA – November 11, 2016</t>
  </si>
  <si>
    <t>NASA this month is scheduled to launch the first of six next-generation, Earth-observing small satellites. They’ll demonstrate innovative new approaches for measuring hurricanes, Earth's energy budget – which is essential to understanding greenhouse gas effects on climate, aerosols, and other atmospheric factors affecting our changing planet. These small satellites range in size from a loaf of bread to a small washing machine, and weigh as little as a few pounds to about 400 pounds. Their size helps keeps development and launch costs down -- because they often hitchhike to space as a “secondary payload” on another mission’s rocket. Small spacecraft and satellites are helping NASA advance scientific and human exploration, test technologies, reduce the cost of new space missions, and expand access to space. Also, CYGNSS Hurricane Mission Previewed, Expedition 50-51 Crew Prepares for Launch in Kazakhstan, and Orion Underway Recovery Test 5 Completed!</t>
  </si>
  <si>
    <t>NO6Go3tMQwU</t>
  </si>
  <si>
    <t>https://youtu.be/dKYemLYihWk</t>
  </si>
  <si>
    <t>Heroes &amp; Legends Grand Opening Ceremony</t>
  </si>
  <si>
    <t>On November 11, the Kennedy Space Center Visitor Complex held the grand opening of its Heroes &amp; Legends attraction. The interactive exhibit not only brings to life the enthralling stories of America’s pioneering astronauts, but also enables visitors to vicariously experience the thrills and dangers of America’s earliest missions through engaging storytelling and high-tech special effects. Heroes &amp; Legends, located just inside the entrance to the visitor complex featuring the U.S. Astronaut Hall of Fame, presented by Boeing, introduces visitors to heroes of the American space program through a 360-degree visual presentation, a 4-D multisensory theater experience, and other interactive features including holograms and astronaut memorabilia.</t>
  </si>
  <si>
    <t>dKYemLYihWk</t>
  </si>
  <si>
    <t>https://youtu.be/se-OHpOKkfw</t>
  </si>
  <si>
    <t>Launch Preparations Continue for Expedition 50-51 Crew in Kazakhstan</t>
  </si>
  <si>
    <t>At the Baikonur Cosmodrome in Kazakhstan, Expedition 50-51 Soyuz Commander Oleg Novitskiy of Roscosmos and Flight Engineers Peggy Whitson of NASA and Thomas Pesquet of the European Space Agency along with their backups, Fyodor Yurchikhin of Roscosmos, Jack Fischer of NASA and Paolo Nespoli of the European Space Agency participated in their final fit checks in the Soyuz MS-03 spacecraft Nov. 11 as they prepare for the launch of Novitskiy, Whitson and Pesquet Nov. 18, Kazakh time for a five-month mission on the International Space Station.</t>
  </si>
  <si>
    <t>se-OHpOKkfw</t>
  </si>
  <si>
    <t>2016 11 10</t>
  </si>
  <si>
    <t>https://youtu.be/p3CTMi3LuFc</t>
  </si>
  <si>
    <t>NASA Honors Veterans Day</t>
  </si>
  <si>
    <t>NASA has always had many dedicated men and women on loan from the armed services; and the NASA workforce has many current and former military personnel.
NASA is thankful for the military training they have received, which has enhanced our missions.
Thanks to all the men and women who have served in our armed forces.
Have a safe and happy Veterans Day.</t>
  </si>
  <si>
    <t>p3CTMi3LuFc</t>
  </si>
  <si>
    <t>https://youtu.be/E6vO_LQt9JA</t>
  </si>
  <si>
    <t>Media Briefed on New NASA Hurricane Mission</t>
  </si>
  <si>
    <t>NASA held a media briefing on Nov. 10 at the agency’s headquarters to discuss the upcoming Cyclone Global Navigation Satellite System (CYGNSS) mission. GYGNSS is a constellation of eight microsatellites that will gather never-before-seen details on the formation and intensity of tropical cyclones and hurricanes.
CYGNSS, targeted for a Dec. 12 launch from Cape Canaveral Air Force Station in Florida, is the first mission competitively selected by NASA’s Earth Venture program. This program focuses on low-cost, science-driven missions to enhance our understanding of the current state of Earth and its complex, dynamic system and enable continual improvement in the prediction of future changes.</t>
  </si>
  <si>
    <t>E6vO_LQt9JA</t>
  </si>
  <si>
    <t>https://youtu.be/Mija9sKPBy8</t>
  </si>
  <si>
    <t>Expedition 50-51 Crew Prepares for Launch in Kazakhstan</t>
  </si>
  <si>
    <t>At the Baikonur Cosmodrome in Kazakhstan, Expedition 50-51 Soyuz Commander Oleg Novitskiy of Roscosmos and Flight Engineers Peggy Whitson of NASA and Thomas Pesquet of the European Space Agency along with their backups, Fyodor Yurchikhin of Roscosmos, Jack Fischer of NASA and Paolo Nespoli of the European Space Agency participated in a variety of activities Nov. 1-10 as they prepared for the launch of Novitskiy, Whitson and Pesquet Nov. 18, Kazakh time, on the Soyuz MS-03 spacecraft for a five-month mission on the International Space Station.</t>
  </si>
  <si>
    <t>Mija9sKPBy8</t>
  </si>
  <si>
    <t>https://youtu.be/ao0DKmU3g0w</t>
  </si>
  <si>
    <t>Space Station Commander Pays Tribute to the Nation's Veterans</t>
  </si>
  <si>
    <t>Aboard the International Space Station, Expedition 50 Commander Shane Kimbrough of NASA, a retired U.S. Army Colonel, paid tribute to the nation’s veterans in a downlink message Nov. 2 from the orbital outpost. Kimbrough, who is in his second flight into space and who arrived aboard the station Oct. 21 for a four month mission, delivered the message in advance of the nation’s commemoration of armed forces veterans on Veterans Day Nov. 11.</t>
  </si>
  <si>
    <t>ao0DKmU3g0w</t>
  </si>
  <si>
    <t>2016 11 04</t>
  </si>
  <si>
    <t>https://youtu.be/E0pzYtupOXY</t>
  </si>
  <si>
    <t>Humanity’s Eye into the Universe on This Week @NASA – November 4, 2016</t>
  </si>
  <si>
    <t>During a Nov. 2 media event at NASA’s Goddard Space Flight Center, Administrator Charlie Bolden was joined by Goddard Center Director Chris Scolese and Senior Project Scientist, Dr. John Mather for an update on the James Webb Space Telescope, including a rare glimpse at the telescope’s primary mirror. Engineers and technicians recently completed a “Center of Curvature” test on the mirror, which measures the shape of the mirror. This is the first important optical measurement before the mirror goes into the testing chambers. Meanwhile, the telescope’s sunshield layers also have been finished. This will protect Webb’s sensitive instruments from the sun when the telescope is in space. The Webb Telescope, which is targeted for launch in 2018, will study every phase in the history of our universe, including the cosmos’ first luminous glows, the formation of planetary systems capable of supporting life, and the evolution of our own solar system. Also, Expedition 49 Returns Safely from the International Space Station, Next Space Station Crew Travels to Launch Site, Agency Innovation Mission Day, SDO Captures Lunar Transit, and World Altitude Record for MMS!</t>
  </si>
  <si>
    <t>E0pzYtupOXY</t>
  </si>
  <si>
    <t>https://youtu.be/Y1tYRH72ETI</t>
  </si>
  <si>
    <t>Women @NASA  Amy Mainzer</t>
  </si>
  <si>
    <t>Amy Mainzer is a senior research scientist at NASA’s Jet Propulsion Laboratory. She served as deputy project scientist for NASA’s Wide-field Infrared Survey Explorer mission, an Earth-orbiting telescope designed to survey the entire sky in heat-sensitive infrared wavelengths.  Following successful completion of its prime mission, this telescope was renamed NEOWISE and given a new mission to characterize asteroids and comets; Mainzer is the principal investigator. She also is the principal investigator of the proposed Near-Earth Object Camera mission, which would carry out a comprehensive survey of asteroids and comets using a dedicated space telescope surveying the solar system from a vantage point beyond the Earth’s Moon.</t>
  </si>
  <si>
    <t>Y1tYRH72ETI</t>
  </si>
  <si>
    <t>https://youtu.be/-ndzgZ6ECrw</t>
  </si>
  <si>
    <t>Open Science  Gender</t>
  </si>
  <si>
    <t>On this episode of Open Science, NASA experts discuss how men and women adapt differently during spaceflight.</t>
  </si>
  <si>
    <t>-ndzgZ6ECrw</t>
  </si>
  <si>
    <t>https://youtu.be/5zR7jtW5vXU</t>
  </si>
  <si>
    <t>Women @NASA</t>
  </si>
  <si>
    <t>Producer Kathleen Kennedy and actor Daisy Ridley took a pause on the set of Star Wars: Episode VIII, to talk about the amazing women that work at NASA.
For more information visit:
https://women.nasa.gov</t>
  </si>
  <si>
    <t>5zR7jtW5vXU</t>
  </si>
  <si>
    <t>2016 11 03</t>
  </si>
  <si>
    <t>https://youtu.be/at35zNUoGU4</t>
  </si>
  <si>
    <t>Space Station Commander Discusses Life in Space with Washington Students</t>
  </si>
  <si>
    <t>Aboard the International Space Station, Expedition 50 Commander Shane Kimbrough of NASA fielded questions from students from the Washington area during an in-flight educational event Nov. 3 involving the National Geographic Society. The National Geographic Channel, and award-winning producers Brian Grazer, Ron Howard, and Michael Rosenberg joined forces to thrill viewers about space through a new series entitled MARS, a six-part television series set in both the future and present day to discuss current and future space exploration.</t>
  </si>
  <si>
    <t>at35zNUoGU4</t>
  </si>
  <si>
    <t>2016 11 02</t>
  </si>
  <si>
    <t>https://youtu.be/VWeg88PTg4s</t>
  </si>
  <si>
    <t>James Webb Space Telescope Update</t>
  </si>
  <si>
    <t>Members of the media were invited to join NASA Administrator Charles Bolden Nov. 2 at Goddard Space Flight Center in Greenbelt, Maryland, for an update about what’s in store for NASA’s next great observatory, the James Webb Space Telescope, and a rare glimpse of the telescope’s mirrors. During the event, Bolden and other agency leaders and experts discussed the future of the world’s largest and most complex space telescope and its role in revealing the universe. The Webb Telescope will study every phase in the history of our universe, from the first luminous glows of the Big Bang, to the formation of planetary systems capable of supporting life, to the evolution of our own solar system.</t>
  </si>
  <si>
    <t>VWeg88PTg4s</t>
  </si>
  <si>
    <t>2016 11 01</t>
  </si>
  <si>
    <t>https://youtu.be/ZvWc957a2To</t>
  </si>
  <si>
    <t>NASA Agency Innovation Mission Day</t>
  </si>
  <si>
    <t>On Nov. 1, NASA held an Agency Innovation Mission (AIM) Day to celebrate innovation by NASA employees across the agency. The event featured a keynote speech by Deputy Administrator Dava Newman, broadcast live on NASA TV’s Public-Education channel, from Kennedy Space Center in Florida. AIM Day also featured cross-center collaboration activities, online innovation showcase videos and other special events at NASA centers around the country to allow employees to pitch their innovative ideas.</t>
  </si>
  <si>
    <t>ZvWc957a2To</t>
  </si>
  <si>
    <t>https://youtu.be/TLl7grOPpAo</t>
  </si>
  <si>
    <t>Expedition 50-51 Crew Departs for Kazakh Launch Site</t>
  </si>
  <si>
    <t>Expedition 50-51 Soyuz Commander Oleg Novitskiy of Roscosmos and Flight Engineers Peggy Whitson of NASA and Thomas Pesquet of the European Space Agency along with their backups, Fyodor Yurchikhin of Roscosmos, Jack Fischer of NASA and Paolo Nespoli of the European Space Agency participated in traditional ceremonies at the Gagarin Cosmonaut Training Center in Star City, Russia, outside Moscow Nov. 1. Afterward, they departed for the Baikonur Cosmodrome in Kazakhstan to complete their training for the launch of Novitskiy, Whitson and Pesquet on the Soyuz MS-03 spacecraft Nov. 18, Kazakh time, for a five-month mission on the International Space Station.</t>
  </si>
  <si>
    <t>TLl7grOPpAo</t>
  </si>
  <si>
    <t>2016 10 31</t>
  </si>
  <si>
    <t>https://youtu.be/wf6hcFn27zk</t>
  </si>
  <si>
    <t>One never knows what eeriness lurks in the spooky remains of a deserted launch pad.
NASA wishes you a Happy Halloween.</t>
  </si>
  <si>
    <t>wf6hcFn27zk</t>
  </si>
  <si>
    <t>2016 10 30</t>
  </si>
  <si>
    <t>https://youtu.be/fzLSMuvxK28</t>
  </si>
  <si>
    <t>Expedition 49 Crew Receives a Warm Welcome in Kazakhstan and Russia</t>
  </si>
  <si>
    <t>Expedition 49 Commander Anatoly Ivanishin of Roscosmos and Flight Engineers Kate Rubins of NASA and Takuya Onishi of the Japan Aerospace Exploration Agency were greeted in a traditional ceremony at the airport in Karaganda, Kazakhstan Oct. 30, a few hours after landing in their Soyuz MS-01 spacecraft in Kazakhstan near the town of Dzhezkazgan. After the ceremony, Ivanishin returned to his training base in Star City, Russia, while Rubins and Onishi returned to the U.S. The trio spent 115 days in space and 113 days aboard the orbital laboratory. The footage includes interviews conducted with Rubins and Onishi at the Karaganda airport.</t>
  </si>
  <si>
    <t>fzLSMuvxK28</t>
  </si>
  <si>
    <t>https://youtu.be/TrZ9hNB47Qs</t>
  </si>
  <si>
    <t>Expedition 49 Crew Lands Safely in Kazakhstan</t>
  </si>
  <si>
    <t>International Space Station Expedition 49 Commander Anatoly Ivanishin of Roscosmos and Flight Engineers Kate Rubins of NASA and Takuya Onishi of the Japan Aerospace Exploration Agency landed safely near the town of Dzhezkazgan, Kazakhstan Oct. 30 Kazakhstan time, after undocking their Soyuz MS-01 spacecraft from the International Space Station several hours earlier. The trio spent 115 days in space and 113 days aboard the orbital laboratory conducting research and operational work in support of the station.</t>
  </si>
  <si>
    <t>TrZ9hNB47Qs</t>
  </si>
  <si>
    <t>https://youtu.be/i8KfDyHtm44</t>
  </si>
  <si>
    <t>Expedition 49 Departs from the ISS</t>
  </si>
  <si>
    <t>After saying farewell to the crew staying on the International Space Station and climbing into their Soyuz spacecraft on Oct. 29, Expedition 49 Commander Anatoly Ivanishin of Roscosmos and Flight Engineers Kate Rubins of NASA and Takuya Onishi of the Japan Aerospace Exploration Agency, undocked from the orbital outpost, to begin their return trip to Earth. Ivanishin, Rubins and Onishi spent 115 days in space and 113 days aboard the orbital laboratory.</t>
  </si>
  <si>
    <t>i8KfDyHtm44</t>
  </si>
  <si>
    <t>2016 10 28</t>
  </si>
  <si>
    <t>https://youtu.be/ktfJVwkJG2g</t>
  </si>
  <si>
    <t>Expedition 49 Crew Hands Over the Space Station to Expedition 50</t>
  </si>
  <si>
    <t>The reins of the International Space Station were passed from Anatoly Ivanishin of Roscosmos to NASA’s Shane Kimbrough during a ceremony on the orbital outpost on Oct. 28. Ivanishin is returning to Earth Oct. 30, Kazakh time, with his Expedition 49 crewmates, Kate Rubins of NASA and Takuya Onishi of the Japan Aerospace Exploration Agency in the Soyuz MS-01 spacecraft for a landing on the steppe of Kazakhstan to complete a 115-day mission. Kimbrough remains on the station as commander of Expedition 50 along with Flight Engineers Sergey Ryzhikov and Andrey Borisenko of Roscosmos until early next year.</t>
  </si>
  <si>
    <t>ktfJVwkJG2g</t>
  </si>
  <si>
    <t>https://youtu.be/v1_uVd1PwpA</t>
  </si>
  <si>
    <t>Cygnus Arrives Safely to ISS on This Week @NASA – October 28, 2016</t>
  </si>
  <si>
    <t>On Oct. 23, Orbital ATK’s Cygnus cargo spacecraft safely arrived at the International Space Station – six days after being launched on an Antares rocket from NASA’s Wallops Flight Facility, in Virginia. The successful trip to orbit is the return of rocket launches to the space station from Virginia, following the loss of an Antares and a Cygnus spacecraft during a launch mishap in October 2014. The Cygnus delivered more than 5,100 pounds of science investigations, food and supplies to the crew onboard the station. Also, Next Space Station Crew Trains in Russia, Solar Hazards in Exploration, Preparing for Orion Water Recovery Test and more!</t>
  </si>
  <si>
    <t>v1_uVd1PwpA</t>
  </si>
  <si>
    <t>2016 10 27</t>
  </si>
  <si>
    <t>https://youtu.be/Y_TRF-Wtcks</t>
  </si>
  <si>
    <t>Astronaut Peggy Whitson Talks about her Upcoming Mission to the International Space Station</t>
  </si>
  <si>
    <t>NASA astronaut Peggy Whitson conducted live satellite interviews from the Gagarin Cosmonaut Training Center in Star City, Russia, on Thursday, Oct. 27. Whitson, and her Expedition 50/51 crewmates, Oleg Novitskiy of the Russian space agency Roscosmos and astronaut Thomas Pesquet of ESA (European Space Agency), will launch to the space station on Nov. 15, U.S. time, aboard a Soyuz spacecraft from the Baikonur Cosmodrome in Kazakhstan. During her stay in space, Whitson will become the first woman to have commanded the space station twice. During Expedition 16 in 2007, she became the first woman ever to command the station. That flight and her first mission to the space station, as a flight engineer for Expedition 5 in 2002, give her a current total of 377 days in space. Whitson is scheduled to return to Earth with Novitskiy and Pesquet in May.</t>
  </si>
  <si>
    <t>Y_TRF-Wtcks</t>
  </si>
  <si>
    <t>https://youtu.be/DhmdyQdu96M</t>
  </si>
  <si>
    <t>Space Station Fisheye Fly-Through 4K (Ultra HD)</t>
  </si>
  <si>
    <t>Join us for a fly-through of the International Space Station. Produced by Harmonic exclusively for NASA TV UHD, the footage was shot in Ultra High Definition (4K) using a fisheye lens for extreme focus and depth of field.</t>
  </si>
  <si>
    <t>DhmdyQdu96M</t>
  </si>
  <si>
    <t>2016 10 26</t>
  </si>
  <si>
    <t>https://youtu.be/Crqn0MV69sI</t>
  </si>
  <si>
    <t>International Space Station Expedition 50-51 Crew News Conference</t>
  </si>
  <si>
    <t>Expedition 50-51 Soyuz Commander Oleg Novitskiy and Flight Engineer Peggy Whitson of NASA and Flight Engineer Thomas Pesquet of the European Space Agency conducted a news conference at the Gagarin Cosmonaut Training Center in Star City, Oct. 26. Novitskiy, Whitson and Pesquet are scheduled to launch on Nov. 15, Kazakh time, from the Baikonur Cosmodrome in Kazakhstan in the Soyuz MS-03 spacecraft for a five month mission on the International Space Station.</t>
  </si>
  <si>
    <t>Crqn0MV69sI</t>
  </si>
  <si>
    <t>https://youtu.be/e50jYM0Wyx4</t>
  </si>
  <si>
    <t>Expedition 50-51 Crew Conducts Ceremonies in Star City and Moscow, Russia</t>
  </si>
  <si>
    <t>Expedition 50-51 Soyuz Commander Oleg Novitskiy of Roscosmos and Flight Engineers Peggy Whitson of NASA and Thomas Pesquet of the European Space Agency along with their backups, Fyodor Yurchikhin of Roscosmos, Jack Fischer of NASA and Paolo Nespoli of the European Space Agency visited the Gagarin Museum where they viewed historic space artifacts at the Gagarin Cosmonaut Training Center in Star City, Russia Oct. 26, then visited Red Square in Moscow for traditional ceremonies. Novitskiy, Whitson and Pesquet are scheduled to launch on Nov. 16, Kazakh time, from the Baikonur Cosmodrome in Kazakhstan in the Soyuz MS-03 spacecraft for a five-month mission on the International Space Station.</t>
  </si>
  <si>
    <t>e50jYM0Wyx4</t>
  </si>
  <si>
    <t>https://youtu.be/uDLPD40QI_0</t>
  </si>
  <si>
    <t>STEM in 30 – Seven Minutes of Terror</t>
  </si>
  <si>
    <t>The Smithsonian National Air and Space Museum’s STEM in 30 series of live, fast-paced, 30-minute webcasts are designed to increase interest and engagement in STEM for students. This episode of STEM in 30 explores the engineering behind various techniques used in the past to land spacecraft on other planets, including rocket thrusters, giant airbags, and a sky crane. The episode also examines what techniques might be used for future missions.</t>
  </si>
  <si>
    <t>uDLPD40QI_0</t>
  </si>
  <si>
    <t>https://youtu.be/pw7lpAFbCQk</t>
  </si>
  <si>
    <t>Space Station Crew Members Accept Congratulations from Japanese Prime Minister</t>
  </si>
  <si>
    <t>Aboard the International Space Station, Expedition 49 Flight Engineers Takuya Onishi of the Japan Aerospace Exploration Agency and Kate Rubins of NASA discussed their soon-to-be-completed four months in orbit during an in-flight conversation Oct. 26 with Japanese Prime Minister Shinzo Abe and other top Japanese government and space officials. Onishi and Rubins, who arrived aboard the station in early July, will return to Earth Oct. 30 on a Russian Soyuz spacecraft for a parachute-assisted landing on the steppe of Kazakhstan.</t>
  </si>
  <si>
    <t>pw7lpAFbCQk</t>
  </si>
  <si>
    <t>2016 10 25</t>
  </si>
  <si>
    <t>https://youtu.be/IBpT1CIchNQ</t>
  </si>
  <si>
    <t>What’s New in Aerospace   Solar Hazards in Exploration</t>
  </si>
  <si>
    <t>Understanding the hazards of space weather on crewed and robotic missions is vital to informing plans for NASA’s Journey to Mars and other missions into our solar system, and beyond. During this episode of the Smithsonian National Air and Space Museum series, What’s New in Aerospace, veteran NASA astronaut John Grunsfeld and solar experts discuss that and more.
The event also marked the 10th anniversary of the launch of NASA’s two Solar TErrestrial RElations Observatory (STEREO) spacecraft. The twin probes have advanced space weather forecasting more than any other spacecraft or solar observatory and enabled previously impossible early warnings of threatening conditions posed by the sun.</t>
  </si>
  <si>
    <t>IBpT1CIchNQ</t>
  </si>
  <si>
    <t>https://youtu.be/QPRzaR03bM4</t>
  </si>
  <si>
    <t>Kate Rubins and Simon Pegg Discuss the Final Frontier</t>
  </si>
  <si>
    <t>NASA Astronaut Kate Rubins talks with Actor/Writer Simon Pegg, Montgomery "Scotty" Scott of Star Trek, about real life in outer space and science fiction.</t>
  </si>
  <si>
    <t>QPRzaR03bM4</t>
  </si>
  <si>
    <t>https://youtu.be/71rTmHwVur8</t>
  </si>
  <si>
    <t>Expedition 50-51 Crew Undergoes Final Training Outside Moscow</t>
  </si>
  <si>
    <t>Expedition 50-51 Soyuz Commander Oleg Novitskiy of Roscosmos and Flight Engineers Peggy Whitson of NASA and Thomas Pesquet of the European Space Agency along with their backups, Fyodor Yurchikhin of Roscosmos, Jack Fischer of NASA and Paolo Nespoli of the European Space Agency conducted final qualification training at the Gagarin Cosmonaut Training Center in Star City, Russia Oct. 24 and 25.  Novitskiy, Whitson and Pesquet are scheduled to launch on Nov. 16, Kazakh time, from the Baikonur Cosmodrome in Kazakhstan in the Soyuz MS-03 spacecraft for a five-month mission on the International Space Station.</t>
  </si>
  <si>
    <t>71rTmHwVur8</t>
  </si>
  <si>
    <t>2016 10 23</t>
  </si>
  <si>
    <t>https://youtu.be/ETajMu36p_M</t>
  </si>
  <si>
    <t>Loaded with more than 2.5 tons of supplies and science experiments, Orbital ATK’s Cygnus cargo craft arrived at the International Space Station Oct. 23 following its launch on a refurbished Antares rocket from the Wallops Flight Facility, Virginia Oct. 17. Expedition 49 crewmembers Takuya Onishi of the Japan Aerospace Exploration Agency and Kate Rubins of NASA captured Cygnus using the station’s Canadian-built robotic arm. Ground controllers then maneuvered Cygnus to the Earth-facing port of the Unity module where it was installed and bolted into place for a month-long stay.</t>
  </si>
  <si>
    <t>ETajMu36p_M</t>
  </si>
  <si>
    <t>2016 10 21</t>
  </si>
  <si>
    <t>https://youtu.be/NgzoMmsPOUo</t>
  </si>
  <si>
    <t>New Crew Journeys to the Space Station on This Week @NASA – October 21, 2016</t>
  </si>
  <si>
    <t>On Oct. 19, NASA astronaut Shane Kimbrough and his Expedition 49-50 crewmates, Sergey Ryzhikov and Andrey Borisenko, of the Russian Space Agency Roscosmos, launched aboard a Soyuz spacecraft to the International Space Station from the Baikonur Cosmodrome in Kazakhstan. Two days later, when the trio arrived at the orbiting laboratory, they were welcomed aboard by station Commander Anatoly Ivanishin of Roscosmos, Kate Rubins of NASA and Takuya Onishi of the Japan Aerospace Exploration Agency – bringing the space station back to its full complement of six crew members. Also, ISS Cargo Mission Launches from Wallops, Juno Mission and Science Update, and Drone Air Traffic Management Test!</t>
  </si>
  <si>
    <t>NgzoMmsPOUo</t>
  </si>
  <si>
    <t>https://youtu.be/fU0hqYYcTas</t>
  </si>
  <si>
    <t>Expedition 49-50 Crew Welcomed Aboard the Space Station</t>
  </si>
  <si>
    <t>A few hours after docking to the International Space Station on Oct. 21, Expedition 49/50 Soyuz Commander Sergey Ryzhikov and Flight Engineer Andrey Borisenko of Roscosmos and Flight Engineer Shane Kimbrough of NASA, opened the hatch of their Soyuz MS-02 spacecraft and were greeted by station Commander Anatoly Ivanishin of Roscosmos and Flight Engineers Kate Rubins of NASA and Takuya Onishi of the Japan Aerospace Exploration Agency.</t>
  </si>
  <si>
    <t>fU0hqYYcTas</t>
  </si>
  <si>
    <t>https://youtu.be/81pp0lDaQMQ</t>
  </si>
  <si>
    <t>Expedition 49-50 Crew Docks to the Space Station</t>
  </si>
  <si>
    <t>After launching on Oct. 19, in their Soyuz MS-02 spacecraft from the Baikonur Cosmodrome in Kazakhstan, Expedition 49/50 Soyuz Commander Sergey Ryzhikov and Flight Engineer Andrey Borisenko of Roscosmos and Flight Engineer Shane Kimbrough of NASA arrived at the International Space Station on Oct. 21 to complete their two-day journey.</t>
  </si>
  <si>
    <t>81pp0lDaQMQ</t>
  </si>
  <si>
    <t>2016 10 20</t>
  </si>
  <si>
    <t>https://youtu.be/V6Y6IfA26Sg</t>
  </si>
  <si>
    <t>Earth Expeditions  Clouds, Corals and Glaciers</t>
  </si>
  <si>
    <t>Via three recent airborne science missions NASA is pushing the boundaries of what we know about our dynamic planet. This year NASA is sending scientists around the world to delve into tough questions about how our planet is changing. In this episode we take you out in the field with them in Africa, Greenland, and Australia’s Great Barrier Reef.
To find out more visit:
http://www.nasa.gov/earthexpeditions</t>
  </si>
  <si>
    <t>V6Y6IfA26Sg</t>
  </si>
  <si>
    <t>https://youtu.be/fVpRUNIn_oI</t>
  </si>
  <si>
    <t>Earth Expeditions  A Natural Cloud Climate Laboratory</t>
  </si>
  <si>
    <t>Southern Africa produces almost a third of the world’s vegetative burning, which sends smoke particles up into the atmosphere, where they can mix with stratocumulus clouds over the southeastern Atlantic Ocean. The Observations of Clouds above Aerosols and their Interactions (ORACLES) field study based in Namibia is investigating how these particles impact the clouds, which play a key role in both regional and global surface temperatures and precipitation, in order to help improve current climate models.</t>
  </si>
  <si>
    <t>fVpRUNIn_oI</t>
  </si>
  <si>
    <t>https://youtu.be/BE-qwR0jcN0</t>
  </si>
  <si>
    <t>Earth Expeditions  Melting Greenland Glaciers</t>
  </si>
  <si>
    <t>Global sea level rise is one of the major environmental challenges of the 21st Century. Oceans Melting Greenland (OMG) is paving the way for improved estimates of sea level rise by addressing the question: to what extent are the oceans melting Greenland’s ice from below? NASA scientists have just completed their first airborne survey to take the temperature of coastal waters around all of Greenland.</t>
  </si>
  <si>
    <t>BE-qwR0jcN0</t>
  </si>
  <si>
    <t>2016 10 19</t>
  </si>
  <si>
    <t>https://youtu.be/5ZkiglD2_Mw</t>
  </si>
  <si>
    <t>NASA Updates Status of Mission to Jupiter</t>
  </si>
  <si>
    <t>Team members of NASA’s Juno mission to Jupiter discussed the latest science results, an amateur imaging processing campaign, and the recent decision to postpone a scheduled burn of the spacecraft’s main engine, during a media briefing on Oct. 19. The agency’s Juno spacecraft entered orbit around Jupiter on July 4. On Aug. 27, it performed its first close flyby of the planet. It was the first time Juno had its entire suite of science instruments activated and observing the planet as the spacecraft zoomed past.</t>
  </si>
  <si>
    <t>5ZkiglD2_Mw</t>
  </si>
  <si>
    <t>https://youtu.be/--x3JvBx46c</t>
  </si>
  <si>
    <t>New Crew Launches to the ISS</t>
  </si>
  <si>
    <t>NASA Television covered the pre-launch and launch activities of the Expedition 49/50 crew on its mission to the International Space Station. On Oct. 19, Soyuz Commander Sergey Ryzhikov and Flight Engineers Andrey Borisenko of Roscosmos and Shane Kimbrough of NASA launched from the Baikonur Cosmodrome in Kazakhstan to begin a two-day journey to the space station and a five-month mission aboard the orbital complex.</t>
  </si>
  <si>
    <t>--x3JvBx46c</t>
  </si>
  <si>
    <t>2016 10 18</t>
  </si>
  <si>
    <t>https://youtu.be/1tl2EJj42bI</t>
  </si>
  <si>
    <t>Expedition 49-50 Crew Meets Officials and Reporters as Launch Approaches</t>
  </si>
  <si>
    <t>At their Cosmonaut Hotel crew quarters in Baikonur, Kazakhstan, Expedition 49-50 Soyuz Commander Sergey Ryzhikov and Flight Engineer Andrey Borisenko of Roscosmos and Flight Engineer Shane Kimbrough of NASA along with their backups, Alexander Misurkin and Nikolai Tikhonov of Roscosmos and Flight Engineer Mark Vande Hei of NASA, appeared before the Russian State Commission. The commission gave its final approval for the launch of Ryzhikov, Kimbrough and Borisenko to the International Space Station Oct. 19 in their Soyuz MS-02 spacecraft for a five-month mission.</t>
  </si>
  <si>
    <t>1tl2EJj42bI</t>
  </si>
  <si>
    <t>https://youtu.be/QYaYMo2XrAY</t>
  </si>
  <si>
    <t>Space Station Crewmember Talks Science with NIH Director</t>
  </si>
  <si>
    <t>Aboard the International Space Station, Expedition 49 Flight Engineer Kate Rubins of NASA discussed research aboard the orbital laboratory --- particularly the DNA sequencing experiments --- during an in-flight conversation Oct. 18 with Dr. Francis Collins, the director of the National Institutes of Health in Bethesda, Maryland. Rubins, who launched to the station in July, is scheduled to return to Earth Oct. 30 on a Russian Soyuz spacecraft to complete a 115-day mission.</t>
  </si>
  <si>
    <t>QYaYMo2XrAY</t>
  </si>
  <si>
    <t>https://youtu.be/WoCMz-ee1Ho</t>
  </si>
  <si>
    <t>Post-Launch Status of Orbital ATK’s Mission to the ISS</t>
  </si>
  <si>
    <t>On Oct. 17, Orbital ATK launched its Cygnus cargo spacecraft atop an Antares rocket to the International Space Station, from the Mid-Atlantic Regional Spaceport at NASA’s Wallops Flight Facility in Virginia. Following the launch mission managers provided a status update on the mission. This is the sixth cargo mission to the International Space Station for Orbital ATK.</t>
  </si>
  <si>
    <t>WoCMz-ee1Ho</t>
  </si>
  <si>
    <t>https://youtu.be/NX31vCePp1o</t>
  </si>
  <si>
    <t>Orbital ATK Launches to ISS from NASA’s Wallops Flight Facility</t>
  </si>
  <si>
    <t>On Oct. 17, Orbital ATK launched its Cygnus cargo spacecraft atop an Antares rocket to the International Space Station. The spacecraft launched from the Mid-Atlantic Regional Spaceport at NASA’s Wallops Flight Facility in Virginia. This is the sixth cargo mission to the International Space Station for Orbital ATK.</t>
  </si>
  <si>
    <t>NX31vCePp1o</t>
  </si>
  <si>
    <t>2016 10 16</t>
  </si>
  <si>
    <t>https://youtu.be/p7KhmQIYV8w</t>
  </si>
  <si>
    <t>Expedition 49-50 Crew Prepares for Launch in Kazakhstan</t>
  </si>
  <si>
    <t>At the Baikonur Cosmodrome in Kazakhstan, Expedition 49-50 Soyuz Commander Sergey Ryzhikov and Flight Engineer Andrey Borisenko of Roscosmos and Flight Engineer Shane Kimbrough of NASA along with their backups, Alexander Misurkin and Nikolai Tikhonov of Roscosmos and Flight Engineer Mark Vande Hei of NASA participated in a variety of activities  as they prepared for the launch of Kimbrough, Ryzhikov and Borisenko Oct. 19, on the Soyuz MS-02 spacecraft for a five-month mission to the International Space Station.</t>
  </si>
  <si>
    <t>p7KhmQIYV8w</t>
  </si>
  <si>
    <t>https://youtu.be/_4UHQnB-naE</t>
  </si>
  <si>
    <t>A Preview of Orbital ATK’s 6th Resupply Mission to Space Station</t>
  </si>
  <si>
    <t>Mission managers provided an overview and status of launch operations prior the launch of Orbital ATK’s sixth mission to the International Space Station. Orbital ATK is targeting Sunday, Oct. 16 at 8:03 p.m. ET to launch Cygnus aboard an Antares rocket on the company’s sixth mission to the International Space Station. Live launch coverage from NASA’s Wallops Flight Facility will begin at 7 p.m. on NASA Television and the agency’s website.</t>
  </si>
  <si>
    <t>_4UHQnB-naE</t>
  </si>
  <si>
    <t>2016 10 15</t>
  </si>
  <si>
    <t>https://youtu.be/fvIT10SLPQU</t>
  </si>
  <si>
    <t>The Science Onboard the Next ISS Supply Mission</t>
  </si>
  <si>
    <t>NASA TV aired a prelaunch science briefing during which scientists and researchers discussed some of the investigations to be delivered to the station aboard Orbital ATK’s Cygnus cargo spacecraft. Orbital ATK is targeting Sunday, Oct. 16 at 8:03 p.m. ET to launch Cygnus aboard an Antares rocket on the company’s sixth mission to the International Space Station. Live launch coverage from NASA’s Wallops Flight Facility will begin at 7 p.m. on NASA Television and the agency’s website.</t>
  </si>
  <si>
    <t>fvIT10SLPQU</t>
  </si>
  <si>
    <t>2016 10 14</t>
  </si>
  <si>
    <t>https://youtu.be/AZ6DSCAbLwA</t>
  </si>
  <si>
    <t>Making Human Settlement of Space a Reality on This Week @NASA – October 14, 2016</t>
  </si>
  <si>
    <t>An Oct. 11 opinion article written by President Barack Obama and published by CNN, outlined a vision for the future of space exploration. In it, the president echoed the words in his 2015 State of the Union address about the importance of sending humans on a roundtrip mission to Mars by the 2030s, and developing technology to help us stay on the Red Planet for an extended time. That same day in a blog post, NASA Administrator Charlie Bolden and John Holdren, assistant to the President for Science and Technology, discussed two NASA initiatives that build on the president’s vision and use public-private partnerships to enable humans to live and work in space in a sustainable way. The first was the selection of six companies to develop habitation systems as part of the agency’s Next Space Technologies for Exploration Partnerships or “NextSTEP” program, designed to lay the groundwork for deep space missions. And this fall as part of the second initiative, NASA will start the process of providing companies with a potential opportunity to add their own modules and other capabilities to the International Space Station. The move is in-line with NASA’s plan to support and foster the growing community of scientists and entrepreneurs conducting research and growing businesses in space. Also, White House Frontiers Conference, Kennedy Reopens After Hurricane Matthew, Orion Service Module Vibration Tests, SLS Liquid Hydrogen Fuel Tank Completed, and Aviation Safety Reporting System Turns 40!</t>
  </si>
  <si>
    <t>AZ6DSCAbLwA</t>
  </si>
  <si>
    <t>2016 10 13</t>
  </si>
  <si>
    <t>https://youtu.be/2cp3PKzShzw</t>
  </si>
  <si>
    <t>At the Baikonur Cosmodrome in Kazakhstan, Expedition 49-50 Soyuz Commander Sergey Ryzhikov and Flight Engineer Andrey Borisenko of Roscosmos and Flight Engineer Shane Kimbrough of NASA along with their backups, Alexander Misurkin and Nikolai Tikhonov of Roscosmos and Flight Engineer Mark Vande Hei of NASA participated in a variety of activities Oct. 7-13 as they prepared for the launch of Kimbrough, Ryzhikov and Borisenko Oct. 19 on the Soyuz MS-02 spacecraft for a four-month mission on the International Space Station. The footage includes the crew’s arrival in Baikonur and their Soyuz fit checks in the Cosmodrome Integration Facility, and visits to the Baikonur History Museum and their Soyuz booster.</t>
  </si>
  <si>
    <t>2cp3PKzShzw</t>
  </si>
  <si>
    <t>https://youtu.be/KErMYvcPge4</t>
  </si>
  <si>
    <t>Space Station Cameras Capture New Views of Hurricane Nicole</t>
  </si>
  <si>
    <t>From an altitude of 252 miles, cameras outside the International Space Station captured new views of Hurricane Nicole Oct. 13 at 1:40 p.m. EDT as it passed directly over Bermuda, packing winds of 120 miles an hour. Nicole moved past Bermuda by mid-afternoon, but not before creating eight-foot storm surges and resulting flooding to the island.</t>
  </si>
  <si>
    <t>KErMYvcPge4</t>
  </si>
  <si>
    <t>2016 10 12</t>
  </si>
  <si>
    <t>https://youtu.be/Wuzu3jhlBaE</t>
  </si>
  <si>
    <t>Kennedy Hurricane Matthew Recovery Briefing</t>
  </si>
  <si>
    <t>On Tuesday, Kennedy Space Center Director Bob Cabana and the center’s Damage Assessment and Recovery Team (DART) chief, Bob Holl briefed news media on Kennedy’s recovery from Hurricane Matthew. The hurricane passed close to the center on Friday morning, Oct. 7, causing damage to some facilities. For the next several days, the DART carefully assessed Kennedy property and facilities. On Monday evening, center leadership declared an all clear and Kennedy reopened on Tuesday.</t>
  </si>
  <si>
    <t>Wuzu3jhlBaE</t>
  </si>
  <si>
    <t>2016 10 11</t>
  </si>
  <si>
    <t>https://youtu.be/Kr3OPNjsx_M</t>
  </si>
  <si>
    <t>Open Science  Space Coffee Cup</t>
  </si>
  <si>
    <t>In low-gravity environments like the space station, fluids tend to get ‘sticky.’ Surface tension and capillary effects, which are overwhelmed by gravity on Earth, rule the day in space.  As a result, coffee tends to cling to the walls of the cup. The zero-G coffee cup solves these problems by 'going with the flow': putting the strange behavior of fluid in microgravity to work.</t>
  </si>
  <si>
    <t>Kr3OPNjsx_M</t>
  </si>
  <si>
    <t>https://youtu.be/AYiO6q8Rs7Q</t>
  </si>
  <si>
    <t>NASA Hispanic Heritage Month Employee Profile - Tom Gutierrez - Stennis Space Center</t>
  </si>
  <si>
    <t>Tom Gutierrez is an engineer with NASA’s Center Operations &amp; Maintenance Division at Stennis Space Center in Mississippi. He received his Bachelor of Science degree in Electrical Engineering from Florida International University in Miami, FL. He is licensed as a Professional Engineer in Louisiana.</t>
  </si>
  <si>
    <t>AYiO6q8Rs7Q</t>
  </si>
  <si>
    <t>2016 10 07</t>
  </si>
  <si>
    <t>https://youtu.be/lFwiEJaEYck</t>
  </si>
  <si>
    <t>Space Station Cameras Document New Views of Hurricane Matthew</t>
  </si>
  <si>
    <t>Cameras on the International Space Station captured new views of Hurricane Matthew Oct. 7 at 4 p.m. EDT from an altitude of 250 miles. Matthew raked the east coast of Florida earlier in the day as a Category 3 storm and continues on a northerly path toward northeastern Florida, Georgia and South Carolina.</t>
  </si>
  <si>
    <t>lFwiEJaEYck</t>
  </si>
  <si>
    <t>https://youtu.be/9NuosO9PyVo</t>
  </si>
  <si>
    <t>Major Hurricane Matthew Seen from Space on This Week @NASA – October 7, 2016</t>
  </si>
  <si>
    <t>Cameras outside the International Space Station captured views of Hurricane Matthew during several passes over the major storm, as it made its way north through the Caribbean Sea during the week of Oct. 3. The storm, which reached Category 4 status with winds up to about 145 miles per hour, impacted Haiti, eastern Cuba and the Bahamas. Forecasters predicted Matthew would threaten the southeast coast of the United States, including Florida’s Space Coast. As a precaution, NASA’s Kennedy Space Center closed Oct. 5 after preparing facilities for what could be a direct hit from the storm. Also, One Mars Year of Science for MAVEN, SLS Hardware Being Stacked for Stress Test, Oceans Melting Greenland, Aspira con NASA, and NASA at White House Events!</t>
  </si>
  <si>
    <t>9NuosO9PyVo</t>
  </si>
  <si>
    <t>https://youtu.be/bpkEOCEgNtg</t>
  </si>
  <si>
    <t>Aspira con NASA Aspire with NASA</t>
  </si>
  <si>
    <t>In recognition of Hispanic Heritage Month NASA hosted an event at the agency’s headquarters in Washington Tuesday, Oct. 4, called Aspira con NASA (Aspire with NASA). The event featured a video message from NASA Administrator Charles Bolden as well as presentations from guest speakers Diana Trujillo, mission lead for Mars Curiosity Rover, and former NASA astronaut José Hernández. Each shared stories of aspiration, inspiration and exploration.</t>
  </si>
  <si>
    <t>bpkEOCEgNtg</t>
  </si>
  <si>
    <t>https://youtu.be/7zY5RVAe7mQ</t>
  </si>
  <si>
    <t>Space Station Crewmember Discusses Life in Space with Japanese Media</t>
  </si>
  <si>
    <t>Aboard the International Space Station, Expedition 49 Flight Engineer Takuya Onishi of the Japan Aerospace Exploration Agency discussed life and research on the orbital laboratory during an in-flight interview Oct. 7 with the Japanese television network, NHK-TV. After launching to the station in early July, Onishi is in the homestretch of his mission on the international outpost.</t>
  </si>
  <si>
    <t>7zY5RVAe7mQ</t>
  </si>
  <si>
    <t>2016 10 06</t>
  </si>
  <si>
    <t>https://youtu.be/nB3XTRwZ--k</t>
  </si>
  <si>
    <t>Space Station Cameras Capture New Views of Hurricane Matthew</t>
  </si>
  <si>
    <t>Cameras outside the International Space Station captured new views Oct. 6 of massive Hurricane Matthew at 4:45 p.m. EDT as the outpost flew 250 miles overhead. At the time of the flyover, Matthew was moving to the northwest through the Bahamas, strengthening to a possible Category 4 hurricane that is expected strike the east coast of Florida and track up the Space Coast Oct. 7 with winds that could reach 145 miles an hour, according to the National Hurricane Center.</t>
  </si>
  <si>
    <t>nB3XTRwZ--k</t>
  </si>
  <si>
    <t>2016 10 05</t>
  </si>
  <si>
    <t>https://youtu.be/S3BZ7eWqk80</t>
  </si>
  <si>
    <t>Space Station Cameras Capture Menacing Hurricane Matthew</t>
  </si>
  <si>
    <t>Cameras on the International Space Station captured new views of Hurricane Matthew at 4 p.m. EDT Oct. 5 as the Category 3 storm moved to the north of Cuba toward the Bahamas at about 12 miles an hour, packing winds of 120 miles an hour. After inflicting major damage to western Haiti and eastern Cuba, Matthew is heading toward the east coast of Florida where it could pass close to or over NASA’s Kennedy Space Center. The National Hurricane Center has issued hurricane warnings from north of Golden Beach, Florida to the Flagler/Volusia county line to Lake Okeechobee.</t>
  </si>
  <si>
    <t>S3BZ7eWqk80</t>
  </si>
  <si>
    <t>https://youtu.be/NETm7i1XgCE</t>
  </si>
  <si>
    <t>STEM in 30 – A Sky Full of Color</t>
  </si>
  <si>
    <t>The Smithsonian National Air and Space Museum’s STEM in 30 series of live, fast-paced, 30-minute webcasts are designed to increase interest and engagement in STEM for students. This episode of STEM in 30, live from the Albuquerque Balloon Fiesta, examines the long and colorful history of balloons, which have served as a mode of transportation, a military asset, and a source of entertainment for many.</t>
  </si>
  <si>
    <t>NETm7i1XgCE</t>
  </si>
  <si>
    <t>2016 10 04</t>
  </si>
  <si>
    <t>https://youtu.be/tPS3aiyV5Ys</t>
  </si>
  <si>
    <t>Space Station Cameras Peer down on Major Hurricane Matthew</t>
  </si>
  <si>
    <t>Cameras outside the International Space Station captured views of Hurricane Matthew during two flyovers of the massive storm at 3:24 p.m. and 5:00 p.m. EDT Oct. 4. Matthew was moving north at about 10 miles an hour, packing winds of 145 miles an hour as it passed beyond western Haiti to the eastern coast of Cuba en route to the Bahamas. Matthew will be threatening the southeast coast of the United States as early as Friday and may pose a threat to the Eastern Seaboard throughout the weekend into early next week.</t>
  </si>
  <si>
    <t>tPS3aiyV5Ys</t>
  </si>
  <si>
    <t>https://youtu.be/FMc7CK5jAYk</t>
  </si>
  <si>
    <t>Station Crew Member Discusses Life in Space with Radio Reporters</t>
  </si>
  <si>
    <t>Aboard the International Space Station, Expedition 49 Flight Engineer Kate Rubins of NASA discussed her day-to-day activities and research on the orbital outpost in a pair of in-flight interviews Oct. 4 with KZSU Radio at Stanford University in Palo Alto, California, and National Public Radio. Rubins, who earned a doctorate in cancer biology in 2005 from Stanford University’s Medical School Biochemistry Department and its Microbiology and Immunology Department, is in the homestretch of her mission on the international laboratory.</t>
  </si>
  <si>
    <t>FMc7CK5jAYk</t>
  </si>
  <si>
    <t>2016 10 03</t>
  </si>
  <si>
    <t>https://youtu.be/VPy9aGCCv8U</t>
  </si>
  <si>
    <t>Space Station Cameras Captures Dramatic Views of Hurricane Matthew</t>
  </si>
  <si>
    <t>Cameras outside the International Space Station captured dramatic views of major Hurricane Matthew Oct. 3 as the orbital complex flew 250 miles over the storm at 4:15 p.m. EDT. Packing winds of 140 miles an hour as a Category 4 hurricane, Matthew was expected to pass over western Haiti and eastern Cuba Oct. 4 before charging north over the Bahamas Oct. 5 and potentially threatening the east coast of the United States later in the week.</t>
  </si>
  <si>
    <t>VPy9aGCCv8U</t>
  </si>
  <si>
    <t>2016 09 30</t>
  </si>
  <si>
    <t>https://youtu.be/tNB0CUvInU0</t>
  </si>
  <si>
    <t>NASA Hispanic Heritage Month Employee Profile - Abigail Rodriguez - Glenn Research Center</t>
  </si>
  <si>
    <t>Abigail Rodriguez serves as a structural materials engineer at the National Aeronautics and Space Administration's John H. Glenn Research Center in Cleveland. In this capacity she provides technical engineering expertise that assures incorporation of safety, reliability, quality assurance, and materials and processes in hardware development, fabrication, testing and operation efforts for aerospace and aeronautical projects. She also provides risk management insight and oversight to different projects.
Abigail began here NASA career as a spring intern in 2009 at Kennedy Space Center and a summer intern at Glenn from 2009-2012. She also served as a pathways intern from January 2013 to June 2014 before being hired full time in the Safety and Mission Assurance Directorate as a Materials and Processes Engineer.
Born in Queens, NY, Abigail moved to Añasco, Puerto Rico when she was a year old. She earned a Bachelor of Science degree in civil engineering and a Master of Engineering degree in construction engineering and management from the University of Puerto Rico at Mayaguez.
Abigail has been recognized with a 2016 Early Career Achievement Medal.</t>
  </si>
  <si>
    <t>tNB0CUvInU0</t>
  </si>
  <si>
    <t>https://youtu.be/5rsyyWQcGMg</t>
  </si>
  <si>
    <t>Journey to Mars Update on This Week @NASA – September 30, 2016</t>
  </si>
  <si>
    <t>NASA Administrator Charlie Bolden joined other leaders of the world’s space agencies to discuss the latest technological breakthroughs and developments in space exploration at the 67th International Astronautical Congress, Sept. 26-30th in Guadalajara, Mexico.
At the event, NASA discussed new elements to its multi-phase Journey to Mars to extend the human footprint all the way to the Red Planet. NASA will continue operations aboard the International Space Station through 2024. Work currently underway aboard the station to encourage commercial development of low-Earth orbit, develop deep space systems, life support and human health is part of the Earth Reliant phase of the Journey to Mars. In the 2020s, during the Proving Ground phase when NASA steps out farther, the agency now plans to send an astronaut crew on a yearlong mission to a deep space destination near the moon. They will conduct activities to verify habitation and test our readiness for Mars. A round-trip robotic Mars sample return mission is being targeted for the 2020s, as part of the Earth Independent phase before finally sending humans on a mission to orbit Mars in the early 2030s. Also, Zurbuchen Named Head of NASA Science, Hubble Spots Possible Water Plumes on Europa, Rosetta’s Mission Ends, and Armstrong Celebrates 70 Years of Flight Research!</t>
  </si>
  <si>
    <t>5rsyyWQcGMg</t>
  </si>
  <si>
    <t>2016 09 29</t>
  </si>
  <si>
    <t>https://youtu.be/kxDUcgzvHEI</t>
  </si>
  <si>
    <t>Space Station Crew Member Discusses Life and Work in Space with Cosmopolitan Magazine</t>
  </si>
  <si>
    <t>Aboard the International Space Station, Expedition 49 Flight Engineer Kate Rubins of NASA discussed life, research and the job of flying in space during an in-flight interview Sept. 29 with Emma Barker of Cosmopolitan Magazine. Rubins is in the final month of her four-month mission on the station, aiming for a return to Earth in the Soyuz MS-01 spacecraft Oct. 30.</t>
  </si>
  <si>
    <t>kxDUcgzvHEI</t>
  </si>
  <si>
    <t>2016 09 28</t>
  </si>
  <si>
    <t>https://youtu.be/5cin6vw-kn0</t>
  </si>
  <si>
    <t xml:space="preserve">Space Station Crew Member Discusses Life in Space with NBC's  Meet the Press </t>
  </si>
  <si>
    <t>Aboard the International Space Station, Expedition 49 Flight Engineer Kate Rubins of NASA shared her thoughts on life and work aboard the orbital laboratory in an in-flight interview Sept. 28 for NBC’s new “Meet the Press” podcast with moderator Chuck Todd. Rubins is in the final month of her four-month mission on the station, aiming for a return to Earth in the Soyuz MS-01 spacecraft Oct. 30.</t>
  </si>
  <si>
    <t>5cin6vw-kn0</t>
  </si>
  <si>
    <t>2016 09 23</t>
  </si>
  <si>
    <t>https://youtu.be/izMKh_UC7rU</t>
  </si>
  <si>
    <t>Dedicated to History</t>
  </si>
  <si>
    <t>NASA Administrator Charles Bolden discusses the flight jacket from mission STS-60 that he donated to the new National Museum of African American History and Culture.
For more information:
http://go.nasa.gov/2cJyulu</t>
  </si>
  <si>
    <t>izMKh_UC7rU</t>
  </si>
  <si>
    <t>https://youtu.be/DzgosNgn8-Q</t>
  </si>
  <si>
    <t>Advice to Students</t>
  </si>
  <si>
    <t>NASA Administrator Charles Bolden talks about the advice he gives to young people,on the occasion of the opening of the National Museum of African American History and Culture.
For more information:
http://go.nasa.gov/2cJyulu</t>
  </si>
  <si>
    <t>DzgosNgn8-Q</t>
  </si>
  <si>
    <t>https://youtu.be/d3JW5ONf4aQ</t>
  </si>
  <si>
    <t>An Unimaginable Journey</t>
  </si>
  <si>
    <t>NASA Administrator Charles Bolden discusses the historic significance of the new National Museum of African American History and Culture.
For more information:
http://go.nasa.gov/2cJyulu</t>
  </si>
  <si>
    <t>d3JW5ONf4aQ</t>
  </si>
  <si>
    <t>https://youtu.be/MUa2E_M-b1A</t>
  </si>
  <si>
    <t>NASA Hispanic Heritage Month Employee Profile -  Claudia Herrera - Armstrong Flight Research Center</t>
  </si>
  <si>
    <t>Claudia Herrera has been with NASA Armstrong Flight Research Center since January of 2005, and works as a Structural Dynamics engineer. Claudia is involved in the life cycle phase of flight‑test projects that take finite element models to flight‑test validation, participating in both the analytical and ground and flight test aspects of model correlation and verification.</t>
  </si>
  <si>
    <t>MUa2E_M-b1A</t>
  </si>
  <si>
    <t>https://youtu.be/11HfW94CBpI</t>
  </si>
  <si>
    <t>Closest Multi-Spacecraft Flying Formation on This Week @NASA – September 23, 2016</t>
  </si>
  <si>
    <t>The four spacecraft orbiting Earth in formation as part of NASA’s Magnetospheric Multiscale, or MMS, mission achieved a new record recently when the space between them was decreased from just over six miles to only four-and-a-half miles. This is the closest separation ever of any multi-spacecraft formation. The team of spacecraft fly in a pyramid shape, called a tetrahedron, which enables MMS to capture three-dimensional observations of magnetic reconnection – a mysterious phenomenon, during which magnetic fields experience explosive interactions. The closer formation will allow the spacecraft to measure magnetic reconnection at smaller scales, helping scientists to better understand it. Also, Destination Mars Exhibit, Orbital ATK Targets Launch Window, NASA-developed Technology Saves Pilot’s Life, and Combined Federal Campaign Underway!</t>
  </si>
  <si>
    <t>11HfW94CBpI</t>
  </si>
  <si>
    <t>2016 09 22</t>
  </si>
  <si>
    <t>https://youtu.be/P03vvRW5EIg</t>
  </si>
  <si>
    <t>Space Station Crew Member Discusses Work in Space with the Media</t>
  </si>
  <si>
    <t>Aboard the International Space Station, Expedition 49 Flight Engineer Kate Rubins of NASA provided a current rundown of life and research aboard the orbital laboratory in a pair of in-flight interviews Sept. 22 with the Associated Press and KGO-TV, San Francisco. Rubins is in the final month of her four-month mission on the station, aiming for a return to Earth in the Soyuz MS-01 spacecraft Oct. 30.</t>
  </si>
  <si>
    <t>P03vvRW5EIg</t>
  </si>
  <si>
    <t>2016 09 20</t>
  </si>
  <si>
    <t>https://youtu.be/kJ1bdzkexrM</t>
  </si>
  <si>
    <t>Space Station Crew Member Discusses Life in Space with Japanese Students</t>
  </si>
  <si>
    <t>Aboard the International Space Station, Expedition 49 Flight Engineer Takuya Onishi of the Japan Aerospace Exploration Agency discussed life and work aboard the orbital laboratory during an in-flight educational event Sept. 20 with Japanese students gathered in Sapporo City and Fukuoka City, Japan for the “Tenku Mirai” science project. Onishi is in the final month of his four-month mission on the station, aiming for a return to Earth in the Soyuz MS-01 spacecraft Oct. 30.</t>
  </si>
  <si>
    <t>kJ1bdzkexrM</t>
  </si>
  <si>
    <t>2016 09 19</t>
  </si>
  <si>
    <t>https://youtu.be/2kpVRBbLu_0</t>
  </si>
  <si>
    <t>Asteroid Redirect Mission Briefing on This Week @NASA – September 19, 2016</t>
  </si>
  <si>
    <t>On Sept. 14, officials from the White House and NASA discussed the space agency’s Asteroid Redirect Mission (ARM) during a televised event at NASA’s Goddard Space Flight Center. On the mission, which is targeted for launch in Dec. 2021, NASA plans to send a robotic spacecraft to an asteroid tens of millions of miles from Earth, capture a multi-ton boulder, and bring it to an orbit near the moon for future exploration by astronauts on a following mission aboard NASA’s Orion spacecraft. During the live discussion, John Holdren, assistant to President Obama for Science and Technology, NASA Administrator Charles Bolden and ARM Program Director Michele Gates highlighted the mission’s scientific and technological benefits, how the mission will support NASA’s goal of sending humans to Mars in the 2030s, and how it will demonstrate technology relevant to defending Earth from potentially hazardous asteroids. Also, Astronaut Tim Kopra Visits DC Area, The Warmest August in 136 Years, and 2016 Arctic Sea Ice Minimum Ties 2nd Lowest on Record!</t>
  </si>
  <si>
    <t>2kpVRBbLu_0</t>
  </si>
  <si>
    <t>2016 09 17</t>
  </si>
  <si>
    <t>https://youtu.be/gEUrPrDUMK0</t>
  </si>
  <si>
    <t>NASA Astronaut Talks with Cancer Patients about Cancer Research on the International Space Station</t>
  </si>
  <si>
    <t>Aboard the International Space Station, Expedition 49 Flight Engineer Kate Rubins of NASA discussed research aboard the orbital laboratory with patients from the MD Anderson Cancer Center in Houston and center officials visiting mission control during an in-flight event Sept. 16. Rubins wore a suit flown to the station that she helped to fabricate pre-flight, illustrating the need for a heightened awareness of cancer research.</t>
  </si>
  <si>
    <t>gEUrPrDUMK0</t>
  </si>
  <si>
    <t>2016 09 16</t>
  </si>
  <si>
    <t>https://youtu.be/8sRvS262x0Q</t>
  </si>
  <si>
    <t>NASA Hispanic Heritage Month Employee Profile - Scarlin Hernandez - JWST Spacecraft Engineer (STScI)</t>
  </si>
  <si>
    <t>Scarlin Hernandez is a Spacecraft Engineer for the James Webb Space Telescope at the Space Telescope Science Institute in Baltimore, MD.  She tests and verifies the ground systems that will be used to command and control the telescope once it’s in space. The telescope will be used to discover new planets and the first stars after the dark ages.  The National Science Foundation awarded her a full college scholarship to the Capitol Technology University (CTU) in Laurel, MD.  Scarlin completed a internship at NASA’s Goddard Space Flight Center, and by the age of 20, she was part of the ground control system team for the Tropical Rainfall Measuring Mission (TRMM) satellite.  In 2013, she earned a Bachelor’s degree in Computer Engineering, but she found her real niche in Astronautical Engineering.  After graduation, Scarlin was the mission planning lead for the TRMM mission before transferring to work on the James Webb Space Telescope mission.</t>
  </si>
  <si>
    <t>8sRvS262x0Q</t>
  </si>
  <si>
    <t>https://youtu.be/QTKGEFtD5-Y</t>
  </si>
  <si>
    <t>At the Baikonur Cosmodrome in Kazakhstan, Expedition 49-50 Soyuz Commander Sergey Ryzhikov and Flight Engineer Andrey Borisenko of Roscosmos and Flight Engineer Shane Kimbrough of NASA along with their backups, Alexander Misurkin and Nikolai Tikhonov of Roscosmos and Flight Engineer Mark Vande Hei of NASA participated in a variety of activities Sept. 8-16 as they prepared for the launch of Kimbrough, Ryzhikov and Borisenko Sept. 24, Kazakh time, on the Soyuz MS-02 spacecraft for a five-month mission on the International Space Station. The footage includes the crew’s arrival in Baikonur, their Soyuz fit checks in the Cosmodrome Integration Facility, the ceremonial Cosmonaut Hotel flag-raising ceremony, encapsulation of the Soyuz spacecraft into its booster, and the crew’s traditional media day activities.</t>
  </si>
  <si>
    <t>QTKGEFtD5-Y</t>
  </si>
  <si>
    <t>2016 09 15</t>
  </si>
  <si>
    <t>https://youtu.be/UC5k7xbSQ7c</t>
  </si>
  <si>
    <t>Film, Television and Video History of NASA</t>
  </si>
  <si>
    <t>In 1958 NASA's top management T. Keith Glennan and Hugh L. Dryden used a film presentation to introduce the new agency to former employees of NACA (National Advisory Committee for Aeronautics). Since that day visual communication has been a key element in telling the NASA story to the world.</t>
  </si>
  <si>
    <t>UC5k7xbSQ7c</t>
  </si>
  <si>
    <t>2016 09 14</t>
  </si>
  <si>
    <t>https://youtu.be/GP_ZrENMTuo</t>
  </si>
  <si>
    <t>Record Breaking NASA Astronaut Discusses His Recent Mission</t>
  </si>
  <si>
    <t>During a live satellite interview Sept. 14 on NASA TV, astronaut and Expedition 48 Commander Jeff Williams spoke about his recent record-breaking mission aboard the International Space Station.
Williams and Russian crewmates Alexey Ovchinin and Oleg Skripochka, of the Russian space agency Roscosmos, returned to Earth Sept. 6 in Kazakhstan (7:13 a.m. Sept. 7, Kazakhstan time) to wrap up a 172 day mission aboard the station. Williams now has spent 534 days in space, making him first on the all-time NASA astronaut list. During the mission, Williams was instrumental in preparing the station for the future arrival of U.S. commercial crew spacecraft. The first International Docking Adapter was installed during a spacewalk by Williams and fellow NASA astronaut Kate Rubins Aug. 19. Outfitted with a host of sensors and systems, the adapter’s main purpose is to connect spacecraft bringing astronauts to the station in the future. Its first users are expected to be Boeing’s CST-100 Starliner and SpaceX’s Crew Dragon spacecraft, now in development in partnership with NASA.</t>
  </si>
  <si>
    <t>GP_ZrENMTuo</t>
  </si>
  <si>
    <t>https://youtu.be/V1O7XfcXGTI</t>
  </si>
  <si>
    <t>NASA Astronaut Talks to Students about Life Aboard the Space Station</t>
  </si>
  <si>
    <t>Aboard the International Space Station, Expedition 49 Flight Engineer Kate Rubins of NASA discussed life and research aboard the orbital laboratory with students at the Vintage High School in Napa, California during an in-flight educational event Sept. 14. Rubins, who is in the third month of a four-month mission on the station, is a 1996 graduate of Vintage High School. She recently conducted two spacewalks outside the outpost to install the first International Docking Adapter that U.S. commercial crew spacecraft will link up to in the future, as well as new high definition cameras on the station’s truss.</t>
  </si>
  <si>
    <t>V1O7XfcXGTI</t>
  </si>
  <si>
    <t>https://youtu.be/YqwO8lEQOUA</t>
  </si>
  <si>
    <t>STEM in 30 – Star Trek at 50  Science Fiction to Science Fact</t>
  </si>
  <si>
    <t>The Smithsonian National Air and Space Museum’s STEM in 30 series of live, fast-paced, 30-minute webcasts are designed to increase interest and engagement in STEM for students. In recognition of the premiere of Star Trek, 50 years ago this September, this episode of STEM in 30 explores how one of the most popular shows in television history has inspired generations of scientists, astronauts, and engineers, and introduced many technologies that have gone from science fiction to science reality.</t>
  </si>
  <si>
    <t>YqwO8lEQOUA</t>
  </si>
  <si>
    <t>https://youtu.be/6Ogty1C6LYw</t>
  </si>
  <si>
    <t>White House, NASA Discuss Asteroid Redirect Mission</t>
  </si>
  <si>
    <t>Officials from the White House Office of Science and Technology Policy (OSTP) and NASA held a live Asteroid Redirect Mission (ARM) discussion at the space agency’s Goddard Space Flight Center in Greenbelt, Maryland. During the event on Wednesday, Sept. 14, OSTP’s Dr. John P. Holdren, NASA’s Administrator Charles Bolden and ARM Program Director Dr. Michele Gates, highlighted the mission’s scientific and technological benefits, how the mission will support NASA’s goal of sending humans to Mars in the 2030s, and how ARM will demonstrate technology relevant to defending Earth from potentially hazardous asteroids.</t>
  </si>
  <si>
    <t>6Ogty1C6LYw</t>
  </si>
  <si>
    <t>2016 09 09</t>
  </si>
  <si>
    <t>https://youtu.be/94egWBr6OtA</t>
  </si>
  <si>
    <t>Asteroid Sample Return Mission Launches on This Week @NASA – September 9, 2016</t>
  </si>
  <si>
    <t>On Sept. 8, NASA launched the Origins, Spectral Interpretation, Resource Identification, Security - Regolith Explorer, or OSIRIS-REx mission from Cape Canaveral Air Force Station in Florida. OSIRIS-REx, the first U.S. mission to sample an asteroid, is scheduled to arrive at near-Earth asteroid Bennu in 2018. Mission plans call for the spacecraft to survey the asteroid, retrieve a small sample from its surface, and return the sample to Earth for study in 2023. Analysis of that sample is expected to reveal clues about the history of Bennu over the past 4.5 billion years, as well as clues about the evolution of our solar system. Also, Williams’ Record-Breaking Spaceflight Concludes, Next ISS Crew Prepares for Launch, Sample Return Robot Challenge, NASA X-Plane Gets its Wing, and Convergent Aeronautics Solutions Showcase!</t>
  </si>
  <si>
    <t>94egWBr6OtA</t>
  </si>
  <si>
    <t>https://youtu.be/z8bKd0JjdGo</t>
  </si>
  <si>
    <t>Post Launch Status of Asteroid Sample Return Mission</t>
  </si>
  <si>
    <t>Following the Sept. 8 launch of the Origins Spectral Interpretation Resource Identification Security - Regolith Explorer, or OSIRIS-REx mission from Cape Canaveral Air Force Station in Florida, representatives from NASA and United Launch Alliance (ULA) discussed the status of the spacecraft and the next steps on the mission. OSIRIS-REx is the first U.S. mission to sample an asteroid. The spacecraft is scheduled to arrive at near-Earth asteroid Bennu in 2018, survey the asteroid’s surface, retrieve at least 60 grams (2.1 ounces) of surface material, and return the sample to Earth in 2023 for study. Analysis of the sample will reveal the earliest stages of the solar system’s evolution and the history of Bennu over the past 4.5 billion years.</t>
  </si>
  <si>
    <t>z8bKd0JjdGo</t>
  </si>
  <si>
    <t>https://youtu.be/eILL1cRnG1o</t>
  </si>
  <si>
    <t>First U.S. Sample Return Mission to an Asteroid Launches</t>
  </si>
  <si>
    <t>On Sept. 8, NASA launched the Origins Spectral Interpretation Resource Identification Security - Regolith Explorer, or OSIRIS-REx mission from Cape Canaveral Air Force Station in Florida. OSIRIS-REx is the first U.S. mission to sample an asteroid. The spacecraft is scheduled to arrive at near-Earth asteroid Bennu in 2018, survey the asteroid’s surface, retrieve at least 60 grams (2.1 ounces) of surface material, and return the sample to Earth in 2023 for study. Analysis of the sample will reveal the earliest stages of the solar system’s evolution and the history of Bennu over the past 4.5 billion years.</t>
  </si>
  <si>
    <t>eILL1cRnG1o</t>
  </si>
  <si>
    <t>2016 09 08</t>
  </si>
  <si>
    <t>https://youtu.be/mfYgqxf8RNs</t>
  </si>
  <si>
    <t>Expedition 49-50 Crew Departs for Kazakh Launch Site</t>
  </si>
  <si>
    <t>Expedition 49-50 Soyuz Commander Sergey Ryzhikov and Flight Engineer Andrey Borisenko of Roscosmos and Flight Engineer Shane Kimbrough of NASA along with their backups, Alexander Misurkin and Nikolai Tikhonov of Roscosmos and Flight Engineer Mark Vande Hei of NASA participated in traditional ceremonies at the Gagarin Cosmonaut Training Center in Star City, Russia, outside Moscow on Sept. 8. Afterward, they departed for the Baikonur Cosmodrome in Kazakhstan to complete their training for the launch of Kimbrough, Ryzhikov and Borisenko on the Soyuz MS-02 spacecraft Sept. 24, Kazakh time, for a five-month mission on the International Space Station.</t>
  </si>
  <si>
    <t>mfYgqxf8RNs</t>
  </si>
  <si>
    <t>https://youtu.be/FticpVEmE1s</t>
  </si>
  <si>
    <t>A Trek Towards Diversity</t>
  </si>
  <si>
    <t>In celebration of the 50th Anniversary of Star Trek, NASA Administrator Charles Bolden introduces us to the real world impact of fictional characters Nyota Uhura and Hikaru Sulu.
For more information visit:
http://www.nasa.gov/startrek</t>
  </si>
  <si>
    <t>FticpVEmE1s</t>
  </si>
  <si>
    <t>https://youtu.be/1dJzX4GmFT8</t>
  </si>
  <si>
    <t>NASA Continues to Boldy Go!</t>
  </si>
  <si>
    <t>50 years ago Star Trek premiered on the small screen. Today, stars of the original series; William Shatner, Nichelle Nichols and George Takei share their excitement and passion for the real space exploration being done by NASA.
#StarTrek50</t>
  </si>
  <si>
    <t>1dJzX4GmFT8</t>
  </si>
  <si>
    <t>2016 09 07</t>
  </si>
  <si>
    <t>https://youtu.be/3x5VCvuoCy0</t>
  </si>
  <si>
    <t>NASA Uncovering the Secrets of Asteroids</t>
  </si>
  <si>
    <t>NASA scientists discussed asteroids, how they relate to the origins of our solar system, and the search for life beyond Earth during this Sept. 7 event at the agency’s Kennedy Space Center, in Florida. The event was held in conjunction with other pre-launch activities related to the Origins Spectral Interpretation Resource Identification Security - Regolith Explorer, or OSIRIS-REx mission. OSIRIS-REx will be the first U.S. mission to sample an asteroid. The spacecraft is targeted to launch Sept. 8 at 7:05 p.m. EDT to the near-Earth asteroid Bennu, arriving in 2018, to survey the surface, retrieve at least 60 grams (2.1 ounces) of surface material, and return it to Earth in 2023 for study. Analysis of the sample will reveal the earliest stages of the solar system’s evolution and the history of Bennu over the past 4.5 billion years.</t>
  </si>
  <si>
    <t>3x5VCvuoCy0</t>
  </si>
  <si>
    <t>https://youtu.be/GoxRNewsMGI</t>
  </si>
  <si>
    <t>An OSIRIS-REx Talk</t>
  </si>
  <si>
    <t>NASA hosted a discussion with representatives from the Origins Spectral Interpretation Resource Identification Security - Regolith Explorer, or OSIRIS-REx mission. Members of the mission’s science and engineering teams provided an overview of the spacecraft and the science behind the mission. OSIRIS-REx, targeted to launch Sept. 8 at 7:05 p.m. EDT to the near-Earth asteroid Bennu, will be the first U.S. mission to sample an asteroid. The spacecraft is scheduled to arrive at Bennu in 2018, survey the asteroid’s surface, retrieve at least 60 grams (2.1 ounces) of surface material, and return the sample to Earth in 2023 for study. Analysis of the sample will reveal the earliest stages of the solar system’s evolution and the history of Bennu over the past 4.5 billion years.</t>
  </si>
  <si>
    <t>GoxRNewsMGI</t>
  </si>
  <si>
    <t>https://youtu.be/lAZfx7FQ0F8</t>
  </si>
  <si>
    <t>Expedition 48 Crew Receives a Warm Welcome in Kazakhstan</t>
  </si>
  <si>
    <t>Expedition 48 Commander Jeff Williams of NASA and Soyuz Commander Alexey Ovchinin and Oleg Skripochka of Roscosmos were greeted in a traditional ceremony on Sept. 7 in Kazakhstan, a few hours after returning to Earth from the International Space Station. The trio spent 172 days in space aboard the orbital laboratory.</t>
  </si>
  <si>
    <t>lAZfx7FQ0F8</t>
  </si>
  <si>
    <t>https://youtu.be/lil_I_-7aOM</t>
  </si>
  <si>
    <t>NASA VR 360 Astronaut Training  Space Walk</t>
  </si>
  <si>
    <t>A 360-degree immersive virtual reality (VR) viewing experience, featuring exclusive astronaut training footage from NASA’s Neutral Buoyancy Laboratory (NBL) in Houston, Texas. The stunning NASA VR/360 video, produced by Harmonic, offers a variety of perspectives - in the pool and out - as astronauts complete space-walk training for future missions to the International Space Station (ISS).</t>
  </si>
  <si>
    <t>lil_I_-7aOM</t>
  </si>
  <si>
    <t>https://youtu.be/j2j0U8amSZA</t>
  </si>
  <si>
    <t>Expedition 48 Crew Lands Safely in Kazakhstan</t>
  </si>
  <si>
    <t>Expedition 48 Commander Jeff Williams of NASA and Soyuz Commander Alexey Ovchinin and Flight Engineer Oleg Skripochka of Roscosmos landed safely near the town of Dzhezkazgan, Kazakhstan Sept. 7 a few hours after bidding farewell to their colleagues aboard the International Space Station. The trio spent 172 days in space aboard the orbital laboratory conducting research and operational work in support of the station.</t>
  </si>
  <si>
    <t>j2j0U8amSZA</t>
  </si>
  <si>
    <t>2016 09 06</t>
  </si>
  <si>
    <t>https://youtu.be/Ob_lXMLRSkg</t>
  </si>
  <si>
    <t>Expedition 48 Crew Undocks from ISS for Return Trip to Earth</t>
  </si>
  <si>
    <t>On Sept. 6, after bidding farewell to the crew remaining aboard the International Space Station, Expedition 48 Commander Jeff Williams of NASA and Soyuz Commander Alexey Ovchinin and Flight Engineer Oleg Skripochka of Roscosmos undocked from the orbital outpost to begin their return trip to Earth. They spent 172 days aboard the ISS, conducting research and operational work in support of the station.</t>
  </si>
  <si>
    <t>Ob_lXMLRSkg</t>
  </si>
  <si>
    <t>https://youtu.be/RICr24MoVoE</t>
  </si>
  <si>
    <t>Expedition 48 Crew Prepares to Leave the ISS</t>
  </si>
  <si>
    <t>On Sept. 6, prior to departing the International Space Station, Expedition 48 Commander Jeff Williams of NASA and Soyuz Commander Alexey Ovchinin and Flight Engineer Oleg Skripochka of Roscosmos bid farewell to the crew remaining aboard the orbital outpost, including NASA’s Kate Rubins. Williams, Ovchinin and Skripochka spent 172 days aboard the ISS, conducting research and operational work in support of the station.</t>
  </si>
  <si>
    <t>RICr24MoVoE</t>
  </si>
  <si>
    <t>https://youtu.be/Fu2Z5ZC1HBo</t>
  </si>
  <si>
    <t>The Science of OSIRIS-REx</t>
  </si>
  <si>
    <t>On Sept. 6, NASA previewed the science of the Origins Spectral Interpretation Resource Identification Security - Regolith Explorer, or OSIRIS-REx mission, during a pre-launch news conference at the agency’s Kennedy Space Center in Florida. OSIRIS-REx – the first U.S. mission to sample an asteroid is targeted to launch Sept. 8 at 7:05 p.m. ET to the near-Earth asteroid Bennu, to survey the surface, retrieve at least 60 grams (2.1 ounces) of surface material, and return it to Earth for study. Analysis of the sample will reveal the earliest stages of the solar system’s evolution and the history of Bennu over the past 4.5 billion years.</t>
  </si>
  <si>
    <t>Fu2Z5ZC1HBo</t>
  </si>
  <si>
    <t>https://youtu.be/zl_iZbQbfTY</t>
  </si>
  <si>
    <t>First U.S. Sample Return Mission to an Asteroid Previewed</t>
  </si>
  <si>
    <t>On Sept. 6, NASA previewed the Origins Spectral Interpretation Resource Identification Security - Regolith Explorer, or OSIRIS-REx mission, during a pre-launch news conference at the agency’s Kennedy Space Center in Florida. OSIRIS-REx will be the first U.S. mission to sample an asteroid. The spacecraft is targeted to launch Sept. 8 at 7:05 p.m. EDT to the near-Earth asteroid Bennu, arriving in 2018, to survey the surface, retrieve at least 60 grams (2.1 ounces) of surface material, and return it to Earth in 2023 for study. Analysis of the sample will reveal the earliest stages of the solar system’s evolution and the history of Bennu over the past 4.5 billion years.</t>
  </si>
  <si>
    <t>zl_iZbQbfTY</t>
  </si>
  <si>
    <t>https://youtu.be/uXXvpwCeEiw</t>
  </si>
  <si>
    <t>NASA Shares Science Fact with Science Fiction Fans</t>
  </si>
  <si>
    <t>NASA participated in the 2016 Star Trek: Mission New York at the Javits Center in Manhattan. NASA employees shared stages with artists, makers and cast members as we all boldly go to the next generation of space exploration.</t>
  </si>
  <si>
    <t>uXXvpwCeEiw</t>
  </si>
  <si>
    <t>https://youtu.be/za9Drj6rmz8</t>
  </si>
  <si>
    <t>Expedition 48 Crew Hands Over the Space Station to Expedition 49</t>
  </si>
  <si>
    <t>The reins of the International Space Station were passed from NASA’s Jeff Williams to cosmonaut Anatoly Ivanishin of Roscosmos during a ceremony on the orbital outpost on Sept. 5. Williams is returning to Earth Sept. 7 with his Expedition 48 crewmates, Alexey Ovchinin and Oleg Skripochka of Roscosmos in the Soyuz TMA-20M spacecraft for a landing on the steppe of Kazakhstan to complete a 172-day mission. Ivanishin remains on the station as commander of Expedition 49 along with Flight Engineers Kate Rubins of NASA and Takuya Onishi of the Japan Aerospace Exploration Agency until later this year.</t>
  </si>
  <si>
    <t>za9Drj6rmz8</t>
  </si>
  <si>
    <t>2016 09 02</t>
  </si>
  <si>
    <t>https://youtu.be/8GONAiytTGM</t>
  </si>
  <si>
    <t>Satellite Tracks Tropical Storm Hermine over Southeastern U.S.</t>
  </si>
  <si>
    <t>This animation of NOAA's GOES-East satellite imagery from August 31 to September 2 shows movement, landfall in Florida and weakening of Hurricane Hermine over the southeastern U.S.</t>
  </si>
  <si>
    <t>8GONAiytTGM</t>
  </si>
  <si>
    <t>https://youtu.be/wpgNlkqEPfE</t>
  </si>
  <si>
    <t>Satellite Tracks Tropical Storm Madeline and Hurricane Lester</t>
  </si>
  <si>
    <t>This animation of NOAA's GOES-West satellite imagery from August 30 to September 2 shows Madeline moving past Hawaii and then weakening to a depression. Hurricane Lester is shown approaching the Hawaiian Islands.</t>
  </si>
  <si>
    <t>wpgNlkqEPfE</t>
  </si>
  <si>
    <t>https://youtu.be/dt1IDQF8d_4</t>
  </si>
  <si>
    <t>Next Space Station Crew Previews Upcoming Mission</t>
  </si>
  <si>
    <t>During a Sept. 2 news conference in Star City, Russia, the International Space Station’s Expedition 49-50 crew, including NASA’s Shane Kimbrough responded to questions from the media about the crew’s upcoming mission to the International Space Station. Kimbrough and his crewmates, cosmonauts Andrey Borisenko and Sergey Ryzhikov of the Russian space agency Roscosmos, are conducting qualification training in Star City, in preparation for the mission. The trio will launch aboard a Soyuz spacecraft at 2:17 p.m. Sept. 23 from the Baikonur Cosmodrome in Kazakhstan.</t>
  </si>
  <si>
    <t>dt1IDQF8d_4</t>
  </si>
  <si>
    <t>https://youtu.be/6Lr3-BkkhkQ</t>
  </si>
  <si>
    <t>Second ISS Spacewalk in Two Weeks on This Week @NASA – September 2, 2016</t>
  </si>
  <si>
    <t>Outside the International Space Station, Expedition 48 Commander Jeff Williams and Flight Engineer Kate Rubins of NASA conducted a spacewalk Sept. 1 to retract a thermal radiator, install the first of several enhanced high definition cameras on the station’s truss and tighten bolts on a joint that enables one of the station’s solar arrays to rotate. This was the second spacewalk for the pair in just 13 days. They installed the station’s first international docking adapter during their previous spacewalk on Aug. 19. The adapter will provide a parking place for new U.S. commercial crew spacecraft delivering astronauts to the station on future missions. Also, Space Station Cameras Capture Hurricanes, Future Space Station Crews Prepare for Missions, Record-Breaking Galaxy Cluster Discovered, Up-Close with Jupiter, and more!</t>
  </si>
  <si>
    <t>6Lr3-BkkhkQ</t>
  </si>
  <si>
    <t>https://youtu.be/bJYzUimSaDA</t>
  </si>
  <si>
    <t>Happy 50th Anniversary Star Trek</t>
  </si>
  <si>
    <t>In recognition of Star Trek’s 50th anniversary NASA wishes the entire Star Trek family a happy anniversary. Thanks for the inspiration, Live long and prosper.
#StarTrek50
For more information visit:
http://www.nasa.gov/startrek</t>
  </si>
  <si>
    <t>bJYzUimSaDA</t>
  </si>
  <si>
    <t>2016 09 01</t>
  </si>
  <si>
    <t>https://youtu.be/cyNbyiglDRg</t>
  </si>
  <si>
    <t>NASA Astronauts Conduct Second Spacewalk in Two Weeks Outside the Space Station</t>
  </si>
  <si>
    <t>Outside the International Space Station, Expedition 48 Commander Jeff Williams and Flight Engineer Kate Rubins of NASA conducted a spacewalk Sept. 1 to retract a thermal radiator, install the first of several enhanced high definition cameras on the station’s truss and tighten bolts on a joint that enables one of the station’s solar arrays to rotate. The spacewalk was the second for Williams and Rubins in just 13 days, the fifth of Williams’ career and the second for Rubins. They installed the first International Docking Adapter on the station during their previous spacewalk on Aug. 19. The adapter will allow new U.S. commercial crew vehicles to link up to the complex in the future.</t>
  </si>
  <si>
    <t>cyNbyiglDRg</t>
  </si>
  <si>
    <t>https://youtu.be/Pf0VMSpZ1qI</t>
  </si>
  <si>
    <t>Satellite Tracks Trio of Tropical Systems in Atlantic</t>
  </si>
  <si>
    <t>This animation of NOAA's GOES-East satellite imagery from August 29 to September 1 shows the movement of Tropical Storm Hermine in the Gulf of Mexico, Hurricane Gaston and fading Tropical Depression 8 in the Atlantic Ocean.</t>
  </si>
  <si>
    <t>Pf0VMSpZ1qI</t>
  </si>
  <si>
    <t>https://youtu.be/ElaaF2nFKGo</t>
  </si>
  <si>
    <t>This animation of NOAA's GOES-West satellite imagery from August 29 to September 1 shows Tropical Storm Madeline as it moves past Hawaii and Hurricane Lester approaching the Hawaiian Islands.</t>
  </si>
  <si>
    <t>ElaaF2nFKGo</t>
  </si>
  <si>
    <t>2016 08 31</t>
  </si>
  <si>
    <t>https://youtu.be/0NYoJp-AQ-8</t>
  </si>
  <si>
    <t>Space Station Crew Talks with Kentucky Students, Officials</t>
  </si>
  <si>
    <t>Aboard the International Space Station, Expedition 48 Commander Jeff Williams and Flight Engineer Kate Rubins of NASA discussed life aboard the orbital outpost and the research they have conducted during an in-flight educational event Aug. 31 with students at the Leslie County High School in Hyden, Kentucky. Attending the event was Rep. Hal Rogers (R-Kentucky), the chairman of the House Appropriations Committee. Williams is scheduled to return to Earth on Sept. 6, U.S. time, aboard a Russian Soyuz spacecraft for a landing in Kazakhstan to wrap up his fourth flight in space and a total of 534 days in space over those four flights, the most by any U.S. astronaut. Rubins will remain in orbit until her return to Earth on Oct. 30, on this, her first flight in space.</t>
  </si>
  <si>
    <t>0NYoJp-AQ-8</t>
  </si>
  <si>
    <t>https://youtu.be/sV0pkbG_7Zo</t>
  </si>
  <si>
    <t>Next ISS Crew Trains for Upcoming Launch to the Station</t>
  </si>
  <si>
    <t>The International Space Station’s Expedition 49-50 crew, including NASA’s Shane Kimbrough is conducting crew qualification training in Star City, Russia, in preparation for the crew’s upcoming launch to the station. Kimbrough and his crewmates, cosmonauts Andrey Borisenko and Sergey Ryzhikov of the Russian space agency Roscosmos, will launch aboard a Soyuz spacecraft at 2:17 p.m. Sept. 23 from the Baikonur Cosmodrome in Kazakhstan. At the space station, they will join Expedition 49 members, NASA astronaut Kate Rubins, Roscosmos cosmonaut Anatoly Ivanishin and Japanese Aerospace Exploration Agency astronaut Takuya Onishi. Together, the six crew members will continue the several hundred experiments in biology, biotechnology, physical science and Earth science currently under way and scheduled to take place aboard humanity’s only orbiting lab.</t>
  </si>
  <si>
    <t>sV0pkbG_7Zo</t>
  </si>
  <si>
    <t>2016 08 30</t>
  </si>
  <si>
    <t>https://youtu.be/tBAR1Ok_Zoc</t>
  </si>
  <si>
    <t>Future Space Station Crew Prepares for Mission</t>
  </si>
  <si>
    <t>This video includes pre-flight training activities of the International Space Station’s Expedition 50-51 crew, including NASA’s Peggy Whitson. Whitson, Thomas Pesquet of ESA (European Space Agency), and Oleg Novitsky, of the Russian space agency Roscosmos are preparing for a November launch to the station. This will be Whitson’s third long-duration stay on the space station, the second expedition for Novitsky, and Pesquet’s first trip to the orbiting outpost.</t>
  </si>
  <si>
    <t>tBAR1Ok_Zoc</t>
  </si>
  <si>
    <t>https://youtu.be/-QzicRTR5SI</t>
  </si>
  <si>
    <t>Aboard the International Space Station, Expedition 48 Flight Engineer Takuya Onishi of the Japan Aerospace Exploration Agency discussed life and work aboard the orbital outpost during an in-flight event Aug. 30 with Japanese students attending the Space Kids Platform 2016 forum at several locations in Japan. Onishi is nearing the halfway mark of his four-month mission on the station, with his return to Earth scheduled for Oct. 30.</t>
  </si>
  <si>
    <t>-QzicRTR5SI</t>
  </si>
  <si>
    <t>2016 08 26</t>
  </si>
  <si>
    <t>https://youtu.be/1MfFCxVpR3k</t>
  </si>
  <si>
    <t>Dragon Cargo Spacecraft Departs the ISS on This Week @NASA – August 26, 2016</t>
  </si>
  <si>
    <t>The SpaceX Dragon cargo spacecraft left the International Space Station on August 26. The Dragon departed the station five weeks after delivering almost 5,000 pounds of supplies, experiments and equipment to the orbital complex – including an international docking adapter for use by future American commercial crew spacecraft transporting astronauts to the station. The station’s Canadarm2 robotic arm was used to grapple the Dragon, move it away from the ISS, and release it for its return trip to Earth. The capsule is returning with about 3,000 pounds of cargo and experiments for researchers and investigators. Also, New U.S. Endurance Record in Space, Next U.S. Spacewalk Previewed, Boeing CST-100 Starliner Land Drop Test, SLS Liquid Hydrogen Test Tank Moved, and Celebrating National Parks, from Space!</t>
  </si>
  <si>
    <t>1MfFCxVpR3k</t>
  </si>
  <si>
    <t>https://youtu.be/cmDj_MB82OQ</t>
  </si>
  <si>
    <t>U.S. Interior Secretary Shares a View of the World with the Space Station Crew</t>
  </si>
  <si>
    <t>Aboard the International Space Station, Expedition 48 Commander Jeff Williams and Flight Engineer Kate Rubins of NASA discussed their view of the Earth from orbit, the planet’s environment as they see it from an altitude of 254 statute miles and life on the orbital outpost during an in-flight conversation Aug. 26 with U.S. Secretary of the Interior Sally Jewell. The discussion came one day after the 100th anniversary of the founding of the National Park Service, which the Interior Department is honoring throughout the nation. Williams is in the final weeks of his six-month mission on the station, while Rubins will remain in orbit until the end of October.</t>
  </si>
  <si>
    <t>cmDj_MB82OQ</t>
  </si>
  <si>
    <t>https://youtu.be/mPpdlVKN3Ug</t>
  </si>
  <si>
    <t>U.S. Commercial Cargo Craft Departs the International Space Station</t>
  </si>
  <si>
    <t>The SpaceX CRS-9 Dragon cargo craft departed the International Space Station Aug. 26 after five weeks at the complex. Dragon delivered critical science experiments and the first International Docking Adapter to which U.S. commercial spacecraft will link up to in the future. Using the Canadarm2 robotic arm, Expedition 48 Commander Jeff Williams and Flight Engineer Kate Rubins released the Dragon and monitored the resupply spacecraft as it backed away to a safe distance from the station for its deorbit engine firing that would enable the ship to enter the Earth’s atmosphere for a parachute-assisted splashdown in the Pacific Ocean west of Baja California. Dragon returned about one and a half tons of science experiments and other cargo that will be collected once it reaches port in Long Beach, California. Dragon launched July 18 atop a SpaceX Falcon 9 rocket from Cape Canaveral Air Force Station in Florida and arrived at the station July 20.</t>
  </si>
  <si>
    <t>mPpdlVKN3Ug</t>
  </si>
  <si>
    <t>2016 08 24</t>
  </si>
  <si>
    <t>https://youtu.be/AvXV0m3IBi8</t>
  </si>
  <si>
    <t>NASA Previews Next U.S. Spacewalk</t>
  </si>
  <si>
    <t>NASA hosted a news briefing on August 24 at the agency’s Johnson Space Center to preview the next U.S. Spacewalk scheduled to take place outside the International Space Station. On September 1, NASA astronauts Kate Rubins and Jeff Williams will work on the port side of the station’s truss system to retract a thermal radiator that is part of the station’s cooling system, tighten struts on a solar array joint, and install the first of several enhanced high-definition television cameras to monitor activities outside the station. It will be their second spacewalk in less than two weeks – on August 19, Williams and Rubins installed the first of the station’s two international docking adapters (IDAs) during a five-hour and 58-minute spacewalk.</t>
  </si>
  <si>
    <t>AvXV0m3IBi8</t>
  </si>
  <si>
    <t>https://youtu.be/ZrfYcs_t93c</t>
  </si>
  <si>
    <t>Earth Expeditions  ABoVE, ATom &amp; ACT-America</t>
  </si>
  <si>
    <t>NASA's Earth Expeditions is been scaling heights and diving deep for new important insights about our planet. From underground in Alaska, to in the air above the eastern United States and we’re even circling the remotest parts of the global atmosphere.
Find out more at:
http://www.nasa.gov/earthexpeditions
#EarthExpedition</t>
  </si>
  <si>
    <t>ZrfYcs_t93c</t>
  </si>
  <si>
    <t>https://youtu.be/n9-R9P2cKA0</t>
  </si>
  <si>
    <t>NASA Earth Expeditions is going ABoVE</t>
  </si>
  <si>
    <t>The Arctic Boreal and Vulnerability Experiment (ABoVE) covers 2.5 million square miles of tundra, forests, permafrost and lakes in Alaska and Northwestern Canada. ABoVE scientists are using satellites and aircraft to study this formidable terrain as it changes in a warming climate. Remote sensing by itself is not enough to understand the whole picture, so teams of researchers will go out into the field to gather data. With support from NASA’s Terrestrial Ecology Program, ABoVE researchers investigate questions about the role of climate in wildfires, thawing permafrost, wildlife migration habits, insect outbreaks and more.</t>
  </si>
  <si>
    <t>n9-R9P2cKA0</t>
  </si>
  <si>
    <t>2016 08 23</t>
  </si>
  <si>
    <t>https://youtu.be/85JT3yIVXwc</t>
  </si>
  <si>
    <t>Space Station Crew Discusses Life in Space and Research with ABC News</t>
  </si>
  <si>
    <t>Aboard the International Space Station, Expedition 48 Commander Jeff Williams and Flight Engineer Kate Rubins of NASA discussed research they have conducted, their view of Earth from the complex and their recent spacewalk to install a docking port for new U.S. commercial crew vehicles during an in-flight interview Aug. 23 with ABC News Chief Medical Correspondent Dr. Richard Besser. Williams is in the final weeks of his six-month mission on the station, while Rubins will remain in orbit until the end of October.</t>
  </si>
  <si>
    <t>85JT3yIVXwc</t>
  </si>
  <si>
    <t>2016 08 19</t>
  </si>
  <si>
    <t>https://youtu.be/HFGHwO75aSs</t>
  </si>
  <si>
    <t>New Gateway Installed onto Space Station on This Week @NASA – August 19, 2016</t>
  </si>
  <si>
    <t>Outside the International Space Station, Expedition 48 Commander Jeff Williams and Flight Engineer Kate Rubins of NASA installed the first of two International Docking Adapters onto the forward end of the station’s Harmony module, during a spacewalk on Aug. 19. The new docking port will be used by the Boeing CST-100 “Starliner” and SpaceX Crew Dragon commercial crew spacecraft being developed to transport U.S. astronauts to and from the station. The second International Docking Adapter – currently under construction – eventually will be placed on the space-facing side of the Harmony module. Also, Commercial Crew Access Arm Installed on Launchpad, Behind the Scenes of our Journey to Mars, Asteroid Redirect Mission Milestone, Asteroid Sample Return Mission Approaches, and Chasing Greenhouse Gases in the Midwest!</t>
  </si>
  <si>
    <t>HFGHwO75aSs</t>
  </si>
  <si>
    <t>https://youtu.be/_SS3UsMDdik</t>
  </si>
  <si>
    <t>American Astronauts Install New Docking Port for U S  Commercial Crew Vehicles</t>
  </si>
  <si>
    <t>Outside the International Space Station, Expedition 48 Commander Jeff Williams and Flight Engineer Kate Rubins of NASA installed a new docking port onto the forward end of the Harmony module during a spacewalk on August 19. The first of two International Docking Adapters was installed and latched in place onto Pressurized Mating Adapter-2 on the forward end of Harmony, the same place that space shuttles used to dock during the shuttle era. The new docking port will be the port of call for the SpaceX Crew Dragon and Boeing CST-100 “Starliner” commercial crew vehicles that are under development. The docking adapter was launched in July aboard a SpaceX/Dragon cargo vehicle. A second docking adapter for the U.S. commercial crew vehicles is being constructed and will ultimately be placed on the space-facing side of the Harmony module. Williams and Rubins will conduct a second spacewalk on Sept. 1 to retract a thermal radiator on the port truss of the station and install the first of several high definition cameras outside the complex.</t>
  </si>
  <si>
    <t>_SS3UsMDdik</t>
  </si>
  <si>
    <t>2016 08 18</t>
  </si>
  <si>
    <t>https://youtu.be/bJgsdnpjyes</t>
  </si>
  <si>
    <t>RS-25 Rocket Engine Test Firing</t>
  </si>
  <si>
    <t>The 7.5-minute test conducted at NASA’s Stennis Space Center is part of a series of tests designed to put the upgraded former space shuttle engines through the rigorous temperature and pressure conditions they will experience during a launch. The tests also support the development of a new controller, or “brain,” for the engine, which monitors engine status and communicates between the rocket and the engine, relaying commands to the engine and transmitting data back to the rocket.</t>
  </si>
  <si>
    <t>bJgsdnpjyes</t>
  </si>
  <si>
    <t>https://youtu.be/cCxjSjoJw9I</t>
  </si>
  <si>
    <t>NASA Social Goes Behind the Scenes of our Journey to Mars</t>
  </si>
  <si>
    <t>A NASA Social was held on August 18 at the Michoud Assembly Facility in New Orleans, Louisiana, and at the Stennis Space Center near Bay St. Louis, Mississippi to give the members of social and traditional media an opportunity to see the progress being made on sending humans to Mars. The event featured tours of the manufacturing facilities at Michoud where work is underway on the core stage of the Space Launch System (SLS) -- NASA's new heavy-lift rocket that will send humans to deep space destinations, a test firing of the mighty RS-25 rocket engine that will power the SLS, and other rare behind the scenes look at other things NASA is doing to get ready for the Journey to Mars and other deep space travel.</t>
  </si>
  <si>
    <t>cCxjSjoJw9I</t>
  </si>
  <si>
    <t>2016 08 17</t>
  </si>
  <si>
    <t>https://youtu.be/oeXlI5ndaCk</t>
  </si>
  <si>
    <t>NASA TV Briefing Previews Launch of Asteroid Bound Spacecraft</t>
  </si>
  <si>
    <t>On August 17, NASA hosted a briefing at the agency’s headquarters in Washington, DC to preview the launch of the Origins, Spectral Interpretation, Resource Identification, Security-Regolith Explorer (OSIRIS-REx) spacecraft – the first U.S. spacecraft destined to rendezvous with, study and return a sample of an asteroid. OSIRIS-REx will launch September 8 from Cape Canaveral Air Force Station in Florida on its mission to study, in detail, an asteroid called Bennu. The mission represents a valuable opportunity to learn more about the origins of our solar system, the sources of water and organic molecules on Earth, and the hazards and resources in near-Earth space.</t>
  </si>
  <si>
    <t>oeXlI5ndaCk</t>
  </si>
  <si>
    <t>2016 08 16</t>
  </si>
  <si>
    <t>https://youtu.be/RDyshMX_BQw</t>
  </si>
  <si>
    <t>Space Station Crewmember Discusses Life in Space with Japanese Students</t>
  </si>
  <si>
    <t>Aboard the International Space Station, Expedition 48 Flight Engineer Takuya Onishi of the Japan Aerospace Exploration Agency discussed life and research on the orbital laboratory during an in-flight educational event Aug. 16 with students gathered in Kawasaki, Japan. Onishi is in the second month of his mission on the station that will end in late October with a landing in a Soyuz spacecraft in south central Kazakhstan.</t>
  </si>
  <si>
    <t>RDyshMX_BQw</t>
  </si>
  <si>
    <t>2016 08 15</t>
  </si>
  <si>
    <t>https://youtu.be/rf52LSg4AsA</t>
  </si>
  <si>
    <t>NASA TV Briefing Previews Upcoming U S  Spacewalk to Install Space Station Docking Port</t>
  </si>
  <si>
    <t>NASA TV aired a briefing from the agency’s Johnson Space Center in Houston on Monday, August 15, to preview the August 19 spacewalk to install a new gateway for American commercial crew spacecraft at the International Space Station -- a significant milestone in NASA’s work to return crew launches to U.S. soil. Experts from the ISS and commercial crew programs discussed the process and significance of installing and connecting the first of the two international docking adapters (IDAs), which was launched on a SpaceX Dragon cargo spacecraft and arrived at the station July 20. Expedition 48 Commander Jeff Williams and Flight Engineer Kate Rubins of NASA will conduct the spacewalk to install the equipment. Coverage of the spacewalk will begin at 6:30 a.m. EDT Aug. 19, on NASA TV and the agency’s website, with the spacewalk scheduled to begin at 8:05 a.m.</t>
  </si>
  <si>
    <t>rf52LSg4AsA</t>
  </si>
  <si>
    <t>2016 08 12</t>
  </si>
  <si>
    <t>https://youtu.be/6WSQ5Ga9awI</t>
  </si>
  <si>
    <t>Commercial Crew Astronauts Visit Kennedy on This Week @NASA – August 12, 2016</t>
  </si>
  <si>
    <t>Two of the NASA astronauts training for the first flight tests for the agency’s Commercial Crew Program visited with employees during an Aug. 11 event at Kennedy Space Center. Astronauts Eric Boe and Suni Williams, alongside Commercial Crew Program Manager Kathy Lueders, responded to questions during a panel discussion, moderated by Kennedy Director Robert Cabana. NASA has contracted with Boeing and SpaceX to develop crew transportation systems and provide crew transportation services to and from the International Space Station. The agency will select the commercial crew astronauts from the group that includes Boe, Williams, Bob Behnken and Doug Hurley The first flight tests are targeted for next year. Also, Air Quality Flight over California Wildfire, CYGNSS Media Day, Putting NASA Earth Science to Work, and more!</t>
  </si>
  <si>
    <t>6WSQ5Ga9awI</t>
  </si>
  <si>
    <t>2016 08 10</t>
  </si>
  <si>
    <t>https://youtu.be/6dTjPIwCyNc</t>
  </si>
  <si>
    <t>Space Station Crew Discusses Upcoming Spacewalk and Research in Orbit</t>
  </si>
  <si>
    <t>Aboard the International Space Station, Expedition 48 Commander Jeff Williams and Flight Engineer Kate Rubins discussed their upcoming spacewalk to install the first International Docking Adapter and research they are conducting in orbit during an in-flight interview Aug. 10 with the CBS Radio Network. Williams and Rubins will venture outside the station on Aug. 19 to install the docking adapter to the forward end of the Harmony module to which U.S. commercial crew vehicles will link up to in the future. Williams will also mark a milestone on Aug. 24, passing 520 days in space on his four missions and surpassing the mark currently held by Scott Kelly for the most days in space by a U.S. astronaut.</t>
  </si>
  <si>
    <t>6dTjPIwCyNc</t>
  </si>
  <si>
    <t>2016 08 09</t>
  </si>
  <si>
    <t>https://youtu.be/_eDAb9TVzn0</t>
  </si>
  <si>
    <t>Space Station Crew Member Discusses Life and Work Aboard the Outpost</t>
  </si>
  <si>
    <t>Aboard the International Space Station, Expedition 48 Flight Engineer Kate Rubins of NASA discussed life and research in orbit during a wide-ranging in-flight interview Aug. 9 with actress Lena Dunham for Dunham’s “Women of the Hour” podcast. Rubins is in the second month of her mission on the station, conducting scientific investigations and preparing for a spacewalk Aug. 19 to install the first International Docking Adapter on the outpost to which U.S. commercial crew vehicles will link up to in the future.</t>
  </si>
  <si>
    <t>_eDAb9TVzn0</t>
  </si>
  <si>
    <t>https://youtu.be/aJDXGHphm5A</t>
  </si>
  <si>
    <t>MissionSTEM Summit 2016 - Opening Session and Keynote Address</t>
  </si>
  <si>
    <t>NASA is hosting its first MissionSTEM Summit Aug. 8-9 at the agency’s headquarters in Washington, bringing together representatives and students from grantee institutions, federal and grantee civil rights compliance officials, and other experts from government, academia, industry and professional organizations.
Special guest speakers at this opening session include NASA Deputy Administrator Dava Newman, Tina Tchen, assistant to President Obama and chief of staff to the First Lady, and Jo Handelsman, associate director for Science in the White House Office of Science and Technology Policy.</t>
  </si>
  <si>
    <t>aJDXGHphm5A</t>
  </si>
  <si>
    <t>2016 08 05</t>
  </si>
  <si>
    <t>https://youtu.be/15BRKTsPbR4</t>
  </si>
  <si>
    <t xml:space="preserve">Comic-Con 2016 Panel   Star Trek &amp; NASA Boldly Go </t>
  </si>
  <si>
    <t>NASA and Star Trek have been connected, directly and indirectly, since Star Trek: The Original Series premiered in September 1966. While the TV show featured large ships voyaging to stars far away on five year missions, NASA was only beginning stretch humanity's presence beyond Earth. When Star Trek premiered on Sept. 8, 1966, astronauts Pete Conrad and Richard Gordon were four days from launch aboard Gemini XI, a three-day mission that would reach an altitude of less than 200 miles. 
For more information visit:
http://www.nasa.gov/startrek</t>
  </si>
  <si>
    <t>15BRKTsPbR4</t>
  </si>
  <si>
    <t>https://youtu.be/nKI2InhHDcM</t>
  </si>
  <si>
    <t>Drone Technology and Future Aviation on This Week @NASA – August 5, 2016</t>
  </si>
  <si>
    <t>On Aug. 2, NASA’s Associate Administrator for Aeronautics Jaiwon Shin, representatives from the Federal Aviation Administration (FAA), aviation industry leaders and the academic research community participated in a workshop hosted by the White House Office of Science and Technology Policy (OSTP) to discuss Drones and the Future of Aviation. The event was designed to explore airspace integration issues; public and commercial uses; and safety, security, and privacy concerns related to this emerging technology. NASA is working with the FAA on a traffic management system that will enable pilots of these aircraft to fly safely in the national airspace. Also, Maryland Storms Imaged from Space, Io’s Collapsing Atmosphere, Orion Crew Module Moved, AstrOlympics, and more!</t>
  </si>
  <si>
    <t>nKI2InhHDcM</t>
  </si>
  <si>
    <t>2016 08 04</t>
  </si>
  <si>
    <t>https://youtu.be/kUXhHgnU2xg</t>
  </si>
  <si>
    <t>Space Station Crewmembers Discuss Life in Space with the Media</t>
  </si>
  <si>
    <t>Aboard the International Space Station, Expedition 48 Commander Jeff Williams and Flight Engineer Kate Rubins of NASA discussed their life and research on the orbital outpost during a pair of in-flight interviews Aug. 4 with the Westwood One Radio Network and the San Diego Union Tribune. Williams, who has a month left in his fourth flight into space, and Rubins, who is in the second month of her mission, will pair up Aug. 19 for a spacewalk outside the complex to help install the first International Docking Adapter that will be used for the future arrival of U.S. commercial crew vehicles under development by SpaceX and Boeing.</t>
  </si>
  <si>
    <t>kUXhHgnU2xg</t>
  </si>
  <si>
    <t>2016 08 03</t>
  </si>
  <si>
    <t>https://youtu.be/E-S4NxNYnoU</t>
  </si>
  <si>
    <t>Aboard the International Space Station, Expedition 48 Commander Jeff Williams and Flight Engineer Kate Rubins of NASA discussed their life and research on the orbital outpost during a pair of in-flight interviews Aug. 3 with KGO-TV, San Francisco and the History Channel. Williams, who has a month left in his fourth flight into space, and Rubins, who is in the second month of her mission, will pair up Aug. 19 for a spacewalk outside the complex to help install the first International Docking Adapter that will be used for the future arrival of U.S. commercial crew vehicles under development by SpaceX and Boeing.</t>
  </si>
  <si>
    <t>E-S4NxNYnoU</t>
  </si>
  <si>
    <t>2016 07 29</t>
  </si>
  <si>
    <t>https://youtu.be/Ateh4P39aBI</t>
  </si>
  <si>
    <t>What’s New in Aerospace - Milestones  Inside Stories</t>
  </si>
  <si>
    <t>During this July 26th episode of What’s New in Aerospace, curators and Museum staff of the Smithsonian National Air and Space Museum discuss the Boeing Milestones of Flight Hall – recently opened to celebrate the 40th anniversary of the museum’s building in Washington, D.C.</t>
  </si>
  <si>
    <t>Ateh4P39aBI</t>
  </si>
  <si>
    <t>https://youtu.be/NYod7EUKKss</t>
  </si>
  <si>
    <t>Extreme Underwater Mission on This Week @NASA – July 29, 2016</t>
  </si>
  <si>
    <t>The 21st NASA Extreme Environment Mission Operations got underway July 21 in the Florida Keys. NASA astronauts Reid Wiseman and Megan McArthur are part of the international crew of NEEMO-21 aquanauts performing research during the 16-day mission, which takes place about 60 feet below the surface of the Atlantic Ocean, in the Aquarius habitat – the world's only undersea science station. Simulated spacewalks are designed to evaluate tools and mission operation techniques that could be used on future space missions. NEEMO-21’s objectives include testing a mini DNA sequencer similar to the one NASA astronaut Kate Rubins also will test aboard the International Space Station, and a telemedicine device that will be used for future space applications. The mission also will simulate communications delays like those that would be encountered on a mission to Mars. Also, Space Launch System Work Platforms, All-Electric X-Plane Arrives, Asteroid Mission Technology, and NASA @Comic-Con International.</t>
  </si>
  <si>
    <t>NYod7EUKKss</t>
  </si>
  <si>
    <t>2016 07 24</t>
  </si>
  <si>
    <t>https://youtu.be/1F2nlndFNSA</t>
  </si>
  <si>
    <t>NASA Experts Discuss Exploration at Comic-Con</t>
  </si>
  <si>
    <t>Experts from NASA discussed science fiction, gaming and popular culture's ties to science fact, on and off the planet, this weekend at San Diego Comic-Con 2016.</t>
  </si>
  <si>
    <t>1F2nlndFNSA</t>
  </si>
  <si>
    <t>https://youtu.be/ls_9R5q6cKg</t>
  </si>
  <si>
    <t>A Message from the Captain  Science Fact &amp; Science Fiction</t>
  </si>
  <si>
    <t>Actor William Shatner, known for portraying Captain James T. Kirk of Star Trek takes a moment to discuss the crossroads of science fiction, science fact and NASA.
Join NASA as we celebrate 50 years of Star Trek.
For more information:
http://www.nasa.gov/startrek</t>
  </si>
  <si>
    <t>ls_9R5q6cKg</t>
  </si>
  <si>
    <t>2016 07 22</t>
  </si>
  <si>
    <t>https://youtu.be/6USNuCCbS9o</t>
  </si>
  <si>
    <t>Celebrating Viking at 40 on This Week @NASA – July 22, 2016</t>
  </si>
  <si>
    <t>Forty years ago, on July 20, 1976, Viking 1 became the first U.S. spacecraft to successfully land on Mars. To celebrate the anniversary of the historic robotic feat and to highlight NASA’s effort to send humans to Mars in the 2030s, Langley Research Center, in Hampton, Virginia hosted a two-day “Viking at 40” event. On July 19, NASA’s Chief Historian Bill Barry moderated a history discussion about the Viking program and its contribution to Mars exploration. The next day, a 40th anniversary symposium called, “From NASA’s First Soft Landing to Humans on Mars” included a host of programs and featured Chief Scientist Ellen Stofan and other NASA experts discussing the agency’s Journey to Mars. Later that evening, NASA Administrator Charlie Bolden was on hand at Nationals Park in Washington, as Viking 1 and the Apollo 11 moon landing anniversaries were recognized during a celebration of significant American firsts. These momentous events both happened on July 20, seven years apart. Also, Hubble’s Search for Exoplanet Atmospheres, Kepler’s K-2 Mission Confirms over 100 Exoplanets, Back-to-Back Cargo Deliveries to the ISS, Record Climate Trends Continue, and Studying Greenhouse Gases Over the Eastern U.S.</t>
  </si>
  <si>
    <t>6USNuCCbS9o</t>
  </si>
  <si>
    <t>2016 07 21</t>
  </si>
  <si>
    <t>https://youtu.be/dKLOnS7uEYo</t>
  </si>
  <si>
    <t>NASA Q&amp;A With the Stars of STAR TREK  BEYOND</t>
  </si>
  <si>
    <t>Chris Pine and Zachary Quinto sit down to answer NASA trivia questions with Gay Yee Hill of NASA's Jet Propulsion Laboratory.
For more information:
http://www.nasa.gov/startrek</t>
  </si>
  <si>
    <t>dKLOnS7uEYo</t>
  </si>
  <si>
    <t>https://youtu.be/v3twhoxbr9M</t>
  </si>
  <si>
    <t>Viking at 40  Future of Mars Exploration Panel</t>
  </si>
  <si>
    <t>A capstone panel addressed the future of Mars Exploration at a Viking at 40 Symposium on July 20 at NASA’s Langley Research Center in Hampton, Virginia. Panel speakers included Walt Engelund, Director, Space Technology &amp; Exploration Directorate, NASA Langley Research Center, Panel Chair, Ellen Stofan, NASA Chief Scientist, Steve Jurczyk, Associate Administrator for Space Technology, NASA Headquarters, Greg Williams, Deputy Associate Administrator for Policy &amp; Plans, Human Exploration &amp; Operations Mission Directorate, NASA Headquarters, Jim Green, Director Planetary Science Division, NASA Science Mission Directorate, and Melissa Trainer, NASA Goddard Spaceflight Center.</t>
  </si>
  <si>
    <t>v3twhoxbr9M</t>
  </si>
  <si>
    <t>2016 07 20</t>
  </si>
  <si>
    <t>https://youtu.be/qrd-ndjoL-k</t>
  </si>
  <si>
    <t>SpaceX Dragon Attached to the Space Station</t>
  </si>
  <si>
    <t>On July 20, two days after the SpaceX Dragon cargo spacecraft launched from Space Launch Complex 40 at Cape Canaveral Air Force Station (CCAFS) in Florida, and hours after NASA astronaut Jeff Williams used the station’s robotic arm to capture the Dragon,  Ground controllers in Houston sent commands instructing the robot arm to install Dragon on the Earth-facing side of the station’s Harmony module. During the next five weeks, crew members will unload the spacecraft and reload it with cargo to return to Earth.</t>
  </si>
  <si>
    <t>qrd-ndjoL-k</t>
  </si>
  <si>
    <t>https://youtu.be/Yr7tMMevqlw</t>
  </si>
  <si>
    <t>Viking at 40  Exploration of Mars w Ellen Stofan</t>
  </si>
  <si>
    <t>NASA’s Chief Scientist Ellen Stofan delivered the keynote address titled “The Exploration of Mars” at a Viking at 40 Symposium on July 20 at NASA’s Langley Research Center in Hampton, Virginia.</t>
  </si>
  <si>
    <t>Yr7tMMevqlw</t>
  </si>
  <si>
    <t>https://youtu.be/Fd4I7qqZJYk</t>
  </si>
  <si>
    <t>SpaceX Dragon Arrives at the Space Station</t>
  </si>
  <si>
    <t>On July 20, two days after launching  from Space Launch Complex 40 at Cape Canaveral Air Force Station (CCAFS) in Florida , the SpaceX Dragon cargo spacecraft arrived at the International Space Station, carrying science research, crew supplies and hardware in support of the station’s Expedition 48 and 49 crews. NASA astronaut Jeff Williams used the station’s robotic arm, which he controlled from the station’s cupola, to capture the Dragon. Ground controllers in Houston then sent commands instructing the robot arm to install Dragon on the Earth-facing side of the station’s Harmony module. During the next five weeks, crew members will unload the spacecraft and reload it with cargo to return to Earth. About five-and-a-half hours after it departs the station Aug. 29, it will splash down in the Pacific Ocean off the coast of Baja California.</t>
  </si>
  <si>
    <t>Fd4I7qqZJYk</t>
  </si>
  <si>
    <t>2016 07 19</t>
  </si>
  <si>
    <t>https://youtu.be/yYjoiMq6UuM</t>
  </si>
  <si>
    <t>Viking at 40  History Panel</t>
  </si>
  <si>
    <t>A panel of experts discussed the historic Viking mission on Tuesday, July 19 at NASA’s Langley Research Center in Hampton, Virginia. Panel speakers included Bill Barry, moderator, NASA Chief Historian, Roger Launius, Associate Director for Collections and Curatorial Affairs, National Air and Space Museum, Smithsonian Institution, Erik Conway, Historian, NASA Jet Propulsion Laboratory, and Glenn Bugos, Historian, NASA's Ames Research Center.</t>
  </si>
  <si>
    <t>yYjoiMq6UuM</t>
  </si>
  <si>
    <t>https://youtu.be/uhpQ670XGaM</t>
  </si>
  <si>
    <t>Viking 40th Anniversary</t>
  </si>
  <si>
    <t>July 20, 1976, 7 years to the day after the Apollo 11 moon landing, the first successful landing on Mars by NASA's Viking spacecraft took place.  The ambitious Viking missions continue to evoke pride and enthusiasm for future space exploration.
NASA's Viking 1 and 2 missions to Mars, each consisting of an orbiter and a lander, became the first space probes to obtain high resolution images of the Martian surface; characterize the structure and composition of the atmosphere and surface; and conduct on-the-spot biological tests for life on another planet.
Viking provided the first measurements of the atmosphere and surface of Mars. These measurements are still being analyzed and interpreted. The data suggested early Mars was very different from the present day planet. Viking performed the first successful entry, descent and landing on Mars. Derivations of a Viking-style thermal protection system and parachute have been used on many U.S. Mars lander missions since. 
For more information:
http://www.nasa.gov/viking
#Viking40</t>
  </si>
  <si>
    <t>uhpQ670XGaM</t>
  </si>
  <si>
    <t>https://youtu.be/tRmK03-ycJU</t>
  </si>
  <si>
    <t>Space Station Astronaut Shares Thoughts on Life in Orbit with Japanese Media</t>
  </si>
  <si>
    <t>Aboard the International Space Station, Expedition 48 Flight Engineer Takuya Onishi of the Japan Aerospace Exploration Agency discussed the first weeks of his mission on the orbital laboratory with Japanese reporters in an in-flight question and answer session July 19. Onishi, who launched to the station on July 7, is currently scheduled to spend four months in orbit during which he will be involved in scientific research and possibly conduct spacewalks to help replace batteries for the station’s power system.</t>
  </si>
  <si>
    <t>tRmK03-ycJU</t>
  </si>
  <si>
    <t>https://youtu.be/KjlUL2sbSSc</t>
  </si>
  <si>
    <t>Russian Resupply Ship Arrives at Space Station</t>
  </si>
  <si>
    <t>Two days after its launch from the Baikonur Cosmodrome in Kazakhstan, the unpiloted Russian ISS Progress 64 cargo ship automatically docked to the Pirs Docking Compartment on the Russian segment of the International Space Station July 18. The new Progress is delivering three tons of food, fuel and supplies to the six crewmembers comprising the Expedition 48 crew. The Progress will remain attached to the station until late January, when it will undock and commanded to deorbit so it can burn up in the Earth’s atmosphere.</t>
  </si>
  <si>
    <t>KjlUL2sbSSc</t>
  </si>
  <si>
    <t>2016 07 18</t>
  </si>
  <si>
    <t>https://youtu.be/fnX_FGKENx8</t>
  </si>
  <si>
    <t>NASA's Office of Planetary Protection</t>
  </si>
  <si>
    <t>The mission of the Office of Planetary Protection is to promote the responsible exploration of the solar system by implementing and developing efforts that protect the science, explored environments, and Earth. The objectives of planetary protection are several-fold and include: Preserving our ability to study other worlds as they exist in their natural states; avoiding the biological contamination of explored environments that may obscure our ability to find life elsewhere – if it exists; and to ensure that we take prudent precautions to protect Earth’s biosphere in case life does exist elsewhere.</t>
  </si>
  <si>
    <t>fnX_FGKENx8</t>
  </si>
  <si>
    <t>https://youtu.be/I0jTQQGU7ic</t>
  </si>
  <si>
    <t>Post-Launch Status of SpaceX Resupply Mission to the ISS</t>
  </si>
  <si>
    <t>A post-launch news conference was held July 18 at NASA’s Kennedy Space Center, following the launch of the SpaceX Dragon cargo spacecraft to the International Space Station. Dragon launched atop the company's Falcon 9 rocket from Space Launch Complex 40 at Cape Canaveral Air Force Station (CCAFS) in Florida, carrying science research, crew supplies and hardware to the orbiting laboratory in support of the station’s Expedition 48 and 49 crews.</t>
  </si>
  <si>
    <t>I0jTQQGU7ic</t>
  </si>
  <si>
    <t>https://youtu.be/wsBy_UeYM3E</t>
  </si>
  <si>
    <t>SpaceX Launches Resupply Mission to the ISS</t>
  </si>
  <si>
    <t>The SpaceX Dragon spacecraft launched on the company's Falcon 9 rocket on July 18 from Space Launch Complex 40 at Cape Canaveral Air Force Station (CCAFS) in Florida, carrying science research, crew supplies and hardware in support of the Expedition 48 and 49 crew aboard the International Space Station. About 10 minutes after launch, Dragon reached its preliminary orbit, deployed its solar arrays and began a carefully choreographed series of thruster firings to begin its two-day journey to the station. Live coverage of the Dragon’s July 20 rendezvous with the ISS will begin at 5:30 a.m. EDT on NASA TV.</t>
  </si>
  <si>
    <t>wsBy_UeYM3E</t>
  </si>
  <si>
    <t>2016 07 17</t>
  </si>
  <si>
    <t>https://youtu.be/EEJ7U6eWKcs</t>
  </si>
  <si>
    <t xml:space="preserve">What’s on Board the SpaceX Dragon </t>
  </si>
  <si>
    <t>A science, research and technology briefing was held July 17 at NASA’s Kennedy Space Center to highlight the science experiments being delivered by SpaceX’s Dragon cargo spacecraft on its next mission to the International Space Station, as well as the research being conducted aboard the orbital laboratory. The Dragon is scheduled to liftoff on the company's Falcon 9 rocket on July 18 at 12:45 a.m. from Space Launch Complex 40 at Cape Canaveral Air Force Station (CCAFS) in Florida, with science research, crew supplies and hardware in support of the Expedition 48 and 49 crew members onboard the space station.</t>
  </si>
  <si>
    <t>EEJ7U6eWKcs</t>
  </si>
  <si>
    <t>2016 07 16</t>
  </si>
  <si>
    <t>https://youtu.be/NDtbfCt2Gcw</t>
  </si>
  <si>
    <t>Russian Cargo Ship Launches to the Space Station</t>
  </si>
  <si>
    <t>At the Baikonur Cosmodrome in Kazakhstan, the unpiloted ISS Progress 64 cargo ship launched at 5:41 p.m. Eastern time July 16 (3:41 a.m. Baikonur time on July 17), carrying three tons of food, fuel and supplies for the residents of the International Space Station. Less than nine minutes after launch, the Progress arrived in its preliminary orbit to begin a two-day journey to the station, where it will automatically dock to the Pirs Docking Compartment on the Earth-facing side of the Russian segment of the outpost July 18, U.S. time. The new Progress will remain docked to the station until mid-January 2017.</t>
  </si>
  <si>
    <t>NDtbfCt2Gcw</t>
  </si>
  <si>
    <t>https://youtu.be/G3uY3ml0uks</t>
  </si>
  <si>
    <t>Pre-Launch Status of Next SpaceX Mission to the ISS</t>
  </si>
  <si>
    <t>A press briefing was held on July 16 at NASA’s Kennedy Space Center to provide a prelaunch status update on the next SpaceX resupply mission to the International Space Station. The SpaceX Dragon spacecraft is targeting liftoff on the company's Falcon 9 rocket on July 18 at 12:45 a.m. from Space Launch Complex 40 at Cape Canaveral Air Force Station (CCAFS) in Florida, carrying science research, crew supplies and hardware to the orbiting laboratory in support of the Expedition 48 and 49 crew members.</t>
  </si>
  <si>
    <t>G3uY3ml0uks</t>
  </si>
  <si>
    <t>2016 07 15</t>
  </si>
  <si>
    <t>https://youtu.be/My8vWpgOTog</t>
  </si>
  <si>
    <t>New Crew Arrives Safely to ISS on This Week @NASA – July 15, 2016</t>
  </si>
  <si>
    <t>The Expedition 48/49 crew that launched July 7 from Kazakhstan arrived as scheduled at the International Space Station July 9 Eastern time. NASA astronaut Kate Rubins, cosmonaut Anatoly Ivanishin of the Russian space agency Roscosmos, and astronaut Takuya Onishi of the Japan Aerospace Exploration Agency were welcomed aboard by station Commander Jeff Williams of NASA and Flight Engineers Jeff Williams and Alexey Ovchinin of Roscosmos. In the coming months, the crew is scheduled to receive supplies and experiments from several cargo spacecraft. These include a Russian Progress scheduled to launch July 16 Eastern time and a SpaceX Dragon – scheduled for lift off July 18 from Cape Canaveral Air Force Station in Florida. Also, ISS Research and Development Conference, NASA Gets Green Light to Build Mars 2020 Rover, Juno’s First In-Orbit Views of Jupiter, Innovative Light Jet Visits Langley, Moon Photobombs Earth, Again and New Horizons’ “Landing” Video!</t>
  </si>
  <si>
    <t>My8vWpgOTog</t>
  </si>
  <si>
    <t>https://youtu.be/jN9gGW3ovkU</t>
  </si>
  <si>
    <t>NASA Does Facebook Live Update on the Next Mars Rover</t>
  </si>
  <si>
    <t>The team developing NASA's next rover mission to Mars has received a go-ahead from the agency to proceed with building the rover for launch in 2020. A July 15 Facebook Live event from NASA’s Jet Propulsion Laboratory featured updated news about the Mars 2020 rover and its mission. It will be almost identical to the Curiosity rover currently on Mars, but will have enhanced landing technology, the ability to prepare soil and rock samples for return to Earth and microphones to capture sound. The rover will look for signs of past life in a region of the Red Planet where the ancient environment was favorable for microbial life.</t>
  </si>
  <si>
    <t>jN9gGW3ovkU</t>
  </si>
  <si>
    <t>2016 07 14</t>
  </si>
  <si>
    <t>https://youtu.be/EYxvPIBmtiQ</t>
  </si>
  <si>
    <t>The Benefits of Space Station Research</t>
  </si>
  <si>
    <t>Aboard the International Space Station, Expedition 48 Commander Jeff Williams and newly arrived Flight Engineer Kate Rubins of NASA discussed their research and activities on the orbital laboratory in a pair of in-flight interviews July 14 with WXOW-TV in La Crosse, Wisconsin and Reuters. Williams, a Wisconsin native who has been in orbit since March, is scheduled to return to Earth in early September, while Rubins just arrived on the complex July 9. The two crew members are planning a spacewalk in August to install the first International Docking Adapter that will accommodate the arrival of U.S. commercial crew spacecraft in the future.</t>
  </si>
  <si>
    <t>EYxvPIBmtiQ</t>
  </si>
  <si>
    <t>2016 07 13</t>
  </si>
  <si>
    <t>https://youtu.be/ISSaGdg-LEQ</t>
  </si>
  <si>
    <t>Earth Expeditions  Coral Reefs, Student Research &amp; Polar Ice</t>
  </si>
  <si>
    <t>NASA uses the vantage point of space to increase our understanding of our home planet, improve lives and safeguard our future. Our researchers collect and study data from space, land, sea and air to tackle challenges facing the world today, from improved environmental prediction to natural hazard and climate change preparedness.
NASA’s view from space shows our planet is changing, but to really understand the nitty-gritty of these changes and what they mean for our future, scientists need a closer look. This year NASA takes you on a six-month world tour as we embark on major new field research campaigns to study regions of critical change around the world.
NASA is sending scientists from the edge of the Greenland ice sheet to the coral reefs of the South Pacific in 2016 to delve into challenging questions about how our planet is changing and what impacts humans are having on it. Although Earth science field experiments are nothing new for NASA, this year is a particularly active period as eight major new experiments will take scientists literally around the world on a wide range of science investigations.
For more information:
http://www.nasa.gov/earthexpeditions</t>
  </si>
  <si>
    <t>ISSaGdg-LEQ</t>
  </si>
  <si>
    <t>https://youtu.be/DHapy1OySxA</t>
  </si>
  <si>
    <t>Earth Expeditions  CORAL (Excerpt)</t>
  </si>
  <si>
    <t>The goal of the COral Reef Airborne Laboratory (CORAL) is to provide critical data and new models needed to analyze the status of coral reefs and to predict their future. CORAL will provide the most extensive picture to date of the condition of a large portion of the world’s coral reefs from a uniform data set. The data will reveal trends between coral reef condition and biogeophysical forcings, both natural and those arising from human activities.</t>
  </si>
  <si>
    <t>DHapy1OySxA</t>
  </si>
  <si>
    <t>https://youtu.be/nNsaQPy4bBY</t>
  </si>
  <si>
    <t>Astronauts Talk about Research on the ISS</t>
  </si>
  <si>
    <t>Aboard the International Space Station, Expedition 48 Commander Jeff Williams and newly arrived Flight Engineer Kate Rubins of NASA discussed their research and activities on the orbital laboratory in an in-flight interview July 13 with the Associated Press. Williams, who has been in orbit since March is scheduled to return to Earth in early September, while Rubins just arrived on the complex July 9. The two crew members are planning a spacewalk in August to install the first International Docking Adapter that will accommodate the arrival of U.S. commercial crew spacecraft in the future.</t>
  </si>
  <si>
    <t>nNsaQPy4bBY</t>
  </si>
  <si>
    <t>2016 07 09</t>
  </si>
  <si>
    <t>https://youtu.be/ExGvJOzcxJo</t>
  </si>
  <si>
    <t>Expedition 48 49 Crew Welcomed to the Space Station</t>
  </si>
  <si>
    <t>A few hours after docking to the International Space Station on July 9, Expedition 48-49 Soyuz Commander Anatoly Ivanishin of Roscosmos and Flight Engineers Kate Rubins of NASA and Takuya Onishi of the Japan Aerospace Exploration Agency floated through the spacecraft’s hatch and were greeted by station Commander Jeff Williams of NASA, and Flight Engineers Alexey Ovchinin and Oleg Skripochka of Roscosmos. Rubins, Ivanishin and Onishi are scheduled to spend about four months on the station contributing to more than 250 experiments in fields such as biology, Earth science, human research, physical sciences and technology development.</t>
  </si>
  <si>
    <t>ExGvJOzcxJo</t>
  </si>
  <si>
    <t>https://youtu.be/SXmiMPmkjX4</t>
  </si>
  <si>
    <t>Expedition 48 49 Crew Docks to the Space Station</t>
  </si>
  <si>
    <t>After launching on July 7 in their Soyuz spacecraft from the Baikonur Cosmodrome in Kazakhstan, Expedition 48-49 Soyuz Commander Anatoly Ivanishin of Roscosmos and Flight Engineers Kate Rubins of NASA and Takuya Onishi of the Japan Aerospace Exploration Agency arrived at the International Space Station July 9, to complete their two-day journey. The trio is scheduled to spend about four months on the station contributing to more than 250 experiments in fields such as biology, Earth science, human research, physical sciences and technology development.</t>
  </si>
  <si>
    <t>SXmiMPmkjX4</t>
  </si>
  <si>
    <t>2016 07 08</t>
  </si>
  <si>
    <t>https://youtu.be/WDmjdc9H56M</t>
  </si>
  <si>
    <t>Juno Enters Jupiter’s Orbit on This Week @NASA – July 8, 2016</t>
  </si>
  <si>
    <t>After an almost five-year journey to Jupiter, NASA's Juno spacecraft successfully settled into orbit around our solar system’s largest planet on July 4 – giving Juno team members yet another reason to celebrate on America’s birthday. In a scenario reminiscent of the Curiosity rover’s triumphant arrival on Mars, Juno became the latest NASA spacecraft to pull off a tricky series of maneuvers to safely arrive at a distant planet. Over the next few months, Juno’s mission and science teams will perform final testing on the spacecraft’s subsystems and science instruments and even collect some preliminary science data. The principal goal of the mission is to understand the origin and evolution of Jupiter – which will advance our understanding about the role giant planets like Jupiter might play in the formation of a solar system – including our own. Also, New Crew Launches to the ISS, NASA Week at Essence Festival, and Survey of Earth’s Atmosphere!</t>
  </si>
  <si>
    <t>WDmjdc9H56M</t>
  </si>
  <si>
    <t>2016 07 07</t>
  </si>
  <si>
    <t>https://youtu.be/q1RH39iAG1w</t>
  </si>
  <si>
    <t>ISS Expedition 49-50 Crew Previews Mission</t>
  </si>
  <si>
    <t>NASA astronaut Shane Kimbrough and two Russian crewmates answered questions about their upcoming mission to the International Space Station at a news conference, Thursday, July 7, at NASA’s Johnson Space Center in Houston. Kimbrough and cosmonauts Andrey Borisenko and Sergey Ryzhikov of the Russian space agency, Roscosmos will launch to the space station Sept. 23 aboard the Soyuz MS-02 spacecraft from the Baikonur Cosmodrome in Kazakhstan. The trio will round out Expedition 49, and return to Earth in February as part of the Expedition 50 crew.</t>
  </si>
  <si>
    <t>q1RH39iAG1w</t>
  </si>
  <si>
    <t>https://youtu.be/IvTo4-Ukadw</t>
  </si>
  <si>
    <t>ISS Expedition 49-50 Crew Training</t>
  </si>
  <si>
    <t>Video Footage of the International Space Station’s Expedition 49-50 crew members during pre-flight training activities for their upcoming mission to the space station. NASA astronaut Shane Kimbrough, cosmonauts Andrey Borisenko and Andrey Borisenko of the Russian space agency Roscosmos will launch to the space station Sept. 23 aboard the Roscosmos MS-02 spacecraft from the Baikonur Cosmodrome in Kazakhstan. The trio will round out Expedition 49, and return to Earth in February as part of the Expedition 50 crew.</t>
  </si>
  <si>
    <t>IvTo4-Ukadw</t>
  </si>
  <si>
    <t>https://youtu.be/Q_8VF7knp8E</t>
  </si>
  <si>
    <t>New Crew Launches to the International Space Station</t>
  </si>
  <si>
    <t>Expedition 48-49 Soyuz Commander Anatoly Ivanishin of Roscosmos and Flight Engineers Kate Rubins of NASA and Takuya Onishi of the Japan Aerospace Exploration Agency launched on the Russian Soyuz MS-01 spacecraft July 7 from the Baikonur Cosmodrome in Kazakhstan to begin a two-day journey to the International Space Station and the start of a four-month mission.</t>
  </si>
  <si>
    <t>Q_8VF7knp8E</t>
  </si>
  <si>
    <t>2016 07 06</t>
  </si>
  <si>
    <t>https://youtu.be/Sm17LtoXYP8</t>
  </si>
  <si>
    <t>Expedition 48-49 Crew Meets Officials and Reporters as Launch Approaches</t>
  </si>
  <si>
    <t>At their Cosmonaut Hotel crew quarters in Baikonur, Kazakhstan, Expedition 48-49 Soyuz Commander Anatoly Ivanishin of Roscosmos and Flight Engineers Kate Rubins of NASA and Takuya Onishi of the Japan Aerospace Exploration Agency, along with their backups, Oleg Novitskiy of Roscosmos, Peggy Whitson of NASA and Thomas Pesquet of ESA (European Space Agency) appeared before the Russian State Commission. The commission gave its final approval for the launch of Ivanishin, Rubins and Onishi to the International Space Station July 6 EDT (July 7 Kazakhstan time) in their Soyuz MS-01 spacecraft for a four-month mission. The crew members followed the State Commission meeting with a final prelaunch news conference.</t>
  </si>
  <si>
    <t>Sm17LtoXYP8</t>
  </si>
  <si>
    <t>https://youtu.be/io9qgUsXJHM</t>
  </si>
  <si>
    <t>Queen Latifah Highlights Juno</t>
  </si>
  <si>
    <t>Celebrity performer Queen Latifah highlights the Juno Space mission via NASA's involvement in the new feature film; "Ice Age : Collision Course".</t>
  </si>
  <si>
    <t>io9qgUsXJHM</t>
  </si>
  <si>
    <t>2016 07 05</t>
  </si>
  <si>
    <t>https://youtu.be/zfIqnpqPFbI</t>
  </si>
  <si>
    <t>Hello Jupiter!</t>
  </si>
  <si>
    <t>On July 4th, NASA Television aired live coverage of the solar-powered Juno spacecraft’s arrival at Jupiter after an almost five-year journey. Juno is the first spacecraft to orbit the poles of our solar system’s most massive planet. It will circle the Jovian world 37 times during 20 months, skimming to within 3,100 miles (5,000 kilometers) above the cloud tops, providing new answers to ongoing mysteries about the planet’s core, composition and magnetic fields.</t>
  </si>
  <si>
    <t>zfIqnpqPFbI</t>
  </si>
  <si>
    <t>https://youtu.be/LH_uPWU5V3o</t>
  </si>
  <si>
    <t>Juno’s Status at Jupiter</t>
  </si>
  <si>
    <t>On July 5, just hours after NASA’s Juno spacecraft arrived at the planet Jupiter, NASA held a press briefing at the Jet Propulsion Laboratory in Pasadena, California to provide a status update on the spacecraft. Juno’s arrival at our solar system’s most massive planet was the culmination of a nearly five-year journey through space. The spacecraft will be the first to orbit the poles of Jupiter –on a mission to provide new answers to ongoing mysteries about the planet’s core, composition and magnetic fields, as well as clues about the origins of our solar system.</t>
  </si>
  <si>
    <t>LH_uPWU5V3o</t>
  </si>
  <si>
    <t>2016 07 04</t>
  </si>
  <si>
    <t>https://youtu.be/I6uUEYOzipw</t>
  </si>
  <si>
    <t>Juno Preparing for Encounter with Jupiter</t>
  </si>
  <si>
    <t>On July 4, just hours before NASA’s Juno spacecraft was scheduled to arrive at the planet Jupiter, NASA held a press briefing at the Jet Propulsion Laboratory in Pasadena, California to provide a status update on the mission. Once in Jupiter’s orbit, the spacecraft will circle the Jovian world 37 times during 20 months, skimming to within 3,100 miles (5,000 kilometers) above the cloud tops. This is the first time a spacecraft will orbit the poles of Jupiter, providing new answers to ongoing mysteries about the planet’s core, composition and magnetic fields.</t>
  </si>
  <si>
    <t>I6uUEYOzipw</t>
  </si>
  <si>
    <t>https://youtu.be/14ebd3wJauU</t>
  </si>
  <si>
    <t>Expedition 48-49 Soyuz Rocket Comes Together and Rolls to Its Launch Pad</t>
  </si>
  <si>
    <t>The Soyuz spacecraft that will transport the next crew to the International Space Station was mated to its booster rocket and rolled out to the launch pad at the Baikonur Cosmodrome in Kazakhstan. On July 6, Soyuz Commander Anatoly Ivanishin and Flight Engineers Kate Rubins of NASA and Takuya Onishi of the Japan Aerospace Exploration Agency will launch aboard the Soyuz for a four-months mission to the station.</t>
  </si>
  <si>
    <t>14ebd3wJauU</t>
  </si>
  <si>
    <t>2016 07 02</t>
  </si>
  <si>
    <t>https://youtu.be/XyxCA6tTGQ0</t>
  </si>
  <si>
    <t>To all Americans -- in space and on Earth -- NASA wishes you a safe and happy July 4th Independence Day.</t>
  </si>
  <si>
    <t>XyxCA6tTGQ0</t>
  </si>
  <si>
    <t>https://youtu.be/XGZy6IzsKOg</t>
  </si>
  <si>
    <t>Expedition 48-49 Crew Final Launch Preparations in Kazakhstan</t>
  </si>
  <si>
    <t>At the Baikonur Cosmodrome in Kazakhstan, Expedition 48-49 Soyuz Commander Anatoly Ivanishin of Roscosmos and Flight Engineers Kate Rubins of NASA and Takuya Onishi of the Japan Aerospace Exploration Agency, along with their backups, Oleg Novitskiy of Roscosmos, Peggy Whitson of NASA and Thomas Pesquet of the European Space Agency, conducted a final "fit check" of their Soyuz MS-01 spacecraft, visited their Soyuz launch vehicle and toured the Baikonur Cosmodrome Museum July 2 in preparation for the July 7 launch, Kazakh time, of Ivanishin, Rubins and Onishi to the International Space Station, where they are scheduled to spend four months on the orbital complex.</t>
  </si>
  <si>
    <t>XGZy6IzsKOg</t>
  </si>
  <si>
    <t>2016 07 01</t>
  </si>
  <si>
    <t>https://youtu.be/MW0pwiaH3XM</t>
  </si>
  <si>
    <t>Space Launch System Booster Test Fired on This Week @NASA  - July 1, 2016</t>
  </si>
  <si>
    <t>On June 28, the booster for NASA’s Space Launch System (SLS) rocket was fired up for a major two-minute full-duration qualification ground test at Orbital ATK Propulsion Systems’ test facilities in Promontory, Utah. Engineers will evaluate test data on the motor’s performance using cold propellant, the steering operation of its redesigned nozzle, and other operational data to help qualify the booster for flight. This is the last time the booster will be fired in a test environment before it’s used for the first uncrewed test flight of SLS with NASA's Orion spacecraft, known as Exploration Mission-1, in late 2018. Also, SLS Test Hardware Arrives at Marshall, Juno Arrives at Jupiter July 4th, Test Lab Launched to Streamline Air Travel, Russian Docking System Tested on ISS, and NASA 2016 Agency Honor Award Distinguished Honorees.</t>
  </si>
  <si>
    <t>MW0pwiaH3XM</t>
  </si>
  <si>
    <t>https://youtu.be/qMjLYra-Kak</t>
  </si>
  <si>
    <t>Russian Docking System Tested Aboard the ISS</t>
  </si>
  <si>
    <t>A Russian ISS Progress 62 cargo ship automatically undocked from the International Space Station July 1, moved to a distance of about 600 feet away from the complex, then re-approached and re-docked a short time later under the manual control of Expedition 48 cosmonauts Alexey Ovchinin and Oleg Skripochka of Roscosmos. The cosmonauts were testing an upgraded backup rendezvous system of the spacecraft, which cosmonauts can use to take over the manual control of an approaching unpiloted craft for docking in the unlikely event a problem.</t>
  </si>
  <si>
    <t>qMjLYra-Kak</t>
  </si>
  <si>
    <t>2016 06 30</t>
  </si>
  <si>
    <t>https://youtu.be/ANc3qDTL0TA</t>
  </si>
  <si>
    <t>Pre-Launch Activities Continue for Next ISS Crew</t>
  </si>
  <si>
    <t>In Baikonur, Kazakhstan, Expedition 48-49 Soyuz Commander Anatoly Ivanishin of Roscosmos and Flight Engineers Kate Rubins of NASA and Takuya Onishi of the Japan Aerospace Exploration Agency, along with their backups, Oleg Novitskiy of Roscosmos, Peggy Whitson of NASA and Thomas Pesquet of ESA (European Space Agency), participated in various activities in preparation for the July 6 launch of Ivanishin, Rubins and Onishi to the International Space Station.</t>
  </si>
  <si>
    <t>ANc3qDTL0TA</t>
  </si>
  <si>
    <t>https://youtu.be/kMdcTRE8uR8</t>
  </si>
  <si>
    <t>The Science of Juno ‘s Mission to Jupiter</t>
  </si>
  <si>
    <t>During a news briefing from NASA’s Jet Propulsion Laboratory in Pasadena, California the science team involved with the Juno mission to Jupiter talked about the scientific goals of the mission. This Fourth of July, the solar-powered Juno spacecraft will arrive at our solar system’s most massive planet after an almost five-year journey. Once in Jupiter’s orbit, the spacecraft will circle the Jovian world 37 times during 20 months, skimming to within 3,100 miles (5,000 kilometers) above the cloud tops. This is the first time a spacecraft will orbit the poles of Jupiter, providing new answers to ongoing mysteries about the planet’s core, composition and magnetic fields.</t>
  </si>
  <si>
    <t>kMdcTRE8uR8</t>
  </si>
  <si>
    <t>https://youtu.be/-dvo9usx6bg</t>
  </si>
  <si>
    <t>Space Station Commander Educates Students about Life on the ISS</t>
  </si>
  <si>
    <t>Aboard the International Space Station, Expedition 48 Commander Jeff Williams of NASA discussed life and research on the orbital laboratory during an in-flight educational event June 30 with students gathered at the Gail Borden Public Library in Elgin, Illiinois. Williams, who will become the all-time leader for most days in space by an American astronaut August 24, will remain aboard the station until early September.</t>
  </si>
  <si>
    <t>-dvo9usx6bg</t>
  </si>
  <si>
    <t>2016 06 28</t>
  </si>
  <si>
    <t>https://youtu.be/ayYLiSNoiFE</t>
  </si>
  <si>
    <t>NASA Agency Awards Recognize Outstanding Employee Contributions</t>
  </si>
  <si>
    <t>During the 2016 NASA Honor Awards Ceremony on June 28 at Ames Research Center, NASA Administrator Charlie Bolden presented Distinguished Service and Distinguished Public Service Medals to individual employees who have made extraordinary and indelible contributions to the agency’s mission success. These awards are the agency’s most prestigious and distinguished honors.</t>
  </si>
  <si>
    <t>ayYLiSNoiFE</t>
  </si>
  <si>
    <t>https://youtu.be/vOs8giC8hGk</t>
  </si>
  <si>
    <t>Big Test to Qualify Most Powerful Rocket Booster for Flight</t>
  </si>
  <si>
    <t>NASA tested the largest, most powerful booster ever built for flight for the agency’s new rocket, the Space Launch System(SLS) on June 28 at Orbital ATK Aerospace System’s test facility in Promontory, Utah.  SLS and NASA’s Orion spacecraft will launch astronauts on missions to explore multiple destinations on the journey to Mars.
This was the second two-minute, full duration qualification test for the booster, and will provide NASA with critical data to support booster qualification for flight. This second test measured the booster’s performance at the colder end of the accepted propellant temperature range, a targeted 40 degrees Fahrenheit. It was also the last time the booster will be fired in a test environment before the first flight of SLS and Orion in 2018.</t>
  </si>
  <si>
    <t>vOs8giC8hGk</t>
  </si>
  <si>
    <t>2016 06 24</t>
  </si>
  <si>
    <t>https://youtu.be/XEzgqA0NOvc</t>
  </si>
  <si>
    <t>Kepler Finds Newborn Exoplanet on This Week @NASA  - June 24, 2016</t>
  </si>
  <si>
    <t>NASA announced June 20, astronomers have discovered the youngest fully formed exoplanet ever detected. The discovery of the planet outside our solar system was made using NASA's Kepler Space Telescope and the W. M. Keck Observatory on Mauna Kea, Hawaii. The newfound planet is a bit larger than Neptune and whips tightly around its star every five days. The planet is only 5 to 10 million years old. For comparison, Earth is about 4.5 billion years old. So, this makes it a relatively “newborn” planet -- one of a very few found to date. Also Expedition 47 returns safely to earth, the next ISS crew departs for launch site, SLS booster test, Orion water drop test, CST-100 Starliner hardware arrives and Rocket Week at Wallops Flight Facility this week at NASA.</t>
  </si>
  <si>
    <t>XEzgqA0NOvc</t>
  </si>
  <si>
    <t>https://youtu.be/ONbUSTc9VQQ</t>
  </si>
  <si>
    <t>Expedition 47-48 Crew Departs for Launch Site</t>
  </si>
  <si>
    <t>Expedition 48-49 Soyuz Commander Anatoly Ivanishin of Roscosmos and Flight Engineers Kate Rubins of NASA and Takuya Onishi of the Japan Aerospace Exploration Agency, along with their backups, Oleg Novitskiy of Roscosmos, Peggy Whitson of NASA and Thomas Pesquet of ESA (European Space Agency) participated in traditional ceremonies at the Gagarin Cosmonaut Training Center in Star City, Russia, outside Moscow June 24. Afterward, they departed for the Baikonur Cosmodrome in Kazakhstan to complete their training for the launch of Ivanishin, Rubins and Onishi on the Soyuz MS-01 spacecraft for a four-month mission on the International Space Station.</t>
  </si>
  <si>
    <t>ONbUSTc9VQQ</t>
  </si>
  <si>
    <t>https://youtu.be/SlO6wT3FXv0</t>
  </si>
  <si>
    <t>New Space Station Commander Discusses Life in Space with the Media</t>
  </si>
  <si>
    <t>Aboard the International Space Station, Expedition 48 Commander Jeff Williams of NASA discussed upcoming research and visiting vehicle activity at the orbital laboratory during a pair of in-flight interviews June 23 with Motherboard’s online magazine and video service and the CBS Radio Network. Williams became station commander for the second time June 17 prior to the departure of three of his crewmates and is in the midst of a six-month mission on the complex. Williams will surpass former NASA astronaut Scott Kelly for most cumulative days in space by an American astronaut August 24 when he passes Kelly’s mark of 520 days in orbit. Williams will return to Earth on the Soyuz TMA-20M spacecraft September 6.</t>
  </si>
  <si>
    <t>SlO6wT3FXv0</t>
  </si>
  <si>
    <t>2016 06 23</t>
  </si>
  <si>
    <t>https://youtu.be/MfMOTf0giqM</t>
  </si>
  <si>
    <t>NASA Celebrates Makers</t>
  </si>
  <si>
    <t>NASA works with the Maker community to create new ideas and technologies to drive exploration here on Earth and out in space. The agency uses prizes and challenges, like the Future Engineers 3-D printing challenge for students, and programs like the CubeSat Launch Initiative, which works with students across the country to build and launch small satellites, to encourage innovation and STEM development. During the National Week of Making 2016, NASA committed to continuing its work in order to help groups in all 50 states launch a satellite into orbit.
For more information:
http://www.nasa.gov/feature/calling-all-makers-visit-nasa-solve
http://www.nasa.gov/mission_pages/station/research/news/multipurpose_precision_maintenance_tool
http://www.nasa.gov/feature/first-cubesat-built-by-an-elementary-school-deployed-into-space</t>
  </si>
  <si>
    <t>MfMOTf0giqM</t>
  </si>
  <si>
    <t>2016 06 18</t>
  </si>
  <si>
    <t>https://youtu.be/srUu8batsmc</t>
  </si>
  <si>
    <t>Welcome Back to Earth</t>
  </si>
  <si>
    <t>Expedition 47 Commander Tim Kopra of NASA, Soyuz Commander Yuri Malenchenko of Roscosmos and Flight Engineer Tim Peake of ESA (European Space Agency) were greeted in a traditional ceremony in Kazakhstan June 18, a few hours after their safe return to Earth from a 186 day mission on the International Space Station.</t>
  </si>
  <si>
    <t>srUu8batsmc</t>
  </si>
  <si>
    <t>https://youtu.be/uvv2qYS6-5Q</t>
  </si>
  <si>
    <t>Expedition 47 Crew Lands Safely in Kazakhstan</t>
  </si>
  <si>
    <t>Expedition 47 Commander Tim Kopra of NASA, Soyuz Commander Yuri Malenchenko of Roscosmos and Flight Engineer Tim Peake of ESA (European Space Agency) landed safely near the town of Dzhezkazgan, Kazakhstan June 18, hours after leaving the International Space Station in their Soyuz TMA-19M spacecraft. Kopra, Malenchenko and Peake spent 186 days in space aboard the orbital laboratory.</t>
  </si>
  <si>
    <t>uvv2qYS6-5Q</t>
  </si>
  <si>
    <t>https://youtu.be/SLEZHUH44A8</t>
  </si>
  <si>
    <t>Expedition 47 Crew Leaves the Space Station</t>
  </si>
  <si>
    <t>After saying farewell to NASA’s Jeff Williams and the rest of the crew onboard the International Space Station on June 18. Expedition 47 Commander Tim Kopra of NASA, Soyuz Commander Yuri Malenchenko of Roscosmos and Flight Engineer Tim Peake of ESA (European Space Agency) undocked from the ISS for the return trip to Earth. Kopra, Malenchenko and Peake spent 186 days in space aboard the orbital laboratory.</t>
  </si>
  <si>
    <t>SLEZHUH44A8</t>
  </si>
  <si>
    <t>https://youtu.be/kUoW7ISFsOI</t>
  </si>
  <si>
    <t>Coming Home from the Space Station</t>
  </si>
  <si>
    <t>After accepting command of the International Space Station on June 17 from fellow NASA astronaut Tim Kopra, Jeff Williams said farewell to Kopra and his Expedition 47 crewmates, Yuri Malenchenko of Roscosmos and Tim Peake of ESA (European Space Agency). The departing crew then climbed into their Soyuz spacecraft for the trip back to Earth. Kopra, Malenchenko, and Peake are scheduled to land in Kazakhstan to complete a 186-day mission. Williams remains on the station with Flight Engineers Alexey Ovchinin and Oleg Skripochka of Roscosmos until early September.</t>
  </si>
  <si>
    <t>kUoW7ISFsOI</t>
  </si>
  <si>
    <t>2016 06 17</t>
  </si>
  <si>
    <t>https://youtu.be/o4GnRKTw2zc</t>
  </si>
  <si>
    <t>Our Journey to Transforming Aviation on This Week @NASA - June 17, 2016</t>
  </si>
  <si>
    <t>On June 17, NASA Administrator Charlie Bolden gave the keynote address at the Aviation 2016 conference in Washington. The speech entitled “Concept to Reality - Our Journey to Transforming Aviation,” focused on NASA Aeronautics New Aviation Horizons, a 10-year research plan based on the president’s Fiscal Year 2017 budget request. The plan includes developing, manufacturing and flight-testing several experimental aircraft or X-planes. During his address, Bolden also highlighted the agency’s first X-plane designation in a decade. The X-57, nicknamed “Maxwell,” is an experimental airplane with propellers powered by 14 electric motors. The five-day conference also featured details on a set of roadmaps created by the agency to guide research in finding solutions for safe, efficient growth in global aviation operations; innovation in commercial supersonic aircraft and ultra-efficient commercial vehicles; transitioning to low-carbon propulsion; real-time, system-wide safety assurance; and assured autonomy for aviation transformation. Also, Juno’s Mission to Jupiter, Cygnus Departs ISS, New Commander Aboard the Space Station, and Engaging Women and Girls in STEM!</t>
  </si>
  <si>
    <t>o4GnRKTw2zc</t>
  </si>
  <si>
    <t>https://youtu.be/xxiC1i6UJD0</t>
  </si>
  <si>
    <t>New Commander Aboard the Space Station</t>
  </si>
  <si>
    <t>The reins of the International Space Station were passed from NASA’s Tim Kopra to his NASA crewmate Jeff Williams during a ceremony on the orbital outpost on June 17. Kopra is returning to Earth June 18 with his crewmates, Yuri Malenchenko of Roscosmos and Tim Peake of ESA (European Space Agency) in the Soyuz TMA-19M spacecraft for a landing on the steppe of Kazakhstan to complete a 186-day mission. Williams remains on the station as commander along with Flight Engineers Alexey Ovchinin and Oleg Skripochka of Roscosmos until early September.</t>
  </si>
  <si>
    <t>xxiC1i6UJD0</t>
  </si>
  <si>
    <t>2016 06 16</t>
  </si>
  <si>
    <t>https://youtu.be/nfhwgYHGeAE</t>
  </si>
  <si>
    <t>Closing in on Jupiter</t>
  </si>
  <si>
    <t>On June 16, NASA discussed the status of its Juno mission to Jupiter during a news briefing at the agency’s headquarters, in Washington DC. This Fourth of July, the solar-powered Juno spacecraft will arrive at our solar system’s most massive planet after an almost five-year journey. Once in Jupiter’s orbit, the spacecraft will circle the Jovian world 37 times during 20 months, skimming to within 3,100 miles (5,000 kilometers) above the cloud tops. This is the first time a spacecraft will orbit the poles of Jupiter, providing new answers to ongoing mysteries about the planet’s core, composition and magnetic fields.</t>
  </si>
  <si>
    <t>nfhwgYHGeAE</t>
  </si>
  <si>
    <t>2016 06 15</t>
  </si>
  <si>
    <t>https://youtu.be/wzIcKOL1pVc</t>
  </si>
  <si>
    <t>Enhancing the United State of Women Through Data Science</t>
  </si>
  <si>
    <t>In conjunction with the United State of Women Summit, NASA hosted “Engaging Women &amp; Girls in STEM Through Data Science,” at the agency’s headquarters in Washington, DC. The program included discussions and presentations on the role of data science at NASA, opportunities for women and girls in data science, and information about NASA initiatives that aim to engage women and girls in STEM through data science.</t>
  </si>
  <si>
    <t>wzIcKOL1pVc</t>
  </si>
  <si>
    <t>https://youtu.be/nOBng-0dEZw</t>
  </si>
  <si>
    <t>Space Station Crew Talks to Student Designer of 3-D Tool</t>
  </si>
  <si>
    <t>Aboard the International Space Station, Expedition 47 Commander Tim Kopra and Flight Engineer Jeff Williams of NASA conducted a question and answer session June 15 with a student involved in the design of a concept for 3-D printing aboard the orbital laboratory. Speaking to the crew members from the Marshall Space Flight Center’s Payload Operations and Integration Center in Huntsville, Alabama, Robert Hillan of Enterprise, Alabama, discussed the Space Tool Challenge for the Teen Group (ages 13-19) that included his design of a Multipurpose Precision Maintenance Tool. Like a Swiss Army knife, the tool has a number of important components that allow an astronaut to complete tasks with comfort and ease. Hillan’s design was transmitted from Marshall to the Additive Manufacturing Facility on the station as Hillan watched the printing take place. Hillan is in his junior year at the University of Alabama where he is studying aerospace and mechanical engineering.</t>
  </si>
  <si>
    <t>nOBng-0dEZw</t>
  </si>
  <si>
    <t>https://youtu.be/ex-ui7ldnD0</t>
  </si>
  <si>
    <t>Spaceflight Then, Now, and Next</t>
  </si>
  <si>
    <t>The 2016 John H. Glenn Lecture in Space History was held on June 14, at the Smithsonian Air and Space Museum’s Lockheed Martin IMAX Theater in Washington, DC. The featured speakers, Apollo 11 astronaut, Major General Michael Collins, USAF (Ret.) and Jeff Bezos, founder of Blue Origin and founder/CEO of Amazon.com, reflected on the invention and reinvention of spaceflight.</t>
  </si>
  <si>
    <t>ex-ui7ldnD0</t>
  </si>
  <si>
    <t>2016 06 14</t>
  </si>
  <si>
    <t>https://youtu.be/XJabriUtjl8</t>
  </si>
  <si>
    <t>U.S. Cargo Ship Leaves Space Station</t>
  </si>
  <si>
    <t>At the International Space Station, Expedition 47 Commander Tim Kopra used the Canadarm2 robotic arm to release the Orbital/ATK Cygnus cargo craft June 14, just hours after it was detached from the station. The spacecraft is loaded with trash and other unneeded items. Cygnus is also serving as a platform for an investigation called the Spacecraft Fire Experiment (SAFFIRE), that will deliberately ignite a fire in an enclosed environment so that instruments can measure flame growth and oxygen usage. This experiment is designed to improve the understanding of fire growth in microgravity and to safeguard future space missions. A group of nanosatellites is also being released from Cygnus which will be deorbited June 22 to send the craft into a destructive re-entry over the Pacific Ocean. Cygnus was launched from the Cape Canaveral Air Force Station in Florida atop an Atlas V rocket March 23, arriving at the station March 26 to deliver tons of experiments and supplies for the station’s residents.</t>
  </si>
  <si>
    <t>XJabriUtjl8</t>
  </si>
  <si>
    <t>2016 06 10</t>
  </si>
  <si>
    <t>https://youtu.be/p_snvjghMJg</t>
  </si>
  <si>
    <t>Cygnus Packed for Space Station Mission on This Week @NASA – June 10, 2016</t>
  </si>
  <si>
    <t>On June 7 at Wallops Flight Facility, in Virginia, NASA and Orbital ATK hosted members of the media to see the Cygnus cargo spacecraft scheduled to fly the company’s next delivery mission to the International Space Station. The mission – the company’s fifth to the space station under its Commercial Resupply Services contract with NASA – is planned for launch in July. Cygnus will launch atop Orbital ATK’s Antares rocket from the Mid-Atlantic Regional Spaceport’s Pad 0-A at Wallops. It will be the first time Antares and Pad 0-A have been used for a launch since a launch mishap in 2014. Also, Entering the Station’s New Space, All About Juno, CORAL Field Research Mission Underway, and A Ticket to Explore JPL!</t>
  </si>
  <si>
    <t>p_snvjghMJg</t>
  </si>
  <si>
    <t>2016 06 09</t>
  </si>
  <si>
    <t>https://youtu.be/QDq_zsHSPng</t>
  </si>
  <si>
    <t>Appropriate Attire for Space</t>
  </si>
  <si>
    <t>This episode of the Smithsonian National Air and Space Museum’s “What's New in Aerospace?” series featured insight from NASA Deputy Administrator Dava Newman about how spacesuits have changed in design and mission over the decades. The first astronauts flew into space wearing flight suits that had been adapted to their specific spacecraft.  As subsequent astronauts started to travel outside the spacecraft, spacesuits have become more tailored and versatile.  Spacesuit designers still face constraints.  The suits have to fit into the spacecraft and be comfortable enough to allow meaningful work outside of our world. The “What's New in Aerospace?” series is presented in collaboration with NASA.</t>
  </si>
  <si>
    <t>QDq_zsHSPng</t>
  </si>
  <si>
    <t>https://youtu.be/PlG4ow5GO0w</t>
  </si>
  <si>
    <t>NASA Astronaut Shares Thoughts on Space Station Mission</t>
  </si>
  <si>
    <t>Aboard the International Space Station, Expedition 47 Flight Engineer Jeff Williams of NASA discussed life and research on the orbiting laboratory during an in-flight interview June 9 with WTMJ-TV in Milwaukee, Wisconsin. Williams, who is a Wisconsin native, will become commander of the station on June 17, one day before three of his crewmates return to Earth in their Russian Soyuz spacecraft. Williams will remain in orbit until early September.</t>
  </si>
  <si>
    <t>PlG4ow5GO0w</t>
  </si>
  <si>
    <t>2016 06 08</t>
  </si>
  <si>
    <t>https://youtu.be/VnXqBBPyqbc</t>
  </si>
  <si>
    <t>British Astronaut Recaps Mission Aboard the Space Station</t>
  </si>
  <si>
    <t>Aboard the International Space Station, Expedition 47 Flight Engineer Tim Peake of the European Space Agency recapped his six months in space during a question and answer session June 8 with British reporters gathered at the Cheltenham Science Festival in Cheltenham, England. Peake, who is the first British astronaut to fly on the station, will culminate 186 days in space with a landing in the Soyuz TMA-19M spacecraft in Kazakhstan on June 18.</t>
  </si>
  <si>
    <t>VnXqBBPyqbc</t>
  </si>
  <si>
    <t>2016 06 03</t>
  </si>
  <si>
    <t>https://youtu.be/5agitRTpjRo</t>
  </si>
  <si>
    <t>Earth Expeditions  Sea Hunt for Climate-Ocean Biology Link</t>
  </si>
  <si>
    <t>About half the carbon dioxide emitted into Earth's atmosphere each year ends up in the ocean, and plankton absorb a lot of it. NASA’s North Atlantic Aerosols and Marine Ecosystems Study (NAAMES) took to the sea and air to investigate the world’s largest plankton bloom and how it gives rise to small organic particles that leave the ocean and end up in the atmosphere, ultimately influencing clouds and climate.
In May scientists took to the field for the second of four campaigns aboard a NASA research aircraft based in Canada and a research vessel from Woods Hole Oceanographic Institution.
For more information:
https://blogs.nasa.gov/earthexpeditions/tag/naames/</t>
  </si>
  <si>
    <t>5agitRTpjRo</t>
  </si>
  <si>
    <t>https://youtu.be/nrI8U1vIQDg</t>
  </si>
  <si>
    <t xml:space="preserve">What's this NASA NAAMES thing all about </t>
  </si>
  <si>
    <t>Kasha Patel and Mike Behrenfeld chat about the North Atlantic Aerosols and Marine Ecosystems Study (NAAMES). This NASA field experiment took to the sea in May to investigate the world’s largest plankton bloom and how it gives rise to small organic particles that leave the ocean and end up in the atmosphere, ultimately influencing clouds and climate.
For more information:
https://blogs.nasa.gov/earthexpeditions/tag/naames/</t>
  </si>
  <si>
    <t>nrI8U1vIQDg</t>
  </si>
  <si>
    <t>https://youtu.be/4cCdiTnt4BE</t>
  </si>
  <si>
    <t>Update on Space Station’s Expandable Module on This Week @NASA – June 3, 2016</t>
  </si>
  <si>
    <t>Activities aboard the International Space Station during the first week in June included continued operations with the Bigelow Expandable Activity Module (BEAM) – which was fully expanded on May 28. The follow-up work included equalizing BEAM’s internal pressure and conducting leak checks to ensure its structural integrity. The BEAM is a technology demonstration to study expandable habitats in space. When it is safe to do so, NASA’s Jeff Williams will open the hatch and be the first to enter the inflatable experimental habitat. At more than 13 feet long and about 10.5 feet in diameter, the module adds about 565 cubic feet of habitable volume to the station. Also, Zuckerberg Connects with ISS Crew, Antares Hot Fire Test, Next Space Station Crew, Low Boom Flight Demonstration, Mixed Reality Demonstration, and Planetary Stamps Unveiled!</t>
  </si>
  <si>
    <t>4cCdiTnt4BE</t>
  </si>
  <si>
    <t>2016 06 01</t>
  </si>
  <si>
    <t>https://youtu.be/R3hb7-MaPlQ</t>
  </si>
  <si>
    <t>Space Station Astronauts Describe what it is “Like” Living and Working in Space</t>
  </si>
  <si>
    <t>Aboard the International Space Station, Expedition 47 Commander Tim Kopra and Flight Engineer Jeff Williams of NASA and Flight Engineer Tim Peake of ESA (European Space Agency) discussed life and research aboard the orbital laboratory during an in-flight interview June 1 with Facebook founder and chief executive officer Mark Zuckerberg. The interview, which was streamed on Facebook Live as well, touched on the use of social media and Earth observation photography from orbit and the international aspects of space station operations. Kopra and Peake will return to Earth June 18 to complete 186 days in space while Williams will remain in orbit until September.</t>
  </si>
  <si>
    <t>R3hb7-MaPlQ</t>
  </si>
  <si>
    <t>https://youtu.be/N38_WrUUw-A</t>
  </si>
  <si>
    <t>NASA’s Kate Rubins Prepares for Mission to the Space Station</t>
  </si>
  <si>
    <t>Footage of NASA Astronaut Kate Rubins training with her Expedition 48/49 crewmates in preparation for their upcoming mission to the International Space Station. Rubins, Anatoly Ivanishin of Roscosmos and Takuya Onishi of the Japan Aerospace Exploration Agency launch June 24 from the Baikonur Cosmodrome in Kazakhstan for a four-month tour aboard the ISS.</t>
  </si>
  <si>
    <t>N38_WrUUw-A</t>
  </si>
  <si>
    <t>2016 05 31</t>
  </si>
  <si>
    <t>https://youtu.be/UeLd8aHkZI4</t>
  </si>
  <si>
    <t>Next Space Station Crew Discusses Upcoming Mission</t>
  </si>
  <si>
    <t>Expedition 48-49 Soyuz Commander Anatoly Ivanishin of Roscosmos and Flight Engineers Kate Rubins of NASA and Takuya Onishi of the Japan Aerospace Exploration Agency, along with their backups, Oleg Novitskiy of Roscosmos, Peggy Whitson of NASA and Thomas Pesquet of ESA (European Space Agency) discussed their upcoming mission with the media at the Gagarin Cosmonaut Training Center in Star City, Russia. Ivanishin, Rubins and Onishi are scheduled to launch June 24 from the Baikonur Cosmodrome in Kazakhstan in the Soyuz MS-01 spacecraft for a four-month mission on the International Space Station.</t>
  </si>
  <si>
    <t>UeLd8aHkZI4</t>
  </si>
  <si>
    <t>https://youtu.be/-rmgePdQYrc</t>
  </si>
  <si>
    <t>Next Space Station Crew Continues Pre-launch Training Tradition in Russia</t>
  </si>
  <si>
    <t>Expedition 48-49 Soyuz Commander Anatoly Ivanishin of Roscosmos and Flight Engineers Kate Rubins of NASA and Takuya Onishi of the Japan Aerospace Exploration Agency, along with their backups, Oleg Novitskiy of Roscosmos, Peggy Whitson of NASA and Thomas Pesquet of ESA (European Space Agency) visited the Gagarin Museum where they viewed historic space artifacts at the Gagarin Cosmonaut Training Center in Star City, Russia May 31, then visited Red Square in Moscow for traditional ceremonies. Ivanishin, Rubins and Onishi are scheduled to launch June 24 from the Baikonur Cosmodrome in Kazakhstan in the Soyuz MS-01 spacecraft for a four-month mission on the International Space Station.</t>
  </si>
  <si>
    <t>-rmgePdQYrc</t>
  </si>
  <si>
    <t>https://youtu.be/6nNM4aWKCdk</t>
  </si>
  <si>
    <t>British Space Station Crew Member Discusses Life in Space with the Media</t>
  </si>
  <si>
    <t>Aboard the International Space Station, Expedition 47 Flight Engineer Tim Peake of the European Space Agency discussed the accomplishments of his six-month mission on the orbiting laboratory during an in-flight interview May 31 with ITV News. Peake, who is the first British citizen to fly on the station, will head home June 18 aboard a Russian Soyuz spacecraft for a landing in south-central Kazakhstan to complete 186 days in space.</t>
  </si>
  <si>
    <t>6nNM4aWKCdk</t>
  </si>
  <si>
    <t>2016 05 28</t>
  </si>
  <si>
    <t>https://youtu.be/LpIeFiLtE78</t>
  </si>
  <si>
    <t>Expanding Technology Aboard the ISS</t>
  </si>
  <si>
    <t>At the International Space Station, the Bigelow Expandable Activity Module (BEAM) was expanded to its full volumetric size May 28 through the introduction of air by the Expedition 47 crew onboard the station. BEAM, which was launched on a SpaceX/Dragon cargo craft April 8 and installed on the aft port of the Tranquility module April 16, is the first expandable component to be attached to the station and a prototype of structures that may be used in the future for habitats associated with deep space exploration. Measuring 11.6 x 10.5 feet, BEAM is expected to remain attached to the station for two years with crew members making occasional visits inside to check its systems.</t>
  </si>
  <si>
    <t>LpIeFiLtE78</t>
  </si>
  <si>
    <t>https://youtu.be/t-MzHqZlwPY</t>
  </si>
  <si>
    <t>NASA Celebrates Memorial Day</t>
  </si>
  <si>
    <t>In recognition of Memorial Day, NASA remembers the men and women who have served in the U.S. armed forces and the sacrifices they’ve made to preserve the freedoms, safety and liberties of Americans throughout our country and around the world.</t>
  </si>
  <si>
    <t>t-MzHqZlwPY</t>
  </si>
  <si>
    <t>2016 05 27</t>
  </si>
  <si>
    <t>https://youtu.be/nqXQeBqJo_0</t>
  </si>
  <si>
    <t>Scott Kelly Reflects on One Year Mission on This Week @NASA – May 27, 2016</t>
  </si>
  <si>
    <t>During a televised presentation to NASA employees, on May 25 from NASA Headquarters, Deputy Administrator Dava Newman and retired NASA astronaut Scott Kelly reflected on Kelly’s historic one-year mission aboard the International Space Station, which he and Russian cosmonaut Mikhail Kornienko completed in March. The event featured video highlights from the mission and Q&amp;A with employees watching at NASA centers around the country. During the longest-ever mission on the station, Kelly and Kornienko collected critical biomedical and psychological data researchers hope will help support deep space missions, including NASA’s Journey to Mars. Also, Expedition 48/49 Training for ISS Mission, OSIRIS-REx Spacecraft Arrives at Kennedy Space Center, Webb Telescope’s Science Instruments Installed, NASA Glenn’s 75th Anniversary, and NASA TV Going Full HD on June 1, 2016!</t>
  </si>
  <si>
    <t>nqXQeBqJo_0</t>
  </si>
  <si>
    <t>https://youtu.be/GcpHrux-OOQ</t>
  </si>
  <si>
    <t>Next Space Station Crew Trains Near Moscow</t>
  </si>
  <si>
    <t>Expedition 48-49 Soyuz Commander Anatoly Ivanishin of Roscosmos and Flight Engineers Kate Rubins of NASA and Takuya Onishi of the Japan Aerospace Exploration Agency, along with their backups, Oleg Novitskiy of Roscosmos, Peggy Whitson of NASA and Thomas Pesquet of ESA (European Space Agency) conducted final qualification training at the Gagarin Cosmonaut Training Center in Star City, Russia May 26 and 27. Ivanishin, Rubins and Onishi are scheduled to launch June 24 from the Baikonur Cosmodrome in Kazakhstan in the Soyuz MS-01 spacecraft for a four-month mission on the International Space Station.</t>
  </si>
  <si>
    <t>GcpHrux-OOQ</t>
  </si>
  <si>
    <t>2016 05 25</t>
  </si>
  <si>
    <t>https://youtu.be/fiuGehQaii0</t>
  </si>
  <si>
    <t>STEM in 30 - Moon Rocks</t>
  </si>
  <si>
    <t>The Smithsonian National Air and Space Museum’s STEM in 30 series of live, fast-paced, 30-minute webcasts are designed to increase interest and engagement in STEM for students. This episode explores Moon rocks and what they can tell us not only about the Moon, but also about our own planet.</t>
  </si>
  <si>
    <t>fiuGehQaii0</t>
  </si>
  <si>
    <t>https://youtu.be/mupWhk2cbT0</t>
  </si>
  <si>
    <t>Retired Astronaut Scott Kelly Reflects on Year-Long ISS Mission</t>
  </si>
  <si>
    <t>An agency wide All-Hands event on May 25 at NASA Headquarters featured Deputy Administrator Dava Newman and retired NASA astronaut Scott Kelly, reflecting on Kelly’s one-year mission aboard the International Space Station. The event, shown on NASA TV and the agency’s website, also featured video highlights of the mission and questions from employees watching at NASA centers around the country. During the unprecedented ISS mission, Kelly and Mikhail Kornienko of Roscosmos collected critical data on how the human body responds to long duration space flight.</t>
  </si>
  <si>
    <t>mupWhk2cbT0</t>
  </si>
  <si>
    <t>2016 05 24</t>
  </si>
  <si>
    <t>https://youtu.be/JFxq4WfiKio</t>
  </si>
  <si>
    <t>British Astronaut Talks about Life on the Space Station</t>
  </si>
  <si>
    <t>Aboard the International Space Station, Expedition 47 Flight Engineer Tim Peake of the European Space Agency discussed the accomplishments of his half-year mission on the orbital laboratory, during an in-flight interview with CNN International’s Christiane Amanpour on May 24. Peake, who is the first British citizen to fly on the space station, will be returning to Earth June 18 aboard a Russian Soyuz spacecraft for a landing in south central Kazakhstan.</t>
  </si>
  <si>
    <t>JFxq4WfiKio</t>
  </si>
  <si>
    <t>2016 05 20</t>
  </si>
  <si>
    <t>https://youtu.be/mtehu3BEJfM</t>
  </si>
  <si>
    <t>Space Station’s 100,000th Orbit on This Week @NASA – May 20, 2016</t>
  </si>
  <si>
    <t>On May 16, the International Space Station completed its 100,000th orbit of Earth since the launch of the first component on Nov. 20, 1998. In that time, the station has traveled more than 2.6 billion miles – which is roughly the equivalent of about 10 round trips between Earth and Mars, at the average distance between the two planets. The space station zips around our planet at 17,500 miles per hour – completing each orbit in just 90 minutes – giving the crew onboard the unique opportunity to experience 16 sunrises and sunsets per day and to capture some great images of Earth. Also, CubeSats Deployed from ISS, Humans to Mars Summit 2016, Orion's Water Drop Test "Passengers", There's No Place Like Space and more!</t>
  </si>
  <si>
    <t>mtehu3BEJfM</t>
  </si>
  <si>
    <t>https://youtu.be/SwlN9rgsYwg</t>
  </si>
  <si>
    <t>NASA and Angry Birds</t>
  </si>
  <si>
    <t>Bill Hader, Leonard of Angry Birds, cracks the egg on how NASA enlisted the ANGRY BIRDS for space exploration and education.
Check out Astronaut Don Pettit's out of this world physics lesson:
https://youtu.be/deAcVKv5_2I</t>
  </si>
  <si>
    <t>SwlN9rgsYwg</t>
  </si>
  <si>
    <t>2016 05 19</t>
  </si>
  <si>
    <t>https://youtu.be/xe26PQl965I</t>
  </si>
  <si>
    <t>Space Station Astronaut Shares On Orbit Experiences with Hometown School</t>
  </si>
  <si>
    <t>Aboard the International Space Station, Expedition 47 Flight Engineer Jeff Williams of NASA discussed life and research aboard the orbital laboratory with students from the Winter, Wisconsin School District during an in-flight educational event May 19. Williams, who is in his fourth flight in space and third long-duration mission on the station, is a native of Winter, Wisconsin and a 1976 graduate of Winter High School. Williams will remain aboard the station until early September.</t>
  </si>
  <si>
    <t>xe26PQl965I</t>
  </si>
  <si>
    <t>2016 05 17</t>
  </si>
  <si>
    <t>https://youtu.be/Fs4KQQgS_JA</t>
  </si>
  <si>
    <t>NASA Asian American and Pacific Islander Heritage Month  Son Le, SSC</t>
  </si>
  <si>
    <t>Son Le is the Pressure Systems Program Manager in the Safety and Mission Assurance Directorate at Stennis Space Center. He is responsible for ensuring pressure vessels and piping systems at Stennis are fit for service and are operating within their design capabilities. He has been involved in the field of non-destructive testing and pressure vessel inspections since 1994. Le is also the coordinator for Process Safety Management at Stennis as part of the SSC Voluntary Protection Program.
Le received a bachelor of science degree from the University of South Alabama. He is also a certified inspector with the American Petroleum Institute in pressure vessels and piping.</t>
  </si>
  <si>
    <t>Fs4KQQgS_JA</t>
  </si>
  <si>
    <t>https://youtu.be/cat2Kdrujfw</t>
  </si>
  <si>
    <t>Cleaning Up Outer Space</t>
  </si>
  <si>
    <t>This episode of the Smithsonian National Air and Space Museum’s “What's New in Aerospace?” series featured host Martin Collins, space history curator at the museum, and historian Lisa Ruth Rand discussing past and current orbital debris research, some American and international efforts to reduce debris, the latest proposed methods to clean up orbit — from lasers to space nets — and thoughts about how we might best solve the problem of trash in space. The “What's New in Aerospace?” series is presented in collaboration with NASA.</t>
  </si>
  <si>
    <t>cat2Kdrujfw</t>
  </si>
  <si>
    <t>https://youtu.be/pQfN9j9wrKI</t>
  </si>
  <si>
    <t>ISS Crewmember Reflects on the Science Accomplished Aboard the Station</t>
  </si>
  <si>
    <t>Aboard the International Space Station, Expedition 47 Flight Engineer Tim Peake of the European Space Agency discussed life and research on the orbital outpost during an in-flight interview on May 17 with the Federation Aeronautique Internationale gathered in Leicester, England. The space station passed a milestone on May 16, crossing the Equator at 2:10 a.m. EDT to begin the 100,000th orbit of its lifetime since its first component was launched on Nov. 20, 1998. Peake and station Commander Tim Kopra of NASA are scheduled to return to Earth aboard a Russian Soyuz spacecraft on June 18 to complete a six-month mission.</t>
  </si>
  <si>
    <t>pQfN9j9wrKI</t>
  </si>
  <si>
    <t>2016 05 16</t>
  </si>
  <si>
    <t>https://youtu.be/cHed9shjFIg</t>
  </si>
  <si>
    <t>First Elementary School Built CubeSat</t>
  </si>
  <si>
    <t>Students at St. Thomas More Cathedral School in Arlington, Virginia gathered to watch the St. Thomas More (STM)Sat-1, the first CubeSat built by elementary school students, deploy from the NanoRacks CubeSat Deployer (NRCSD) system aboard the International Space Station on May 16. The STMSat-1 is an educational mission to provide hands-on, inquiry-based learning activities with an on-orbit mission to photograph the Earth and transmit images to our primary ground station and to remote ground stations throughout the country. The CubeSat was launched to the ISS on Dec. 6, 2015 aboard an Orbital ATK Cygnus cargo resupply spacecraft as part of NASA’s Educational Launch of Nanosatellites (ELaNa) IX mission.</t>
  </si>
  <si>
    <t>cHed9shjFIg</t>
  </si>
  <si>
    <t>https://youtu.be/jrF0k4uQb3g</t>
  </si>
  <si>
    <t>NASA Asian American and Pacific Islander Heritage Month - Katherine Griffith, MSFC</t>
  </si>
  <si>
    <t>Katherine Griffith is an accountant in the Office of the Chief Financial Officer at NASA’s Marshall Space Flight Center. After immigrating to the United States at the age of 16, Griffith graduated high school, joined the U.S. Air Force, earned a Bachelor of Science in Accounting and has enjoyed working at the Marshall Center for the past two years.</t>
  </si>
  <si>
    <t>jrF0k4uQb3g</t>
  </si>
  <si>
    <t>https://youtu.be/ZIL5x5i8rYc</t>
  </si>
  <si>
    <t>NASA Asian American and Pacific Islander Heritage Month Richard Hang, AFRC</t>
  </si>
  <si>
    <t>Richard Hang, an electronic engineer, has served as the Chief of Sensors and Systems Development Branch at NASA’s Armstrong Flight Research Center (AFRC) since 2014. He previously served as the Chief of Instrumentation Branch at AFRC from 2012 to 2014. Prior to being selected as Branch Chief, he was a senior instrumentation engineer for design and development of real-time embedded data systems for flight research. He has been a NASA employee since September, 1996.</t>
  </si>
  <si>
    <t>ZIL5x5i8rYc</t>
  </si>
  <si>
    <t>https://youtu.be/8W5RhA5LCvY</t>
  </si>
  <si>
    <t>Kudos from NASA Administrator for Elementary School CubeSat Deployed into Space</t>
  </si>
  <si>
    <t>NASA Administrator Charles Bolden recorded a congratulatory video message to students at St. Thomas More Cathedral School in Arlington, Virginia on becoming the first elementary school to build a small satellite and have it launched into space. On May 16, the school’s St. Thomas More (STM Sat-1), was deployed from the International Space Station. STMSat-1 was launched to the ISS on Dec. 6, 2015 aboard an Orbital ATK Cygnus cargo resupply spacecraft as part of NASA’s Educational Launch of Nanosatellites (ELaNa) IX mission. The STMSat-1 mission is an educational mission to provide hands-on, inquiry-based learning activities with an on-orbit mission to photograph the Earth and transmit images to our primary ground station and to remote ground stations throughout the country.</t>
  </si>
  <si>
    <t>8W5RhA5LCvY</t>
  </si>
  <si>
    <t>2016 05 15</t>
  </si>
  <si>
    <t>https://youtu.be/62xE6rfUq_o</t>
  </si>
  <si>
    <t>2016 U.S. Astronaut Hall of Fame Induction</t>
  </si>
  <si>
    <t>The U.S. Astronaut Hall of Fame welcomed astronaut inductees Brian Duffy and Scott Parazynski to its ranks during a May 14 ceremony at the Kennedy Space Center Visitor Complex, in Florida. Parazynski, who retired from NASA in 2009, flew on five spaceflights and performed seven spacewalks during his career. Duffy, retired from the Air Force and NASA in 2001. He logged more than forty total days in space during his four spaceflights. The pair join an elite group of well-known space explorers, including Alan Shepard, John Glenn, John Young, Neil Armstrong and Sally Ride.</t>
  </si>
  <si>
    <t>62xE6rfUq_o</t>
  </si>
  <si>
    <t>2016 05 14</t>
  </si>
  <si>
    <t>https://youtu.be/PzkwtH5b95s</t>
  </si>
  <si>
    <t>NASA Hosts Students of Beating the Odds Foundation</t>
  </si>
  <si>
    <t>NASA Administrator Charles Bolden welcomed this year’s Beating the Odds Foundation/Student Success and Leadership Program participants to NASA HQ.  They heard from Human Research Program Director for the Twin Study, Dr. John Charles and planetary scientist, Dr. Shawn Domagal-Goldman, who discussed NASA’s search for life in the Universe.  Student teams presented results of research they conducted on the Twin Study using the Foundation’s Stepping Stones to Success model.  This informal partnership between NASA Headquarters and the Beating the Odds Foundation, now in its third year, demonstrates the effectiveness of integrating formal education and NASA missions.</t>
  </si>
  <si>
    <t>PzkwtH5b95s</t>
  </si>
  <si>
    <t>2016 05 13</t>
  </si>
  <si>
    <t>https://youtu.be/Y4SE6e74A8c</t>
  </si>
  <si>
    <t>Mercury’s Transit of the Sun on This Week @NASA – May 13, 2016</t>
  </si>
  <si>
    <t>The planet Mercury’s transit of the sun on May 9 provided an opportunity for sky-watchers throughout the U.S. to witness a rare celestial event that happens only about 13 times a century. Mercury’s transit, as it passed between Earth and the sun, made it appear as a small dark dot against the face of the sun. NASA’s coverage of the event included a televised roundtable of NASA science experts discussing the exceptional opportunity presented to learn more about the atmospheric makeup of our solar system’s smallest planet. Mercury’s next transit of the sun occurs in 2019. But, those of us in the U.S. have a big celestial event to look forward to even before that – a total solar eclipse, on August 21 of 2017. Also, Kepler Confirms More Than 1,200 New Planets, Dragon Leaves ISS with Science, Canadian Wildfires Seen from Space, Two Martian Years for Curiosity, and Vehicle Assembly Building Platforms!</t>
  </si>
  <si>
    <t>Y4SE6e74A8c</t>
  </si>
  <si>
    <t>2016 05 12</t>
  </si>
  <si>
    <t>https://youtu.be/Ij0LD7eAJLw</t>
  </si>
  <si>
    <t>NASA Asian American and Pacific Islander Heritage Month Profile - Wenshen Huang, GRC</t>
  </si>
  <si>
    <t>Wenshen Huang is a propulsion scientist at NASA’s Glenn Research Center in Cleveland. Huang immigrated from China to the U.S. when he was eleven. As a child of a low-income family, Huang had a lot of free time and spent it watching planets and stars. While in high school, Huang read a lot of science fiction novels and the idea of going to the stars, “stuck in my head!” said Huang. Huang held on to that dream, received his Ph.D. and came to NASA to work on advanced propulsion. “I’m hopeful that one day we’ll all get to ride some of these advanced rockets that I work on to go the stars!” said Huang.</t>
  </si>
  <si>
    <t>Ij0LD7eAJLw</t>
  </si>
  <si>
    <t>https://youtu.be/0KZ1OjnzgB8</t>
  </si>
  <si>
    <t>Earth Expeditions  Korea U.S.-Air Quality</t>
  </si>
  <si>
    <t>In this episode of Earth Expeditions our team takes a look at air quality in a joint field study between NASA and the Republic of Korea to advance the ability to monitor air pollution from space.
For more information:
http://www.nasa.gov/content/2016-earth-expeditions-korus-aq</t>
  </si>
  <si>
    <t>0KZ1OjnzgB8</t>
  </si>
  <si>
    <t>https://youtu.be/FaMsWmoA2ew</t>
  </si>
  <si>
    <t>Earth Expeditions  Air Quality Interview Excerpt</t>
  </si>
  <si>
    <t>NASA's Korea U.S.-Air Quality (KORUS-AQ) field study is all about getting the right data from space by first assessing air quality across urban, rural and coastal South Korea using observations from aircraft, ground sites, ships and satellites to test air quality models and remote sensing methods. Findings will help develop observing systems using models and data to improve air quality assessments for decision makers.
For more information:
http://www.nasa.gov/content/2016-earth-expeditions-korus-aq</t>
  </si>
  <si>
    <t>FaMsWmoA2ew</t>
  </si>
  <si>
    <t>https://youtu.be/rYWoDYknrh8</t>
  </si>
  <si>
    <t>ISS Astronauts Talk from Space with Media</t>
  </si>
  <si>
    <t>Aboard the International Space Station, Expedition 47 Commander Tim Kopra of NASA and Flight Engineers Jeff Williams of NASA and Tim Peake of the European Space Agency fielded questions about Earth observation photography, scientific research and other aspects of life in orbit during a pair of interviews May 12 with the Weather Channel and WISC-TV, Madison, Wisconsin. Kopra and Peake are entering the final month of a six-month mission on the orbital outpost while Williams will remain aboard the station until early September.</t>
  </si>
  <si>
    <t>rYWoDYknrh8</t>
  </si>
  <si>
    <t>2016 05 11</t>
  </si>
  <si>
    <t>https://youtu.be/7ccuPP1zS60</t>
  </si>
  <si>
    <t>STEM in 30 – Straight Up  Vertical Flight</t>
  </si>
  <si>
    <t>The Smithsonian National Air and Space Museum’s STEM in 30 series of live, fast-paced, 30-minute webcasts are designed to increase interest and engagement in STEM for students. This episode explores helicopters: their design, how they work, and the functions they play in our society.</t>
  </si>
  <si>
    <t>7ccuPP1zS60</t>
  </si>
  <si>
    <t>https://youtu.be/gKC2OFtHtXQ</t>
  </si>
  <si>
    <t>SpaceX Dragon Heads Home from ISS with Valuable Science Data</t>
  </si>
  <si>
    <t>Aboard the International Space Station, Expedition 47 Flight Engineers Tim Peake of the European Space Agency and Jeff Williams of NASA used the Canadarm2 robotic arm to release the SpaceX/Dragon cargo vehicle May 11 after it was unbolted and unberthed from the Earth-facing port of the Harmony module, ending a month-long stay at the complex. Dragon is bringing home some 3,600 pounds of experiments and precious biomedical samples, including material from the recently completed year-long mission of NASA’s Scott Kelly and Mikhail Kornienko of Roscosmos.</t>
  </si>
  <si>
    <t>gKC2OFtHtXQ</t>
  </si>
  <si>
    <t>2016 05 09</t>
  </si>
  <si>
    <t>https://youtu.be/2V0A7yYdJSQ</t>
  </si>
  <si>
    <t>The Science Behind Mercury's Transit of the Sun</t>
  </si>
  <si>
    <t>The May 9 transit of the sun by the planet Mercury was an astronomical wonder. The rare celestial event, which happens only 13 times a century, also provided an excellent scientific opportunity to study certain aspects of our solar system’s smallest planet. During a live, one-hour program on NASA TV, NASA science experts representing planetary, heliophysics and astrophysics discussed the science behind the Mercury transit as the phenomenon was occurring, and answered questions from the agency’s social media followers.</t>
  </si>
  <si>
    <t>2V0A7yYdJSQ</t>
  </si>
  <si>
    <t>2016 05 06</t>
  </si>
  <si>
    <t>https://youtu.be/A4_x02DXXdc</t>
  </si>
  <si>
    <t>Anticipating the Return of Launches to Wallops on This Week @NASA – May 6, 2016</t>
  </si>
  <si>
    <t>On May 3, NASA’s Wallops Flight Facility hosted Senator Barbara Mikulski of Maryland, NASA Administrator Charlie Bolden and others for an employee town hall and a tour of the Virginia facility – including Pad 0A at the Mid-Atlantic Regional Spaceport. Preparations are underway there to conduct an engine test of Orbital ATK’s Antares rocket in anticipation of returning Antares to flight operations this summer following a launch mishap in 2014. The medium-class launch facility provides NASA the capability to launch Orbital ATK’s Antares and Cygnus spacecraft on resupply missions to the International Space Station. Also, NASA Astronauts on Future ISS Crews, Facility Dedicated to NASA Mathematician, View Mercury’s Transit of the Sun with NASA, Three Potentially Habitable Worlds Found, and Webb Mirrors Unveiled!</t>
  </si>
  <si>
    <t>A4_x02DXXdc</t>
  </si>
  <si>
    <t>https://youtu.be/Yks3zncjQZk</t>
  </si>
  <si>
    <t>Promo  Mercury Transit of the Sun</t>
  </si>
  <si>
    <t>On Monday, May 9th at 7:12am Eastern, the planet Mercury will appear against the face of the sun as a small black dot while passing between Earth and the Sun. 
This phenomenon, known as a transit takes place about 13 times a century.
Join NASA Experts for a for a live one-hour televised program at 10:30 a.m. Eastern on NASA Television Channel 102 or watch NASA TV online at nasa.gov.
The program features imagery of this rare celestial event and NASA experts discussing the science behind it.
For more information on this historic event go to www.nasa.gov</t>
  </si>
  <si>
    <t>Yks3zncjQZk</t>
  </si>
  <si>
    <t>2016 05 05</t>
  </si>
  <si>
    <t>https://youtu.be/AD-IR3RYYaE</t>
  </si>
  <si>
    <t>NASA Dedicates Facility to Mathematician, Presidential Medal Winner</t>
  </si>
  <si>
    <t>NASA commemorated the many contributions of retired mathematician Katherine Johnson to America’s space program during a building dedication ceremony on May 5, at the agency’s Langley Research Center in Hampton, Virginia. Langley’s new Katherine G. Johnson Computational Research Facility was formally dedicated to the venerated mathematician and Presidential Medal of Freedom recipient.
Johnson worked at Langley from 1953 until her retirement in 1986, beginning as a research mathematician -- part of a pool of women hired to perform mathematical equations and calculations by hand for engineers. She quickly distinguished herself and was permanently assigned to the branch that would later calculate the launch windows for NASA’s first Project Mercury flights.
Notable accomplishments include her computation, by hand, of the launch window and trajectory for Alan Shepard’s maiden space voyage aboard Freedom 7 in 1961, and verification, also by hand, of calculations made by the first computers for John Glenn's history-making orbit around the Earth in 1962. She also calculated the trajectory for the historic Apollo 11 first moon landing flight in 1969.</t>
  </si>
  <si>
    <t>AD-IR3RYYaE</t>
  </si>
  <si>
    <t>https://youtu.be/rpnVlzlmBls</t>
  </si>
  <si>
    <t>ISS Astronauts Talk Space to Ground with Chicago Students</t>
  </si>
  <si>
    <t>Aboard the International Space Station, Expedition 47 Commander Tim Kopra and Flight Engineer Jeff Williams of NASA discussed life and research aboard the orbital complex with students at the South Suburban College in Chicago during an in-flight educational event May 5. The event involved questions about scientific experiments, day-to-day life on the station and the nuances of human spaceflight. Kopra is scheduled to return to Earth after a six-month mission on June 18, while Williams will remain on board until September.</t>
  </si>
  <si>
    <t>rpnVlzlmBls</t>
  </si>
  <si>
    <t>https://youtu.be/KJlHrD8tURI</t>
  </si>
  <si>
    <t>Women @NASA  Charlie Blackwell-Thompson</t>
  </si>
  <si>
    <t>Daisy Ridley of Star Wars fame introduces us to Charlie Blackwell-Thompson, Space Launch System/Orion Launch Director.
http://www.nasa.gov/feature/blackwell-thompson-named-launch-director-for-slsorion</t>
  </si>
  <si>
    <t>KJlHrD8tURI</t>
  </si>
  <si>
    <t>https://youtu.be/OXQdJSwfgHA</t>
  </si>
  <si>
    <t>2016 RNASA Gala</t>
  </si>
  <si>
    <t>Each year since 1987, the Rotary National Award for Space Achievement (RNASA) Foundation has presented the National Space Trophy and other awards honoring those who have contributed to our nation's space program, at a gala event in April in Houston, Texas. The 2016 award was presented on April 29 to Dr. Charles Elachi, Director of NASA’s Jet Propulsion Laboratory, in recognition of his outstanding achievements in space exploration.</t>
  </si>
  <si>
    <t>OXQdJSwfgHA</t>
  </si>
  <si>
    <t>2016 05 04</t>
  </si>
  <si>
    <t>https://youtu.be/Or8n5KJT2LI</t>
  </si>
  <si>
    <t>Women @NASA  Dava Newman</t>
  </si>
  <si>
    <t>Kathleen Kennedy of Lucasfilm shares a brief biography of Dava Newman, Deputy Administrator of NASA.
https://www.nasa.gov/about/highlights/newman_bio.html</t>
  </si>
  <si>
    <t>Or8n5KJT2LI</t>
  </si>
  <si>
    <t>2016 05 03</t>
  </si>
  <si>
    <t>https://youtu.be/sDXht_JYzFY</t>
  </si>
  <si>
    <t>Earth Expeditions  Air Quality</t>
  </si>
  <si>
    <t>NASA's Barry Lefer takes us on a quick tour of Korea U.S. - Air Quality  (KORUS-AQ). 
KORUS-AQ will collect air quality data over the Republic of Korea using aircraft, ground sites and ships.
http://www.nasa.gov/earthexpeditions</t>
  </si>
  <si>
    <t>sDXht_JYzFY</t>
  </si>
  <si>
    <t>2016 05 02</t>
  </si>
  <si>
    <t>https://youtu.be/AszEKhN6Ews</t>
  </si>
  <si>
    <t>NASA Celebrates Small Business Week 2016</t>
  </si>
  <si>
    <t>In recognition of this year’s National Small Business Week, May 1-7, NASA Administrator Charles Bolden acknowledges the critical contributions American entrepreneurs and small business owners make to achievement of the agency’s missions and goals, and to the vital role these businesses play in boosting the U.S. economy.</t>
  </si>
  <si>
    <t>AszEKhN6Ews</t>
  </si>
  <si>
    <t>2016 04 29</t>
  </si>
  <si>
    <t>https://youtu.be/rZDTuiIkhwY</t>
  </si>
  <si>
    <t>Astronaut Kjell Lindgren Visits Washington, DC on This Week @NASA – April 29, 2016</t>
  </si>
  <si>
    <t>NASA astronaut Kjell Lindgren made several appearances in the DC area April 25-29, to share highlights of his recent five-month mission aboard the International Space Station. On Tuesday morning at the Smithsonian National Air and Space Museum, he showed imagery from his spaceflight and answered questions. That evening Lindgren threw out the first pitch at Nationals Park before the Major League Baseball game between Washington and Philadelphia. He also attended the Tech Day on Capitol Hill event on Thursday that highlighted technology development and research being conducted on the station to help NASA achieve its future missions. Also, The Future is Here Festival, Astronauts Test Drive New Simulators, Korean U.S. Air Quality Mission Preps, NASA Helps Forecast Zika Risk, and International Space Apps Challenge!</t>
  </si>
  <si>
    <t>rZDTuiIkhwY</t>
  </si>
  <si>
    <t>https://youtu.be/mhC6Eve9qWY</t>
  </si>
  <si>
    <t>Window to Earth  NASA Partners with IMAX for 'A Beautiful Planet'</t>
  </si>
  <si>
    <t>‘A Beautiful Planet’ stars Earth as seen from space by astronauts and cosmonauts aboard the orbiting laboratory. Shooting spanned multiple expeditions with NASA astronauts Kjell Lindgren, Terry Virts, and Barry “Butch” Wilmore as well as former NASA astronaut Scott Kelly volunteering as filmmakers during their time on station.</t>
  </si>
  <si>
    <t>mhC6Eve9qWY</t>
  </si>
  <si>
    <t>2016 04 26</t>
  </si>
  <si>
    <t>https://youtu.be/2hf5OENWcak</t>
  </si>
  <si>
    <t>Crewmembers Onboard the ISS Talk to Texas Students</t>
  </si>
  <si>
    <t>Aboard the International Space Station, Expedition 47 Flight Engineers Jeff Williams of NASA and Tim Peake of the European Space Agency discussed life and science on the orbital laboratory with students from the School for the Talented and Gifted Magnet at Yvonne A. Ewell Townview Center in Dallas during an in-flight educational event April 26. The event, which included the ranking Member of the House Committee on Science, Space and Technology, Representative Eddie Bernice Johnson (D-Texas), explored a variety of subjects including the scientific research being performed on the complex. Peake is scheduled to return to Earth in June, while Williams, who is in his fourth flight into space and third long duration mission on the station, will remain in orbit through September.</t>
  </si>
  <si>
    <t>2hf5OENWcak</t>
  </si>
  <si>
    <t>https://youtu.be/xtLZxxsbnXc</t>
  </si>
  <si>
    <t>What's New in Space Station Science</t>
  </si>
  <si>
    <t>This episode of the Smithsonian National Air and Space Museum’s “What's New in Aerospace?” series featured NASA Astronaut Kjell Lindgren, who recently returned from five months in space onboard the International Space Station as part of the Expeditions 44 and 45 crews. Lindgren discussed what’s new in research on the orbiting laboratory. The “What's New in Aerospace?” series is presented in collaboration with NASA.</t>
  </si>
  <si>
    <t>xtLZxxsbnXc</t>
  </si>
  <si>
    <t>2016 04 25</t>
  </si>
  <si>
    <t>https://youtu.be/KTelwF805Os</t>
  </si>
  <si>
    <t>Open Science  Stem Cells</t>
  </si>
  <si>
    <t>Check out NASA Principal Investigators, Dr. Eduardo Almeida and Dr. Elizabeth Blaber discuss Stem Cell research with Space Life and Physical Sciences Research and Applications Deputy Director, Mr. Angel Otero and how this research is assisting us on the Journey to Mars.  
This series will journey through discussions with NASA Principal Investigators, and Science Team Leads covering current scientific research being conducted on the International Space Station.</t>
  </si>
  <si>
    <t>KTelwF805Os</t>
  </si>
  <si>
    <t>2016 04 22</t>
  </si>
  <si>
    <t>https://youtu.be/tsw5LtP2wKM</t>
  </si>
  <si>
    <t>Managing Unmanned Aircraft Traffic on This Week @NASA – April 22, 2016</t>
  </si>
  <si>
    <t>An April 19 event at NASA’s Ames Research Center at Moffett Field, California, showcased the Unmanned Aircraft Systems Traffic Management (UTM) prototype the agency is developing for the Federal Aviation Administration (FAA). With coordination from Ames, operators of non-NASA unmanned aircraft or drones used the system to conduct simultaneous test flights, with some 20 drones at six FAA-approved locations around the country. During the test, Ames engineers used the traffic management prototype to monitor the flights remotely and gather qualitative feedback that will help further develop and refine the system. With this research, NASA and the FAA hope to address the need for a system to safely integrate unmanned aircraft into the nation’s airspace. Also, Earth Day Kick-off, A Beautiful Planet Premiere, First Major SLS Flight Hardware, SLS Test Stand Progress, Solar Electric Propulsion for Deep Space Exploration, and An Anniversary Bubble for Hubble!</t>
  </si>
  <si>
    <t>tsw5LtP2wKM</t>
  </si>
  <si>
    <t>2016 04 21</t>
  </si>
  <si>
    <t>https://youtu.be/Mjwt79i4Eu0</t>
  </si>
  <si>
    <t>Space Station Astronaut Answers Questions from Space</t>
  </si>
  <si>
    <t>Aboard the International Space Station, Expedition 47 Commander Tim Kopra of NASA discussed life and research on the complex with students attending the business school at Columbia University in New York during an in-flight question and answer session April 21. Kopra, who received a master’s degree in business administration from Columbia in 2013, has been aboard the station since December. He is scheduled to return to Earth in June to complete a half-year in orbit.</t>
  </si>
  <si>
    <t>Mjwt79i4Eu0</t>
  </si>
  <si>
    <t>2016 04 20</t>
  </si>
  <si>
    <t>https://youtu.be/7peDwDLzpWU</t>
  </si>
  <si>
    <t>Preparing for a Long Distance Run from Space</t>
  </si>
  <si>
    <t>Aboard the International Space Station, Expedition 47 Flight Engineer Tim Peake of the European Space Agency discussed life and work on the orbital outpost and his preparation for participating in the London Marathon during an in-flight question and answer session April 20 with British journalists in London. Peake, who is the first British astronaut to fly on the station, plans to participate in the London Marathon April 24 by running on an exercise treadmill on the complex for about four hours. Peake, who arrived on the station last December, is scheduled to return to Earth in June to complete a half-year in orbit.</t>
  </si>
  <si>
    <t>7peDwDLzpWU</t>
  </si>
  <si>
    <t>https://youtu.be/ve8WN_cVMkw</t>
  </si>
  <si>
    <t>Rockets Up, Up and Away!</t>
  </si>
  <si>
    <t>On April 16, NASA’s Marshall Space Flight Center hosted the 16th annual Student Launch competition in Huntsville, Alabama. During the event student-designed and built rockets were launched in an effort to reach an altitude of one mile, deploy an automated parachute system, and safely land to be recovered. The competition gives young aspiring engineers a chance to test their high-flying creations and a shot at a $5,000 cash prize. NASA hosts this and other events like it to engage students across the country in the agency’s Journey to Mars through hands-on activities in the areas of science, technology, engineering and math (STEM).</t>
  </si>
  <si>
    <t>ve8WN_cVMkw</t>
  </si>
  <si>
    <t>https://youtu.be/MqMWutoQU7s</t>
  </si>
  <si>
    <t>On April 22nd, Earth Day is an annual world wide celebration in support of environmental protection. NASA undertakes various efforts to protect and understand our home planet. NASA wants to capture what people all around the world are doing to protect, improve and celebrate Earth… So, where on EARTH will you be?  http://www.nasa.gov/24Seven  #24Seven</t>
  </si>
  <si>
    <t>MqMWutoQU7s</t>
  </si>
  <si>
    <t>2016 04 17</t>
  </si>
  <si>
    <t>https://youtu.be/PBJAR3-UvSQ</t>
  </si>
  <si>
    <t>Stunning Aurora Borealis from Space in Ultra-High Definition (4K)</t>
  </si>
  <si>
    <t>NASA Television’s newest offering, NASA TV UHD, brings ultra-high definition video to a new level with the kind of imagery only the world’s leader in space exploration could provide.
Harmonic produced this show exclusively for NASA TV UHD, using time-lapses shot from the International Space Station, showing both the Aurora Borealis and Aurora Australis phenomena that occur when electrically charged electrons and protons in the Earth's magnetic field collide with neutral atoms in the upper atmosphere. 
For more info: http://go.nasa.gov/1lyUGlY</t>
  </si>
  <si>
    <t>PBJAR3-UvSQ</t>
  </si>
  <si>
    <t>2016 04 16</t>
  </si>
  <si>
    <t>https://youtu.be/IrM96wxldY8</t>
  </si>
  <si>
    <t>Science and Engineering are Out of This World!</t>
  </si>
  <si>
    <t>Aboard the International Space Station, Expedition 47 Flight Engineer Jeff Williams of NASA fielded questions from attendees at the USA Science and Engineering Festival in Washington, D.C. on April 16. Sponsored by the Center for the Advancement of Science in Space (CASIS), the festival is designed to bring educators, industry and government leaders together to focus attention on the needs of our country to inspire youth to become involved in the fields of science, engineering and math. Williams will remain at the station until September; this is his third long-duration mission on the complex.</t>
  </si>
  <si>
    <t>IrM96wxldY8</t>
  </si>
  <si>
    <t>https://youtu.be/5AvzNF27qVY</t>
  </si>
  <si>
    <t>Expanding Possibilities Aboard The ISS</t>
  </si>
  <si>
    <t>Eight days after its launch on the SpaceX Dragon cargo craft, the Bigelow Expandable Activity Module (BEAM) was installed on the aft berthing port of the Tranquility module April 16 for a two-year test of its systems. NASA is studying several habitat concepts to be used for future deep space exploration, and BEAM will be the first expandable habitat attached to station. BEAM is scheduled to be filled with air and expanded in late May, followed a week later by the opening of its hatch in early June and the initial ingress by crew members to check its condition.</t>
  </si>
  <si>
    <t>5AvzNF27qVY</t>
  </si>
  <si>
    <t>2016 04 15</t>
  </si>
  <si>
    <t>https://youtu.be/ccLZ-_ml6mQ</t>
  </si>
  <si>
    <t>SpaceX Dragon Arrives Safely at ISS on This Week @NASA – April 15, 2016</t>
  </si>
  <si>
    <t>The SpaceX Dragon U.S. commercial cargo spacecraft arrived at the International Space Station April 10 -- two days after being launched from Cape Canaveral Air Force Station in Florida. Dragon was captured with the space station’s robotic Canadarm2 by Tim Peake of ESA (European Space Agency), with assistance from NASA's Jeff Williams, as the two spacecraft were traveling over the Pacific Ocean west of Hawaii. The cargo craft was loaded with about 7,000 pounds of science and research investigations, including the Bigelow Expandable Activity Module. BEAM will be attached to the station’s Harmony module for a two-year testing period. Dragon’s arrival is the first time two U.S. commercial cargo craft have been docked to the space station at the same time. Orbital ATK’s Cygnus spacecraft arrived to the station on March 26. Also,  NASA @32nd Space Symposium, White House Science Fair, USA Science and Engineering Festival, Student Launch Week Activities, and Antarctic Meteorites Arrive at JSC!</t>
  </si>
  <si>
    <t>ccLZ-_ml6mQ</t>
  </si>
  <si>
    <t>2016 04 14</t>
  </si>
  <si>
    <t>https://youtu.be/HVNQxHiyBYk</t>
  </si>
  <si>
    <t>Space Station Astronauts Talk about Life in Orbit</t>
  </si>
  <si>
    <t>Aboard the International Space Station, Expedition 47 Commander Tim Kopra and Flight Engineer Jeff Williams of NASA and Flight Engineer Tim Peake of the European Space Agency discussed life and research on the complex with representatives of the European Space Education Resource Office and the Associated Press during a pair of in-flight interviews April 14. Kopra, who has been in orbit since December, is scheduled to return to Earth in June, while Williams is beginning the second month of a planned six-month mission on the station, his third long duration flight on the orbital laboratory.</t>
  </si>
  <si>
    <t>HVNQxHiyBYk</t>
  </si>
  <si>
    <t>2016 04 10</t>
  </si>
  <si>
    <t>https://youtu.be/gJfeFsDICMc</t>
  </si>
  <si>
    <t>Let the Unloading Begin Aboard the ISS</t>
  </si>
  <si>
    <t>After arriving to the International Space Station on April 10, the U.S. SpaceX Dragon commercial cargo craft was captured by Expedition 47 Flight Engineer Tim Peake of the European Space Agency operating the station’s Canadarm2. A few hours later, Robotic flight controllers at Mission Control in Houston installed and bolted Dragon onto the ISS. Loaded with some three and a half tons of supplies and experiments including the Bigelow Expandable Activity Module (BEAM), Dragon will remain attached to Harmony for a month. For the first time, Dragon is occupying a port next door to the U.S. Orbital ATK Cygnus commercial cargo vehicle, which was berthed to the Unity module on March 26. In addition to the Russian ISS Progress 63 resupply vehicle that arrived at the complex April 2, Dragon’s installation completed the delivery of 12 tons of cargo to the station from three spacecraft in as many weeks.</t>
  </si>
  <si>
    <t>gJfeFsDICMc</t>
  </si>
  <si>
    <t>https://youtu.be/lEYQ4oBxGtA</t>
  </si>
  <si>
    <t>SpaceX Dragon Reaches ISS with New Supplies</t>
  </si>
  <si>
    <t>The U.S. SpaceX Dragon commercial cargo craft arrived at the International Space Station April 10, two days after its launch from the Cape Canaveral Air Force Station, Florida Loaded with some three and a half tons of supplies and experiments including the Bigelow Expandable Activity Module (BEAM), Dragon will remain attached to Harmony for a month. For the first time, Dragon is occupying a port next door to the U.S. Orbital ATK Cygnus commercial cargo vehicle, which was berthed to the Unity module on March 26.</t>
  </si>
  <si>
    <t>lEYQ4oBxGtA</t>
  </si>
  <si>
    <t>2016 04 08</t>
  </si>
  <si>
    <t>https://youtu.be/J26cfA39BW4</t>
  </si>
  <si>
    <t>SpaceX Dragon Launches to the ISS on This Week @NASA – April 8, 2016</t>
  </si>
  <si>
    <t>A SpaceX Dragon cargo spacecraft launched aboard a Falcon 9 rocket on April 8, from Cape Canaveral Air Force Station in Florida to resupply the International Space Station. Among the almost 7,000 pounds of science research, crew supplies and hardware being delivered is the Bigelow Expandable Activity Module, or BEAM. This technology demonstration will study the radiation protection, thermal performance and operations of expandable habitats for possible use on future deep space missions – including the journey to Mars. This is SpaceX’s eighth contracted mission to the station under NASA’s Commercial Resupply Services contract. Also, NASA Seeds Planted in White House Garden, Grunsfeld Retiring on April 30, Orion Water Impact Testing, SLS “Confidence” Fuel Tank Completed, Environmentally Responsible Aviation and more!</t>
  </si>
  <si>
    <t>J26cfA39BW4</t>
  </si>
  <si>
    <t>https://youtu.be/Nz60GcmKOvc</t>
  </si>
  <si>
    <t>SpaceX Dragon Headed to the ISS</t>
  </si>
  <si>
    <t>Following the April 8 launch of a SpaceX Dragon cargo spacecraft on a resupply mission to the International Space Station. Representatives of NASA and SpaceX talked about the status of the mission. Dragon will deliver approximately 3.5 tons of supplies and experiments to the Expedition 47 crew, including the Bigelow Expandable Activity Module, or BEAM, which will be attached to the rear port of the Tranquility module. It is scheduled to spend two years at the complex, testing the validity of expandable habitats for future deep space exploration.</t>
  </si>
  <si>
    <t>Nz60GcmKOvc</t>
  </si>
  <si>
    <t>https://youtu.be/J2KRKccfojs</t>
  </si>
  <si>
    <t>SpaceX Mission Launches to Re-supply the ISS</t>
  </si>
  <si>
    <t>A SpaceX Dragon cargo spacecraft launched aboard a Falcon 9 rocket on April 8, from Cape Canaveral Air Force Station in Florida on a resupply mission to the International Space Station. Dragon will deliver approximately 3.5 tons of supplies and experiments to the Expedition 47 crew, the third spacecraft in as many weeks to provide supplies for the station. Among the items Dragon is bringing to the complex is the Bigelow Expandable Activity Module, or BEAM, which will be attached to the rear port of the Tranquility module. It is scheduled to spend two years at the complex, testing the validity of expandable habitats for future deep space exploration.</t>
  </si>
  <si>
    <t>J2KRKccfojs</t>
  </si>
  <si>
    <t>https://youtu.be/uFnJefwlg6I</t>
  </si>
  <si>
    <t>Humans … Start your Rovers!</t>
  </si>
  <si>
    <t>The first day of activities for NASA’s annual Human Exploration Rover Challenge, kicked off on April 8 at the U.S. Space &amp; Rocket Center in Huntsville, Alabama. Almost 80 teams from the United States, Italy, Germany, India, Mexico, Colombia and Russia, as well as Puerto Rico, are scheduled to compete in the event. The two-day challenge, managed by Marshall Space Flight Center, requires students to design, build, test and race lightweight, and human-powered vehicles both as a research project and to investigate and test technologies that could potentially be used on future deep-space exploration missions.</t>
  </si>
  <si>
    <t>uFnJefwlg6I</t>
  </si>
  <si>
    <t>2016 04 07</t>
  </si>
  <si>
    <t>https://youtu.be/JJJjv41M4lc</t>
  </si>
  <si>
    <t>Next ISS Supply Mission Previewed</t>
  </si>
  <si>
    <t>On April 7, a press briefing from NASA’s Kennedy Space Center, in Florida featured a preview of SpaceX’s next cargo resupply mission to the International Space Station. The company’s Dragon cargo spacecraft is targeted to launch on a Falcon 9 rocket from Space Launch Complex 40 at Cape Canaveral Air Force Station (CCAFS) in Florida, no earlier than Friday, April 8.
The Dragon will carry science research, crew supplies and hardware to the orbiting laboratory in support of the Expedition 47 and 48 crews. This launch is the eighth contracted mission by SpaceX under NASA’s Commercial Resupply Services contract.</t>
  </si>
  <si>
    <t>JJJjv41M4lc</t>
  </si>
  <si>
    <t>https://youtu.be/cq_Kl0IGHH0</t>
  </si>
  <si>
    <t>The Science and Tech on the Next ISS Supply Mission</t>
  </si>
  <si>
    <t>An April 7 prelaunch briefing, highlighted some of the science investigations and technology demonstrations heading to the International Space Station aboard the SpaceX Dragon cargo spacecraft. SpaceX is scheduled to launch the Dragon atop the company’s Falcon 9 rocket, no earlier than April 8, from Space Launch Complex 40 at Cape Canaveral Air Force Station (CCAFS) in Florida. Among the items that Dragon will deliver is the Bigelow Expandable Activity Module (BEAM) -- a technology demonstration to study the radiation protection, thermal performance and general operations of expandable habitats in space. When it returns in May, the spacecraft will bring back biological samples from ISS crewmembers, including those collected during NASA’s one-year mission. This will be the eighth contracted mission by SpaceX under NASA’s Commercial Resupply Services contract.</t>
  </si>
  <si>
    <t>cq_Kl0IGHH0</t>
  </si>
  <si>
    <t>https://youtu.be/OogSLKH14zs</t>
  </si>
  <si>
    <t>NASA Astronauts Talk About Life Aboard the ISS</t>
  </si>
  <si>
    <t>Aboard the International Space Station, Expedition 47 Commander Tim Kopra and Flight Engineer Jeff Williams of NASA discussed the pace of research on the orbital lab and recent cargo vehicle deliveries in an in-flight interview April 7 with NBC News’ website Today.com. Kopra is in the second half of a six-month mission on the station while Williams, who is in his third long duration flight on the complex, is nearing the completion of the first month of his half-year stay on the outpost.</t>
  </si>
  <si>
    <t>OogSLKH14zs</t>
  </si>
  <si>
    <t>2016 04 05</t>
  </si>
  <si>
    <t>https://youtu.be/QOHAIUvFtwc</t>
  </si>
  <si>
    <t>Earth Expeditions  Oceans Melting Greenland</t>
  </si>
  <si>
    <t>This year NASA takes you on a six-month world tour with major new field research campaigns to study regions of critical change from the land, sea and air.
https://www.nasa.gov/earthexpeditions</t>
  </si>
  <si>
    <t>QOHAIUvFtwc</t>
  </si>
  <si>
    <t>2016 04 02</t>
  </si>
  <si>
    <t>https://youtu.be/7F7kR5Rqr-Y</t>
  </si>
  <si>
    <t>Russian Supply Spacecraft Arrives Safely to the ISS</t>
  </si>
  <si>
    <t>An unpiloted Russian resupply ship automatically docked to the International Space Station April 2, delivering three tons of food, fuel and supplies to the residents of the orbital complex. The ISS Progress 63 cargo vehicle arrived at the aft port of the Zvezda Service Module, completing a two-day journey to the station that began with its launch March 31 on a Soyuz booster from the Baikonur Cosmodrome in Kazakhstan.</t>
  </si>
  <si>
    <t>7F7kR5Rqr-Y</t>
  </si>
  <si>
    <t>2016 04 01</t>
  </si>
  <si>
    <t>https://youtu.be/KKGhyDAnp7Q</t>
  </si>
  <si>
    <t>Suited Test in Orion on This Week @NASA – April 1, 2016</t>
  </si>
  <si>
    <t>Engineers at Johnson Space Center in Houston are using a mockup of NASA’s Orion spacecraft to evaluate how well astronauts are able to operate Orion’s rotational hand controller and cursor control device, while dressed in spacesuits. The controllers operate the displays and control system used to maneuver and interact with the spacecraft. The testing aims to provide data that can be used to make adjustments needed to ensure future Orion crews can interact appropriately with the spacecraft’s control system during deep space missions. Also, Milestone for Spaceport of the Future, Russian Supply Ship Launches to ISS, Team Selected to Build Planet-Hunting Instrument, First Heat Map of Super Earth and Milestone for Green Propellant Mission!</t>
  </si>
  <si>
    <t>KKGhyDAnp7Q</t>
  </si>
  <si>
    <t>2016 03 31</t>
  </si>
  <si>
    <t>https://youtu.be/9WLqke4OiJM</t>
  </si>
  <si>
    <t>Promo  Progress 63 Docking with the International Space Station</t>
  </si>
  <si>
    <t>Docking of the Progress 63 Cargo Craft, a mission to resupply the International Space Station, is scheduled for Saturday April 2nd.
The unmanned Progress vehicle has 3 tons of supplies for the station's crew.
NASA Television will begin Live Coverage at 1:15 p.m. Eastern.  Docking is scheduled for 2 p.m. Eastern.
You can also view on line at www.nasa.gov/ntv</t>
  </si>
  <si>
    <t>9WLqke4OiJM</t>
  </si>
  <si>
    <t>https://youtu.be/ZTPF80J2IEU</t>
  </si>
  <si>
    <t>Russian Supply Spacecraft Launches to the ISS</t>
  </si>
  <si>
    <t>An unpiloted Russian resupply vehicle launched from the Baikonur Cosmodrome in Kazakhstan March 31 atop a Soyuz booster to deliver three tons of food, fuel and supplies to the residents of the International Space Station. The ISS Progress 63 ship began a two-day journey to reach the station for an automated docking to the aft port of the Zvezda Service Module on April 2.</t>
  </si>
  <si>
    <t>ZTPF80J2IEU</t>
  </si>
  <si>
    <t>2016 03 30</t>
  </si>
  <si>
    <t>https://youtu.be/W6uV6tLdekU</t>
  </si>
  <si>
    <t>STEM in 30 - Made to Rove</t>
  </si>
  <si>
    <t>The Smithsonian’s National Air and Space Museum “STEM in 30” series of live, fast-paced, 30-minute webcasts are designed to increase interest and engagement in STEM for students. This episode explores the construction of the Mars rovers. It took many people and thousands of parts (many of them made of titanium) to build these scientific marvels that are making groundbreaking discoveries, 140 million miles away on the surface of the Red Planet.</t>
  </si>
  <si>
    <t>W6uV6tLdekU</t>
  </si>
  <si>
    <t>https://youtu.be/eAPWVdag-cQ</t>
  </si>
  <si>
    <t>Russian Cargo Ship Departs the International Space Station</t>
  </si>
  <si>
    <t>The unpiloted Russian ISS Progress 61 cargo ship undocked from the aft port of the Zvezda Service Module of the International Space Station March 30, headed for a reentry into the Earth’s atmosphere and a fiery demise over the Pacific Ocean. The resupply craft arrived at the station last October carrying more than three tons of supplies for the station’s residents. Now loaded with trash, the Progress departed the station for several days of engineering tests by Russian flight controllers before it is deorbited April 8 to burn up in the Earth’s atmosphere. A new Progress will launch to the station from the Baikonur Cosmodrome in Kazakhstan on March 31.</t>
  </si>
  <si>
    <t>eAPWVdag-cQ</t>
  </si>
  <si>
    <t>2016 03 29</t>
  </si>
  <si>
    <t>https://youtu.be/LHrdGA2cCRQ</t>
  </si>
  <si>
    <t>Promo  Progress 63 Launch Coverage</t>
  </si>
  <si>
    <t>Launch of the Progress 63 Resupply Mission to the International Space Station, from Baikonur Cosmodrome in Kazakhstan, is scheduled for Thursday March 31st.
NASA Television will begin coverage at 12 p.m. Eastern… with the launch scheduled for 12:23 p.m. Eastern.
You can also view on line at www.nasa.gov/ntv</t>
  </si>
  <si>
    <t>LHrdGA2cCRQ</t>
  </si>
  <si>
    <t>https://youtu.be/1AUnwlGsxbY</t>
  </si>
  <si>
    <t>British Astronaut Answers Questions from the Space Station</t>
  </si>
  <si>
    <t>Aboard the International Space Station, Expedition 47 Flight Engineer and British astronaut Tim Peake of ESA (European Space Agency) discussed life and research on the orbital outpost with SKY News during an in-flight interview March 29. Peake is in the second half of a six-month mission on the complex, with his return to Earth planned in June.</t>
  </si>
  <si>
    <t>1AUnwlGsxbY</t>
  </si>
  <si>
    <t>2016 03 26</t>
  </si>
  <si>
    <t>https://youtu.be/c8e-OGgzLww</t>
  </si>
  <si>
    <t>Cygnus Cargo Supply Spacecraft Mated to the ISS</t>
  </si>
  <si>
    <t>The Orbital ATK Cygnus cargo craft that arrived at the International Space Station on March 26 was grappled several hours later with the station’s Canadarm2 robotic arm and installed on the Earth-facing port of the Unity module for a two-month stay. The spacecraft launched to the International Space Station on March 22 with almost 7,500 pounds of science and research, crew supplies and vehicle hardware for the crew aboard the orbital laboratory.</t>
  </si>
  <si>
    <t>c8e-OGgzLww</t>
  </si>
  <si>
    <t>https://youtu.be/MIkOwaxkZbc</t>
  </si>
  <si>
    <t>Cygnus Cargo Supply Spacecraft Safely Reaches the ISS</t>
  </si>
  <si>
    <t>The Orbital ATK Cygnus cargo craft that launched from the Cape Canaveral Air Force Station in Florida March 22 arrived at the International Space Station March 26 carrying almost 7,500 pounds of food, supplies and science experiments for the six crew members aboard the orbital outpost.</t>
  </si>
  <si>
    <t>MIkOwaxkZbc</t>
  </si>
  <si>
    <t>2016 03 25</t>
  </si>
  <si>
    <t>https://youtu.be/ffG6TZ3MIYM</t>
  </si>
  <si>
    <t>One Year Space Station Crew Receives a Warm Welcome in Star City, Russia</t>
  </si>
  <si>
    <t>Expedition 45-46 Commander Scott Kelly of NASA and cosmonauts Sergey Volkov and Mikhail Kornienko of Roscosmos participated in traditional welcoming ceremonies at their training base at the Gagarin Cosmonaut Training Center in Star City, Russia on March 25, several weeks after landing in their Soyuz TMA-18M spacecraft in Kazakhstan. The crew laid flowers at a statue of Yuri Gagarin, the first human in space, and then led a procession of well-wishers to the House of Cosmonauts where other ceremonial activities took place. Kelly and Kornienko spent 340 days in space after launching in March 2015 to gather valuable biomedical data on the long duration effects of weightlessness on the human body that will be used to formulate a human mission to Mars.</t>
  </si>
  <si>
    <t>ffG6TZ3MIYM</t>
  </si>
  <si>
    <t>https://youtu.be/y56uqOaURXw</t>
  </si>
  <si>
    <t>NASA Earth Expeditions Kickoff on This Week @NASA – March 25, 2016</t>
  </si>
  <si>
    <t>In an effort to better understand our changing planet and our impact on it, NASA kicked off its Earth Expeditions campaign on March 23. The project calls for eight major new Earth science field experiments to take place over the next six months all around the world. The first of the new projects, the Oceans Melting Greenland (OMG) investigation, is currently underway. It is looking at how much the oceans around Greenland are melting the edges of the ice sheet from below. Updates on the campaigns will be provided on NASA’s social media channels and the newly launched Earth Expeditions webpage. NASA uses ground-based field studies along with observations from space to gain a more complete picture of how and why our planet is changing. Also, Lunar and Planetary Science Conference , Kepler Captures Exploding Star’s Shockwave, U.S. Cargo Spacecraft Launches to ISS, One-Year Crew Ceremony in Russia, and more!</t>
  </si>
  <si>
    <t>y56uqOaURXw</t>
  </si>
  <si>
    <t>https://youtu.be/CsSG4Eap2HQ</t>
  </si>
  <si>
    <t>NASA Women’s History Month Profile – Katie Carr Kopsco (Stennis Space Center)</t>
  </si>
  <si>
    <t>Katie Carr Kopsco is a native of Louisiana. She received her bachelor of science degree in chemical engineering with a minor in aviation from Louisiana Tech University in 2003 and her master of science degree in environmental engineering from the University of New Orleans in 2010. Carr Kopsco was hired by NASA’s Marshall Space Flight Center in 2006 to assist in the fabrication of the external fuel tank and close out of the Space Shuttle Program at the Michoud Assembly Facility in New Orleans, La. Following the conclusion of the Space Shuttle Program, she joined the NASA team at Stennis Space Center in Mississippi where she has continued her government service to date. Carr Kopsco is currently involved in the refurbishment efforts on the B-2 Test Stand that will be used to test the core stage of NASA’s Space Launch System.</t>
  </si>
  <si>
    <t>CsSG4Eap2HQ</t>
  </si>
  <si>
    <t>2016 03 24</t>
  </si>
  <si>
    <t>https://youtu.be/OnntQYRHVtM</t>
  </si>
  <si>
    <t>Orbital ATK Cygnus Rendezvous and Installation to the International Space Station</t>
  </si>
  <si>
    <t>The Cygnus spacecraft will arrive at the International Space Station on Saturday, March 26, at which time Expedition 47 Commander Tim Kopra of NASA and Flight Engineer Tim Peake of ESA (European Space Agency) will grapple Cygnus, using the space station’s robotic arm, at approximately 6:40 a.m. ET. 
NASA Television coverage of the rendezvous and grapple will begin at 5:30 a.m. ET.
After the Cygnus capture, ground commands will be sent from mission control, in Houston, to the station’s arm to rotate and install the spacecraft on the bottom of the station’s Unity module.
NASA Television coverage of the installation will begin at 9:15 a.m. ET.
The rendezvous and installation can be seen on NASA Television and www.nasa.gov/ntv.</t>
  </si>
  <si>
    <t>OnntQYRHVtM</t>
  </si>
  <si>
    <t>https://youtu.be/H_osR7kX4tg</t>
  </si>
  <si>
    <t>ISS Crewmembers Talk About Life on the Station</t>
  </si>
  <si>
    <t>Aboard the International Space Station, Expedition 47 Commander Tim Kopra of NASA and Flight Engineers Jeff Williams of NASA and Tim Peake of ESA (European Space Agency) discussed life and research on the orbital outpost during a pair of in-flight interviews March 24 with National Public Radio’s “How To Do Everything” program and Wired magazine. Williams arrived on the station on March 19 for a six-month mission, his third long duration flight on the complex, while Kopra and Peake are more than halfway through their six-month stay on the station.</t>
  </si>
  <si>
    <t>H_osR7kX4tg</t>
  </si>
  <si>
    <t>2016 03 23</t>
  </si>
  <si>
    <t>https://youtu.be/9BeWu_d2bFI</t>
  </si>
  <si>
    <t>NASA Women’s History Month Profile – Judy Grizzard (Armstrong Flight Research Center)</t>
  </si>
  <si>
    <t>Judy Grizzard is Armstrong's site manager for maintenance and repair of ground support and material handling equipment, government cars and trucks, special purpose vehicles, and lifting devices such as cranes. Judy manages and directs her staff of mostly mechanics and technicians prioritizing center needs that include a diverse array of vehicles and equipment needed to perform flight research.</t>
  </si>
  <si>
    <t>9BeWu_d2bFI</t>
  </si>
  <si>
    <t>https://youtu.be/2nFF2JtjtR0</t>
  </si>
  <si>
    <t>Earth Expeditions Preview</t>
  </si>
  <si>
    <t>NASA is in a particularly busy period of fieldwork right now. We have 8 major experiments heading into the field over the next several months that will take scientists literally around the world on a wide range of science investigations. This video series will give you a front row seat as we report from the field with video, photos, and first-hand accounts. 
Follow along online.
#EarthExpedition
http://www.nasa.gov/earthexpeditions
https://twitter.com/nasaearth
https://www.facebook.com/nasaearth</t>
  </si>
  <si>
    <t>2nFF2JtjtR0</t>
  </si>
  <si>
    <t>https://youtu.be/CWQencfed-4</t>
  </si>
  <si>
    <t>Post Launch Status of Space Station Supply Spacecraft</t>
  </si>
  <si>
    <t>A briefing was held on March 22 at the Kennedy Space Center to discuss the status of Orbital ATK’s enhanced Cygnus supply spacecraft, following its launch to the International Space Station. The Cygnus is delivering almost 7,500 pounds of science and research, crew supplies and vehicle hardware to the orbital laboratory. This is Orbital ATK’s fifth contracted mission to the station under the agency’s Commercial Resupply Services contract and the second flight to the station of an enhanced Cygnus spacecraft; with its increased capacity. Dubbed the S.S. Rick Husband, the spacecraft is a tribute to U.S. Air Force Col. Rick Husband, commander of space shuttle Columbia’s STS-107 mission, which was lost during reentry on Feb. 1, 2003.</t>
  </si>
  <si>
    <t>CWQencfed-4</t>
  </si>
  <si>
    <t>https://youtu.be/f35ffIjP3Cg</t>
  </si>
  <si>
    <t>Supply Spacecraft Heads to the Space Station</t>
  </si>
  <si>
    <t>The Orbital ATK Cygnus cargo craft launched from the Cape Canaveral Air Force Station in Florida atop a United Launch Alliance Atlas 5 rocket March 22, carrying almost 7,500 pounds of food, supplies and science experiments for the six crew members aboard the International Space Station. Dubbed the “SS Rick Husband” in honor of the late commander of Columbia’s final flight, STS-107, that ended with Columbia’s breakup over Texas in February 2003.</t>
  </si>
  <si>
    <t>f35ffIjP3Cg</t>
  </si>
  <si>
    <t>2016 03 22</t>
  </si>
  <si>
    <t>https://youtu.be/uNGki2KU_pk</t>
  </si>
  <si>
    <t xml:space="preserve">What’s Up on the Space Station </t>
  </si>
  <si>
    <t>Aboard the International Space Station, Expedition 47 Commander Tim Kopra of NASA and Flight Engineers Jeff Williams of NASA and Tim Peake of ESA (European Space Agency) discussed life and research on the orbital outpost during a pair of in-flight interviews March 22 with online technology media outlets Gizmodo and The Verge. Williams arrived on the station on March 19 for a six-month mission, his record-breaking third long duration flight on the complex. Kopra and Peake are more than halfway through their six-month stay on the station.</t>
  </si>
  <si>
    <t>uNGki2KU_pk</t>
  </si>
  <si>
    <t>2016 03 21</t>
  </si>
  <si>
    <t>https://youtu.be/uwiOrYgTsFs</t>
  </si>
  <si>
    <t>Preview of the Next ISS Supply Mission</t>
  </si>
  <si>
    <t>NASA and commercial provider Orbital ATK previewed the company’s fifth mission to the International Space Station under the agency’s Commercial Resupply Services contract. The launch of Orbital ATK’s Cygnus spacecraft is scheduled for 11:05 p.m. EDT, from Space Launch Complex 41 on Cape Canaveral Air Force Station in Florida. Cygnus will carry almost 7,500 pounds of science and research, crew supplies and vehicle hardware to the orbital laboratory to support dozens of science and research investigations that will occur during Expeditions 47 and 48. The spacecraft has been dubbed the S.S. Rick Husband; a tribute to U.S. Air Force Col. Rick Husband, commander of space shuttle Columbia’s STS-107 mission, which was lost during reentry on Feb. 1, 2003.</t>
  </si>
  <si>
    <t>uwiOrYgTsFs</t>
  </si>
  <si>
    <t>https://youtu.be/qLFqEwbTDAw</t>
  </si>
  <si>
    <t>Promo  Launch Coverage and Commentary of Orbital ATK CRS-6</t>
  </si>
  <si>
    <t>NASA commercial provider Orbital ATK is scheduled to launch its fifth mission to the International Space Station Tuesday, March 22nd under the agency’s Commercial Resupply Services contract. Live launch coverage and commentary will begin at 10 p.m. ET, with the launch scheduled for 11:05 p.m. on NASA Television and www.nasa.gov.ntv</t>
  </si>
  <si>
    <t>qLFqEwbTDAw</t>
  </si>
  <si>
    <t>https://youtu.be/psXIPEEaskU</t>
  </si>
  <si>
    <t>During a prelaunch briefing on March 21, scientists and researchers discussed some of the investigations to be delivered to the International Space Station by Orbital ATK’s Cygnus supply spacecraft, on its CRS-6 mission. Cygnus is scheduled to launch at 11:05 p.m. EDT on March 22, atop a United Launch Alliance Atlas V rocket from Space Launch Complex 41 at Cape Canaveral Air Force Station in Florida. The new experiments include an investigation that looks at the properties and behavior of regolith, or "soil" found on asteroids, comets, the moon, and other airless worlds; an instrument for the first-ever, space-based observations of the chemical composition of meteors entering Earth’s atmosphere; a technology demonstration of an adhesive device that can stick on-command in the harsh environment of space; and, the second generation of a portable onboard 3-D printer.</t>
  </si>
  <si>
    <t>psXIPEEaskU</t>
  </si>
  <si>
    <t>2016 03 19</t>
  </si>
  <si>
    <t>https://youtu.be/cDCvwvhbqBg</t>
  </si>
  <si>
    <t>Expedition 47 48 Crew Docks to the Space Station</t>
  </si>
  <si>
    <t>After launching earlier in their Soyuz TMA-20M spacecraft from the Baikonur Cosmodrome in Kazakhstan, Expedition 47-48 Soyuz Commander Alexey Ovchinin and Flight Engineers Oleg Skripochka of Roscosmos and Jeff Williams of NASA arrived at the International Space Station on Mar. 19. The new crewmembers will join station Commander Tim Kopra of NASA and Flight Engineers Yuri Malenchenko of Roscosmos and Tim Peake of the European Space Agency, already onboard the station</t>
  </si>
  <si>
    <t>cDCvwvhbqBg</t>
  </si>
  <si>
    <t>https://youtu.be/6JB_HkVgCAc</t>
  </si>
  <si>
    <t>NASA Budget Hearings Continue on This Week @NASA – March 18, 2016</t>
  </si>
  <si>
    <t>NASA Administrator Charlie Bolden was back on Capitol Hill during the week of March 13 for more Congressional hearings on the agency’s $19 billion dollar Fiscal Year 2017 budget proposal. On Tuesday, Bolden testified before the House Appropriations Subcommittee on Commerce, Justice, Science and Related Agencies, and on Thursday, the administrator responded to questions from the House Science Subcommittee on Space. The budget proposed by President Obama will fund NASA initiatives to send American astronauts to Mars in the 2030s, expand our knowledge about our universe, and improve the quality of life on Earth, as well as the health of the planet itself. Also, New crew launches to ISS, More science on next ISS supply mission, NASA Women in Action, NASA radios on European Mars mission and more!</t>
  </si>
  <si>
    <t>6JB_HkVgCAc</t>
  </si>
  <si>
    <t>https://youtu.be/-1qJ70zfx9g</t>
  </si>
  <si>
    <t>A Launch Day Recap for the New Space Station Crewmembers</t>
  </si>
  <si>
    <t>This video contains various launch day activities at the Baikonur Cosmodrome in Kazakhstan of NASA’s Jeff Williams and Expedition 47-48 crewmates, Alexey Ovchinin and Oleg Skripochka, of the Russian Space Agency, Roscosmos. The trio launched to the International Space Station on March 19, Kazakh time to start a six-month mission aboard the orbital outpost.</t>
  </si>
  <si>
    <t>-1qJ70zfx9g</t>
  </si>
  <si>
    <t>2016 03 18</t>
  </si>
  <si>
    <t>https://youtu.be/lTUrSs0TU2s</t>
  </si>
  <si>
    <t>New Crew Launches to the Space Station</t>
  </si>
  <si>
    <t>Expedition 47-48 Soyuz Commander Alexey Ovchinin and Flight Engineers Oleg Skripochka of Roscosmos and Jeff Williams of NASA launched on the Russian Soyuz TMA-20M spacecraft on March 19, Kazakh time, from the Baikonur Cosmodrome in Kazakhstan to begin a six-hour journey to the International Space Station and the start of a six-month mission on the ISS.</t>
  </si>
  <si>
    <t>lTUrSs0TU2s</t>
  </si>
  <si>
    <t>2016 03 17</t>
  </si>
  <si>
    <t>https://youtu.be/yQg5fHE9qsQ</t>
  </si>
  <si>
    <t>ISS Expedition 47 and 48 Soyuz TMA 20M Launch Coverage Promo</t>
  </si>
  <si>
    <t>NASA Astronaut Jeff Williams, and Cosmonauts Oleg Skripochka and Alexei Ovchinin of the Russian Space Agency Roscosmos will launch from the Baikonur Cosmodrome in Kazakhstan for the International Space Station.
The Launch is scheduled for March 18, 2016 at 5:30 p.m. ET; with launch coverage beginning at 4:30 p.m. ET.
www.nasa.gov/ntv</t>
  </si>
  <si>
    <t>yQg5fHE9qsQ</t>
  </si>
  <si>
    <t>https://youtu.be/XB3D0uH5PRU</t>
  </si>
  <si>
    <t>Orbital ATK CRS-6 Briefings Promo</t>
  </si>
  <si>
    <t>NASA TV will air two prelaunch briefings Monday, March 21. At 12:30 p.m. ET, scientists and researchers will discuss some of the investigations to be delivered to the station, followed by a briefing by mission managers at 2:30 p.m. ET. The briefings will stream live on the agency’s website.
Cygnus will carry almost 7,500 pounds of science and research, crew supplies and vehicle hardware to the orbital laboratory to support dozens of science and research investigations that will occur during Expeditions 47 and 48.
Live launch coverage will begin on Tuesday March 22, 2016 at 10 p.m. ET on NASA Television and the agency’s website.
www.nasa.gov/ntv</t>
  </si>
  <si>
    <t>XB3D0uH5PRU</t>
  </si>
  <si>
    <t>2016 03 16</t>
  </si>
  <si>
    <t>https://youtu.be/VEVK5_aMfdQ</t>
  </si>
  <si>
    <t>ISS Bound Spacecraft and Rocket, Rolled to Launch Pad</t>
  </si>
  <si>
    <t>The Soyuz spacecraft and rocket that will carry the next International Space Station crew to orbit – including NASA’s Jeff Williams – were mated together and moved to the launch pad at the Baikonur Cosmodrome in Kazakhstan on Mar. 15-16. The rollover of the Soyuz and its rocket is one of the last activities leading up to the launch – scheduled for Mar. 19, Kazakh time. Williams and his Expedition 47-48 crewmates, Alexey Ovchinin and Oleg Skripochka, both of the Russian Space Agency, Roscosmos will spend six months aboard the station conducting valuable research.</t>
  </si>
  <si>
    <t>VEVK5_aMfdQ</t>
  </si>
  <si>
    <t>https://youtu.be/VN4yw_6RaUU</t>
  </si>
  <si>
    <t>STEM in 30 – Focus on the SR 71 Blackbird</t>
  </si>
  <si>
    <t>The Smithsonian National Air and Space Museum’s STEM in 30 series of live, fast-paced, 30-minute webcasts are designed to increase interest and engagement in STEM for students. This episode features the SR-71 Blackbird aircraft on display at the museum’s Steven F. Udvar-Hazy Center in Chantilly, Va. and explores why it was so important for reconnaissance. Built of titanium, the SR-71 is the world's fastest jet-propelled aircraft. The Blackbird's performance and operational achievements placed it at the pinnacle of aviation technology developments during the Cold War.</t>
  </si>
  <si>
    <t>VN4yw_6RaUU</t>
  </si>
  <si>
    <t>https://youtu.be/nk9EtRdX8D0</t>
  </si>
  <si>
    <t>NASA Women in Action</t>
  </si>
  <si>
    <t>On March 16, NASA and the White House celebrated Women’s History Month with a program at Goddard Space Flight Center called, “NASA Women in Action”. The event, which focused on women making an impact in Science, Technology, Engineering and Mathematics (STEM) careers, featured NASA Deputy Administrator Dr. Dava Newman, NASA Deputy Associate Administrator Lesa Roe, Ellen Stofan, the agency’s Chief Scientist, Johnson Space Center Director Ellen Ochoa, and guest speaker Valerie Jarrett, a Senior Advisor to President Obama.</t>
  </si>
  <si>
    <t>nk9EtRdX8D0</t>
  </si>
  <si>
    <t>https://youtu.be/g3zBBXECLuM</t>
  </si>
  <si>
    <t>NASA Women of STEM</t>
  </si>
  <si>
    <t>In partnership with the White House Council on Women and Girls, NASA will host a Women's History Month event Wednesday, March 16 that examines the role of women in the fields of science, technology, engineering and math (STEM), featuring some of NASA's top leaders – women in STEM. The event at the agency's Goddard Space Flight Center in Greenbelt, Maryland will air live on NASA Television and NASA.gov starting at noon EDT.</t>
  </si>
  <si>
    <t>g3zBBXECLuM</t>
  </si>
  <si>
    <t>2016 03 15</t>
  </si>
  <si>
    <t>https://youtu.be/_D8FBLu-m4k</t>
  </si>
  <si>
    <t xml:space="preserve">So … What’s It Like On The Space Station, Commander </t>
  </si>
  <si>
    <t>Aboard the International Space Station, Expedition 47 Commander Tim Kopra of NASA discussed the progress of his mission and research on the orbiting laboratory in a pair of in-flight interviews March 15 with WAAY-TV, Huntsville, Alabama, and the CBS Radio Network. Kopra is midway through his six-month stay on the complex, aiming for a return to Earth in June.</t>
  </si>
  <si>
    <t>_D8FBLu-m4k</t>
  </si>
  <si>
    <t>2016 03 14</t>
  </si>
  <si>
    <t>https://youtu.be/8hJv2Yh6aUI</t>
  </si>
  <si>
    <t>New International Space Station Crew Prepares for Launch</t>
  </si>
  <si>
    <t>At the Baikonur Cosmodrome in Kazakhstan, astronaut Jeff Williams of NASA and his Expedition 47-48 crewmates, Alexey Ovchinin and Oleg Skripochka, both of the Russian Space Agency, Roscosmos participated in a variety of activities Mar. 3-14 to prepared for their upcoming launch to the International Space Station on Mar. 19, Kazakh time. The footage includes the crew’s arrival in Baikonur, pre-flight activities at the Cosmodrome Integration Facility, the ceremonial Cosmonaut Hotel flag-raising ceremony, the crew’s traditional media day activities and other activities.</t>
  </si>
  <si>
    <t>8hJv2Yh6aUI</t>
  </si>
  <si>
    <t>2016 03 11</t>
  </si>
  <si>
    <t>https://youtu.be/dJZ-K-tSj0A</t>
  </si>
  <si>
    <t>Bolden testifies on FY 2017 NASA budget on This Week @NASA – March 11, 2016</t>
  </si>
  <si>
    <t>During a March 10 hearing of the U.S. Senate Appropriations Subcommittee on Commerce, Justice, Science and Related Agencies, NASA Administrator Charlie Bolden testified about the $19 billion dollar Fiscal Year 2017 budget proposed for the agency by President Obama. In his remarks, the Administrator outlined the many benefits that this investment in NASA’s present will yield for the future. The funding will enable a future where we send American astronauts to Mars in the 2030s; where more Americans work in good-paying Science, Technology, Engineering and Math (STEM) based careers; where future generations can breathe cleaner air, drink cleaner water, and fly on cleaner, greener, more fuel-efficient aircraft; and a future where humankind has a deeper understanding of our universe, our place in it, and our own planet. Also, First SLS Flight Engine Test, New SLS Rocket Test Stand “Topped Out”, Crew Previews Upcoming Mission to ISS, Total Solar Eclipse, and Dawn’s Anniversary Image of Ceres</t>
  </si>
  <si>
    <t>dJZ-K-tSj0A</t>
  </si>
  <si>
    <t>2016 03 10</t>
  </si>
  <si>
    <t>https://youtu.be/lit6rQ5RoQE</t>
  </si>
  <si>
    <t>Our Changing Moon</t>
  </si>
  <si>
    <t>The Lunar Reconnaissance Orbiter Camera (LROC) is the focus of this episode of the Smithsonian National Air and Space Museum’s “What's New in Aerospace?” series. This program featured NASA’s Director of the Planetary Science, Jim Green and Tom Watters, a senior scientist with the Center for Earth and Planetary Studies. The pair discussed new evidence of very recent geologic activity on the Moon, revealed in dramatic images captured by the Lunar Reconnaissance Orbiter Camera and showcased in a new exhibit at the museum. The “What's New in Aerospace?” series is presented in collaboration with NASA.</t>
  </si>
  <si>
    <t>lit6rQ5RoQE</t>
  </si>
  <si>
    <t>2016 03 09</t>
  </si>
  <si>
    <t>https://youtu.be/YZGxawWgea0</t>
  </si>
  <si>
    <t>Crew Previews Upcoming Space Station Mission</t>
  </si>
  <si>
    <t>During a March 9 news conference at the Johnson Space Center, NASA astronaut Kate Rubins and her Expedition 48 crewmates, Anatoly Ivanishin of the Russian space agency Roscosmos and astronaut Takuya Onishi of the Japan Aerospace Exploration Agency previewed their upcoming mission to the International Space Station. The trio will launch to the station on June 21, aboard a Soyuz spacecraft from the Baikonur Cosmodrome in Kazakhstan. During their four-month tour, the crew members will facilitate approximately 250 research investigations and technology demonstrations on the station.</t>
  </si>
  <si>
    <t>YZGxawWgea0</t>
  </si>
  <si>
    <t>https://youtu.be/6YGBhQTLlps</t>
  </si>
  <si>
    <t>Preparing for Life Aboard the ISS</t>
  </si>
  <si>
    <t>This video includes pre-flight training activities of the International Space Station’s Expedition 48 crew, including NASA’s Kate Rubins. On June 21 , Rubins, cosmonaut Anatoly Ivanishin of the Russian space agency Roscosmos and astronaut Takuya Onishi of the Japan Aerospace Exploration Agency will launch to the station aboard a Soyuz spacecraft, from the Baikonur Cosmodrome in Kazakhstan. The trio will join Expedition 48 Commander Jeff Williams of NASA, and cosmonauts Oleg Skripochka and Alexey Ovchinin of Roscosmos, already on the station conducting research.</t>
  </si>
  <si>
    <t>6YGBhQTLlps</t>
  </si>
  <si>
    <t>https://youtu.be/DanvV8QTaVY</t>
  </si>
  <si>
    <t>A Total Eclipse of the Sun</t>
  </si>
  <si>
    <t>On March 8, 2016 scientists from the California based Exploratorium Museum broadcast the Total Solar Eclipse from Woleai,  Micronesia, a tiny Atoll in the Pacific ocean. Exploratorium scientists and educators in Micronesia and at the museum explain what makes an eclipse and how to view one safely as they introduce you to the culture and geography of Micronesia.</t>
  </si>
  <si>
    <t>DanvV8QTaVY</t>
  </si>
  <si>
    <t>https://youtu.be/zT2B-8qgKRk</t>
  </si>
  <si>
    <t>A Total Celestial Wonder</t>
  </si>
  <si>
    <t>(Silent Video)
NASA collaborated with the Exploratorium in San Francisco and the National Science Foundation to provide live coverage of the 2016 total solar eclipse from Micronesia, on March 8. The fully eclipsed sun was visible from only a few Pacific islands, but the live broadcast made the phenomenon available to millions of people around the world.</t>
  </si>
  <si>
    <t>zT2B-8qgKRk</t>
  </si>
  <si>
    <t>2016 03 08</t>
  </si>
  <si>
    <t>https://youtu.be/uIfrztZZ1-A</t>
  </si>
  <si>
    <t>A Discussion with the Space Station Crew</t>
  </si>
  <si>
    <t>Aboard the International Space Station, Expedition 47 Commander Tim Kopra of NASA and Flight Engineer Tim Peake of the European Space Agency discussed life and work on the orbital laboratory in a pair of in-flight interviews March 8 with KOKH-TV in Oklahoma City, Oklahoma and ITV News based in Great Britain. Kopra and Peake are midway through a six-month mission on the station designed to gather data from hundreds of experiments provided by researchers throughout the world.</t>
  </si>
  <si>
    <t>uIfrztZZ1-A</t>
  </si>
  <si>
    <t>https://youtu.be/M7pdza9ctRw</t>
  </si>
  <si>
    <t>NASA Begins Work to Build a Quieter Supersonic Passenger Jet</t>
  </si>
  <si>
    <t>The return of supersonic passenger air travel is one step closer to reality with NASA's award of a contract for the preliminary design of a “low boom” flight demonstration aircraft. This is the first in a series of ‘X-planes’ in NASA's New Aviation Horizons initiative, introduced in the agency’s Fiscal Year 2017 budget.
NASA Administrator Charles Bolden announced the award at an event Monday at Ronald Reagan Washington National Airport in Arlington, Virginia.
Participants:
NASA Administrator, Charlie Bolden
Associate Administrator, Jaiwon Shin
David Melcher of the Aeronautic Industry Association</t>
  </si>
  <si>
    <t>M7pdza9ctRw</t>
  </si>
  <si>
    <t>2016 03 07</t>
  </si>
  <si>
    <t>https://youtu.be/7mPyJGF7ayY</t>
  </si>
  <si>
    <t>Total Solar Eclipse from Micronesia</t>
  </si>
  <si>
    <t>A total solar eclipse of the sun. The path of totality will take the Moon’s shadow across and area in Micronesia. Live coverage of this fantastic astronomical event starts March 8th at 8 p.m. ET on NASA Television. www.nasa.gov/ntv</t>
  </si>
  <si>
    <t>7mPyJGF7ayY</t>
  </si>
  <si>
    <t>2016 03 04</t>
  </si>
  <si>
    <t>https://youtu.be/KF74q2BIVFI</t>
  </si>
  <si>
    <t>The One-Year Crew returns on This Week @NASA – March 4, 2016</t>
  </si>
  <si>
    <t>After spending nearly a year aboard the International Space Station -- conducting a host of biomedical and psychological research on the impacts of long-duration spaceflight on the human body, NASA’s Scott Kelly and Mikhail Kornienko of the Russian space agency Roscosmos wrapped up their historic mission on March 1 – with a safe parachute landing in Kazakhstan . Just over a day, later – at Houston’s Ellington Field, near Johnson Space Center, a host of family, colleagues and VIPs welcomed Kelly back to the United States, including Second Lady of the United States Dr. Jill Biden, Assistant to the President for Science and Technology Dr. John P. Holdren, and NASA Administrator Charles Bolden. There were cheers, embraces and expressions of appreciation for his efforts to help advance deep space exploration and America’s Journey to Mars. Also, Next ISS crew heads to launch site, “Low boom” aircraft, Orion Service Module’s solar array wing deployment and more!</t>
  </si>
  <si>
    <t>KF74q2BIVFI</t>
  </si>
  <si>
    <t>https://youtu.be/eZog_ap1Kmg</t>
  </si>
  <si>
    <t>A One-Year Mission Retrospective</t>
  </si>
  <si>
    <t>eZog_ap1Kmg</t>
  </si>
  <si>
    <t>https://youtu.be/mprLebLDXvY</t>
  </si>
  <si>
    <t>The Science of the One-Year Mission</t>
  </si>
  <si>
    <t>During a Mar. 4 news briefing at NASA’s Johnson Space Center in Houston, members of the agency’s science community discussed the research conducted with the help of astronaut Scott Kelly of NASA and cosmonaut Mikhail Kornienko of Roscosmos, on their recently concluded year-long mission aboard the International Space Station. More than 400 experiments took place during their expedition that will help scientists better understand how the human body reacts and adapts to long-duration spaceflight. That knowledge will play a critical role in future NASA missions deeper into the solar system and on the Journey to Mars. 
** Correction from Friday's One-Year Mission science briefing: Twins study was a NASA initiative, not the Kellys' request **</t>
  </si>
  <si>
    <t>mprLebLDXvY</t>
  </si>
  <si>
    <t>2016 03 03</t>
  </si>
  <si>
    <t>https://youtu.be/9Ak5-AUZJ14</t>
  </si>
  <si>
    <t>STEM in 30 - Milestones of Flight  The Lindberghs</t>
  </si>
  <si>
    <t>The Smithsonian National Air and Space Museum’s STEM in 30 series of live, fast-paced, 30-minute webcasts are designed to increase interest and engagement in STEM for students. This episode looks at the aviation accomplishments of famed aviator Charles Lindbergh and his wife, Anne Morrow Lindbergh.</t>
  </si>
  <si>
    <t>9Ak5-AUZJ14</t>
  </si>
  <si>
    <t>https://youtu.be/MWpH8H7N424</t>
  </si>
  <si>
    <t>Next Space Station Crew Continues Training</t>
  </si>
  <si>
    <t>Expedition 47-48, featuring NASA astronaut Jeff Williams and his crewmates Alexey Ovchinin and Oleg Skripochka of Roscosmos, participated in traditional ceremonies at the Gagarin Cosmonaut Training Center in Star City, Russia, outside Moscow on March 3. Afterward, they departed for the Baikonur Cosmodrome in Kazakhstan to continue training for their launch to the International Space Station in the Soyuz spacecraft on March 19, for a six-month mission aboard the orbital outpost.</t>
  </si>
  <si>
    <t>MWpH8H7N424</t>
  </si>
  <si>
    <t>https://youtu.be/AK-n7m6wrkg</t>
  </si>
  <si>
    <t>A Deep in the Heart(felt) Homecoming</t>
  </si>
  <si>
    <t>After spending almost a full year in space, NASA’s Scott Kelly returned to his home in Houston early in the morning of March 3, landing at Ellington Field near the Johnson Space Center just over 24 hours after he and Russian cosmonauts Sergey Volkov and Mikhail Kornienko landed in their Soyuz TMA-18M spacecraft near Dzhezkazgan, Kazakhstan. Kelly and Kornienko spent 340 days in space after launching in March 2015 gathering valuable biomedical data on the long duration effects of weightlessness on the human body that will be used to formulate a human mission to Mars. After landing at Ellington, Kelly disembarked the NASA plane that brought him home to a jubilant greeting from well-wishers.</t>
  </si>
  <si>
    <t>AK-n7m6wrkg</t>
  </si>
  <si>
    <t>2016 03 02</t>
  </si>
  <si>
    <t>https://youtu.be/SdD080GPuys</t>
  </si>
  <si>
    <t>Expedition 46 Commander Scott Kelly of NASA and cosmonauts Sergey Volkov and Mikhail Kornienko of Roscosmos were greeted during a traditional ceremony in Kazakhstan on Mar. 2, a few hours after landing in their Soyuz TMA-18M spacecraft. Kelly and Kornienko spent 340 days in space, aboard the International Space Station conducting research on the long duration effects of weightlessness on the human body that will be used to formulate a human mission to Mars.</t>
  </si>
  <si>
    <t>SdD080GPuys</t>
  </si>
  <si>
    <t>https://youtu.be/dWCqzPksYyY</t>
  </si>
  <si>
    <t>Expedition 46 Lands Safely to complete One Year Mission</t>
  </si>
  <si>
    <t>Expedition 46 Commander Scott Kelly of NASA and cosmonauts Sergey Volkov and Mikhail Kornienko of Roscosmos landed safely in Kazakhstan on March 2. The landing wrapped up a 340 day mission aboard the International Space Station for Kelly and Kornienko, during which they gathered valuable biomedical data on the long duration effects of weightlessness on the human body that will be used to formulate a human mission to Mars.</t>
  </si>
  <si>
    <t>dWCqzPksYyY</t>
  </si>
  <si>
    <t>https://youtu.be/RIj1OUJHUnQ</t>
  </si>
  <si>
    <t>One-Year Crew Departs Space Station</t>
  </si>
  <si>
    <t>After saying farewell to the crew staying behind onboard the International Space Station and climbing aboard the Soyuz spacecraft that would take them back to Earth on Mar. 1, Expedition 46 Commander Scott Kelly of NASA and cosmonauts Sergey Volkov and Mikhail Kornienko of Roscosmos undocked their Soyuz from the Station and prepared for the trip home.</t>
  </si>
  <si>
    <t>RIj1OUJHUnQ</t>
  </si>
  <si>
    <t>2016 03 01</t>
  </si>
  <si>
    <t>https://youtu.be/saE0JGtIEKE</t>
  </si>
  <si>
    <t>One-Year Crew Ready for the Ride Home</t>
  </si>
  <si>
    <t>Before climbing aboard the Soyuz spacecraft that would take them back to Earth on Mar. 1, Expedition 46 Commander Scott Kelly of NASA and cosmonauts Sergey Volkov and Mikhail Kornienko of Roscosmos said farewell to the crew staying onboard the International Space Station. Kelly, Kornienko and Volkov then boarded the Soyuz and prepared for the trip home.</t>
  </si>
  <si>
    <t>saE0JGtIEKE</t>
  </si>
  <si>
    <t>2016 02 29</t>
  </si>
  <si>
    <t>https://youtu.be/p-SzZXTKWS0</t>
  </si>
  <si>
    <t>New ISS Commander Onboard</t>
  </si>
  <si>
    <t>The reins of the International Space Station were passed from NASA’s Scott Kelly to his NASA crewmate Tim Kopra during a ceremony on the orbital outpost on Feb. 29. Kelly is returning to Earth with cosmonauts Sergey Volkov and Mikhail Kornienko of Roscosmos March 2 to wrap up what for Kelly and Kornienko will be 340 days in space and six months in orbit for Volkov. During their year-long mission on the station, Kelly and Kornienko gathered valuable biomedical data on the long duration effects of weightlessness on the human body that will be used to formulate a human mission to Mars. Kopra remains on the station as commander along with Flight Engineers Yuri Malenchenko of Roscosmos and Tim Peake of the European Space Agency until early June.</t>
  </si>
  <si>
    <t>p-SzZXTKWS0</t>
  </si>
  <si>
    <t>https://youtu.be/VGAm8qU0BC8</t>
  </si>
  <si>
    <t>Next Space Station Crew Prepares for Mission</t>
  </si>
  <si>
    <t>Footage includes various pre-launch training activities of Expedition 47-48, featuring NASA astronaut Jeff Williams, as he and crewmates Alexey Ovchinin and Oleg Skripochka of Roscosmos, prepare for their mission to the International Space Station. The trio will launch to the station aboard a Soyuz spacecraft on March 19, from the Baikonur Cosmodrome in Kazakhstan.</t>
  </si>
  <si>
    <t>VGAm8qU0BC8</t>
  </si>
  <si>
    <t>2016 02 27</t>
  </si>
  <si>
    <t>https://youtu.be/-u2xuG6XAXg</t>
  </si>
  <si>
    <t>The One-Year Mission  By the Numbers on This Week @NASA – February 26, 2016</t>
  </si>
  <si>
    <t>The International Space Station’s historic one-year expedition has been a mission of numbers – one that could add up to huge benefits for future space exploration – including the Journey to Mars, as well as for life on Earth. In March 2015, 2 space explorers, NASA’s Mark Kelly and Russia’s Mikhail Kornienko, set out on an unprecedented odyssey to the 1-and-only laboratory in microgravity, to conduct a multitude of biomedical and psychological studies on how the human body reacts to long-duration spaceflight. Based on a scheduled March 1 return to Earth – the one-year crew’s 340 days in space will have seen -- almost 400 experiments conducted aboard the station, 5,440 orbits of the Earth, and Kelly and Kornienko will have traveled a total of about 143, 846, 525 miles – roughly the distance of a trip from Earth to Mars. Also, Next space station crew trains, Tipping point technologies, CST-100 Starliner water testing, and NASA’s journey to diversity!</t>
  </si>
  <si>
    <t>-u2xuG6XAXg</t>
  </si>
  <si>
    <t>2016 02 26</t>
  </si>
  <si>
    <t>https://youtu.be/KDSWoxFbIMA</t>
  </si>
  <si>
    <t>International Space Station Expedition 47-48 Crew News Conference in Russia</t>
  </si>
  <si>
    <t>Expedition 47-48 Soyuz Commander Alexey Ovchinin and Flight Engineer Oleg Skripochka of Roscosmos and Flight Engineer Jeff Williams of NASA conducted a news conference at the Gagarin Cosmonaut Training Center in Star City, Feb. 26. Ovchinin, Williams and Skripochka are scheduled to launch on March 19, Kazakh time, from the Baikonur Cosmodrome in Kazakhstan in the Soyuz TMA-20M spacecraft for a six-month mission on the International Space Station.</t>
  </si>
  <si>
    <t>KDSWoxFbIMA</t>
  </si>
  <si>
    <t>https://youtu.be/JGvbJg-Cle4</t>
  </si>
  <si>
    <t>International Space Station Expedition 47-48 Crew Conducts Pre-flight activities in Russia</t>
  </si>
  <si>
    <t>Expedition 47-48 Soyuz Commander Alexey Ovchinin and Flight Engineer Oleg Skripochka of Roscosmos and Flight Engineer Jeff Williams of NASA and their backups, Sergey Ryzhikov and Andrey Borisenko of Roscosmos and Shane Kimbrough of NASA visited the Gagarin Museum where they viewed historic space artifacts at the Gagarin Cosmonaut Training Center in Star City, Russia Feb. 26, then visited Red Square in Moscow for traditional ceremonies.  Ovchinin, Williams and Skripochka are scheduled to launch on March 19, Kazakh time, from the Baikonur Cosmodrome in Kazakhstan in the Soyuz TMA-20M spacecraft for a six-month mission on the International Space Station.</t>
  </si>
  <si>
    <t>JGvbJg-Cle4</t>
  </si>
  <si>
    <t>2016 02 25</t>
  </si>
  <si>
    <t>https://youtu.be/DjFpOyhWalg</t>
  </si>
  <si>
    <t>A Mission of Accomplishments</t>
  </si>
  <si>
    <t>In his final in-flight event aboard the International Space Station, Expedition 46 Commander Scott Kelly of NASA discussed the accomplishments of his year-long mission on the orbital laboratory during a news conference with U.S. media on Feb. 25. Kelly and cosmonaut Mikhail Kornienko of Roscosmos are in the final days of their year in space on the station, gathering valuable biomedical data on the long duration effect of weightlessness on the human body that will be used to formulate a human mission to Mars. Kelly, Kornienko and cosmonaut Sergey Volkov are preparing for their return to Earth on March 1, U.S. time, aboard the Soyuz TMA-18M spacecraft, headed for a landing on the steppe of south-central Kazakhstan.</t>
  </si>
  <si>
    <t>DjFpOyhWalg</t>
  </si>
  <si>
    <t>https://youtu.be/DfllMPIL7jY</t>
  </si>
  <si>
    <t>Next Space Station Crew Trains Outside Moscow</t>
  </si>
  <si>
    <t>Expedition 47-48 Soyuz Commander Alexey Ovchinin and Flight Engineer Oleg Skripochka of Roscosmos and Flight Engineer Jeff Williams of NASA and their backups, Sergey Ryzhikov and Andrey Borisenko of Roscosmos and Shane Kimbrough of NASA conducted final qualification training at the Gagarin Cosmonaut Training Center in Star City, Russia Feb. 24 and 25.  Ovchinin, Williams and Skripochka are scheduled to launch on March 19, Kazakh time, from the Baikonur Cosmodrome in Kazakhstan in the Soyuz TMA-20M spacecraft for a six-month mission on the International Space Station.</t>
  </si>
  <si>
    <t>DfllMPIL7jY</t>
  </si>
  <si>
    <t>2016 02 24</t>
  </si>
  <si>
    <t>https://youtu.be/G5tye-o3GLE</t>
  </si>
  <si>
    <t>STEM in 30 – WWII and Tuskegee Airmen</t>
  </si>
  <si>
    <t>The Smithsonian National Air and Space Museum’s STEM in 30 series of live, fast-paced, 30-minute webcasts are designed to increase interest and engagement in STEM for students. This episode, from Feb. 24, 2016, focuses on The Tuskegee Airmen – the very first African American pilots in the United States armed forces, and the role they and other African Americans played during the war and how World War II changed aviation history.</t>
  </si>
  <si>
    <t>G5tye-o3GLE</t>
  </si>
  <si>
    <t>https://youtu.be/akpih-wx8WM</t>
  </si>
  <si>
    <t>Space Station Commander Discusses His Year-Long Mission with U.S. TV Networks</t>
  </si>
  <si>
    <t>Aboard the International Space Station, Expedition 46 Commander Scott Kelly of NASA discussed the accomplishments of his year-long mission on the orbital laboratory during a series of interviews with U.S. television networks on Feb. 24. Kelly and cosmonaut Mikhail Kornienko of Roscosmos are in the final days of their year in space on the station, gathering valuable biomedical data on the long duration effect of weightlessness on the human body that will be used to formulate a human mission to Mars. Kelly, Kornienko and cosmonaut Sergey Volkov are preparing for their return to Earth on March 1, U.S. time, aboard the Soyuz TMA-18M spacecraft, headed for a landing on the steppe of south-central Kazakhstan.</t>
  </si>
  <si>
    <t>akpih-wx8WM</t>
  </si>
  <si>
    <t>2016 02 23</t>
  </si>
  <si>
    <t>https://youtu.be/pLuY4rDQUyI</t>
  </si>
  <si>
    <t>NASA Astronaut Scott Kelly Reflects on His Year in Space</t>
  </si>
  <si>
    <t>Aboard the International Space Station, Expedition 46 Commander Scott Kelly of NASA reflected on his year aboard the orbital laboratory and the accomplishments he and Russian cosmonaut Mikhail Kornienko of Roscosmos have chalked up during their year-long mission in an in-flight interview recorded Jan. 28 with NASA Public Affairs Officer Rob Navias of the Johnson Space Center in Houston. Kelly and Kornienko are scheduled to land March 1, U.S. time (March 2, Kazakhstan time) in a Russian Soyuz spacecraft to complete a 340-day mission in which they collected valuable biomedical data on the long duration effects of weightlessness that will be used to formulate a human mission to Mars.</t>
  </si>
  <si>
    <t>pLuY4rDQUyI</t>
  </si>
  <si>
    <t>2016 02 19</t>
  </si>
  <si>
    <t>https://youtu.be/qSnoGjupLRQ</t>
  </si>
  <si>
    <t>Administrator Bolden visits Ames on This Week @NASA – February 19, 2016</t>
  </si>
  <si>
    <t>NASA Administrator Charles Bolden visited Ames Research Center at Moffett Field, California to thank employees for the work they do on behalf of the agency to improve aviation. President Obama’s Fiscal Year 2017 budget proposal for NASA calls for a multi-year investment in aeronautics research that will enable the agency to test, demonstrate and validate cutting-edge technologies designed to make aviation cleaner, greener, safer, and quieter. Also, Cygnus leaves the space station, New astrophysics mission, X-ray astronomy mission launches, and NEAR Shoemaker anniversary!</t>
  </si>
  <si>
    <t>qSnoGjupLRQ</t>
  </si>
  <si>
    <t>https://youtu.be/_0H4E5IXEuk</t>
  </si>
  <si>
    <t>Successful Commercial Space Station Supply Mission Concludes</t>
  </si>
  <si>
    <t>The Orbital/ATK Cygnus cargo craft departed the International Space Station on Feb. 19, a little over two months after delivering almost four tons of supplies to the station’s residents. Dubbed the “SS Deke Slayton II”, the resupply vehicle, now loaded with trash, will be commanded to deorbit on Feb. 20, for a destructive re-entry into the Earth’s atmosphere over the Pacific Ocean.</t>
  </si>
  <si>
    <t>_0H4E5IXEuk</t>
  </si>
  <si>
    <t>2016 02 18</t>
  </si>
  <si>
    <t>https://youtu.be/8H-rc8jyKUg</t>
  </si>
  <si>
    <t>NASA African American History Month Profile - Gina Patrick (Armstrong Flight Research Center)</t>
  </si>
  <si>
    <t>Gina Patrick is an avionics technician with NASA Armstrong Flight Research Center.  She has worked on numerous aircraft:  SOFIA, a 747 with an infrared telescope,   remotely piloted Ikhana,  F-18, and G-III.  Gina is now permanently assigned to the autonomous Global Hawk used for science missions such as hurricane formation observations.</t>
  </si>
  <si>
    <t>8H-rc8jyKUg</t>
  </si>
  <si>
    <t>2016 02 17</t>
  </si>
  <si>
    <t>https://youtu.be/TsXi19JA82k</t>
  </si>
  <si>
    <t>NASA African American History Month Profile - Maury Vander (Stennis Space Center)</t>
  </si>
  <si>
    <t>Maury Vander is currently the Chief of NASA’s Operations Division at Stennis Space Center.  In this capacity, he leads a team of talented engineers who perform propulsion testing for both government and commercial entities. Vander received his bachelor of science degree in Mechanical Engineering from the University of New Orleans in 1989.  After graduation, he went to work for Rocketdyne as a Test Engineer and after 10 years accepted an Operations Engineer position with NASA. During his career, Vander has served as Test Conductor for various large engine test projects (Space Shuttle Main Engine, RS-68, Integrated Powerhead Demonstrator, AJ26).  In his current position, Vander’s primary focus is developing the next generation of Test Conductors and identifying methods to improve processes associated with propulsion test activity.</t>
  </si>
  <si>
    <t>TsXi19JA82k</t>
  </si>
  <si>
    <t>https://youtu.be/c5cC2r_P-hc</t>
  </si>
  <si>
    <t>Open Science  GeneLab &amp; VEGGIE</t>
  </si>
  <si>
    <t>Want to know more about NASA’s new open science, one stop shopping platform for scientists and researchers “GeneLab” and how “Veggie” Science Team Lead Dr. Gioia Massa is working with this platform? If yes, check out this short video on how NASA is working to perform research that will assist us on the Journey to Mars. 
http://genelab.nasa.gov/</t>
  </si>
  <si>
    <t>c5cC2r_P-hc</t>
  </si>
  <si>
    <t>2016 02 16</t>
  </si>
  <si>
    <t>https://youtu.be/G4oWkfBa294</t>
  </si>
  <si>
    <t>Space Station Astronaut Talks with Texas Students About Life in Orbit</t>
  </si>
  <si>
    <t>Aboard the International Space Station, Expedition 46 Flight Engineer Tim Kopra of NASA discussed life in space and research on the orbital lab during an in-flight educational event Feb. 16 with students gathered at the Bob Bullock State Museum in Austin, Texas. Kopra, who is a native of Austin, arrived at the station in mid-December for a six-month mission. Kopra will become Commander of the complex on Feb. 29, the day before current Commander Scott Kelly of NASA departs the outpost to wrap up a year-long mission.</t>
  </si>
  <si>
    <t>G4oWkfBa294</t>
  </si>
  <si>
    <t>2016 02 12</t>
  </si>
  <si>
    <t>https://youtu.be/sb5wtUh-kkI</t>
  </si>
  <si>
    <t>Our NASA is strong on This Week @NASA – February 12, 2016</t>
  </si>
  <si>
    <t>During his Feb. 9 State of NASA speech at Langley Research Center in Hampton, Va, Administrator Charles Bolden characterized President Obama’s $19 billion Fiscal Year 2017 budget proposal for NASA as a vote of confidence and an indication of the agency’s strength. Bolden noted that the investments in the FY2017 budget proposal will empower NASA to continue to work with partners both in and out of government to develop the technologies that drive exploration – to build an even stronger future in which NASA continues reaching for new heights for the benefit of all humankind. Also, Space station one-year crew update, Increased land water slows sea level rise, Gravitational waves detected, and more!</t>
  </si>
  <si>
    <t>sb5wtUh-kkI</t>
  </si>
  <si>
    <t>2016 02 11</t>
  </si>
  <si>
    <t>https://youtu.be/58m5AivtuGI</t>
  </si>
  <si>
    <t>Space Station Commander Discusses His One-Year Mission with News Media</t>
  </si>
  <si>
    <t>Aboard the International Space Station, Expedition 46 Commander Scott Kelly of NASA discussed the final weeks of his year-long mission and the accomplishments of his stay on the orbital laboratory during a pair of in-flight interviews Feb. 11 with ABC Correspondent Martha Raddatz for ABC’s “This Week” broadcast, and Dr. Sanjay Gupta of CNN. Kelly and Russian cosmonaut Mikhail Kornienko of Roscosmos are wrapping up a 340-day mission on the station designed to gather valuable data that will be used to formulate a future human mission to Mars. They are preparing for a landing on March 2, Kazakhstan time (March 1, U.S. time) in their Soyuz spacecraft to complete their marathon mission.</t>
  </si>
  <si>
    <t>58m5AivtuGI</t>
  </si>
  <si>
    <t>2016 02 09</t>
  </si>
  <si>
    <t>https://youtu.be/ej2odhB57ng</t>
  </si>
  <si>
    <t>Administrator Bolden Discusses the 'State of NASA'</t>
  </si>
  <si>
    <t>On Tuesday, Feb. 9, as part of the rollout of President Barack Obama’s Fiscal Year 2017 budget proposal for NASA, Administrator Charles Bolden delivered a “State of NASA” speech at the agency’s Langley Research Center, in Hampton, Va. During the speech, Bolden highlighted key work and advancements by the agency during the last few years and discussed some of the future goals the agency continues to work toward, including exploration of Mars and elsewhere in our solar system and beyond, aeronautics research, development of technology to enable humans to explore deep space, and research aboard the International Space Station for the benefit of life on Earth and for astronauts on long duration space missions.</t>
  </si>
  <si>
    <t>ej2odhB57ng</t>
  </si>
  <si>
    <t>https://youtu.be/WG8y1_y-kPw</t>
  </si>
  <si>
    <t>Welcome to NASA</t>
  </si>
  <si>
    <t>A visual highlight of the people involved in the innovative technologies developed and under development, as well as the scientific discoveries made as NASA explores and studies our changing Earth and our universe, and continues to make advancements in green, next-generation air travel.</t>
  </si>
  <si>
    <t>WG8y1_y-kPw</t>
  </si>
  <si>
    <t>https://youtu.be/F89Qf-KxSY8</t>
  </si>
  <si>
    <t>Space Station Astronaut Talks to French Media About Life in Orbit</t>
  </si>
  <si>
    <t>Aboard the International Space Station, Expedition 46 Flight Engineer Tim Peake of ESA (European Space Agency) discussed life and research on board the orbital outpost during an in-flight interview Feb. 9 with the France 2 Television Network. Peake, who is the first British citizen to fly on the international complex, is completing the second month of a planned six-month mission.</t>
  </si>
  <si>
    <t>F89Qf-KxSY8</t>
  </si>
  <si>
    <t>2016 02 05</t>
  </si>
  <si>
    <t>https://youtu.be/CI9kEvZ6IUo</t>
  </si>
  <si>
    <t>Edgar Mitchell Apollo Moonwalker Dies at 85 (silent video)</t>
  </si>
  <si>
    <t>Former astronaut Edgar Mitchell (USN Capt. Ret.), who became the sixth man to walk on the moon during the Apollo 14 mission to the highlands of Fra Mauro, died on Feb. 4 in West Palm Beach, Florida at the age of 85. Mitchell’s death occurred on the eve of the 45th anniversary of his landing on the moon aboard the lunar module Antares with Apollo 14 Commander Alan Shepard. Mitchell was born in Hereford, Texas on Sept. 17, 1930, and earned multiple degrees including a Doctorate of Science in aeronautics and astronautics from the Massachusetts Institute of Technology in 1964. Mitchell entered the Navy in 1952 and was selected by NASA as an astronaut in April 1966. He was the lunar module pilot for the Apollo 14 mission, his only spaceflight, joining Shepard and command module pilot Stuart Roosa. On Feb. 5, 1971, Mitchell and Shepard guided Antares to a bulls-eye landing at Fra Mauro, where they spent 33 hours and conducted two moonwalks to collect almost 100 pounds of moon rocks and invaluable lunar soil samples. Following the Apollo program, Mitchell retired from NASA and from the Navy to conduct scientific research in the field of human consciousness.</t>
  </si>
  <si>
    <t>CI9kEvZ6IUo</t>
  </si>
  <si>
    <t>https://youtu.be/fJW3eUyHsZw</t>
  </si>
  <si>
    <t>Coming Soon  State of NASA</t>
  </si>
  <si>
    <t>NASA centers across the country are opening their doors Tuesday, Feb. 9 to media and social media for “State of NASA” events, including a speech from NASA Administrator Charles Bolden, and unique opportunities for a behind-the-scenes look at the agency’s progress on its journey to Mars. These events follow President Obama’s Fiscal Year 2017 budget proposal delivery to the U.S. Congress.
http://www.nasa.gov/nasatv</t>
  </si>
  <si>
    <t>fJW3eUyHsZw</t>
  </si>
  <si>
    <t>https://youtu.be/N11WYjt1uTQ</t>
  </si>
  <si>
    <t>Small Satellites to Hitchhike on SLS Rocket’s First Flight on This Week @NASA – February 5, 2016</t>
  </si>
  <si>
    <t>During a Feb. 2 event at NASA’s Marshall Space Flight Center, officials announced the selection of 13 low-cost small satellites to launch as secondary payloads on Exploration Mission-1 (EM-1) -- the first flight of the agency’s Space Launch System (SLS) rocket, targeted for 2018. SLS’ first flight is designed to launch an un-crewed Orion spacecraft to a stable orbit beyond the moon to demonstrate and test systems for both the spacecraft and rocket before the first crewed flight of Orion. The announced CubeSat secondary payloads will carry science and technology investigations to help pave the way for future human exploration in deep space, including the Journey to Mars. Also, New Marshall Space Flight Center Director, Webb Telescope’s final mirror installed, Juno adjusts course to Jupiter, Russian spacewalk on space station and Hangar One’s Super Bowl Redwood!</t>
  </si>
  <si>
    <t>N11WYjt1uTQ</t>
  </si>
  <si>
    <t>https://youtu.be/khcAy1AdQPw</t>
  </si>
  <si>
    <t>A Discussion About The Year Off the Earth, For the Earth</t>
  </si>
  <si>
    <t>Aboard the International Space Station, Expedition 46 Commander Scott Kelly of NASA and Flight Engineer Mikhail Kornienko of Roscosmos discussed the final phase of their year-long mission on the orbital laboratory and the accomplishments of their journey during a pair of in-flight interviews Feb. 5 with KTRK-TV in Houston and TIME Magazine. Kelly and Kornienko are in the final weeks of their year-long mission designed to gather valuable biomedical data that will be used in the formulation of a human mission to Mars. Kelly and Kornienko are scheduled to return to Earth in a Soyuz spacecraft for a landing on the steppe of Kazakhstan March 2, Kazakhstan time (March 1, U.S. time).</t>
  </si>
  <si>
    <t>khcAy1AdQPw</t>
  </si>
  <si>
    <t>2016 02 04</t>
  </si>
  <si>
    <t>https://youtu.be/QU4PbzZao1o</t>
  </si>
  <si>
    <t>NASA Astronaut Talks with Colorado Students About His 1-Year Odyssey in Space</t>
  </si>
  <si>
    <t>Aboard the International Space Station, Expedition 46 Commander Scott Kelly of NASA discussed life and work aboard the orbital laboratory during an in-flight educational event Feb. 4 with students at Colorado Mesa University in Grand Junction, Colorado. Kelly is in the final weeks of a year-long mission on the station with Russian cosmonaut Mikhail Kornienko of Roscosmos designed to gather valuable biomedical data that will be used in the formulation of a human mission to Mars.</t>
  </si>
  <si>
    <t>QU4PbzZao1o</t>
  </si>
  <si>
    <t>2016 02 03</t>
  </si>
  <si>
    <t>https://youtu.be/Yr0aZ7m4QTE</t>
  </si>
  <si>
    <t>Russian Cosmonauts Conduct Spacewalk Outside the International Space Station</t>
  </si>
  <si>
    <t>Outside the International Space Station, Expedition 46 Flight Engineers Yuri Malenchenko and Sergey Volkov of Roscosmos conducted a spacewalk Feb. 3 to install experiment packages on the hull of the Russian segment of the complex and retrieve other experiments that have been gathering data for several months. It was the 193rd spacewalk in support of space station assembly and maintenance, the sixth in Malenchenko’s career and the fourth for Volkov.</t>
  </si>
  <si>
    <t>Yr0aZ7m4QTE</t>
  </si>
  <si>
    <t>2016 02 02</t>
  </si>
  <si>
    <t>https://youtu.be/phQQ5viBCxw</t>
  </si>
  <si>
    <t>Secondary Payloads Announced for First Flight of Space Launch System Rocket</t>
  </si>
  <si>
    <t>During an event from NASA’s Marshall Space Flight Center on Feb. 2, officials announced the selection of 13 low-cost small satellites to launch as secondary payloads on Exploration Mission-1 (EM-1) in 2018 -- the inaugural flight of the agency’s Space Launch System (SLS) rocket, designed to launch an uncrewed Orion spacecraft to a stable orbit beyond the moon, to demonstrate the integrated system performance of Orion and the SLS before the first crewed flight of Orion. These small satellite secondary payloads will carry science and technology investigations to help pave the way for future human exploration in deep space, including the Journey to Mars.</t>
  </si>
  <si>
    <t>phQQ5viBCxw</t>
  </si>
  <si>
    <t>https://youtu.be/oPIoKXsXsmk</t>
  </si>
  <si>
    <t>British Astronaut Talks From Space with Students and Teachers Back Home</t>
  </si>
  <si>
    <t>Aboard the International Space Station, Expedition 46 Flight Engineer Tim Peake of the European Space Agency discussed his life and research aboard the orbital laboratory with British students and teachers gathered in Liverpool, England during an in-flight educational event Feb. 2. Peake, who is the first British citizen to fly on the international outpost, is in the midst of a six-month mission that will culminate with his return to Earth June 5.</t>
  </si>
  <si>
    <t>oPIoKXsXsmk</t>
  </si>
  <si>
    <t>2016 01 29</t>
  </si>
  <si>
    <t>https://youtu.be/8XAGfhS3RK4</t>
  </si>
  <si>
    <t>Orion and SLS showcased at Michoud on This Week @NASA – January 29, 2016</t>
  </si>
  <si>
    <t>A Jan. 26 event at NASA’s Michoud Assembly Facility in New Orleans, marked recently completed work by technicians there to weld together the pressure vessel for the next Orion deep space crew module. The event also was an opportunity for NASA officials to thank employees and to show the progress on Orion and the core stage of the agency’s Space Launch System (SLS) rocket. The Orion pressure vessel will be shipped to Kennedy Space Center in Florida next month, where engineers will continue to prepare it for the first flight of the SLS rocket. Also, Space station One-year crew update, New color movie of Ceres and NASA Day of Remembrance!</t>
  </si>
  <si>
    <t>8XAGfhS3RK4</t>
  </si>
  <si>
    <t>2016 01 28</t>
  </si>
  <si>
    <t>https://youtu.be/EQCs-j-Fjdc</t>
  </si>
  <si>
    <t>To Serve on Earth and in Space</t>
  </si>
  <si>
    <t>Aboard the International Space Station, Expedition 46 Commander Scott Kelly and Flight Engineer Tim Kopra of NASA discussed their military backgrounds and their life and work aboard the orbital laboratory during an in-flight interview Jan. 28 with the Military Times. Kelly, who is a retired Navy captain and Kopra, who is a retired Army colonel, are orbiting 250 miles above the Earth on the international outpost. Kelly is in the final weeks of a yearlong mission on the station gathering valuable biomedical data on the effects of long duration weightlessness that will be used to formulate a human mission to Mars. Kopra will remain on the space station until early June.</t>
  </si>
  <si>
    <t>EQCs-j-Fjdc</t>
  </si>
  <si>
    <t>https://youtu.be/tN0dpTUjgGk</t>
  </si>
  <si>
    <t>Fallen NASA Heroes Honored at Kennedy Space Center</t>
  </si>
  <si>
    <t>On Jan. 28, NASA’s Kennedy Space Center observed the agency’s Day of Remembrance with a wreath-laying ceremony at the Space Mirror Memorial located at the KSC Visitor Complex, which was dedicated in 1991 to honor all astronauts who lost their lives on missions or during training. It was one of several events conducted around the agency in tribute to the crews of Apollo 1 and space shuttles Challenger and Columbia, as well as other members of the NASA family who lost their lives while furthering the cause of exploration and discovery. This year’s Day of Remembrance also coincides with the 30th anniversary of the Challenger accident.</t>
  </si>
  <si>
    <t>tN0dpTUjgGk</t>
  </si>
  <si>
    <t>https://youtu.be/mLW46-qACEY</t>
  </si>
  <si>
    <t>Oceanography Satellite Launches on This Week @NASA – January 22, 2016</t>
  </si>
  <si>
    <t>On Jan. 17, Jason-3, a U.S.-European oceanography satellite mission launched from California’s Vandenberg Air Force Base aboard a SpaceX Falcon 9 rocket. The mission is led by the National Oceanic and Atmospheric Administration (NOAA) in partnership with NASA, the French space agency, CNES, and the European Organisation for the Exploitation of Meteorological Satellites. After a six-month checkout period, Jason-3 will start full science operations – continuing a nearly quarter-century record of tracking global sea level rise, direction of ocean currents and amount of solar energy stored by oceans – all, key data to understanding changes in global climate and more accurately forecasting severe weather. Also, 2015 global temperatures announced, 10-year anniversary of New Horizons’ launch and ABCs from space!</t>
  </si>
  <si>
    <t>mLW46-qACEY</t>
  </si>
  <si>
    <t>https://youtu.be/Nq7f97dtmR4</t>
  </si>
  <si>
    <t>NASA Day of Remembrance</t>
  </si>
  <si>
    <t>January 28th 2016 marks the 30th anniversary of the loss of Space Shuttle Challenger. NASA Day of Remembrance commemorates the crews of Apollo 1, Challenger, and Columbia; along with all the members of its family who lost their lives while furthering the cause of exploration and discovery.</t>
  </si>
  <si>
    <t>Nq7f97dtmR4</t>
  </si>
  <si>
    <t>2016 01 22</t>
  </si>
  <si>
    <t>https://youtu.be/ujruGHhHQIk</t>
  </si>
  <si>
    <t>A New Planet in our Solar System  NASA Takes a Look</t>
  </si>
  <si>
    <t>NASA’s Director of Planetary Science, Jim Green, discusses the Jan. 20 Astronomical Journal science paper that points to the possibility of a new “Planet 9” in our solar system beyond Pluto, examining the scientific process and inviting you to have a front row seat to our exploration of the solar system.</t>
  </si>
  <si>
    <t>ujruGHhHQIk</t>
  </si>
  <si>
    <t>2016 01 20</t>
  </si>
  <si>
    <t>https://youtu.be/GliZyspplDs</t>
  </si>
  <si>
    <t>Countdown to Conclusion of 1-Year Mission</t>
  </si>
  <si>
    <t>Aboard the International Space Station, Expedition 46 Commander Scott Kelly of NASA and Flight Engineer Mikhail Kornienko of Roscosmos shared thoughts about their year-long mission in space, during in-flight interviews Jan. 20 with Voice of America and the Westwood One Radio Network. Kelly and Kornienko will return to Earth in a Soyuz spacecraft on March 1. They have collected valuable data during their mission about the effects of weightlessness  on the human body. The research will be used to formulate a human mission to Mars.</t>
  </si>
  <si>
    <t>GliZyspplDs</t>
  </si>
  <si>
    <t>2016 01 17</t>
  </si>
  <si>
    <t>https://youtu.be/DSRhjE0uJ7g</t>
  </si>
  <si>
    <t>Jason-3 Launches to Monitor Sea Level Rise</t>
  </si>
  <si>
    <t>Jason-3, a U.S.-European oceanography satellite mission with NASA participation that will continue a nearly quarter-century record of tracking global sea level rise, lifted off from Vandenberg Air Force Base in California Sunday, Jan. 17, at 1:42 p.m. EST aboard a SpaceX Falcon 9 rocket. Jason-3 is an international mission led by the National Oceanic and Atmospheric Administration (NOAA) in partnership with NASA, the French space agency CNES, and the European Organisation for the Exploitation of Meteorological Satellites. The mission will improve weather, climate and ocean forecasts, including helping NOAA’s National Weather Service and other global weather and environmental forecast agencies more accurately forecast the strength of tropical cyclones.</t>
  </si>
  <si>
    <t>DSRhjE0uJ7g</t>
  </si>
  <si>
    <t>2016 01 16</t>
  </si>
  <si>
    <t>https://youtu.be/D0AgqhS6B-U</t>
  </si>
  <si>
    <t>The Science of Jason-3</t>
  </si>
  <si>
    <t>During a Jan. 15 briefing on NASA Television, panelists discussed the science and research of the Jason-3 mission – scheduled to launch on Jan. 17 from Vandenberg Air Force Base in California. Jason-3 is the newest in a series of satellites designed to maintain long-term satellite altimetry observations of global sea surface height. These data provide critical ocean information that forecasters need to predict devastating hurricanes and severe weather before they arrive onshore. Over the long term, Jason-3 will help us to track global sea level rise, an increasing threat to the resilience of coastal communities and to the health of our environment. The mission is a partnership between NASA, NOAA, Centre National d’Etudes Spatiales, France’s space agency, and the European Organization for the Exploitation of Meteorological Satellites.</t>
  </si>
  <si>
    <t>D0AgqhS6B-U</t>
  </si>
  <si>
    <t>https://youtu.be/qjf5uL31n-Y</t>
  </si>
  <si>
    <t>Getting To Know Jason-3</t>
  </si>
  <si>
    <t>During a Jan. 15 briefing on NASA Television, panelists gave an overview of the Jason-3 mission – scheduled to launch on Jan. 17 from Vandenberg Air Force Base in California. Jason-3 is the newest in a series of satellites designed to maintain long-term satellite altimetry observations of global sea surface height. During its mission -- planned to last at least three years, with a goal of five years – the satellite will monitor and precisely measure global sea surface heights, monitor the intensification of tropical cyclones and support seasonal and coastal forecasts. Jason-3 is a partnership between NASA, NOAA, Centre National d’Etudes Spatiales, France’s space agency, and the European Organization for the Exploitation of Meteorological Satellites.</t>
  </si>
  <si>
    <t>qjf5uL31n-Y</t>
  </si>
  <si>
    <t>2016 01 15</t>
  </si>
  <si>
    <t>https://youtu.be/Ykh-_LpTx0U</t>
  </si>
  <si>
    <t>Space Station Cargo Contracts on This Week @NASA – January 15, 2016</t>
  </si>
  <si>
    <t>On Jan. 14, NASA announced it has awarded three cargo contracts to ensure the critical science, research and technology demonstrations that are informing the agency’s journey to Mars are delivered to the International Space Station (ISS) from 2019 through 2024. The agency unveiled its selection of Orbital ATK; Sierra Nevada Corporation; and SpaceX to continue building on the initial resupply partnerships with two American companies. Also, Space station spacewalk, Juno breaks distance record, New Ceres images reveal details, Space Launch System progress and NASA-developed software in self-driving cars!</t>
  </si>
  <si>
    <t>Ykh-_LpTx0U</t>
  </si>
  <si>
    <t>https://youtu.be/etUkR3FmDnw</t>
  </si>
  <si>
    <t>Space Station Crew Restores Full Power to the Complex During a Shortened Spacewalk</t>
  </si>
  <si>
    <t>Outside the International Space Station, Expedition 46 Flight Engineers Tim Kopra of NASA and Tim Peake of the European Space Agency replaced a voltage regulator box on the starboard truss of the complex during a 4 hour, 43 minute spacewalk Jan. 15. The replacement restored full power to the laboratory three months after the failure of the so-called Sequential Shunt Unit resulted in the loss of one of channels that route electricity to the station systems. Kopra and Peake were making their way through other secondary tasks when Kopra reported a small amount of water in his helmet, forcing an early termination to the excursion. The crew was never in any danger and made an orderly return to the Quest airlock where they removed their suits for inspection and further analysis. The spacewalk was the 192nd in support of space station assembly and maintenance, the third in Kopra’s career and the first for Peake.</t>
  </si>
  <si>
    <t>etUkR3FmDnw</t>
  </si>
  <si>
    <t>https://youtu.be/RnMVOT8piZs</t>
  </si>
  <si>
    <t>NASA Awards International Space Station Cargo Transport Contracts</t>
  </si>
  <si>
    <t>During a news conference on Jan. 14 from NASA’s Johnson Space Center, in Houston, agency officials announced the awards of three cargo contracts to ensure that the critical science, research and technology demonstrations that are informing the journey to Mars will be delivered to the International Space Station (ISS) from 2019 through 2024. The agency unveiled its selection of Orbital ATK of Dulles, Virginia; Sierra Nevada Corporation of Sparks, Nevada; and SpaceX of Hawthorne, California to continue building on the initial resupply partnerships with two American companies. These Commercial Resupply Services (CRS-2) contracts are designed to obtain cargo delivery services to the space station, disposal of unneeded cargo, and the return of research samples and other cargo from the station back to NASA.</t>
  </si>
  <si>
    <t>RnMVOT8piZs</t>
  </si>
  <si>
    <t>https://youtu.be/zEF1XeLyXHc</t>
  </si>
  <si>
    <t>NASA Celebrates Dr. Martin Luther King, Jr. Day of Service</t>
  </si>
  <si>
    <t>NASA honors the memory and legacy of Dr. Martin Luther King, Jr.</t>
  </si>
  <si>
    <t>zEF1XeLyXHc</t>
  </si>
  <si>
    <t>2016 01 14</t>
  </si>
  <si>
    <t>https://youtu.be/lCgcqSwqInU</t>
  </si>
  <si>
    <t>NASA Administrator Charles Bolden on Commercial Space</t>
  </si>
  <si>
    <t>NASA is on a Journey to Mars and commercial space is a key component of our strategy to send American astronauts to the Red Planet in the 2030s. 
In 2010 when President Obama laid out his vision for space exploration, it may have been hard to believe that six years later we’d be regularly transporting cargo to the International Space Station on commercial spacecraft, or that we’d be on the verge of returning launches of American astronauts to the Station from U.S. soil on the spacecraft built by American companies.  
Today, that’s our reality.
SpaceX and Orbital ATK are the first commercial space companies to deliver cargo to the ISS. 
We’ve also ordered the first missions from SpaceX and The Boeing Company -- the first American companies that will carry American astronauts to space. The first astronauts are now training for test flights aboard commercial spacecraft in preparation for those missions.
We are closer than ever before to sending American astronauts to Mars. We’re “insourcing” American jobs and empowering American entrepreneurs and innovators to expand the new commercial market in low-earth orbit. 
Today, we’re marking another significant milestone. We are announcing the companies that will continue our successful commercial cargo program until at least 2024. This phase of the program will allow us to continue using the Space Station as our springboard to the rest of the solar system and a test bed for human health in space. 
Our investment in commercial space is creating jobs and it’s bringing us closer to sending American astronauts to Mars.  With the commercial cargo successes to date and our announcement today – I am very confident that commercial space will continue to propel our nation into the future – we’ll continue to Launch America.</t>
  </si>
  <si>
    <t>lCgcqSwqInU</t>
  </si>
  <si>
    <t>2016 01 12</t>
  </si>
  <si>
    <t>https://youtu.be/7tNLTszm4f8</t>
  </si>
  <si>
    <t>Powerful Space Station Spacewalk Previewed</t>
  </si>
  <si>
    <t>During a Jan. 12 news conference at the Johnson Space Center in Houston, NASA managers previewed the spacewalk scheduled to take place on Jan. 15 aboard the International Space Station (ISS). During that excursion, Expedition 46 flight engineers Tim Kopra of NASA and Tim Peake of ESA (European Space Agency) will primarily perform work to replace a voltage regulator that compromised one of the station’s eight power channels when it failed last November. Coverage of the spacewalk on NASA TV and the agency’s website, www.nasa.gov, will begin at 6:30 a.m. on Friday, Jan. 15, with the spacewalk scheduled to begin at 7:55 a.m. The spacewalk will be the third in Kopra’s career and the first for Peake.</t>
  </si>
  <si>
    <t>7tNLTszm4f8</t>
  </si>
  <si>
    <t>2016 01 08</t>
  </si>
  <si>
    <t>https://youtu.be/xQN_2yObED0</t>
  </si>
  <si>
    <t>NASA astronomical findings highlighted on This Week @NASA – January 8, 2016</t>
  </si>
  <si>
    <t>New NASA astrophysics findings were highlighted at the 227th American Astronomical Society meeting, Jan. 4-8 in Kissimmee, Florida. The findings, which ranged from runaway stars to a burping galaxy, were made with the help of several NASA observation instruments, including the Spitzer Space Telescope, the Wide-field Infrared Survey Explorer, the Chandra X-ray Observatory, the Nuclear Spectroscopic Telescope Array and others. Also, Next space station crew preparing for mission, Economical new era of aviation, A new level of coral reef studies and more!</t>
  </si>
  <si>
    <t>xQN_2yObED0</t>
  </si>
  <si>
    <t>2016 01 07</t>
  </si>
  <si>
    <t>https://youtu.be/NrfUkXlLO9Y</t>
  </si>
  <si>
    <t>News Conference Features with Next Space Station Crew</t>
  </si>
  <si>
    <t>A NASA news conference was held Jan. 7 at Johnson Space Center in Houston with the next crew launching to the International Space Station, including NASA astronaut Jeff Williams. Joining him for Expedition 47 and 48 will be cosmonauts Alexey Ovchinin and Oleg Skripochka of Roscosmos (Russian Federal Space Agency). The trio will launch to the space station aboard a Soyuz TMA-20M spacecraft March 18, 2016, from the Baikonur Cosmodrome in Kazakhstan. This will be the third long-duration stay on the space station for Williams, who will serve as the commander of Expedition 48.</t>
  </si>
  <si>
    <t>NrfUkXlLO9Y</t>
  </si>
  <si>
    <t>https://youtu.be/7eej1jq4p28</t>
  </si>
  <si>
    <t>Training for Tour of Duty on the Space Station</t>
  </si>
  <si>
    <t>This footage shows training activities of the Expedition 47/48 crew, including NASA astronaut Jeff Williams, in preparation for the crew’s upcoming mission aboard the International Space Station. Williams, and cosmonauts Alexey Ovchinin and Oleg Skripochka of Roscosmos (Russian Federal Space Agency) will launch to the space station aboard a Soyuz TMA-20M spacecraft March 18, 2016, from the Baikonur Cosmodrome in Kazakhstan.</t>
  </si>
  <si>
    <t>7eej1jq4p28</t>
  </si>
  <si>
    <t>2016 01 05</t>
  </si>
  <si>
    <t>https://youtu.be/HKwysk213wM</t>
  </si>
  <si>
    <t>The “Homestretch” of the One Year Mission Aboard the Space Station</t>
  </si>
  <si>
    <t>Aboard the International Space Station, Expedition 46 Commander Scott Kelly of NASA and Flight Engineer Mikhail Kornienko of the Russian Roscosmos State Corporation discussed the remaining months of their year-long mission on the orbital laboratory and their research in an in-flight interview Jan. 5 with BBC World Service Radio. Kelly and Kornienko, who were launched to the station in late March 2015, have two months remaining in a year-long mission designed to collect invaluable biomedical data on the long term effects of weightlessness on the human body that will be applicable to a future human mission to Mars.</t>
  </si>
  <si>
    <t>HKwysk213wM</t>
  </si>
  <si>
    <t>2016 01 01</t>
  </si>
  <si>
    <t>https://youtu.be/RtrxlwCe25k</t>
  </si>
  <si>
    <t>Happy New Year 2016 from NASA</t>
  </si>
  <si>
    <t>2015 was an incredible year for aeronautics research, human exploration, earth science, space science, and technology. We can’t wait to show you what we have in store for 2016.
From all of us here at NASA… Happy New Year.</t>
  </si>
  <si>
    <t>RtrxlwCe25k</t>
  </si>
  <si>
    <t>2015 12 28</t>
  </si>
  <si>
    <t>https://youtu.be/91J8gNT8YNI</t>
  </si>
  <si>
    <t>Space Station Crew Talks with Houston Media</t>
  </si>
  <si>
    <t>Aboard the International Space Station, Expedition 46 Commander Scott Kelly and Flight Engineer Tim Kopra of NASA and Flight Engineer Tim Peake of the European Space Agency discussed life and research on orbit during a pair of in-flight interviews Dec. 28 with KPRC-TV and KHOU-TV in Houston. Kelly is wrapping up the ninth month of a year-long mission aboard the complex to gather valuable data on the long duration effect of weightlessness on the human body, while Kopra and Peake are two weeks into a six-month mission on the orbital laboratory.</t>
  </si>
  <si>
    <t>91J8gNT8YNI</t>
  </si>
  <si>
    <t>2015 12 24</t>
  </si>
  <si>
    <t>https://youtu.be/Q_1SvFPeW6U</t>
  </si>
  <si>
    <t>NASA TV Video File 2015 Year in Review</t>
  </si>
  <si>
    <t>In 2015, NASA explored the expanse of our solar system and beyond, and the complex processes of our home planet, while also advancing the technologies for our journey to Mars, and new aviation systems as the agency reached new milestones aboard the International Space Station.
“It was a fantastic year that brought us even closer to Mars,” said NASA Administrator Charles Bolden. “Our space program welcomed advances from commercial partners who will soon launch astronauts from the United States to the International Space Station, and progress on new technologies and missions to take us into deep space, improve aviation and explore our universe and home planet.”</t>
  </si>
  <si>
    <t>Q_1SvFPeW6U</t>
  </si>
  <si>
    <t>https://youtu.be/ZK2TPiNeE3g</t>
  </si>
  <si>
    <t>Mars is not the only place to explore during holidays. Follow our little Robot as he surveys his new surroundings. This holiday house is full of NASA treats… see if you can spot them all.
From our family to yours… Season’s Greetings, from NASA.</t>
  </si>
  <si>
    <t>ZK2TPiNeE3g</t>
  </si>
  <si>
    <t>2015 12 23</t>
  </si>
  <si>
    <t>https://youtu.be/tWovUd3WWec</t>
  </si>
  <si>
    <t>Russian Supply Ship Delivers to the Space Station</t>
  </si>
  <si>
    <t>Two days after its launch from the Baikonur Cosmodrome, the unpiloted Russian ISS Progress 62 cargo ship docked to the Pirs Docking Compartment at the International Space Station Dec. 23. Loaded with 2.8 tons of food, fuel and supplies for the Expedition 46 crew, the Progress reached the complex for an automated linkup following a two-day rendezvous deliberately planned to test upgraded software and telemetry systems. The newest Progress will remain attached to Pirs until early July.</t>
  </si>
  <si>
    <t>tWovUd3WWec</t>
  </si>
  <si>
    <t>2015 12 22</t>
  </si>
  <si>
    <t>https://youtu.be/4nC3FeWiH_8</t>
  </si>
  <si>
    <t>NASA 2016 Look Ahead</t>
  </si>
  <si>
    <t>The work NASA does, and will continue in 2016, helps the United States maintain its world leadership in space exploration and scientific discovery. The agency will continue investing in its journey to Mars, returning human spaceflight launches from American soil, fostering groundbreaking technology development, breakthroughs in aeronautics and bringing to every American the awe-inspiring discoveries and images captured by NASA’s missions in our solar system and beyond.
For more about NASA’s missions, research and discoveries, visit:
http://www.nasa.gov</t>
  </si>
  <si>
    <t>4nC3FeWiH_8</t>
  </si>
  <si>
    <t>2015 12 21</t>
  </si>
  <si>
    <t>https://youtu.be/hvYCI6sFmnk</t>
  </si>
  <si>
    <t>NASA Reaches New Heights in 2015</t>
  </si>
  <si>
    <t>As 2015 comes to a close we look back at an exciting year of reaching new heights and revealing the unknown for the benefit of humankind.</t>
  </si>
  <si>
    <t>hvYCI6sFmnk</t>
  </si>
  <si>
    <t>https://youtu.be/ucaiTUWVAW0</t>
  </si>
  <si>
    <t>What Happened This Year @NASA December 21, 2015</t>
  </si>
  <si>
    <t>In 2015, NASA explored the expanse of our solar system and beyond, and the complex processes of our home planet, while also advancing the technologies for our journey to Mars, and new aviation systems as the agency reached new milestones aboard the International Space Station. Here’s a look at some of the top NASA stories of the year!</t>
  </si>
  <si>
    <t>ucaiTUWVAW0</t>
  </si>
  <si>
    <t>https://youtu.be/8Nj8C0bdZAI</t>
  </si>
  <si>
    <t>Russian Cargo Ship Sets Sail for the International Space Station</t>
  </si>
  <si>
    <t>At the Baikonur Cosmodrome in Kazakhstan, the unpiloted Russian ISS Progress 62 cargo ship launched at 3:44 a.m. Eastern time (2:44 p.m. Baikonur time) on Dec. 21 on a two-day journey to reach the International Space Station. Loaded with 2.8 tons of food, fuel and supplies for the Expedition 46 crew, the Progress reached orbit less than nine minutes after launch for a two-day rendezvous deliberately planned to test upgraded software and telemetry systems. Docking to the Pirs Docking Compartment on the station is scheduled for Wednesday, Dec. 23.</t>
  </si>
  <si>
    <t>8Nj8C0bdZAI</t>
  </si>
  <si>
    <t>2015 12 18</t>
  </si>
  <si>
    <t>https://youtu.be/EsP9ra_t8Bc</t>
  </si>
  <si>
    <t>Happy Holidays from The International Space Station</t>
  </si>
  <si>
    <t>Aboard the International Space Station, Expedition 46 Commander Scott Kelly of NASA, Flight Engineer Tim Kopra of NASA and Flight Engineer Tim Peake of the European Space Agency offered their thoughts on being in orbit away from home during the Christmas holidays and what Christmas means to them in a message downlinked on Dec. 17. Kelly is nearing the completion of the ninth month of a year-long mission on the orbital laboratory, while Kopra and Peake arrived Dec. 15 to begin a six-month mission on the complex.</t>
  </si>
  <si>
    <t>EsP9ra_t8Bc</t>
  </si>
  <si>
    <t>https://youtu.be/tns0FazYcYA</t>
  </si>
  <si>
    <t>Newly Arrived Space Station Crew Member Talks with British Media</t>
  </si>
  <si>
    <t>Aboard the International Space Station, newly arrived Expedition 46 Flight Engineer Tim Peake of Great Britain and the European Space Agency discussed his first days in orbit on the complex and his goals and aspirations during an in-flight news conference with British media Dec. 18. Peake, who is only the second British citizen to fly in space and the first to the ISS, arrived on board Dec. 15 for the start of a six-month mission.</t>
  </si>
  <si>
    <t>tns0FazYcYA</t>
  </si>
  <si>
    <t>2015 12 17</t>
  </si>
  <si>
    <t>https://youtu.be/y8IFYIADfYw</t>
  </si>
  <si>
    <t>STEM in 30 – The Process of Invention</t>
  </si>
  <si>
    <t>The Smithsonian National Air and Space Museum’s STEM in 30 series of live, fast-paced, 30-minute webcasts are designed to increase interest and engagement in STEM for students. This episode, which originated on Dec. 17, 2015 from inside the Wright brothers’ bicycle shop at Greenfield Village in Dearborn, Michigan, looks at how time spent by the pair tinkering and building bicycles, combined with their fascination with solving the problem of human flight, led to the invention of the airplane.</t>
  </si>
  <si>
    <t>y8IFYIADfYw</t>
  </si>
  <si>
    <t>2015 12 16</t>
  </si>
  <si>
    <t>https://youtu.be/uYO6lASLKCQ</t>
  </si>
  <si>
    <t>Spreading the Word About the One Year Mission</t>
  </si>
  <si>
    <t>Aboard the International Space Station, Expedition 46 Commander Scott Kelly of NASA and Flight Engineer Mikhail Kornienko of the Russian Federal Space Agency (Roscosmos) discussed the progress of their year-long mission on the orbital outpost and the research being conducted during a pair of in-flight interviews Dec. 16 with CBS News’ “Face the Nation” program and CNN International. Kelly and Kornienko are nearing the end of the ninth month of a year in space, collecting valuable biomedical data about the effect of weightlessness on the human body that will be used to formulate future human missions to deep space.</t>
  </si>
  <si>
    <t>uYO6lASLKCQ</t>
  </si>
  <si>
    <t>2015 12 15</t>
  </si>
  <si>
    <t>https://youtu.be/dOw6SF_NKu0</t>
  </si>
  <si>
    <t>New Crew Welcomed to the Space Station</t>
  </si>
  <si>
    <t>Following their launch earlier in the day on Dec. 15 from the Baikonur Cosmodrome in Kazakhstan, a six-hour trip to space, and docking to the International Space Station, Expedition 46-47 Soyuz Commander Yuri Malenchenko of the Russian Federal Space Agency (Roscosmos), NASA Flight Engineer Tim Kopra and Flight Engineer Tim Peake of the European Space Agency were welcomed aboard the station by station Commander Scott Kelly of NASA and Flight Engineers Mikhail Kornienko and Sergey Volkov of Roscosmos.</t>
  </si>
  <si>
    <t>dOw6SF_NKu0</t>
  </si>
  <si>
    <t>https://youtu.be/ORq6dFgf1oQ</t>
  </si>
  <si>
    <t>Sewing Machines, Balloons, and Rocket Fuel</t>
  </si>
  <si>
    <t>This episode of the Smithsonian National Air and Space Museum’s What's New in Aerospace? series featured discussion about the process and technologies used to land the Curiosity rover on Mars and the technologies being developed to safely and more efficiently land spacecraft on the Red Planet in the future. Ian Clark from NASA’s Jet Propulsion Laboratory provided historical context for the development of those technologies and talked about the need for improvements, as Mars missions move to larger and larger payloads. The What's New in Aerospace? series is presented in collaboration with NASA.</t>
  </si>
  <si>
    <t>ORq6dFgf1oQ</t>
  </si>
  <si>
    <t>https://youtu.be/4g93chKghGc</t>
  </si>
  <si>
    <t>New Crew Docks to the Space Station</t>
  </si>
  <si>
    <t>After launching earlier in the day on Dec. 15 from the Baikonur Cosmodrome in Kazakhstan, Expedition 46-47 Soyuz Commander Yuri Malenchenko of the Russian Federal Space Agency (Roscosmos), NASA Flight Engineer Tim Kopra and Flight Engineer Tim Peake of the European Space Agency arrived at the International Space Station Dec. 15 following a four-orbit, six-hour rendezvous.</t>
  </si>
  <si>
    <t>4g93chKghGc</t>
  </si>
  <si>
    <t>https://youtu.be/P6iPwysLiCo</t>
  </si>
  <si>
    <t>A Look back at Launch Day for New Space Station Crew</t>
  </si>
  <si>
    <t>A recap of the Dec. 15 launch day activities of Expedition 46-47 Soyuz Commander Yuri Malenchenko of the Russian Federal Space Agency (Roscosmos), NASA Flight Engineer Tim Kopra and Flight Engineer Tim Peake of the European Space Agency, at the Baikonur Cosmodrome in Kazakhstan. The trio launched to the International Space Station to start a six-month mission aboard the orbital outpost.</t>
  </si>
  <si>
    <t>P6iPwysLiCo</t>
  </si>
  <si>
    <t>https://youtu.be/dRsiUztBhkc</t>
  </si>
  <si>
    <t>Expedition 46-47 Soyuz Commander Yuri Malenchenko of the Russian Federal Space Agency (Roscosmos), NASA Flight Engineer Tim Kopra and Flight Engineer Tim Peake of the European Space Agency launched on the Russian Soyuz TMA-19M spacecraft Dec. 15 from the Baikonur Cosmodrome in Kazakhstan to begin a six-hour journey to the International Space Station and the start of a six-month mission.</t>
  </si>
  <si>
    <t>dRsiUztBhkc</t>
  </si>
  <si>
    <t>2015 12 14</t>
  </si>
  <si>
    <t>https://youtu.be/0kLGyxX8SOM</t>
  </si>
  <si>
    <t>Next Space Station Crew Meets Officials on Eve of Launch</t>
  </si>
  <si>
    <t>Expedition 46-47 Soyuz Commander Yuri Malenchenko of the Russian Federal Space Agency (Roscosmos), NASA Flight Engineer Tim Kopra and Flight Engineer Tim Peake of the European Space Agency, and their backups appeared before the Russian State Commission on Dec. 14 in Baikonur, Kazakhstan. The commission gave its final approval for the Dec. 15 launch of the crew to the International Space Station.</t>
  </si>
  <si>
    <t>0kLGyxX8SOM</t>
  </si>
  <si>
    <t>https://youtu.be/Ke1IhvMbqJE</t>
  </si>
  <si>
    <t>Astronaut Recruitment Starts Today</t>
  </si>
  <si>
    <t>NASA is on a Journey to Mars and we are on the lookout for a new generation of space pioneers. Do you think you have what it takes to join NASA’s next astronaut class? 
Visit: http://www.nasa.gov/astronauts
Follow along: #BeAnAstronaut #NASA</t>
  </si>
  <si>
    <t>Ke1IhvMbqJE</t>
  </si>
  <si>
    <t>2015 12 11</t>
  </si>
  <si>
    <t>https://youtu.be/4tw5uwHD0PE</t>
  </si>
  <si>
    <t>Space Station Astronauts Return Safely to Earth on This Week @NASA – December 11, 2015</t>
  </si>
  <si>
    <t>On Dec. 11 aboard the International Space Station, NASA’s Kjell Lindgren, Russian cosmonaut Oleg Kononenko and Kimiya Yui of the Japan Aerospace Exploration Agency, bid farewell to crew members remaining on the station -- including Commander Scott Kelly, NASA’s one-year mission astronaut. The returning members of Expedition 45 then climbed aboard their Soyuz spacecraft for the trip back to Earth. They safely touched down hours later in Kazakhstan – closing out a 141-day stay in space. Also, Next space station crew prepares for launch, Supply mission arrives at space station, Quantum computing lab and more!</t>
  </si>
  <si>
    <t>4tw5uwHD0PE</t>
  </si>
  <si>
    <t>https://youtu.be/_A5vjE_uNrs</t>
  </si>
  <si>
    <t>After completing the return trip to Earth from the International Space Station with a safe landing in Kazakhstan on Dec. 11, Expedition 45 Commander Oleg Kononenko of the Russian Federal Space Agency (Roscosmos) and Flight Engineers Kjell Lindgren of NASA and Kimiya Yui of the Japan Aerospace Exploration Agency were assisted into reclining chairs by Russian, U.S. and European personnel to begin their adaptation to gravity after being extracted from their spacecraft. The trio spent 141 days in space during their missions to the space station.</t>
  </si>
  <si>
    <t>_A5vjE_uNrs</t>
  </si>
  <si>
    <t>https://youtu.be/9JfsdiGSsrc</t>
  </si>
  <si>
    <t>Expedition 45 Crew Lands Safely in Kazakhstan</t>
  </si>
  <si>
    <t>Expedition 45 Commander Oleg Kononenko of the Russian Federal Space Agency (Roscosmos) and Flight Engineers Kjell Lindgren of NASA and Kimiya Yui of the Japan Aerospace Exploration Agency landed safely in Kazakhstan on Dec. 11, following 141 days in space during a mission aboard the International Space Station.</t>
  </si>
  <si>
    <t>9JfsdiGSsrc</t>
  </si>
  <si>
    <t>https://youtu.be/9U7LAoFEFqg</t>
  </si>
  <si>
    <t>Space Station Crew Members Head Back to Earth</t>
  </si>
  <si>
    <t>The Soyuz spacecraft carrying Expedition 45 crew members Oleg Kononenko of the Russian Federal Space Agency (Roscosmos) and Flight Engineers Kjell Lindgren of NASA and Kimiya Yui of the Japan Aerospace Exploration Agency, departed the International Space Station on Dec. 11 for the return trip to Earth. The returning crew was scheduled to land hours later in Kazakhstan to wrap up 141 days in space.</t>
  </si>
  <si>
    <t>9U7LAoFEFqg</t>
  </si>
  <si>
    <t>https://youtu.be/Q5Tu_5SG-1g</t>
  </si>
  <si>
    <t>Job Well Done Aboard The Space Station</t>
  </si>
  <si>
    <t>Prior to climbing aboard the Soyuz spacecraft that would take them back to Earth on Dec. 11, to conclude their successful mission aboard the International Space Station, Expedition 45 Commander Oleg Kononenko of the Russian Federal Space Agency (Roscosmos) and Flight Engineers Kjell Lindgren of NASA and Kimiya Yui of the Japan Aerospace Exploration Agency, bid farewell to the crew remaining on the orbital outpost, including NASA’s Scott Kelly.</t>
  </si>
  <si>
    <t>Q5Tu_5SG-1g</t>
  </si>
  <si>
    <t>2015 12 10</t>
  </si>
  <si>
    <t>https://youtu.be/12QBkuWFtlI</t>
  </si>
  <si>
    <t>Launch Approaches for Next Space Station Crew</t>
  </si>
  <si>
    <t>At the Baikonur Cosmodrome in Kazakhstan, Expedition 46-47 Soyuz Commander Yuri Malenchenko of the Russian Federal Space Agency (Roscosmos), NASA Flight Engineer Tim Kopra and Flight Engineer Tim Peake of the European Space Agency, and their backups participated in final pre-launch training activities. Malenchenko, Kopra and Peake will launch aboard a Soyuz spacecraft on Dec. 15 for a six-month mission aboard International Space Station.</t>
  </si>
  <si>
    <t>12QBkuWFtlI</t>
  </si>
  <si>
    <t>2015 12 09</t>
  </si>
  <si>
    <t>https://youtu.be/wZYa9ZKZeDk</t>
  </si>
  <si>
    <t>NASA Launches Go Ultra-High Definition</t>
  </si>
  <si>
    <t>NASA Television’s newest offering, NASA TV UHD, brings ultra-high definition video to a new level with the kind of imagery only the world’s leader in space exploration could provide.
Using an array of six 4K+ cameras, Harmonic documented the Dec. 6 launch of Orbital ATK’s commercial resupply mission to the International Space Station from Cape Canaveral Air Force Station in Florida. Capturing footage at Ultra High Definition with high frame rate and in high dynamic range (HDR) options.
The company then post-produced the footage into a program showcasing the entire launch process for airing on NASA TV UHD.
For more info: http://go.nasa.gov/1lyUGlY</t>
  </si>
  <si>
    <t>wZYa9ZKZeDk</t>
  </si>
  <si>
    <t>https://youtu.be/m-jx_DAw5uw</t>
  </si>
  <si>
    <t>Space Station One Year Crew Members Share Thoughts About Mission</t>
  </si>
  <si>
    <t>Aboard the International Space Station, Expedition 45 Commander Scott Kelly of NASA and Flight Engineer Mikhail Kornienko of the Russian Federal Space Agency (Roscosmos) discussed the progress of their year-long mission aboard the orbital laboratory during a pair of in-flight interviews Dec. 9 with Popular Science Magazine and WBFF-TV, Baltimore. Kelly and Kornienko are in the ninth month of their year in space, collecting valuable biomedical data on the effect of long duration spaceflight on the human body that will be used in the formulation of a future human mission to Mars.</t>
  </si>
  <si>
    <t>m-jx_DAw5uw</t>
  </si>
  <si>
    <t>https://youtu.be/Yz2t39XVStA</t>
  </si>
  <si>
    <t>U.S. Supply Ship Attached to the Space Station</t>
  </si>
  <si>
    <t>Hours after arriving to the International Space Station, Orbital ATK’s enhanced Cygnus cargo spacecraft was attached to the orbital outpost to enable the space station crew to begin transferring the more than three tons of supplies and experiments delivered by Cygnus.</t>
  </si>
  <si>
    <t>Yz2t39XVStA</t>
  </si>
  <si>
    <t>https://youtu.be/whifN2A2aqE</t>
  </si>
  <si>
    <t>U.S. Cargo Craft Arrives at Space Station</t>
  </si>
  <si>
    <t>On Dec. 9, three days after its launch atop an Atlas V rocket from Cape Canaveral Air Force Station in Florida, the Orbital ATK Cygnus cargo craft arrived at the International Space Station with more than three tons of supplies and experiments to the station residents. This was the first flight of an enhanced Cygnus spacecraft to the station featuring greater payload capacity and the first Cygnus mission using the Atlas V launch system.</t>
  </si>
  <si>
    <t>whifN2A2aqE</t>
  </si>
  <si>
    <t>2015 12 08</t>
  </si>
  <si>
    <t>https://youtu.be/3G8x_g__Lbs</t>
  </si>
  <si>
    <t>Station Commander Spends Time with Students at the Museum</t>
  </si>
  <si>
    <t>Aboard the International Space Station, Expedition 45 Commander Scott Kelly of NASA discussed life and research aboard the orbital laboratory with Massachusetts students gathered at the Boston Museum of Science during an in-flight educational event Dec. 8. Kelly is in the ninth month of a year-long mission on the complex, gathering valuable data that will be used in the future formulation of a human mission to Mars.</t>
  </si>
  <si>
    <t>3G8x_g__Lbs</t>
  </si>
  <si>
    <t>https://youtu.be/zbhdq2P7gZo</t>
  </si>
  <si>
    <t>The Best Place to Work, Four Years in a Row</t>
  </si>
  <si>
    <t>I am delighted to share with you that NASA has been named the Best Place to Work in government in the large agency category for the fourth year in a row.  Our workforce continues to do amazing things – from carrying out a journey to Mars to developing the aeronautics and space technologies that will make our future brighter and I couldn’t be more proud. 
I want to thank the Partnership for Public Service for their continued recognition of the importance of public service and their efforts to call positive attention to federal workers and the federal workplace. 
I’ve been blessed to work at NASA in many capacities since joining the Astronaut Corps in 1980.  For almost seven years now, I have been blessed to lead this amazing agency and I can say without hesitation it is most certainly a great place to work.  Everyone who walks through our doors to raise the bar of human achievement does so with a great amount of passion and that’s truly the only way we can accomplish the huge challenges of exploring space, learning more about our planet and increasing human capabilities. 
This year, the entire world watched as New Horizons sent back the first close-up images of Pluto.  We made new discoveries about Mars that will help inform human missions there.  We learned more about our home planet and our changing climate as newer Earth science missions began to return their data.  The Orion spacecraft and Space Launch System rocket that will carry us again to deep space continued to reach new milestones.  In cooperation with our industry partners, Boeing and SpaceX, we moved closer to commercial launches of astronauts from American soil.  Technology continued to drive exploration -- in space and in the air -- and we made advances toward a future in which we make air travel safer, cleaner and more efficient. 
I want to thank each of you in our NASA Family for your contributions to our mission and the great value you are delivering to the American public.  Special thanks to our mid-level managers and supervisors who serve every single day as the role models and mentors for our thousands of employees and encourage all of us to do our very best to excel in the accomplishment of our ambitious goals and objectives.  
No matter your pay grade or area of expertise, your commitment to the Agency’s missions in every area has made all of this possible.  The credit for this success goes to you, who are on the front lines of the future. 
While our satellites travel to space, new technologies leap from drawing boards to implementation and we set our sights on Mars – it all begins with your hard work and innovation. 
Thank you for keeping the United States the world’s leader in science, aeronautics and space exploration.  I look forward to working with all of you toward even greater successes in 2016. 
From the entire NASA senior leadership team, I thank you and wish you all a safe and blessed holiday season!</t>
  </si>
  <si>
    <t>zbhdq2P7gZo</t>
  </si>
  <si>
    <t>2015 12 07</t>
  </si>
  <si>
    <t>https://youtu.be/CtiPOsC2Vzg</t>
  </si>
  <si>
    <t>Post-launch Status of Supply Mission to the Space Station</t>
  </si>
  <si>
    <t>A briefing was held at the Kennedy Space Center to discuss the status of Orbital ATK’s enhanced Cygnus spacecraft, following its launch to the International Space Station. The Cygnus launched Dec. 6 from Cape Canaveral Air Force Station in Florida to deliver more than 7,000 pounds of science and research, crew supplies and vehicle hardware to the orbital laboratory. This is Orbital ATK’s fourth contracted mission to the station under the agency’s Commercial Resupply Services contract.</t>
  </si>
  <si>
    <t>CtiPOsC2Vzg</t>
  </si>
  <si>
    <t>https://youtu.be/v_hCIk-zSKs</t>
  </si>
  <si>
    <t>Cargo Spacecraft Spreads its “Wings”</t>
  </si>
  <si>
    <t>After launching on Dec. 6 from Cape Canaveral Air Force Station in Florida, Orbital ATK’s enhanced Cygnus spacecraft deployed its solar array “wings”. The Cygnus is headed to the International Space Station on a mission to deliver more than 7,000 pounds of science and research, crew supplies and vehicle hardware to the orbital laboratory. This is Orbital ATK’s fourth contracted mission to the station under the agency’s Commercial Resupply Services contract.</t>
  </si>
  <si>
    <t>v_hCIk-zSKs</t>
  </si>
  <si>
    <t>2015 12 06</t>
  </si>
  <si>
    <t>https://youtu.be/Uh5YnXyjT5c</t>
  </si>
  <si>
    <t>Supply Spacecraft Launches to the Space Station</t>
  </si>
  <si>
    <t>On Dec.6, Orbital ATK’s enhanced Cygnus spacecraft launched from Cape Canaveral Air Force Station in Florida to the International Space Station, on a mission to deliver more than 7,000 pounds of science and research, crew supplies and vehicle hardware to the orbital laboratory. This is Orbital ATK’s fourth contracted mission to the station under the agency’s Commercial Resupply Services contract.</t>
  </si>
  <si>
    <t>Uh5YnXyjT5c</t>
  </si>
  <si>
    <t>2015 12 05</t>
  </si>
  <si>
    <t>https://youtu.be/fBvoIUDGPIM</t>
  </si>
  <si>
    <t>A chat with Congress, from space on This Week @NASA – December 4, 2015</t>
  </si>
  <si>
    <t>A Dec. 2 event with the House of Representatives Committee on Science, Space and Technology, featured a live chat with NASA’s Scott Kelly and Kjell Lindgren from onboard the International Space Station. Kelly and Lindgren answered questions from Texas Representative and Chairperson Lamar Smith and other committee members, about life on the station and the research on the orbital laboratory. Kelly is in the ninth month of his year-long mission with Russian cosmonaut Mikhail Kornienko to gather biomedical data that will help formulate a human mission to Mars, while Lindgren is preparing to return to Earth Dec. 11 to complete a 141-day mission. Also, Next space station crew preparing for launch, Orion powerhouse ready for testing, Anniversary of Orion’s first flight test, Your planet is changing. We’re on it, and Preparing Earth observation tool for space station!</t>
  </si>
  <si>
    <t>fBvoIUDGPIM</t>
  </si>
  <si>
    <t>2015 12 02</t>
  </si>
  <si>
    <t>https://youtu.be/B2HeIfuqZzw</t>
  </si>
  <si>
    <t>Prelaunch Status of Next Supply Mission to the Space Station</t>
  </si>
  <si>
    <t>A Dec. 2 briefing was held at the Kennedy Space Center to discuss preparations for the supply mission of Orbital ATK’s enhanced Cygnus spacecraft to the International Space Station. The Cygnus is scheduled to launch Dec. 3 from Cape Canaveral Air Force Station in Florida to deliver more than 7,000 pounds of science and research, crew supplies and vehicle hardware to the orbital laboratory. This is Orbital ATK’s fourth contracted mission to the station under the agency’s Commercial Resupply Services contract.</t>
  </si>
  <si>
    <t>B2HeIfuqZzw</t>
  </si>
  <si>
    <t>https://youtu.be/hnyOH4Ega2c</t>
  </si>
  <si>
    <t>The Science, Research and Tech Headed to the Space Station</t>
  </si>
  <si>
    <t>During a Dec. 2 briefing at the Kennedy Space Center, panelists discussed the science, research and technology payloads being delivered to the International Space Station by Orbital ATK’s enhanced Cygnus spacecraft. Cygnus is scheduled to launch Dec. 3 from Cape Canaveral Air Force Station in Florida. This is Orbital ATK’s fourth contracted mission to the station under the agency’s Commercial Resupply Services contract.</t>
  </si>
  <si>
    <t>hnyOH4Ega2c</t>
  </si>
  <si>
    <t>https://youtu.be/2i8AlqomBwo</t>
  </si>
  <si>
    <t>A Social Look at the Next Supply Mission to the Space Station</t>
  </si>
  <si>
    <t>Social media representatives, who were invited to the Kennedy Space Center and Cape Canaveral Air Force Station to cover prelaunch and launch activities of Orbital ATK’s enhanced Cygnus cargo spacecraft for its mission to the International Space Station, participated in a NASA Social on Dec. 2. Representatives from NASA and commercial partner Orbital ATK, were among those available to discuss the mission during the event. The enhanced Cygnus, which is capable of transporting over 7,000 pounds of cargo, is scheduled to launch to the station on Dec. 3.</t>
  </si>
  <si>
    <t>2i8AlqomBwo</t>
  </si>
  <si>
    <t>https://youtu.be/x5pbUj3Arpg</t>
  </si>
  <si>
    <t>Space Station Crew Discusses Activities with Congress</t>
  </si>
  <si>
    <t>Aboard the International Space Station, Expedition 45 Commander Scott Kelly and Flight Engineer Kjell Lindgren of NASA discussed life aboard the orbital laboratory and the research they are conducting with members of the House, Science, Space and Technology Committee during an in-flight discussion Dec. 2. Chaired by Rep. Lamar Smith (R-Texas). Kelly is in the ninth month of his year-long mission on the station with Russian cosmonaut Mikhail Kornienko, gathering valuable biomedical data that will help enable NASA’s journey to Mars, while Lindgren is preparing to return to Earth Dec. 11 to complete a 141-day mission.</t>
  </si>
  <si>
    <t>x5pbUj3Arpg</t>
  </si>
  <si>
    <t>2015 12 01</t>
  </si>
  <si>
    <t>https://youtu.be/FHbUvQl4EYA</t>
  </si>
  <si>
    <t>Space to Ground Conversation with Students in Japan</t>
  </si>
  <si>
    <t>Aboard the International Space Station, Expedition 45 Flight Engineer Kimiya Yui of the Japan Aerospace Exploration Agency (JAXA) discussed his mission with students gathered in Kobe and Kyodo, Japan during an in-flight question and answer session Dec. 1. Yui will be returning to Earth on a Russian Soyuz spacecraft Dec. 11 after spending 141 days in space.</t>
  </si>
  <si>
    <t>FHbUvQl4EYA</t>
  </si>
  <si>
    <t>2015 11 30</t>
  </si>
  <si>
    <t>https://youtu.be/PVuXLBG52F4</t>
  </si>
  <si>
    <t>Plum Brook Welcomes Orion’s Powerhouse</t>
  </si>
  <si>
    <t>An event on Nov. 30 at NASA’s Plum Brook Station facility in Sandusky, Ohio marked the arrival of a full-size test version of the service module provided by the European Space Agency (ESA) for NASA’s Orion spacecraft. The module will supply the spacecraft’s power, in-space propulsion and air and water for astronauts onboard Orion, which is being developed to help send humans to deep space destinations, such as an asteroid placed in lunar orbit and Mars. A rigorous test campaign will be conducted at Plum Brook to ensure the module can withstand the trip to space.</t>
  </si>
  <si>
    <t>PVuXLBG52F4</t>
  </si>
  <si>
    <t>https://youtu.be/e3ypBgB2R3E</t>
  </si>
  <si>
    <t>Next Space Station Crew Heads to Launch Site</t>
  </si>
  <si>
    <t>Following traditional ceremonies in Star City, Russia on Nov. 30, NASA’s Tim Kopra and his Expedition 46-47 Crewmates -- Yuri Malenchenko of the Russian Federal Space Agency (Roscosmos) and ESA astronaut Tim Peake, departed for the Baikonur Cosmodrome in Kazakhstan to complete their training and preparations for their Dec. 15 launch to the International Space Station. The trio is scheduled to spend six months onboard the space station.</t>
  </si>
  <si>
    <t>e3ypBgB2R3E</t>
  </si>
  <si>
    <t>2015 11 27</t>
  </si>
  <si>
    <t>https://youtu.be/PCzJkulsjbE</t>
  </si>
  <si>
    <t>Small Business Saturday</t>
  </si>
  <si>
    <t>Join NASA's Office of Small Business Programs in celebrating and supporting small businesses across the country.
For more information visit.
http://www.osbp.nasa.gov
http://www.facebook.com/NASASmallBusiness</t>
  </si>
  <si>
    <t>PCzJkulsjbE</t>
  </si>
  <si>
    <t>https://youtu.be/hw5ATY1arkM</t>
  </si>
  <si>
    <t>Presidential Medal of Freedom ceremony on This Week @NASA – November 27, 2015</t>
  </si>
  <si>
    <t>During a Nov. 24 ceremony at the White House, former NASA mathematician and physicist Katherine Johnson was one of seventeen individuals to receive the Presidential Medal of Freedom from President Obama. It is the nation’s highest civilian honor – given for meritorious contributions to the security or national interests of the United States, to world peace, or to cultural or other significant public or private endeavors. Johnson's work influenced NASA space programs – from Project Mercury through the space shuttle. Her calculations were used for some of NASA’s most historic missions – including the 1961 flight of Alan Shepard, the first American in space; the 1962 flight during which John Glenn became the first American to orbit Earth; and the 1969 Apollo 11 mission to the moon. Also, Happy Thanksgiving, from space, Next space station crew prepares for launch, Anniversary of first 3-D part printed in space, First flight mirror installed on Webb telescope, Climate and marine study and more!</t>
  </si>
  <si>
    <t>hw5ATY1arkM</t>
  </si>
  <si>
    <t>2015 11 25</t>
  </si>
  <si>
    <t>https://youtu.be/wSqgaRhgTmc</t>
  </si>
  <si>
    <t>From crew-mates to family… No matter where you celebrate the holiday, or who you celebrate it with - Happy Thanksgiving from NASA.</t>
  </si>
  <si>
    <t>wSqgaRhgTmc</t>
  </si>
  <si>
    <t>2015 11 24</t>
  </si>
  <si>
    <t>https://youtu.be/B_em-FMhqHo</t>
  </si>
  <si>
    <t>NASA Congratulates Barbara Mikulski on Presidential Medal of Freedom</t>
  </si>
  <si>
    <t>NASA Administrator Charles Bolden congratulates U.S. Senator Barbara Mikulski of Maryland on the receipt of the Presidential Medal of Freedom on Tuesday, November 24, 2015.</t>
  </si>
  <si>
    <t>B_em-FMhqHo</t>
  </si>
  <si>
    <t>https://youtu.be/bLgzHutK1wo</t>
  </si>
  <si>
    <t>NASA Mathematician, Recipient of Nations Highest Civilian Honor</t>
  </si>
  <si>
    <t>Katherine Johnson spent more than three decades as a mathematician at NASA and the NACA.</t>
  </si>
  <si>
    <t>bLgzHutK1wo</t>
  </si>
  <si>
    <t>https://youtu.be/RoTJIzeLtGI</t>
  </si>
  <si>
    <t>Aspiring Reporter Interviews Bolden about NASA's Journey to Mars</t>
  </si>
  <si>
    <t>A dream come true, as a sharp young man from New York City gets to interview former astronaut and NASA Administrator Charles Bolden.</t>
  </si>
  <si>
    <t>RoTJIzeLtGI</t>
  </si>
  <si>
    <t>2015 11 23</t>
  </si>
  <si>
    <t>https://youtu.be/A5HTJVMOh_g</t>
  </si>
  <si>
    <t>Preflight activities in Russia for next space station crew</t>
  </si>
  <si>
    <t>Expedition 46-47 Soyuz Commander Yuri Malenchenko of the Russian Federal Space Agency (Roscosmos), NASA Flight Engineer Tim Kopra and Flight Engineer Tim Peake of the European Space Agency, and their backups, Anatoly Ivanishin of Roscosmos, Kate Rubins of NASA and Takuya Onishi of the Japan Aerospace Exploration Agency visited the Gagarin Museum where they viewed historic space artifacts at the Gagarin Cosmonaut Training Center in Star City, Russia Nov. 23, then traveled to Moscow where they laid flowers at the Kremlin Wall in Red Square where Russian space icons are interred. Malenchenko, Kopra and Peake are scheduled to launch Dec. 15 in the Soyuz TMA-19M spacecraft to the International Space Station for a six-month mission.</t>
  </si>
  <si>
    <t>A5HTJVMOh_g</t>
  </si>
  <si>
    <t>https://youtu.be/2Sdxb-YSTvc</t>
  </si>
  <si>
    <t>Next space station crew meets the Press</t>
  </si>
  <si>
    <t>Expedition 46-47 Soyuz Commander Yuri Malenchenko of the Russian Federal Space Agency (Roscosmos), NASA Flight Engineer Tim Kopra and Flight Engineer Tim Peake of the European Space Agency, and their backups, Anatoly Ivanishin of Roscosmos, Kate Rubins of NASA and Takuya Onishi of the Japan Aerospace Exploration Agency participated in a news conference at the Gagarin Cosmonaut Training Center in Star City, Russia Nov. 23. Malenchenko, Kopra and Peake are scheduled to launch Dec. 15 in the Soyuz TMA-19M spacecraft to the International Space Station for a six-month mission.</t>
  </si>
  <si>
    <t>2Sdxb-YSTvc</t>
  </si>
  <si>
    <t>https://youtu.be/3XQchueaE6k</t>
  </si>
  <si>
    <t>Happy Thanksgiving, From Space!</t>
  </si>
  <si>
    <t>Aboard the International Space Station, Expedition 45 Commander Scott Kelly and Flight Engineer Kjell Lindgren of NASA send Thanksgiving wishes to all on Earth. The pair also shared their plans for the holiday – including an early sampling of their Thanksgiving Day meal. Kelly is heading into the ninth month of his year-long mission aboard the complex, while Lindgren is wrapping up his flight and preparing for a landing in Kazakhstan in a Soyuz spacecraft Dec. 11.</t>
  </si>
  <si>
    <t>3XQchueaE6k</t>
  </si>
  <si>
    <t>2015 11 21</t>
  </si>
  <si>
    <t>https://youtu.be/Lxyp5IIGO48</t>
  </si>
  <si>
    <t>Lola and NASA Television</t>
  </si>
  <si>
    <t>After meeting NASA engineers Sandra Cauffman (Goddard Space Flight Center) and Diana Trujillo (Jet Propulsion Laboratory) at an event with the Inter-American Development Bank to discuss early mathematics and science education in Latin America and the Caribbean, Lola, a Muppet from Plaza Sésamo got a chance to be on NASA Television.
Lola and NASA Engineers Promote Science Education in Latin America https://youtu.be/oPYeLhvpIkg</t>
  </si>
  <si>
    <t>Lxyp5IIGO48</t>
  </si>
  <si>
    <t>https://youtu.be/HvNbzQu-r80</t>
  </si>
  <si>
    <t>Lola and NASA Television (En español)</t>
  </si>
  <si>
    <t>HvNbzQu-r80</t>
  </si>
  <si>
    <t>2015 11 20</t>
  </si>
  <si>
    <t>https://youtu.be/t3_5ahJ0-Lw</t>
  </si>
  <si>
    <t>Curiosity heads to active Martian dunes on This Week @NASA – November 20, 2015</t>
  </si>
  <si>
    <t>NASA’s Curiosity rover is making an unscheduled stop on its way up Mount Sharp on Mars, for a close-up look at a collection of actively moving sand dunes. Images from orbit indicate that the Bagnold Dunes are migrating as much as about 3 feet per Earth year, and includes one particular dune that is about two-stories high and as broad as a football field. Researchers plan to have the rover take samples for analysis. No active dunes have ever been visited anywhere else in the solar system besides Earth. Also, Orion cone panels welded, Launch approaches for Cygnus, Student CubeSat onboard Cygnus, New crew access tower components and more!</t>
  </si>
  <si>
    <t>t3_5ahJ0-Lw</t>
  </si>
  <si>
    <t>https://youtu.be/_4NNAN3ffRU</t>
  </si>
  <si>
    <t>Preparing for Life Aboard the Space Station</t>
  </si>
  <si>
    <t>Expedition 46/47 prime crew members Timothy Kopra of NASA, Yuri Malenchenko of the Russian Federal Space Agency (Roscosmos) and Timothy Peake of the European Space Agency and their backups, Kate Rubins of NASA, Anatoly Ivanishin of Roscosmos and Takuya Onishi of the Japan Aerospace Exploration Agency (JAXA) conducted final qualification training at the Gagarin Cosmonaut Training Center in Star City, Russia Nov. 19 and 20. Kopra, Malenchenko and Peake are scheduled to launch Dec. 15, Kazakh time, in the Soyuz TMA-19M spacecraft for a six-month mission on the International Space Station.</t>
  </si>
  <si>
    <t>_4NNAN3ffRU</t>
  </si>
  <si>
    <t>2015 11 19</t>
  </si>
  <si>
    <t>https://youtu.be/NBJfVzvLIQ0</t>
  </si>
  <si>
    <t>Spending TIME Aboard the Space Station</t>
  </si>
  <si>
    <t>NBJfVzvLIQ0</t>
  </si>
  <si>
    <t>2015 11 18</t>
  </si>
  <si>
    <t>https://youtu.be/K351HVQwpr8</t>
  </si>
  <si>
    <t>STEM in 30 - 15 Years of Humans in Space</t>
  </si>
  <si>
    <t>The Smithsonian National Air and Space Museum’s STEM in 30 series of live, fast-paced, 30-minute webcasts are designed to increase interest and engagement in STEM for students. This episode, which originated from the museum Nov. 18, 2015, celebrates the 15th anniversary of continuous occupation of the International Space Station and will look at the incredible achievements for the station during the last 15 years.</t>
  </si>
  <si>
    <t>K351HVQwpr8</t>
  </si>
  <si>
    <t>2015 11 17</t>
  </si>
  <si>
    <t>https://youtu.be/i4sMFq2CNGE</t>
  </si>
  <si>
    <t>One Year in Space, Many Benefits</t>
  </si>
  <si>
    <t>Aboard the International Space Station, Expedition 45 Commander Scott Kelly of NASA and Flight Engineer Mikhail Kornienko of the Russian Federal Space Agency (Roscosmos) discussed their life and research on the orbital laboratory during a pair of in-flight interviews Nov. 17 with MSNBC’s “All in with Chris Hayes” program and AOL.com. Kelly and Kornienko are nearing the completion of the eighth month of their year-long mission, gathering valuable biomedical data on the effects of long duration weightlessness on the human body that will be used to formulate a future human mission to Mars.</t>
  </si>
  <si>
    <t>i4sMFq2CNGE</t>
  </si>
  <si>
    <t>2015 11 16</t>
  </si>
  <si>
    <t>https://youtu.be/M9WsTr29hNE</t>
  </si>
  <si>
    <t>Minute of Silence Aboard Space Station for Paris Terrorist Victims</t>
  </si>
  <si>
    <t>Aboard the International Space Station, the Expedition 45 crew observed a minute of silence Nov. 16 in honor of the victims of the terrorist attacks in Paris Nov. 13. Speaking from Mission Control in Houston, spacecraft communicator Hal Getzelman initiated the minute of silent tribute for the crew and all flight control teams around the world at 6 a.m. Eastern time (11:00 GMT). At the conclusion of the silent tribute, space station Commander Scott Kelly of NASA thanked the flight control team, saying the crew was “shocked and saddened” by the events in Paris.</t>
  </si>
  <si>
    <t>M9WsTr29hNE</t>
  </si>
  <si>
    <t>2015 11 13</t>
  </si>
  <si>
    <t>https://youtu.be/4iaScOqvI64</t>
  </si>
  <si>
    <t>Carbon and Earth’s future climate on This Week @NASA – November 13, 2015</t>
  </si>
  <si>
    <t>New observations from NASA’s Orbiting Carbon Observatory-2 (OCO-2) mission is providing insight into how Earth is responding to rising levels of heat-trapping gases in the atmosphere, and what this means for our future climate. Earth’s land and ocean currently absorb about half of all carbon dioxide emissions from the burning of fossil fuels, but it’s uncertain whether the planet can keep this up in the future. Later this month, a United Nations climate meeting in Paris will focus on setting limits on future levels of human-produced carbon emissions. OCO-2 is NASA’s first satellite dedicated to measuring carbon dioxide. Also, New Horizons science update, NASA at Bay Area Science Festival, Anniversary of first spacecraft landing on a comet, Cygnus being prepared for launch, and Girls Rising in Math and Science!</t>
  </si>
  <si>
    <t>4iaScOqvI64</t>
  </si>
  <si>
    <t>2015 11 10</t>
  </si>
  <si>
    <t>https://youtu.be/4JDZQrnKkGo</t>
  </si>
  <si>
    <t>Highlighting Life in Space for Students in Japan</t>
  </si>
  <si>
    <t>Aboard the International Space Station, Expedition 45 Flight Engineer Kimiya Yui of the Japan Aerospace Exploration Agency (JAXA) discussed life and research on the orbital outpost during an in-flight question and answer session Nov. 10 with students and dignitaries gathered at the Nagoya City Science Museum in Japan. Yui is in the final month of his five-month mission on the complex, heading for a landing in his Russian Soyuz spacecraft on the steppe of Kazakhstan in December.</t>
  </si>
  <si>
    <t>4JDZQrnKkGo</t>
  </si>
  <si>
    <t>https://youtu.be/nq08YGDFu0w</t>
  </si>
  <si>
    <t>Stepping Out For The First Time</t>
  </si>
  <si>
    <t>Expedition 45 Commander Scott Kelly and Flight Engineer Kjell Lindgren of NASA conducted what was the first spacewalk for each on Oct. 28, outside the International Space Station.
The outing was the first of two scheduled spacewalks the pair will perform to upgrade station systems – they are scheduled to go back out on Nov. 6.</t>
  </si>
  <si>
    <t>nq08YGDFu0w</t>
  </si>
  <si>
    <t>2015 11 09</t>
  </si>
  <si>
    <t>https://youtu.be/knN06v6UGUE</t>
  </si>
  <si>
    <t>Scott Kelly Discusses Benefits of One-Year in Space Mission</t>
  </si>
  <si>
    <t>Aboard the International Space Station, Expedition 45 Commander Scott Kelly of NASA and Flight Engineer Mikhail Kornienko of the Russian Federal Space Agency (Roscosmos) fielded questions about their one-year mission on the orbital laboratory during a pair of in-flight interviews Nov. 9 with ABC’s “The View” program and ITV News. Now in their eighth month aboard the station, Kelly and Kornienko are gathering valuable data on the effect of long duration weightlessness on the human body that will be used to formulate the planning for a future human mission to Mars.</t>
  </si>
  <si>
    <t>knN06v6UGUE</t>
  </si>
  <si>
    <t>2015 11 06</t>
  </si>
  <si>
    <t>https://youtu.be/FBboATdhxww</t>
  </si>
  <si>
    <t>Outdoor Activity on the Space Station</t>
  </si>
  <si>
    <t>On Nov. 6, for the second time in nine days, Expedition 45 Commander Scott Kelly and Flight Engineer Kjell Lindgren of NASA ventured outside the International Space Station to conduct a spacewalk. The outdoor activity by the pair included work to restore a truss cooling system on the complex back to its original configuration. The spacewalk was the second for both crewmembers and the 190th in support of space station assembly and maintenance.</t>
  </si>
  <si>
    <t>FBboATdhxww</t>
  </si>
  <si>
    <t>https://youtu.be/NPLPmdFx2yw</t>
  </si>
  <si>
    <t>How Mars is losing its atmosphere on This Week @NASA – November 6, 2015</t>
  </si>
  <si>
    <t>New findings by NASA’s Mars Atmosphere and Volatile Evolution (MAVEN) mission indicate that solar wind is currently stripping away the equivalent of about 1/4 pound of gas every second from the Martian atmosphere. MAVEN tracked a series of dramatic solar storms passing through the Martian atmosphere in March and found the loss was accelerated. This could suggest that violent solar activity in the distant past may have played a key role in the transition of the Martian climate from an early, warm and wet environment that might have supported surface life, to the cold, arid planet Mars is today. Also, 15 Years on space station, and counting!, Spacewalk for space station maintenance, NASA seeking future astronauts, Commercial Crew access tower progress and First SLS flight engine placed for testing!</t>
  </si>
  <si>
    <t>NPLPmdFx2yw</t>
  </si>
  <si>
    <t>2015 11 05</t>
  </si>
  <si>
    <t>https://youtu.be/GpwvOnC-Sl8</t>
  </si>
  <si>
    <t>Measuring Mars' Atmospheric Loss</t>
  </si>
  <si>
    <t>A Nov. 5 NASA science update highlighted data from NASA’s Mars Atmosphere and Volatile Evolution (MAVEN) mission that has determined the present rate at which Mars' atmosphere is losing gas to space, via stripping by the solar wind. This loss of gas to space appears to have played a key role in the transition of the Martian climate from an early, warm and wet environment that might have supported surface life to the cold, arid planet we see today.</t>
  </si>
  <si>
    <t>GpwvOnC-Sl8</t>
  </si>
  <si>
    <t>2015 11 04</t>
  </si>
  <si>
    <t>https://youtu.be/QjECZVitU00</t>
  </si>
  <si>
    <t>Astronaut Recruitment</t>
  </si>
  <si>
    <t>NASA is on a Journey to Mars and we are on the lookout for a new generation of space pioneers. Do you think you have what it takes to join NASA’s next astronaut class? Visit: http://www.nasa.gov/astronauts</t>
  </si>
  <si>
    <t>QjECZVitU00</t>
  </si>
  <si>
    <t>2015 11 03</t>
  </si>
  <si>
    <t>https://youtu.be/UCO-lwho1oU</t>
  </si>
  <si>
    <t>Q &amp; A with Commander Kelly</t>
  </si>
  <si>
    <t>Aboard the International Space Station, Expedition 45 Commander Scott Kelly of NASA discussed the progress of his year-long mission on the orbital laboratory and his first spacewalks during a pair of in-flight interviews Nov. 3 with Fox News Channel’s “Fox and Friends” program and the CBS Evening News with Scott Pelley. Kelly, who is in the eighth month of his year in space with Russian cosmonaut Mikhail Kornienko, completed the first spacewalk of his career Oct. 28 to upgrade station systems and will venture outside again on Nov. 6 to help in the reconfiguration of a station truss cooling system.</t>
  </si>
  <si>
    <t>UCO-lwho1oU</t>
  </si>
  <si>
    <t>2015 11 02</t>
  </si>
  <si>
    <t>https://youtu.be/jSPrEuDVf6U</t>
  </si>
  <si>
    <t>15 Years and Counting!</t>
  </si>
  <si>
    <t>In recognition of the 15th anniversary of the arrival of the first Expedition crew to the International Space Station, the six crewmembers currently serving aboard the orbital outpost talked to the media about the fifteen uninterrupted years of human presence aboard the station. Station Commander Scott Kelly and Flight Engineer Kjell Lindgren of NASA, Flight Engineers Mikhail Kornienko, Oleg Kononenko and Sergey Volkov of the Russian Federal Space Agency (Roscosmos) and Flight Engineer Kimiya Yui of the Japan Aerospace Exploration Agency (JAXA) participated in the news conference.</t>
  </si>
  <si>
    <t>jSPrEuDVf6U</t>
  </si>
  <si>
    <t>2015 10 30</t>
  </si>
  <si>
    <t>https://youtu.be/hlILijzVbLc</t>
  </si>
  <si>
    <t>Make Space For Cosmic Treats This Halloween</t>
  </si>
  <si>
    <t>A full moon can play tricks on you, especially in this dark and lonely cornfield. Happy Halloween from NASA!</t>
  </si>
  <si>
    <t>hlILijzVbLc</t>
  </si>
  <si>
    <t>https://youtu.be/_a9og3pAqxY</t>
  </si>
  <si>
    <t>Advancing the Journey to Mars on This Week @NASA – October 30, 2015</t>
  </si>
  <si>
    <t>During an Oct. 28 keynote speech at the Center for American Progress, in Washington, NASA Administrator Charlie Bolden spoke about the advancement made on the journey to Mars and what lies ahead for future administrations and policy makers. NASA’s recently released report “Journey to Mars: Pioneering Next Steps in Space Exploration,” outlines its plan to reach Mars in phases – with technology demonstrations and research aboard the International Space Station, followed by hardware and procedure development in the proving ground around the moon, before sending humans to the Red Planet. Also, Space station spacewalk, Another record in space for Kelly, Mars Landing Sites/ Exploration Zones Workshop, Cassini’s “deep dive” flyby and more!</t>
  </si>
  <si>
    <t>_a9og3pAqxY</t>
  </si>
  <si>
    <t>https://youtu.be/At3CwMW2flg</t>
  </si>
  <si>
    <t>Third Rock Radio - Radio Powered with NASA</t>
  </si>
  <si>
    <t>Explore and discover new worlds of music with NASA’s Third Rock Radio. RFC Media matches “new rock discovery” with tales of NASA’s exciting, on-going mission to create one of the most talked about digital radio channels on, or off the planet. Third Rock fans worldwide share their discoveries from Music Explorers who present ”the best new rock out there – really out there!” Third Rock’s disarmingly hip, street-smart context connects and engages young adults and helps NASA deepen relationships with its next generation of avid supporters. Third Rock Radio is a recognized New Media phenomenon attracting the brightest and best, tech-savvy young adults. Third Rock’s audience is a blend of scientists, engineers, researchers, innovators and astronauts, together with students and music lovers everywhere, all of whom share a love for the new and undiscovered.
Listen Live: ThirdRockRadio.net</t>
  </si>
  <si>
    <t>At3CwMW2flg</t>
  </si>
  <si>
    <t>2015 10 29</t>
  </si>
  <si>
    <t>https://youtu.be/y3vnhqOFMmI</t>
  </si>
  <si>
    <t>Space Station Commander Talks About View of Space from New Perspective</t>
  </si>
  <si>
    <t>Aboard the International Space Station, Expedition 45 Commander Scott Kelly of NASA fielded questions about his first spacewalk, the status of his year-long mission on the complex and life and research in orbit during a pair of in-flight interviews Oct. 29 with MSNBC and TIME Magazine. Kelly conducted his first spacewalk Oct. 28 with NASA Flight Engineer Kjell Lindgren to upgrade several station systems and will venture outside the station again Nov. 6 with Lindgren to reconfigure cooling lines on the port truss of the outpost.</t>
  </si>
  <si>
    <t>y3vnhqOFMmI</t>
  </si>
  <si>
    <t>https://youtu.be/jqwqLTDhVXk</t>
  </si>
  <si>
    <t>Real Martians Moment  Have Rock Will Travel</t>
  </si>
  <si>
    <t>Dan Maznek is a Senior Space Systems Engineer at NASA’s Langley Research Center.  Dan is excited about the big ideas NASA has about its Asteroid Redirect Mission. You may have heard the agency is planning to capture an asteroid and move it into orbit around the moon. ”Why?”, You might ask. “Well, this is not your run of the mill, “bring me a rock” exercise. On the contrary. The technologies and the operational capabilities that will be developed to enable us to retrieve the asteroid, move it and send astronauts to it for research, will be repurposed to also help us send astronauts to Mars. How’s that for an idea?!</t>
  </si>
  <si>
    <t>jqwqLTDhVXk</t>
  </si>
  <si>
    <t>https://youtu.be/-s8Ovg04xL8</t>
  </si>
  <si>
    <t>Real Martians Moment  The Push for the Future</t>
  </si>
  <si>
    <t>Tom Kerslake is a solar array engineer at NASA’s Glenn Research Center. Tom is helping develop the solar arrays for the Asteroid Redirect Mission. You could say that solar (more specifically solar electric propulsion) could help provide the “push” future spacecraft need to travel safely and efficiently to and from Mars and other deep space destinations. Imagine being able to travel to Mars in a fraction of the time it currently takes. That’s what’s possible with solar electric propulsion, why this technology could be truly game changing and why it is a priority on NASA’s “to do” list!</t>
  </si>
  <si>
    <t>-s8Ovg04xL8</t>
  </si>
  <si>
    <t>https://youtu.be/HpV9uNUztvI</t>
  </si>
  <si>
    <t>Real Martians Moment  From Terror to Tame</t>
  </si>
  <si>
    <t>Ashley Korzun is an Aerospace Engineer at NASA’s Langley Research Center. Ashley works on the aerodynamics for the advanced technologies NASA is developing that will slow the speed of a spacecraft descending through the Martian atmosphere from “terror to tame”. This is especially important for humans traveling inside the spacecraft. But developing technologies to help safely slow the plunge of a spacecraft to enable controlled and precise landings will also help us to send very large payloads to the surface of Mars. NASA’s Journey to Mars is helping to create science fact from science fiction.</t>
  </si>
  <si>
    <t>HpV9uNUztvI</t>
  </si>
  <si>
    <t>https://youtu.be/KycR4kguSII</t>
  </si>
  <si>
    <t>Real Martians Moment  The Heat is On</t>
  </si>
  <si>
    <t>Molly White is an aerospace engineer at NASA’s Johnson Space Center.
She is part of the team that is working to design an effective heat shield for the Orion spacecraft. The heat shield ,which is the exterior layer of Orion, isn’t used until the last part of the mission – the return to Earth. But this just happens to be one of the most dangerous parts of the mission because of the outrageous temperatures the spacecraft encounters while plummeting through the atmosphere at breakneck speeds. How hot can it get, you ask? It can get really, really hot like two-times the temperatures of molten lava! The heat shield’s job is to make sure that astronauts inside Orion stay cool and comfortable during this phase of the mission, despite the conditions outside the spacecraft. This is important work that is helping to advance NASA’s Journey to Mars.</t>
  </si>
  <si>
    <t>KycR4kguSII</t>
  </si>
  <si>
    <t>https://youtu.be/MPWzw-oTnm4</t>
  </si>
  <si>
    <t>Real Martians Moment  Technology Drives Exploration</t>
  </si>
  <si>
    <t>Chris Baker is a Campaign Manager with NASA’s Flight Opportunities Program. The program uses commercial launch vehicles to test ideas for promising space-related technologies. This win-win approach helps foster development of game changing technologies helping us explore our solar system and beyond and it creates a synergy between government, academia and business that will keep America at the forefront of space exploration. One of the technologies being tested will enable spacecraft to recognize key geographical features on the surface of Mars to autonomously make precise and safe landings on the Red Planet. This truly is a case of technology driving exploration!</t>
  </si>
  <si>
    <t>MPWzw-oTnm4</t>
  </si>
  <si>
    <t>https://youtu.be/PGy8vt3o5Oo</t>
  </si>
  <si>
    <t>Real Martians Moment  Testing for Success</t>
  </si>
  <si>
    <t>Travis Martin is a Systems Engineer at NASA’s Stennis Space Center.
Travis is part of the team that is getting ready to test the core stage of the Space Launch System (SLS) rocket. The SLS will be the largest, most powerful rocket NASA has ever built. The rocket’s 200 foot tall core stage segment will help carry astronauts, inside the Orion spacecraft on missions to far away destinations in space. Testing of the core stage will include verifying that all of its systems –propulsion, fluid, electrical, structural, etc. – are up to snuff for the challenge of launch and safely transporting astronauts on deep space journeys. Travis is excited to have this ground-floor opportunity in a program that is helping NASA achieve the astronomical goal of sending humans to Mars!</t>
  </si>
  <si>
    <t>PGy8vt3o5Oo</t>
  </si>
  <si>
    <t>https://youtu.be/LOhMLodA3AI</t>
  </si>
  <si>
    <t>Real Martians Moment  Waste Not, Want Not</t>
  </si>
  <si>
    <t>Abigail Ryan works on solid oxide fuel cell technologies at NASA’s Johnson Space Center. It’s a power source that uses oxygen and methane to create power and water – that’s pretty resourceful. This type of fuel cell technology could be used to power future lander spacecraft touching down on Mars. Her team is also looking at ways for future Mars missions to develop multi-purpose technologies. Common components used across multiple technologies will be easier to fix and the mission won’t have to travel to Mars with as many spare parts – which will save fuel because of the lighter load. Finding new ways to make the best use of what’s available will definitely help on NASA’s Journey to Mars.</t>
  </si>
  <si>
    <t>LOhMLodA3AI</t>
  </si>
  <si>
    <t>2015 10 28</t>
  </si>
  <si>
    <t>https://youtu.be/rpHLa2njn98</t>
  </si>
  <si>
    <t>Advancing the Journey to Mars</t>
  </si>
  <si>
    <t>NASA Administrator Charles Bolden spoke about the agency’s journey to Mars during remarks to the Center for American Progress in Washington, DC., on Wednesday, October 28, 2015.
NASA recently released the report “Journey to Mars: Pioneering Next Steps in Space Exploration,” outlining its plan to reach Mars in phases, starting by testing technologies and conducting research aboard the International Space Station; developing the necessary hardware and procedures in the proving ground around the moon; and finally sending astronauts to Mars itself.</t>
  </si>
  <si>
    <t>rpHLa2njn98</t>
  </si>
  <si>
    <t>2015 10 23</t>
  </si>
  <si>
    <t>https://youtu.be/z0y52W3TyQg</t>
  </si>
  <si>
    <t>Astronomy Night at the White House on This Week @NASA – October 23, 2015</t>
  </si>
  <si>
    <t>The stars were out for the second-ever White House Astronomy Night on Oct. 19. Attendees included NASA Administrator Charlie Bolden, Deputy Administrator Dava Newman and Associate Administrator for Science, John Grunsfeld – as well as NASA’s commercial crew astronauts, who are training for future spaceflights from American soil on commercial spacecraft. President Obama hosted the event to give students an opportunity to stargaze and to promote Science, Technology, Engineering and Math or (STEM) education. Also, Social chat with Commercial Crew astronauts, Space station spacewalks previewed, SLS Critical Design Review completed, Heat shield testing completed and Exoplanet Week!</t>
  </si>
  <si>
    <t>z0y52W3TyQg</t>
  </si>
  <si>
    <t>https://youtu.be/nEJ0TVgRbC8</t>
  </si>
  <si>
    <t>Space Station One-Year Crew Talks to Students</t>
  </si>
  <si>
    <t>Aboard the International Space Station, Expedition 45 Commander Scott Kelly of NASA and Flight Engineer Mikhail Kornienko of the Russian Federal Space Agency (Roscosmos) fielded questions from students gathered at the LBJ Library in Austin, Texas during an in-flight educational event Oct. 23 sponsored by Juliana Jenkins, the daughter of Mercury 7 astronaut Alan Shepard, the first American to fly in space. Kelly is completing the seventh month of his year in space with Kornienko, gathering valuable biomedical data on the effects of long duration spaceflight on the human body that will be used to formulate a future human mission to Mars.</t>
  </si>
  <si>
    <t>nEJ0TVgRbC8</t>
  </si>
  <si>
    <t>2015 10 22</t>
  </si>
  <si>
    <t>https://youtu.be/jl0hZmvS35c</t>
  </si>
  <si>
    <t>Next U.S. Spacewalks Previewed</t>
  </si>
  <si>
    <t>A briefing was held at NASA’s Johnson Space Center in Houston on Oct. 22 to preview two upcoming spacewalks by U.S. astronauts aboard the International Space Station.
On Oct. 28 and Nov. 6, station Commander Scott Kelly and Flight Engineer Kjell Lindgren are scheduled to perform spacewalks in support of space station assembly and maintenance. The spacewalks flank the 15th anniversary of continuous human presence aboard the space station, which is Nov. 2.</t>
  </si>
  <si>
    <t>jl0hZmvS35c</t>
  </si>
  <si>
    <t>https://youtu.be/ySMLYiJZBHc</t>
  </si>
  <si>
    <t>NASA Astronauts Discuss Life in Space</t>
  </si>
  <si>
    <t>Aboard the International Space Station, Expedition 45 Commander Scott Kelly and Flight Engineer Kjell Lindgren of NASA discussed life and research aboard the orbital outpost in a pair of interviews Oct. 22 with WNYC Radio in New York and CNBC. Kelly is in the seventh month of his year-long mission on the station with cosmonaut Mikhail Kornienko of the Russian Federal Space Agency (Roscosmos), gathering biomedical data that will be valuable in the formulation of a future human mission to Mars. Lindgren is entering the fourth month of his five-month mission on the orbiting laboratory, conducting research and maintenance activities. Kelly and Lindgren will conduct a pair of spacewalks Oct. 28 and Nov. 6 outside the station’s Quest airlock to perform upgrades to station systems.</t>
  </si>
  <si>
    <t>ySMLYiJZBHc</t>
  </si>
  <si>
    <t>2015 10 21</t>
  </si>
  <si>
    <t>https://youtu.be/hghjwQXdNco</t>
  </si>
  <si>
    <t>STEM in 30 – Bound for Mars</t>
  </si>
  <si>
    <t>The Smithsonian National Air and Space Museum’s STEM in 30 series of live, fast-paced, 30-minute webcasts are designed to increase interest and engagement in STEM for students. This episode, which originated from the museum Oct. 21, 2015, investigates the plans to send humans to Mars and the ongoing research into water and the possibility of life on the Red Planet.</t>
  </si>
  <si>
    <t>hghjwQXdNco</t>
  </si>
  <si>
    <t>https://youtu.be/VustKdXRG6w</t>
  </si>
  <si>
    <t>Commercial Crew Comes to Washington</t>
  </si>
  <si>
    <t>President Obama welcomed NASA’s first commercial crew astronauts to the White House on October 19, 2015.
NASA’s commercial crew program is NASA’s plan to launch American astronauts to the International Space Station from American soil.
These pioneering astronauts – Robert Behnken, Eric Boe, Douglas Hurley and Sunita Williams – talked about the importance of launching to space from American soil, and how the International Space Station is paving the way NASA’s Journey to Mars.</t>
  </si>
  <si>
    <t>VustKdXRG6w</t>
  </si>
  <si>
    <t>https://youtu.be/55dZyCBGEu4</t>
  </si>
  <si>
    <t>NASA and the Combined Federal Campaign</t>
  </si>
  <si>
    <t>NASA Administrator Charles Bolden encourages agency employees to support the 2015 Combined Federal Campaign (CFC). Every year, by donating to charities of their choice, NASA employees have stepped up and made a positive impact on the lives of those in need.</t>
  </si>
  <si>
    <t>55dZyCBGEu4</t>
  </si>
  <si>
    <t>2015 10 20</t>
  </si>
  <si>
    <t>https://youtu.be/bAw6Ajt-jpY</t>
  </si>
  <si>
    <t>A Conversation About Work on the Space Station</t>
  </si>
  <si>
    <t>Aboard the International Space Station, Expedition 45 Commander Scott Kelly of NASA discussed his year-long mission on the orbital laboratory and other aspects of life and research in space during an in-flight conversation Oct. 20 with attendees at the Google Zeitgeist Conference in Paradise Valley, Arizona. The conference is designed to showcase individuals who are involved in significant endeavors impacting society.</t>
  </si>
  <si>
    <t>bAw6Ajt-jpY</t>
  </si>
  <si>
    <t>https://youtu.be/vyq7wZrRCHo</t>
  </si>
  <si>
    <t>Focusing in on Other Worlds</t>
  </si>
  <si>
    <t>This episode of the Smithsonian National Air and Space Museum’s What's New in Aerospace? series, focuses on the abundance of confirmed and potential worlds that have been found outside of our solar system – commonly known as exoplanets. The program features experts discussing what we have learned so far in our exploration of exoplanets and how we will peer into the atmospheres of these faraway worlds to look for biomarkers, or signs of alien life. The What's New in Aerospace? series is presented in collaboration with NASA.</t>
  </si>
  <si>
    <t>vyq7wZrRCHo</t>
  </si>
  <si>
    <t>https://youtu.be/-Hmq3PEuvhI</t>
  </si>
  <si>
    <t>A Night of Stargazing</t>
  </si>
  <si>
    <t>On Monday, October 19, President Barack Obama hosted the second White House Astronomy Night, bringing together students, teachers, scientists, astronauts, and others to spend an evening stargazing.
NASA Administrator Charles Bolden and Deputy Administrator Dava Newman participated in the event; John Grunsfeld, astronaut and associate administrator for NASA’s science mission directorate, and astronauts Cady Coleman, Robert Behnken, Eric Boe, Douglas Hurley and Sunita Williams, Karen Nyberg and Megan McArthur also participated.
Participants learned about astronomical discoveries and participated in space-related educational activities to help promote the importance of STEM education and inspire the next generation of scientists and engineers who will explore the stars.</t>
  </si>
  <si>
    <t>-Hmq3PEuvhI</t>
  </si>
  <si>
    <t>2015 10 19</t>
  </si>
  <si>
    <t>https://youtu.be/OlugY_yg1HE</t>
  </si>
  <si>
    <t>The Right Stuff for The Next Giant Leap</t>
  </si>
  <si>
    <t>During an October 19 chat on NASA TV, Sunita Williams and Robert Behnken, two of the four NASA astronauts selected to train and prepare for future commercial spaceflights from U.S. soil, discussed the importance of the Commercial Crew Program to the future of human spaceflight. The veteran astronauts also fielded questions from social media followers about their training, the mission ahead of them and the work NASA is doing to advance efforts to send humans to Mars in the 2030s.</t>
  </si>
  <si>
    <t>OlugY_yg1HE</t>
  </si>
  <si>
    <t>https://youtu.be/cUTiS_L3bXQ</t>
  </si>
  <si>
    <t>Real Martians Moment  MOMA-Digging Below the Martian Surface</t>
  </si>
  <si>
    <t>The Mars Organic Molecule Analyzer, or MOMA,  is an exciting instrument that will dig up to 2 meters below the Martian surface to  extract soil to analyze. Dr. Veronica Pinnick of The Goddard Space Flight Center, is a scientist developing and working with this instrument.</t>
  </si>
  <si>
    <t>cUTiS_L3bXQ</t>
  </si>
  <si>
    <t>https://youtu.be/1L4Ag603fiU</t>
  </si>
  <si>
    <t>Real Martians Moment  Developing Technologies for Morpheus - ALHAT</t>
  </si>
  <si>
    <t>To make  a journey to and from Mars possible,  new technologies have been developed and tested. Jon Olansen, Manager of The Morpheus Project at NASA explains the ALHAT sensor that will assist Morpheus' landing on Mars.</t>
  </si>
  <si>
    <t>1L4Ag603fiU</t>
  </si>
  <si>
    <t>2015 10 16</t>
  </si>
  <si>
    <t>https://youtu.be/BOZC6Y9h0V4</t>
  </si>
  <si>
    <t>Journey to Mars  An international effort on This Week @NASA – October 16, 2015</t>
  </si>
  <si>
    <t>During meetings and public events at the International Astronautical Congress (IAC), Oct. 12-16 in Jerusalem, NASA Administrator Charlie Bolden and several other NASA officials highlighted the agency’s recently released plan to send astronauts to Mars in the 2030’s. They also emphasized the need for international partnerships and cooperation to make a mission of this magnitude a reality, the importance of harnessing enthusiasm for space exploration and the need to encourage young people to develop the skills we’ll need for the Journey to Mars. Also, New American record in space, Flyby of Saturnian moon, Next launch for Cygnus, Access to space for small satellites and more! JPL Open House is a big draw.</t>
  </si>
  <si>
    <t>BOZC6Y9h0V4</t>
  </si>
  <si>
    <t>https://youtu.be/4DvyHJq9j-c</t>
  </si>
  <si>
    <t>Real Martians Moment  Solar Powering Cargo and Astronauts to Mars</t>
  </si>
  <si>
    <t>Dave Manzella is the Chief Engineer for the Solar Electric Propulsion Program at The Glenn Research Center. He is charged with developing a way to harness the sun's energy so that cargo and astronauts can be moved efficiently to Mars.</t>
  </si>
  <si>
    <t>4DvyHJq9j-c</t>
  </si>
  <si>
    <t>https://youtu.be/WOXFg61hfbA</t>
  </si>
  <si>
    <t>Real Martians Moment  Morpheus - Landing on Mars</t>
  </si>
  <si>
    <t>Morpheus is the world's first prototype lander that uses liquid oxygen and liquid methane as a means of propulsion. Jenny Devolites , of Johnson Space Center is the Morpheus Lander Test Conductor and Systems Engineering and Integration Lead. She is responsible for creating tests that will  ensure a safe landing by Morpheus on Mars and it's safe return to earth.</t>
  </si>
  <si>
    <t>WOXFg61hfbA</t>
  </si>
  <si>
    <t>2015 10 15</t>
  </si>
  <si>
    <t>https://youtu.be/HBzUyuAXr_U</t>
  </si>
  <si>
    <t>Real Martians Moment  Training like an Astronaut</t>
  </si>
  <si>
    <t>A quick tour of the International Space Station of the Space Vehicle Mock Up Facility at Johnson Space Center.</t>
  </si>
  <si>
    <t>HBzUyuAXr_U</t>
  </si>
  <si>
    <t>https://youtu.be/pmzHbrv_fJ0</t>
  </si>
  <si>
    <t>NASA Astronaut Talks About Life and Work on the Space Station</t>
  </si>
  <si>
    <t>Aboard the International Space Station, Expedition 45 flight engineer Kjell Lindgren took some time away from his busy schedule to talk about life and research on the orbital laboratory during a pair of in-flight interviews Oct. 15 with WTOP Radio, Washington, and KUSA-TV, Denver. Lindgren arrived on the station in late July and will remain in orbit until he returns to Earth just before Christmas.</t>
  </si>
  <si>
    <t>pmzHbrv_fJ0</t>
  </si>
  <si>
    <t>2015 10 14</t>
  </si>
  <si>
    <t>https://youtu.be/i0NeYaRZwos</t>
  </si>
  <si>
    <t>New Vehicles for New Ventures</t>
  </si>
  <si>
    <t>NASA hosted a news conference at 1 p.m. EDT on Wednesday, Oct. 14, at the agency’s Kennedy Space Center in Florida to announce the outcome of the Venture Class Launch Service (VCLS) competition. The vehicles expected to meet the VCLS requirement represent an emerging class of commercial launch services for small satellites -- often called CubeSats or nanosatellites -- and science missions that are currently limited to ride-share arrangements, flying only when space is available on NASA and other launches.</t>
  </si>
  <si>
    <t>i0NeYaRZwos</t>
  </si>
  <si>
    <t>https://youtu.be/tG_SbgWe1to</t>
  </si>
  <si>
    <t>Real Martians Moment  The Launch Abort System; Keeping Our Astronauts Safe</t>
  </si>
  <si>
    <t>Jose Ortiz works at The Langely Research Center as The Lead Systems Engineer in the Launch Abort Systems Office. His job is to keep NASA's astronauts safe while on their journey to the moon or Mars.</t>
  </si>
  <si>
    <t>tG_SbgWe1to</t>
  </si>
  <si>
    <t>https://youtu.be/a7iflFfHQLw</t>
  </si>
  <si>
    <t>Real Martians Moment  Testing the RS-25</t>
  </si>
  <si>
    <t>Ryan McKibben of The Stennis Space Center is a Test Operations Engineer responsible for running tests on the RS-25 rocket engine. While doing his job, he and his team are able to display a little of their personality in their choice of clothing. They all wear Hawaiian shirts.</t>
  </si>
  <si>
    <t>a7iflFfHQLw</t>
  </si>
  <si>
    <t>2015 10 13</t>
  </si>
  <si>
    <t>https://youtu.be/idA4Pq5Tchk</t>
  </si>
  <si>
    <t>Real Martians Moment  Mars 2020 and Astrobiology</t>
  </si>
  <si>
    <t>Learning more about astrobiology and the Mars 2020 rover's scientific payload.</t>
  </si>
  <si>
    <t>idA4Pq5Tchk</t>
  </si>
  <si>
    <t>2015 10 12</t>
  </si>
  <si>
    <t>https://youtu.be/QMs7sWGm9q0</t>
  </si>
  <si>
    <t>Real Martian Moments  Designing Orion</t>
  </si>
  <si>
    <t>In her role as The NASA Orion Mission Planning &amp; Analysis Lead, engineer NuJoud Merancy is responsible for bringing all of the engineering pieces together to ensure that the Orion spacecraft journeys safely to and from Mars.</t>
  </si>
  <si>
    <t>QMs7sWGm9q0</t>
  </si>
  <si>
    <t>2015 10 09</t>
  </si>
  <si>
    <t>https://youtu.be/tWOiU2oJMSA</t>
  </si>
  <si>
    <t>NASA &amp; USDA teams to plant seeds Today on This Week @NASA – October 9, 2015</t>
  </si>
  <si>
    <t>On Monday, October 5th, NASA Deputy Administrator Dava Newman and U.S. Department of Agriculture (USDA) Deputy Secretary Krysta Harden planted “Outredgeous” Red Romaine Lettuce seeds in USDA’s People’s Garden, sister seeds of those grown and harvested on the International Space Station. During the event in Washington, D.C., they also signed an a new interagency agreement expanding USDA and NASA's commitment to promoting careers in science, technology, engineering, agriculture and math to young people.  Also, CubeSats launched to test new technology, New Orion crew egress test, NASA living of Land in Space? NASA lends a helping hand for Start Ups, Meet the New Inductees to the Glenn Hall of Fame, and it’s National Cybersecurity Awareness Month, so Stop, Think &amp; Connect.</t>
  </si>
  <si>
    <t>tWOiU2oJMSA</t>
  </si>
  <si>
    <t>https://youtu.be/gByLBHIsD6E</t>
  </si>
  <si>
    <t>Real Martians Moments  Advanced Research</t>
  </si>
  <si>
    <t>Jim Less is a test pilot at The Armstrong Flight Research Center. F-18s are used as full-scale advanced systems testbeds, part of the Launch Vehicle Adaptive Control, (LVAC) test flights. LVAC, is just one of the stepping stones in NASA's journey to Mars.</t>
  </si>
  <si>
    <t>gByLBHIsD6E</t>
  </si>
  <si>
    <t>2015 10 08</t>
  </si>
  <si>
    <t>https://youtu.be/3mL6C3SxaPw</t>
  </si>
  <si>
    <t>Real Martians Moment  Robotics-Improving The Way That Humans Work in Space</t>
  </si>
  <si>
    <t>Terry Fong at Ames Research Center is using robotics to advance our Journey to Mars. Robots come in various sizes and with different purposes. Robotic arms on spacecraft are used to move very large objects in space. Spacecraft that visit other worlds are robots that can do work by themselves. People send them commands. The robots then follow those commands. This type of robot includes the rovers that explore the surface of Mars. NASA is researching new types of robots that will work with people and help them.</t>
  </si>
  <si>
    <t>3mL6C3SxaPw</t>
  </si>
  <si>
    <t>https://youtu.be/8uHgmYKVpGQ</t>
  </si>
  <si>
    <t>Real Martians Moments  Technology Drives Exploration</t>
  </si>
  <si>
    <t>In this installment of “Real Martians Moment”, NASA Administrator and former astronaut Charles Bolden explains the impact of new technology on this planet as well as in our continuing Journey to Mars.</t>
  </si>
  <si>
    <t>8uHgmYKVpGQ</t>
  </si>
  <si>
    <t>https://youtu.be/vGr8FH92cXc</t>
  </si>
  <si>
    <t>Space Station Commander gives Insight Into Life in Space</t>
  </si>
  <si>
    <t>Aboard the International Space Station, Expedition 45 commander Scott Kelly of NASA fielded questions about the progress of his year-long mission on the orbital laboratory in a pair of interviews Oct. 8 with Hispanic outlet W Radio and WGN Radio in Chicago. Kelly and flight engineer Mikhail Kornienko of the Russian Federal Space Agency (Roscosmos) are in the seventh month of their mission on the outpost, collecting valuable biomedical data that will be used to formulate a future human mission to Mars. They will return to Earth next March.</t>
  </si>
  <si>
    <t>vGr8FH92cXc</t>
  </si>
  <si>
    <t>https://youtu.be/oNufd4QWdjY</t>
  </si>
  <si>
    <t>NASA Hispanic Heritage Month Profile - Oscar Murillo, Armstrong Flight Research Center</t>
  </si>
  <si>
    <t>Oscar Murillo is an aerospace engineer in the Education Office at NASA’s Armstrong Flight Research Center in Edwards, CA. In his current role of Project Manager of the Minority University Research and Education Program (MUREP) Institutional Research Opportunity (MIRO), he manages research grants at 18 universities.</t>
  </si>
  <si>
    <t>oNufd4QWdjY</t>
  </si>
  <si>
    <t>https://youtu.be/b-0WOnjPndM</t>
  </si>
  <si>
    <t>Real Martians Moment  Kennedy Space Center Tour</t>
  </si>
  <si>
    <t>Chiwetel Ejiofor and Mackenzie Davis, stars of 20th Century Fox's Film "The Martian", got a tour from Kennedy Space Center Director Bob Cabana.  News media followed the tour taking a peek at what NASA's "Real Martians" are working on.
For the full "So You Want to Be a Martian?" panel discussion click here:
https://youtu.be/I3fsdHEOPes</t>
  </si>
  <si>
    <t>b-0WOnjPndM</t>
  </si>
  <si>
    <t>https://youtu.be/c2MOF0tobOo</t>
  </si>
  <si>
    <t>SmallSats Launched to Test New Tech</t>
  </si>
  <si>
    <t>Four NASA-sponsored CubeSats and a NASA-funded CubeSat, sponsored by the National Reconnaissance Office (NRO), were among thirteen small spacecraft launched from Southern California’s Vandenburg Air Force Base on Oct. 8, as part of an auxiliary payload aboard the NRO-L55 mission. The NASA-funded device will test how accurately a CubeSat can be pointed during high speed data transfer by laser. The NASA-sponsored CubeSats will test new control and communications systems, Earth observations, amateur radio communications and an X-Band radio science transponder.</t>
  </si>
  <si>
    <t>c2MOF0tobOo</t>
  </si>
  <si>
    <t>2015 10 07</t>
  </si>
  <si>
    <t>https://youtu.be/WTMXkpL59Nw</t>
  </si>
  <si>
    <t>NASA Hispanic Heritage Month Profile -- Miguel De Jesus, Marshall Space Flight Center</t>
  </si>
  <si>
    <t>Miguel De Jesus is based at NASA’s Marshall Space Flight Center in Huntsville, AL and serves as the AST Facility Safety Specialist at Michoud Assembly Facility in New Orleans, LA. His team coordinates all aspects &amp; phases of the Industrial Safety program here at Michoud.</t>
  </si>
  <si>
    <t>WTMXkpL59Nw</t>
  </si>
  <si>
    <t>https://youtu.be/kR0US6JEGRU</t>
  </si>
  <si>
    <t>A Chat with the One-Year Crew</t>
  </si>
  <si>
    <t>Expedition 45 commander Scott Kelly of NASA and flight engineer Mikhail Kornienko of the Russian Federal Space Agency (Roscosmos), discussed the progress of their year-long mission aboard the orbital laboratory with National Public Radio’s “All Things Considered” program and with anchor Lester Holt of NBC Nightly News in a pair of interviews Oct. 7. Kelly and Kornienko are in the seventh month of their mission on the outpost, collecting valuable biomedical data that will be used to formulate a future human mission to Mars. They will return to Earth next March.</t>
  </si>
  <si>
    <t>kR0US6JEGRU</t>
  </si>
  <si>
    <t>https://youtu.be/b6duPV3BwcY</t>
  </si>
  <si>
    <t>CubeSats on a Mission!</t>
  </si>
  <si>
    <t>Participants in this news briefing discuss several of the specific CubeSats aboard the National Reconnaissance Office’s NRO-L55 mission. Four of the CubeSats are NASA-sponsored and nine are NRO-sponsored, one of which was developed with NASA funding. The mission is scheduled to launch Oct. 8 from California’s Vandenburg Air Force Base.</t>
  </si>
  <si>
    <t>b6duPV3BwcY</t>
  </si>
  <si>
    <t>https://youtu.be/iOdJ8-my7ls</t>
  </si>
  <si>
    <t>SmallSats Testing Big Technology</t>
  </si>
  <si>
    <t>During a pre-flight briefing from California’s Vandenburg Air Force Base, participants discuss the National Reconnaissance Office’s NRO-L55 mission – scheduled to launch Oct. 8 with a host of small satellite technology demonstrators. The briefing also provided an overview of the various activities NASA is doing to promote CubeSats and engage all sectors, from other government agencies to all academic grade levels to citizen engineers as CubeSats become increasingly important to exploration and technology demonstrations.</t>
  </si>
  <si>
    <t>iOdJ8-my7ls</t>
  </si>
  <si>
    <t>https://youtu.be/5HfIxhkFFBg</t>
  </si>
  <si>
    <t>Real Martians Moment  Location, Location, Location</t>
  </si>
  <si>
    <t>Nikolas Trawny works at NASA’s Jet Propulsion Laboratory in Pasadena, California. Nikolas is working on the Autonomous Descent and Ascent Powered-flight Testbed (ADAPT) and the Guidance for Fuel Optimal Large Diverts (G-FOLD) projects. These are all about giving spacecraft the ability to make precise landings on Mars and other planetary bodies. We use GPS on Earth, but that’s not available on other planets. ADAPT G-FOLD uses terrain relative navigation to determine location – the lander basically captures surface images and compares them to those stored in its memory to guide it to the landing point. The ability to make precise landings will be extremely important to the success of future human missions to Mars.</t>
  </si>
  <si>
    <t>5HfIxhkFFBg</t>
  </si>
  <si>
    <t>https://youtu.be/WYhQ70Bl8U4</t>
  </si>
  <si>
    <t>The Real Martians Moment  Where We’ve Never Been</t>
  </si>
  <si>
    <t>As NASA’s Deputy Administrator, Dr. Dava Newman helps Administrator Charlie Bolden guide the direction of the agency – and she’s excited about where things are headed! NASA is taking the first steps into deep space, on a journey to send humans to Mars in the 2030s. It won’t be an easy task, but believe it or not, even that “challenge” is exciting to her, because of the potential discoveries NASA could make while developing new technologies needed for deep space exploration – from solar electric propulsion, to cut travel time to a fraction of what it would be today, to next generation spacesuits that are more – well, “suited” to provide the mobility astronauts need to explore the surfaces of other planets. NASA understands the importance of investing in technology and innovation to take humans where we’ve never been before.</t>
  </si>
  <si>
    <t>WYhQ70Bl8U4</t>
  </si>
  <si>
    <t>2015 10 06</t>
  </si>
  <si>
    <t>https://youtu.be/8PnKBILf_4I</t>
  </si>
  <si>
    <t>Sally Ride  Curating Her Life</t>
  </si>
  <si>
    <t>This episode of the Smithsonian National Air and Space Museum’s What's New in Aerospace? series, celebrates the acquisition of the Sally K. Ride Collection of personal possessions and papers. The program focuses on how we seek to preserve the meaning of a person’s life and legacy, particularly that of a woman who is considered an iconic national hero. The What's New in Aerospace? series is presented in collaboration with NASA.</t>
  </si>
  <si>
    <t>8PnKBILf_4I</t>
  </si>
  <si>
    <t>https://youtu.be/wkyTzL3DZgI</t>
  </si>
  <si>
    <t>Real Martians Moment  Behind the Scenes with Dr. Jim Green</t>
  </si>
  <si>
    <t>The film “The Martian” takes the work NASA and others have done exploring Mars and extends it into fiction set in the 2030s, when NASA astronauts are regularly traveling to Mars and living on the surface. NASA has collaborated on this film with 20th Century Fox Entertainment, providing guidance on production design and technical consultants, including Jim Green, director of planetary science.</t>
  </si>
  <si>
    <t>wkyTzL3DZgI</t>
  </si>
  <si>
    <t>2015 10 05</t>
  </si>
  <si>
    <t>https://youtu.be/bEzxBZL7clc</t>
  </si>
  <si>
    <t>NASA Astronauts to Students  Aim High!</t>
  </si>
  <si>
    <t>Aboard the International Space Station, NASA astronaut and Expedition 45 flight engineer Kjell Lindgren fielded questions about life and work on orbit from students at the Robinson Secondary School in Fairfax, Virginia during an in-flight educational event Oct. 5. Lindgren graduated from Robinson in 1991.</t>
  </si>
  <si>
    <t>bEzxBZL7clc</t>
  </si>
  <si>
    <t>https://youtu.be/ZLu4zEd9vpE</t>
  </si>
  <si>
    <t>Real Martians Moment  Fitness, “Above” All</t>
  </si>
  <si>
    <t>Gail Perusek manages the Advanced Exercise Concepts Development at NASA’s Glenn Research Center. Basically, she’s one of the fitness guru for the astronauts on the International Space Station. Fitness is a high priority for space explorers because it helps the body fight against bone loss and weakening of muscles. Believe it or not, there is an entire gym on the station – NASA just had to be a bit more resourceful than usual in designing that gear. Consider this – gravity on the space station is near zero, so everything floats and weights are feather-like. NASA counters this with a lot of resistance training gear (think BIG strong rubber bands) and devices to help exercising astronauts stay in place. They will have to get even more resourceful once human missions to Mars start – with smaller devices for the long trip.</t>
  </si>
  <si>
    <t>ZLu4zEd9vpE</t>
  </si>
  <si>
    <t>2015 10 02</t>
  </si>
  <si>
    <t>https://youtu.be/H4kmBX0J3K8</t>
  </si>
  <si>
    <t>Water Flowing on Mars Today on This Week @NASA – October 2, 2015</t>
  </si>
  <si>
    <t>A major scientific discovery was announced by NASA at a Sept. 28 news conference. From its vantage point high above the Martian surface, NASA’s Mars Reconnaissance Orbiter (MRO) spacecraft has found the strongest evidence yet, that under certain circumstances, liquid water has been found on Mars. Researchers say an imaging spectrometer on MRO detected signatures of hydrated minerals on slopes where downhill streaks, known as Recurring Slope Lineae (RSL) are seen. In the past, RSL flows have been described as possibly related to liquid water. But the new findings of hydrated minerals is key evidence. Hydrated salts can lower the freezing point of liquid brine – and produce liquid water. Also, Life beyond Earth in the next decade?, “The Martian” screening event, Cargo ship departs space station, New cargo ship delivers to space station, Rare double celestial treat and Espacio a Tierra!</t>
  </si>
  <si>
    <t>H4kmBX0J3K8</t>
  </si>
  <si>
    <t>https://youtu.be/zof3HiB-_x8</t>
  </si>
  <si>
    <t>Space Station Commander Discusses Life in Space with CBS’ Internet Outlet</t>
  </si>
  <si>
    <t>Aboard the International Space Station, Expedition 45 Commander Scott Kelly of NASA discussed life and research on the orbital laboratory with CBSN, the new 24-hour CBS News digital streaming network that features live anchored coverage by CBS News correspondents. Kelly is in the second half of a year-long mission on the station with Russian cosmonaut crewmate Mikhail Kornienko of the Russian Federal Space Agency (Roscosmos) in which they are gathering comprehensive biomedical data on the long-term effects of weightlessness on the human body that will be valuable in the formulation of a future human mission to Mars.</t>
  </si>
  <si>
    <t>zof3HiB-_x8</t>
  </si>
  <si>
    <t>https://youtu.be/Q28LzAhEz9k</t>
  </si>
  <si>
    <t>Real Martians Moment  This Stuff Never Gets Old!</t>
  </si>
  <si>
    <t>Corey Harrell works as an Air Space Engineer at NASA’s Marshall Space Flight Center. On a routine basis, he gets to experience, what you might call, “The Big Bang on Earth” and it never gets old! This is also known as testing rocket engines. One engine in particular, the RS-25 will help provide the “bang” that NASA’s new Space Launch System (SLS) Rocket needs to carry astronauts farther into space than ever before – including to an asteroid in orbit around the moon and eventually to Mars. But the most important part of his job is safety! All of that thrust, power and noise is only fun and useful if the proper engineering and precautions are developed and implemented. Because, quite literally there will be a lot more than fun riding on it when these engines are used for the first human mission to Mars!</t>
  </si>
  <si>
    <t>Q28LzAhEz9k</t>
  </si>
  <si>
    <t>https://youtu.be/fQTOx7fpsCM</t>
  </si>
  <si>
    <t>Real Martians Moment  Not Your Daddy's Dune Buggy</t>
  </si>
  <si>
    <t>William Allen is a Mechanical Design Engineer working on development of NASA’s Mars 2020 rover mission. Mars 2020 is the next in a very successful evolution of robotic Mars rovers. In fact, NASA is capitalizing on the success of the Curiosity rover – which is currently on Mars – by using its DNA or architecture to design this new rover. The Mars 2020 rover is expected to have one key upgrade: the ability to gather samples and prepare them for a possible return trip to Earth. This will enable NASA to better plan for safe human missions to the Red Planet in the future.</t>
  </si>
  <si>
    <t>fQTOx7fpsCM</t>
  </si>
  <si>
    <t>https://youtu.be/XQ-S-7SVqqQ</t>
  </si>
  <si>
    <t>Real Martians Moment  Getting Ready to Rumble!</t>
  </si>
  <si>
    <t>Barry Robinson is the Engineering Program Manager at NASA’s Stennis Space Center in charge of restoring and upgrading the B-2 test stand. The B-2 test stand will be used to conduct thunderous tests (lots of smoke and fire!) of the rocket engines, that will power the core stage of the massive Space Launch System (SLS) rocket. Robinson and his team are rebuilding or restoring systems on the test stand that have been there since the sixties. Talk about making a “giant leap” – from technology then to now! But that is what it will take to ensure the SLS can be properly tested in preparation to safely launch astronauts to Mars and other deep space destinations.</t>
  </si>
  <si>
    <t>XQ-S-7SVqqQ</t>
  </si>
  <si>
    <t>2015 10 01</t>
  </si>
  <si>
    <t>https://youtu.be/ekXCaUwfSg0</t>
  </si>
  <si>
    <t>Russian Cargo Ship Arrives at the International Space Station</t>
  </si>
  <si>
    <t>Six hours after its launch from the Baikonur Cosmodrome in Kazakhstan, the unpiloted ISS Progress 61 cargo craft automatically docked to the International Space Station. After a series of pre-programmed rendezvous burns of its engines, the resupply vehicle linked up to the aft port of the Zvezda Service Module to deliver more than three tons of food, fuel and supplies for the six Expedition 45 crew members on the orbital laboratory. The new Progress will remain attached to Zvezda until early December.</t>
  </si>
  <si>
    <t>ekXCaUwfSg0</t>
  </si>
  <si>
    <t>https://youtu.be/I3fsdHEOPes</t>
  </si>
  <si>
    <t xml:space="preserve">So You Want to Be a Martian </t>
  </si>
  <si>
    <t>Real space exploration experts from NASA and cast members of the movie, “The Martian” (about a human space explorer stranded on Mars), talked during an Oct. 1 event at Kennedy Space Center, about NASA’s push to send humans to Mars in the 2030s. The event included an interactive question and answer exchange with students around the country via NASA’s Digital Learning Network.</t>
  </si>
  <si>
    <t>I3fsdHEOPes</t>
  </si>
  <si>
    <t>https://youtu.be/QuTBkWRyiCI</t>
  </si>
  <si>
    <t>Russian Cargo Ship Sets Sail for the Space Station</t>
  </si>
  <si>
    <t>The unpiloted Russian ISS Progress 61 resupply ship launched from the Baikonur Cosmodrome in Kazakhstan Oct. 1 on a four-orbit, six-hour journey to deliver more than three tons of food, fuel and supplies for the six Expedition 45 residents aboard the International Space Station. The cargo craft is scheduled to automatically link up to the aft port of the Zvezda Service Module where it will remain for just over two months.</t>
  </si>
  <si>
    <t>QuTBkWRyiCI</t>
  </si>
  <si>
    <t>https://youtu.be/Jivcn4_ccMQ</t>
  </si>
  <si>
    <t>Real Martians Moment  An Amazing Analog</t>
  </si>
  <si>
    <t>The Human Exploration Research Analog (HERA) represents an analog for simulation of isolation, confinement and remote 
conditions of mission exploration scenarios. Studies suitable for this analog may include, but are not limited to behavioral health and performance assessments, communication and autonomy studies, human factors evaluations and exploration medical capabilities assessments and operations.</t>
  </si>
  <si>
    <t>Jivcn4_ccMQ</t>
  </si>
  <si>
    <t>https://youtu.be/ZkeSAlRV4a4</t>
  </si>
  <si>
    <t xml:space="preserve">Jessica Chastain Talks  The Martian </t>
  </si>
  <si>
    <t>Here's how you know that Jessica Chastain's role in The Martian may inspire girls to want to become astronauts: she inspired the astronaut who helped her prepare.</t>
  </si>
  <si>
    <t>ZkeSAlRV4a4</t>
  </si>
  <si>
    <t>2015 09 30</t>
  </si>
  <si>
    <t>https://youtu.be/F2sR8_Kku3o</t>
  </si>
  <si>
    <t>The Martian  Space Q&amp;A</t>
  </si>
  <si>
    <t>Crew members from the International Space Station answer questions from the director and cast of 20th Century Fox's Film "The Martian".</t>
  </si>
  <si>
    <t>F2sR8_Kku3o</t>
  </si>
  <si>
    <t>https://youtu.be/0liQYolMJAc</t>
  </si>
  <si>
    <t>Real Martians Moment  Testing Close to Earth for the Journey to Mars</t>
  </si>
  <si>
    <t>Van Feng is the manager of the International Space Station Transportation Integration Office, which takes advantage of the station's relatively close proximity to Earth and its microgravity environment to test technologies and other things in preparation for the long journey to Mars. Because the station is really just a stone's throw away (about 250 miles above), things can be tested, brought back for evaluation, tweaked and tested again on a later mission. The human system is also being tested to help prepare astronauts for the arduous round trip to the Red Planet. The goal is safe and reliable systems for deep space travel.</t>
  </si>
  <si>
    <t>0liQYolMJAc</t>
  </si>
  <si>
    <t>https://youtu.be/XOFug-P5LXw</t>
  </si>
  <si>
    <t>Real Martians Moment  Orion's Thermal Protection System</t>
  </si>
  <si>
    <t>Jeremy Vander Kam works as the Orion Thermal Protection System (TPS) manager at NASA's Ames Research Center.  Orion's TPS or heat shield is the largest ablative heat shield ever made and is vital technology to helping astronauts safely return to Earth after a Mars mission. At Ames, lots of Arc Jet testing is conducted with very small samples of the ablative material to evaluate how they’ll do on reentry into the earth’s atmosphere. The Orion TPS group is excited about playing such a huge role in this next giant leap NASA is taking by sending humans to Mars and, most importantly safely returning them home.</t>
  </si>
  <si>
    <t>XOFug-P5LXw</t>
  </si>
  <si>
    <t>2015 09 29</t>
  </si>
  <si>
    <t>https://youtu.be/saDz7gZfF_0</t>
  </si>
  <si>
    <t>Space Station Crew Bids Sayonara to Japanese Cargo Ship</t>
  </si>
  <si>
    <t>Aboard the International Space Station, Expedition 45 Flight Engineer Kimiya Yui of the Japan Aerospace Exploration Agency (JAXA) used the station’s Canadarm2 robotic arm to release the unpiloted Japanese “Kounotori” H-II Transfer Vehicle (HTV-5) Sept. 28, completing its five-week stay at the complex. The HTV delivered five tons of supplies and scientific experiments to the outpost following its launch from the Tanegashima Space Center in southern Japan Aug. 19 and its arrival at the station Aug. 24.</t>
  </si>
  <si>
    <t>saDz7gZfF_0</t>
  </si>
  <si>
    <t>https://youtu.be/flzGF6dkir0</t>
  </si>
  <si>
    <t>Real Martians Moment  Modular Robotic Vehicle</t>
  </si>
  <si>
    <t>The Modular Robotic Vehicle, or MRV, was developed at NASA’s Johnson Space Center in order to advance technologies that have applications for future vehicles both in space and on Earth.</t>
  </si>
  <si>
    <t>flzGF6dkir0</t>
  </si>
  <si>
    <t>https://youtu.be/P_5PUbFhFN4</t>
  </si>
  <si>
    <t>Space Station Crew Member Talks to Hometown Residents In Japan</t>
  </si>
  <si>
    <t>Aboard the International Space Station, Expedition 45 Flight Engineer Kimiya Yui of the Japan Aerospace Exploration Agency (JAXA) fielded questions about life and work in orbit from residents and students from his hometown in the Kawakami Village Province of the Nagano Prefecture in Japan during an in-flight linkup Sept. 29. Yui arrived on the station in late July and is scheduled to remain in orbit until late December conducting research and maintenance activities.</t>
  </si>
  <si>
    <t>P_5PUbFhFN4</t>
  </si>
  <si>
    <t>2015 09 28</t>
  </si>
  <si>
    <t>https://youtu.be/MRQ5B_ik2dU</t>
  </si>
  <si>
    <t>Water Flowing on Present-Day Mars</t>
  </si>
  <si>
    <t>During a news conference at NASA headquarters, agency scientists and officials discussed new findings from the Mars Reconnaissance Orbiter (MRO) that provide the strongest evidence yet that liquid water flows intermittently on present-day Mars. Using an imaging spectrometer on MRO, researchers detected signatures of hydrated minerals on slopes where mysterious streaks are seen on the Red Planet. These downhill flows, known as recurring slope lineae (RSL), often have been described as possibly related to liquid water.</t>
  </si>
  <si>
    <t>MRQ5B_ik2dU</t>
  </si>
  <si>
    <t>https://youtu.be/fbAinSTa37k</t>
  </si>
  <si>
    <t>Real Martians Moment  The Dirt On Making Oxygen On Mars</t>
  </si>
  <si>
    <t>Diane Linne, is a Senior Research Engineer at NASA’s Glen Research Center, working on ways to make oxygen on Mars – for rocket fuel and for breathing. Believe it or not, one possible way is with dirt! That’s because we now believe there is quite a bit of water in the soil, either as bound water or as hydrated minerals. Wait ‘till you find out how you get water out of dirt – it’s real “MacGyver-like” ingenuity! This type of real NASA science is enabling the Journey to Mars and, most importantly, ensuring our astronauts can get off Mars and back home to Earth.</t>
  </si>
  <si>
    <t>fbAinSTa37k</t>
  </si>
  <si>
    <t>https://youtu.be/RBxQuxYvaXk</t>
  </si>
  <si>
    <t xml:space="preserve">Real Martians Moment  What’s Up With The Martian Atmosphere </t>
  </si>
  <si>
    <t>NASA Planetary Scientist, Jared Espley, is studying data being sent back from Mars by the MAVEN spacecraft, which is currently orbiting the Red Planet. The data, about the processes occurring in the upper atmosphere of Mars, can help answer some very important questions for humans planning to go to Mars – like, where is the water? MAVEN is just one of NASA’s robotic Martian explorers paving the way for human exploration of Mars in the 2030s.</t>
  </si>
  <si>
    <t>RBxQuxYvaXk</t>
  </si>
  <si>
    <t>https://youtu.be/M04J1_HYNgM</t>
  </si>
  <si>
    <t>Rare double celestial treat</t>
  </si>
  <si>
    <t>The supermoon that occurred on Sunday, Sept. 27 was the first in more than 30 years to happen at the same time as a lunar eclipse. For more than an hour, Earth’s shadow dimmed the “larger-than-life” face of the moon. Wherever weather permitted, the occurrence was visible in the U.S. and much of the world, and NASA television carried a live stream. This rare double celestial treat won’t happen again until 2033.</t>
  </si>
  <si>
    <t>M04J1_HYNgM</t>
  </si>
  <si>
    <t>2015 09 25</t>
  </si>
  <si>
    <t>https://youtu.be/Pl3P51HNXeg</t>
  </si>
  <si>
    <t>Next space station crew discusses mission on This Week @NASA – September 25, 2015</t>
  </si>
  <si>
    <t>A news conference was held on Sept. 24 at NASA’s Johnson Space Center with the next crew launching to the International Space Station, including NASA astronaut Tim Kopra. ESA astronaut Timothy Peake, cosmonaut Yuri Malenchenko of the Russian Federal Space Agency and Kopra will launch to the station aboard a Soyuz spacecraft on Dec. 15 from the Baikonur Cosmodrome in Kazakhstan. They’re currently scheduled to return to Earth in May 2016. Also, The rich colors of Pluto, Anniversary of MAVEN’s arrival at Mars, Fall IceBridge missions at both poles, New aviation technology and Robotics team on Capitol Hill!</t>
  </si>
  <si>
    <t>Pl3P51HNXeg</t>
  </si>
  <si>
    <t>https://youtu.be/tEJwLvTtULE</t>
  </si>
  <si>
    <t>Real Martians Moment  Space Station Science for The Journey to Mars</t>
  </si>
  <si>
    <t>Katie Presson is the Director of the International Space Station Payload Operations Integration Center (POIC) at NASA’s Marshall Space Flight Center in Huntsville, Alabama. Her team is responsible for the planning, product development, training and execution of the science on the space station, which is critical to NASA’s journey to Mars. The research managed by the POIC includes technologies like 3-D printing, which could enable astronauts to make needed hardware, biomedical research to evaluate the effects of space travel on the human body and experiments designed to help space explorers grow food on the long journey to Mars and other deep space destinations.</t>
  </si>
  <si>
    <t>tEJwLvTtULE</t>
  </si>
  <si>
    <t>https://youtu.be/E3tYOINjIsA</t>
  </si>
  <si>
    <t>Real Martians Moment  Hypersonic Inflatable Aerodynamic Decelerator … What a Drag!</t>
  </si>
  <si>
    <t>Matt Moholt is a structures Engineer, at NASA’s Armstrong Flight Research Center who develops and tests advanced structures such as the Hypersonic Inflatable Aerodynamic Decelerator (HIAD). This technology will allow larger spacecraft to enter the Martian atmosphere and more importantly, provide a deployable method to increase drag and slow down to safe landing speeds. HIAD is one of the many technologies the agency is working on to provide safe, reliable space travel to enable humans to explore Mars.</t>
  </si>
  <si>
    <t>E3tYOINjIsA</t>
  </si>
  <si>
    <t>2015 09 24</t>
  </si>
  <si>
    <t>https://youtu.be/9UtpbPY5kwo</t>
  </si>
  <si>
    <t>Next Space Station Crew Discusses Mission</t>
  </si>
  <si>
    <t>A news conference was held on Sept. 24 at NASA’s Johnson Space Center with the next crew launching to the International Space Station, including NASA astronaut Tim Kopra. Kopra, ESA astronaut Timothy Peake and cosmonaut Yuri Malenchenko of the Russian Federal Space Agency will launch to the station aboard a Soyuz spacecraft on Dec. 15 from the Baikonur Cosmodrome in Kazakhstan. They are currently scheduled to return to Earth in May 2016.</t>
  </si>
  <si>
    <t>9UtpbPY5kwo</t>
  </si>
  <si>
    <t>https://youtu.be/HemD0zQ_jFY</t>
  </si>
  <si>
    <t>Next Space Station Crew Trains for Mission</t>
  </si>
  <si>
    <t>Expedition 46/47, the next crew launching to the International Space Station, conducts pre-flight training activities. The crew, NASA astronaut Tim Kopra, ESA astronaut Timothy Peake and cosmonaut Yuri Malenchenko of the Russian Federal Space Agency will launch to the station aboard a Soyuz spacecraft on Dec. 15 from the Baikonur Cosmodrome in Kazakhstan. They are currently scheduled to return to Earth in May 2016.</t>
  </si>
  <si>
    <t>HemD0zQ_jFY</t>
  </si>
  <si>
    <t>https://youtu.be/9tIZfLDUWfc</t>
  </si>
  <si>
    <t>Real Martians Moment  Curious about Curiosity</t>
  </si>
  <si>
    <t>A quick stop by the "Mars Yard" at NASA's Jet Propulsion Laboratory to learn more about rover technology.</t>
  </si>
  <si>
    <t>9tIZfLDUWfc</t>
  </si>
  <si>
    <t>2015 09 23</t>
  </si>
  <si>
    <t>https://youtu.be/_qZMHSbYNFY</t>
  </si>
  <si>
    <t>STEM in 30 – Asteroid Redirect Mission</t>
  </si>
  <si>
    <t>“Asteroid Redirect Mission” is part of the Smithsonian National Air and Space Museum’s STEM in 30 series of live, fast-paced, 30-minute webcasts designed to increase interest and engagement in STEM for students. This episode, which originated from the museum Sept. 23, 2015, highlights the NASA mission being planned to capture a piece of an asteroid for study by NASA scientists. This STEM in 30 is all about asteroids; what we can learn from capturing one, and the technology needed to accomplish such a mission.</t>
  </si>
  <si>
    <t>_qZMHSbYNFY</t>
  </si>
  <si>
    <t>https://youtu.be/QjLkOZMUjOs</t>
  </si>
  <si>
    <t>Real Martians Moment  Low Density Supersonic Decelerator</t>
  </si>
  <si>
    <t>NASA’s Ian Clark is the Principal Investigator for the Low Density Supersonic Decelerator (LDSD) Project; it’s basically an inflatable airbrake designed to help spacecraft descending through a planet’s atmosphere to slow from breakneck speeds to a safe landing speed. The technology behind LDSD will allow NASA to safely land spacecraft with larger payloads on the surface of Mars, more accurately and at elevations we’ve never before had access to.</t>
  </si>
  <si>
    <t>QjLkOZMUjOs</t>
  </si>
  <si>
    <t>https://youtu.be/fSVlc1sKdw0</t>
  </si>
  <si>
    <t>Real Martians Moment  No Space for Radiation on Journey to Mars</t>
  </si>
  <si>
    <t>Ryan Norman is a physicist at Langley Research Center studying ways to keep astronauts on deep space missions safe from one of the most dangerous elements of space travel: Radiation. Norman and his colleagues in the Space Radiation Group look at how various shielding materials, vehicles and habitats react to radiation and evaluate their potential for keeping space travelers safe on exploration missions to Mars and various other deep space destinations.</t>
  </si>
  <si>
    <t>fSVlc1sKdw0</t>
  </si>
  <si>
    <t>2015 09 22</t>
  </si>
  <si>
    <t>https://youtu.be/-mykqdwInMg</t>
  </si>
  <si>
    <t>Real Martians Moment  Space Station Crew Talks Mars</t>
  </si>
  <si>
    <t>Real Martians host Amy Shira Teitel talks to Scott Kelly and Kjell Lindgren aboard the International Space Station about extended stays  in space and how their work puts us one step closer to Mars.</t>
  </si>
  <si>
    <t>-mykqdwInMg</t>
  </si>
  <si>
    <t>2015 09 21</t>
  </si>
  <si>
    <t>https://youtu.be/4uP4pV-0fjA</t>
  </si>
  <si>
    <t>Real Martians Moment  Mars Trek</t>
  </si>
  <si>
    <t>NASA’s Brian Day works on a web-based application capable of providing a virtual Mars experience. “Mars Trek” allows mission planners, scientists and the general public to explore Mars in great detail, as seen thru the eyes of a variety of instruments on a number of spacecraft on and around Mars. It’s the next best thing to being there and is expected to be especially useful in selecting possible landing sites for the Mars 2020 rover.</t>
  </si>
  <si>
    <t>4uP4pV-0fjA</t>
  </si>
  <si>
    <t>https://youtu.be/rYYfcFdI6SU</t>
  </si>
  <si>
    <t>Real Martians Moment  Space Launch System Trajectory</t>
  </si>
  <si>
    <t>NASA Engineer Rafael Lugo works on the team that plots and analyzes the course for the Space Launch System, NASA’s “NextGen” rocket. The team keeps an eye on the rocket’s progress throughout various parts of the flight -- lift-off, orbit and splash-down. Ultimately, the goal is to plot future missions to deep space destinations, including Mars.</t>
  </si>
  <si>
    <t>rYYfcFdI6SU</t>
  </si>
  <si>
    <t>2015 09 18</t>
  </si>
  <si>
    <t>https://youtu.be/_ssL65V-QME</t>
  </si>
  <si>
    <t>Halfway point of the one year mission on This Week @NASA – September 18, 2015</t>
  </si>
  <si>
    <t>Sept. 15 marked the halfway point in the yearlong mission on the International Space Station with NASA astronaut Scott Kelly and Russian cosmonaut Mikhail Kornienko. An event the day before at the National Press Club in Washington included a discussion about the biomedical research conducted on the station, to help formulate future human missions to Mars. Kelly participated from the space station. His identical twin, retired NASA astronaut Mark Kelly, and NASA astronaut Terry Virts, who served as commander of Expedition 43, participated from the press club. Also, I spy the space station: Live!, Expedition 43 post-flight visit, Key milestone for Orion spacecraft, Global ocean on Enceladus, Connecting space to village and more!</t>
  </si>
  <si>
    <t>_ssL65V-QME</t>
  </si>
  <si>
    <t>https://youtu.be/I26FFbTnvM8</t>
  </si>
  <si>
    <t>Real Martians Moment  We All Need Water</t>
  </si>
  <si>
    <t>Jennifer Pruitt is a Engineer at Marshall Space Flight Center who works as the Lead Sustaining Engineer for the urine processor.</t>
  </si>
  <si>
    <t>I26FFbTnvM8</t>
  </si>
  <si>
    <t>https://youtu.be/VvW0LrmTuj0</t>
  </si>
  <si>
    <t>Real Martians Moment  Need More Power</t>
  </si>
  <si>
    <t>Lee Mason is an engineer at NASA’s Glenn Research Center who works on power systems for space applications. One of the systems is called a Radioisotope Thermoelectric Generator. It uses nuclear heat to produce electricity, and is actually already in use on Mars, powering the Mars Curiosity Rover. This is technology that NASA is developing for its human Journey To Mars in the 2030s.</t>
  </si>
  <si>
    <t>VvW0LrmTuj0</t>
  </si>
  <si>
    <t>https://youtu.be/ud2YwBnuu18</t>
  </si>
  <si>
    <t>Connecting Space to Village</t>
  </si>
  <si>
    <t>During an event hosted by the U.S. Agency for International Development (USAID), NASA Administrator Charlie Bolden and astronauts Terry Virts of NASA and Samantha Cristoforetti or ESA, who recently returned from a mission aboard the International Space Station, discussed the importance of the SERVIR project – a joint venture between the agencies that provides state-of-the-art, satellite-based Earth monitoring, imaging and mapping data, geospatial information, and other products to help improve environmental decision-making abilities for officials in developing countries.</t>
  </si>
  <si>
    <t>ud2YwBnuu18</t>
  </si>
  <si>
    <t>https://youtu.be/Qr5lpydoYF8</t>
  </si>
  <si>
    <t>Surviving on Mars</t>
  </si>
  <si>
    <t>NASA’s Digital Learning Network hosts a discussion with author Andy Weir about his book, “The Martian” and the soon to be released motion picture that is based on the book. NASA collaborated on the technical aspects of the film, which are based on real NASA science. Directed by Ridley Scott and starring Matt Damon, the story is about an astronaut struggling to survive alone on Mars in the 2030s.</t>
  </si>
  <si>
    <t>Qr5lpydoYF8</t>
  </si>
  <si>
    <t>2015 09 17</t>
  </si>
  <si>
    <t>https://youtu.be/695jneVQrlY</t>
  </si>
  <si>
    <t>What’s New in Aerospace    Meet An Astronaut</t>
  </si>
  <si>
    <t>On Sept. 17, a presentation from NASA astronaut Terry Virts and ESA astronaut Samantha Cristoferetti was featured during a recent episode of The Smithsonian National Air and Space Museum series, “Whats New in Aerospace?”. Virts and Cristoforetti returned to Earth in June 2015 after 199 days aboard the International Space Station.</t>
  </si>
  <si>
    <t>695jneVQrlY</t>
  </si>
  <si>
    <t>https://youtu.be/8GLpUbTHEMI</t>
  </si>
  <si>
    <t>The Real Martians</t>
  </si>
  <si>
    <t>During an event on Sept. 17 at NASA headquarters, Administrator Charlie Bolden and other agency officials discussed how the film “The Martian” uses real science from the exploration of Mars by NASA to make the movie. The discussion also touched on how the film’s story, which is set in the 2030s, when NASA astronauts are regularly traveling to Mars and living on the surface, closely matches NASA’s story and efforts to land humans on Mars by that time. NASA collaborated on this film with 20th Century Fox Entertainment, providing guidance on production design and serving as technical consultants.</t>
  </si>
  <si>
    <t>8GLpUbTHEMI</t>
  </si>
  <si>
    <t>https://youtu.be/jTbVCgAsmks</t>
  </si>
  <si>
    <t>'The Martian' Star Matt Damon Discusses NASA's Journey to Mars</t>
  </si>
  <si>
    <t>jTbVCgAsmks</t>
  </si>
  <si>
    <t>https://youtu.be/LJaKlAGPWjk</t>
  </si>
  <si>
    <t>One-Year Space Station Crewmembers Discuss Life in Space with Time Magazine</t>
  </si>
  <si>
    <t>Aboard the International Space Station, Expedition 45 Commander Scott Kelly of NASA and Flight Engineer Mikhail Kornienko of the Russian Federal Space Agency (Roscosmos) discussed the progress of their year-long mission aboard the complex in an interview Sept. 17 with producer Jonathan Woods of TIME Magazine. TIME is providing comprehensive coverage of the one-year mission in print, video and on social media. Kelly and Kornienko reached the midway point of their year in space on Sept. 15, conducting extensive biomedical research that will be valuable in the formulation of a future human mission to Mars.</t>
  </si>
  <si>
    <t>LJaKlAGPWjk</t>
  </si>
  <si>
    <t>https://youtu.be/2jOq1EsfZu8</t>
  </si>
  <si>
    <t>Space Station Commander Pays Tribute to a “Hero of America”</t>
  </si>
  <si>
    <t>Aboard the International Space Station, Expedition 45 Commander Scott Kelly of NASA paid tribute to a researcher at NASA’s Marshall Space Flight Center in Huntsville, Alabama as part of ABC’s “Good Morning, America” “Above and Beyond” series. The son of a preacher, Trent Griffin and his six brothers and sisters were raised to reach for the stars and improve their community with them.  Griffin did just that, eventually becoming a NASA physicist at the Marshall Flight Space Center in his hometown, working on space station life support systems and building a new glove box for conducting research in orbit.  After coming across five siblings that shared a single bicycle in Huntsville, Griffin bought several used bikes, refurbished them and donated them to children in the community. For his service, Griffin was honored by Kelly and the hosts of the “Good Morning, America” program.</t>
  </si>
  <si>
    <t>2jOq1EsfZu8</t>
  </si>
  <si>
    <t>https://youtu.be/ofq1v_eCbcg</t>
  </si>
  <si>
    <t>Real Martians Moment  The Journey to Mars Continues</t>
  </si>
  <si>
    <t>The average International Space Station expedition lasts four to six months. Research enabled by the one-year mission will help scientists better understand how the human body reacts and adapts to long-duration spaceflight. This knowledge is critical as NASA looks toward human missions deeper into the solar system, including to and from Mars, which could last 500 days or longer. It also carries potential benefits for humans on Earth, from helping patients recover after long periods of bed rest to improved monitoring for people whose bodies are unable to fight infections.
The International Space Station is a convergence of science, technology and human innovation that enables us to demonstrate new technologies and make research breakthroughs not possible on Earth. It has been continuously occupied since November 2000 and, since then, has been visited by more than 200 people and a variety of international and commercial spacecraft. The space station remains the springboard to NASA's next giant leap in exploration, including future missions to an asteroid and Mars.</t>
  </si>
  <si>
    <t>ofq1v_eCbcg</t>
  </si>
  <si>
    <t>2015 09 16</t>
  </si>
  <si>
    <t>https://youtu.be/gg72loB2DAU</t>
  </si>
  <si>
    <t>Real Martians Moment  Next Generation Spacesuits</t>
  </si>
  <si>
    <t>NASA's "Real Martians" are working right now on new spacesuit designs that will continue our Journey to Mars.</t>
  </si>
  <si>
    <t>gg72loB2DAU</t>
  </si>
  <si>
    <t>https://youtu.be/SdJbkZMhWpE</t>
  </si>
  <si>
    <t>Real Martians Moment  Flight on Mars</t>
  </si>
  <si>
    <t>Al Bowers works on the Preliminary Research Aerodynamic Design to Land on Mars (Prandtl-M) project at NASA's Armstrong Flight Research Center. This Unmanned Aerial Vehicle is being designed as part of NASA's Journey To Mars to help perform reconnaissance on Mars.</t>
  </si>
  <si>
    <t>SdJbkZMhWpE</t>
  </si>
  <si>
    <t>https://youtu.be/pHtdzWZoNfY</t>
  </si>
  <si>
    <t>Space Station Crew Member Discusses Life in Space with Baltimore Media</t>
  </si>
  <si>
    <t>Aboard the International Space Station, Expedition 45 Flight Engineer Kjell Lindgren of NASA discussed the status of his research on the orbital laboratory during an in-flight interview Sept. 16 with WBFF-TV in Baltimore, Maryland. Lindgren arrived on the station in July and will remain aboard the complex until just before Christmas conducting scientific experiments and maintenance activities.</t>
  </si>
  <si>
    <t>pHtdzWZoNfY</t>
  </si>
  <si>
    <t>2015 09 15</t>
  </si>
  <si>
    <t>https://youtu.be/oUhyF5r19ZE</t>
  </si>
  <si>
    <t>Real Martians Moment   Johnson Space Center Tour</t>
  </si>
  <si>
    <t>Mackenzie Davis and Sebastian Stan, stars of 20th Century Fox's Film "The Martian", got a tour from Johnson Space Center Director Ellen Ochoa.  News media followed the tour taking a peek at what NASA's "Real Martians" are working on.
For more videos of the visit:
Space Station Crew Members Talk to Cast of The Martian 
https://youtu.be/hD4WX-X0hBc
"The Martian" Visits JSC 
https://youtu.be/edUI6xqFTMM</t>
  </si>
  <si>
    <t>oUhyF5r19ZE</t>
  </si>
  <si>
    <t>https://youtu.be/hD4WX-X0hBc</t>
  </si>
  <si>
    <t>Space Station Crew Members Talk to Cast of The Martian</t>
  </si>
  <si>
    <t>Aboard the International Space Station, Expedition 45 Commander Scott Kelly and Flight Engineer Kjell Lindgren of NASA took time out of their work schedule to talk to Sebastian Stan and Mackenzie Davis, cast members of the new movie “The Martian”, during a visit they made to Mission Control at the Johnson Space Center, Houston Sept. 15. They were joined by JSC Director Ellen Ochoa. Kelly is at the midway point of a year-long mission aboard the orbital laboratory with Russian cosmonaut Mikhail Kornienko of the Russian Federal Space Agency (Roscosmos), gathering valuable biomedical data that will be used in the formulation of a future human mission to Mars. Lindgren, who is a medical doctor, is beginning the third month of a five-month mission on the outpost.</t>
  </si>
  <si>
    <t>hD4WX-X0hBc</t>
  </si>
  <si>
    <t>https://youtu.be/edUI6xqFTMM</t>
  </si>
  <si>
    <t xml:space="preserve"> The Martian  Visits JSC</t>
  </si>
  <si>
    <t>On Sept. 15, NASA’s Johnson Space Center hosted the media and cast members of the soon-to-be-released 20th Century Fox movie, “The Martian, for a variety of events offering a fresh perspective on NASA’s Journey to Mars and the confluence between the science fiction of the movie and NASA’s science fact, on which the film is based. NASA innovation is fueling the Journey to Mars, and information about the cutting edge technology being developed by NASA is available at: http://go.nasa.gov/1NqheRR.</t>
  </si>
  <si>
    <t>edUI6xqFTMM</t>
  </si>
  <si>
    <t>https://youtu.be/HTh8tHpN-po</t>
  </si>
  <si>
    <t>Blue Origin, Coming to the Space Coast</t>
  </si>
  <si>
    <t>During a ceremony on Sept. 15, private spaceflight company Blue Origin unveiled its new facility at Cape Canaveral, Florida, where it plans to build and launch rockets. Blue Origin is moving into Launch Complex 36, a spaceport that was once used to launch Atlas rockets for NASA and the United States Air Force.</t>
  </si>
  <si>
    <t>HTh8tHpN-po</t>
  </si>
  <si>
    <t>2015 09 14</t>
  </si>
  <si>
    <t>https://youtu.be/GwfPDuW6G5U</t>
  </si>
  <si>
    <t>Imagine  A Year Off The Earth, For The Earth</t>
  </si>
  <si>
    <t>Actor Billy Dee Williams narrates this video about the year-long mission being conducted aboard the International Space Station by NASA astronaut Scott Kelly and Russian cosmonaut Mikhail Kornienko. The average International Space Station expedition lasts four to six months. Research enabled by the one-year mission will help scientists better understand how the human body reacts and adapts to long-duration spaceflight. This knowledge is critical as NASA looks toward human missions deeper into the solar system, including to and from Mars, which could last 500 days or longer. It also carries potential benefits for humans on Earth, from helping patients recover after long periods of bed rest to improved monitoring for people whose bodies are unable to fight infections.</t>
  </si>
  <si>
    <t>GwfPDuW6G5U</t>
  </si>
  <si>
    <t>https://youtu.be/nTAhl1Ud5QY</t>
  </si>
  <si>
    <t>'The Martian' Director Ridley Scott Discusses NASA’s Journey to Mars</t>
  </si>
  <si>
    <t>Ridley Scott, director of the 20th Century Fox film "The Martian", based on author Andy Weir's book of the same name, reflects on the long-term personal and wide-ranging human fascination with Mars and how NASA’s exploration of the Red Planet is helping to turn science fiction into science fact.</t>
  </si>
  <si>
    <t>nTAhl1Ud5QY</t>
  </si>
  <si>
    <t>https://youtu.be/hhpBUJ1ft_o</t>
  </si>
  <si>
    <t>Real Martians Moment  Curiosity’s SAM</t>
  </si>
  <si>
    <t>SAM – Sample Analysis at Mars (SAM) is a suite of three instruments: a gas chromatograph, a quadrupole mass spectrometer, and a tunable laser spectrometer. Together they search for and measure the abundances of carbon, oxygen, hydrogen, and nitrogen - elements that are associated with life as we know it.</t>
  </si>
  <si>
    <t>hhpBUJ1ft_o</t>
  </si>
  <si>
    <t>https://youtu.be/AQV6Za0kgfA</t>
  </si>
  <si>
    <t>Real Martians Moment  Mars Sample Return Mission</t>
  </si>
  <si>
    <t>Mars Sample Return is a proposed mission to return samples from the surface of Mars to Earth. The mission would use robotic systems and a Mars ascent rocket to collect and send samples of Martian rocks, soils and atmosphere to Earth for detailed chemical and physical analysis.</t>
  </si>
  <si>
    <t>AQV6Za0kgfA</t>
  </si>
  <si>
    <t>https://youtu.be/gymAPmChPMM</t>
  </si>
  <si>
    <t>Expedition 44 Receives Warm Welcome Home</t>
  </si>
  <si>
    <t>Expedition 44 Commander Gennady Padalka of the Russian Federal Space Agency (Roscosmos) and Flight Engineers Andreas Mogensen of the European Space Agency and Aidyn Aimbetov of the Kazakh Space Agency (Kazcosmos) were greeted in a traditional ceremony at the airport in Karaganda, Kazakhstan on Sept. 12, a few hours after landing in their Soyuz TMA-16M spacecraft in Kazakhstan. Padalka completed 168 days in space since launching in late March, boosting his all-time record total of time in space to 879 days on five flights. Mogensen and Aimbetov spent ten days in space as part of the crew that brought a fresh Soyuz spacecraft to the complex.</t>
  </si>
  <si>
    <t>gymAPmChPMM</t>
  </si>
  <si>
    <t>https://youtu.be/5dv0gYjVw2k</t>
  </si>
  <si>
    <t>Real Martians Moment  We're Learning More!</t>
  </si>
  <si>
    <t>Amy Shira Teitel talks with Dr. Jim Green about real science missions on Mars and 20th Century Fox's film "The Martian" at the Toronto International Film Festival.</t>
  </si>
  <si>
    <t>5dv0gYjVw2k</t>
  </si>
  <si>
    <t>https://youtu.be/t3Gw9uZc4IE</t>
  </si>
  <si>
    <t>Halfway Through One Year Mission</t>
  </si>
  <si>
    <t>On Monday, Sept. 14, NASA astronaut Scott Kelly discussed reaching the halfway point of a one-year mission aboard the International Space Station during which he and Russian cosmonaut Mikhail Kornienko are conducting biomedical research, that will be valuable to formulating a future human mission to Mars. Also participating in the discussion, from the National Press Club in Washington, were Kelly’s identical twin, retired NASA astronaut Mark Kelly, and NASA astronaut Terry Virts, who recently returned in June from his mission aboard the space station.</t>
  </si>
  <si>
    <t>t3Gw9uZc4IE</t>
  </si>
  <si>
    <t>2015 09 12</t>
  </si>
  <si>
    <t>https://youtu.be/kXY-rvHxcd0</t>
  </si>
  <si>
    <t>Real Martians Moment  Toronto International Film Festival</t>
  </si>
  <si>
    <t>The film “The Martian” takes the work NASA and others have done exploring Mars and extends it into fiction set in the 2030s, when NASA astronauts are regularly traveling to Mars and living on the surface. NASA has collaborated on this film with 20th Century Fox Entertainment, providing guidance on production design and technical consultants, including Jim Green, director of planetary science, and Dave Lavery, program executive for solar system exploration.   Astronaut Tracey Caldwell Dyson also provided advice and guidance to actress Jessica Chastain as she prepared for her role in the film.</t>
  </si>
  <si>
    <t>kXY-rvHxcd0</t>
  </si>
  <si>
    <t>https://youtu.be/DeoQ4il7LQk</t>
  </si>
  <si>
    <t>Soyuz Crew Lands in Kazakhstan</t>
  </si>
  <si>
    <t>The Soyuz spacecraft carrying Expedition 44 Commander Gennady Padalka of the Russian Federal Space Agency (Roscosmos) and Flight Engineers Andreas Mogensen of the European Space Agency and Aidyn Aimbetov of the Kazakh Space Agency (Kazcosmos), returned safely to Earth on Sept. 12 with a landing on the steppe of Kazakhstan. Padalka completed 168 days in space since launching in late March, boosting his all-time record total of time in space to 879 days on five flights. Mogensen and Aimbetov spent eight days in space as part of the crew that brought a fresh Soyuz spacecraft to the complex. Following landing the crew was greeted with a traditional ceremony.</t>
  </si>
  <si>
    <t>DeoQ4il7LQk</t>
  </si>
  <si>
    <t>https://youtu.be/wSlDQPys4CM</t>
  </si>
  <si>
    <t>Space Station Astronauts Make Safe Landing on This Week @NASA – September 11, 2015</t>
  </si>
  <si>
    <t>Aboard the International Space Station, the Expedition 45 crew – including new Commander Scott Kelly and Kjell Lindgren of NASA, said goodbye to Gennady Padalka of the Russian Federal Space Agency, Andreas Mogensen of ESA (European Space Agency) and Aidyn Aimbetov of the Kazakh Space Agency (Kazcosmos) as the trio climbed aboard their Soyuz spacecraft for the return trip to Earth. The Soyuz landed safely in Kazakhstan on Sept. 11 Eastern time, Sept. 12 in Kazakhstan -- closing out a 168-day mission for Padalka and an 8-day stay on the station for Mogensen and Aimbetov. Also, First Orion crew module segments welded, SLS Launch Vehicle Stage Adapter, New Ceres imagery, New Horizons update, 9/11 tribute and National Preparedness Month!</t>
  </si>
  <si>
    <t>wSlDQPys4CM</t>
  </si>
  <si>
    <t>2015 09 11</t>
  </si>
  <si>
    <t>https://youtu.be/o1oKkLiJa4U</t>
  </si>
  <si>
    <t>Soyuz Undocks from ISS</t>
  </si>
  <si>
    <t>On Sept. 12, the Soyuz TMA-16M spacecraft carrying Expedition 44 Commander Gennady Padalka of the Russian Federal Space Agency (Roscosmos) and Flight Engineers Andreas Mogensen of the European Space Agency and Aidyn Aimbetov of the Kazakh Space Agency (Kazcosmos) undocked from the International Space Station to begin the return journey home for the trio.</t>
  </si>
  <si>
    <t>o1oKkLiJa4U</t>
  </si>
  <si>
    <t>https://youtu.be/vzNmGRPVoCo</t>
  </si>
  <si>
    <t>Expedition 44 Visiting Soyuz Crew Bids Farewell to Space Station</t>
  </si>
  <si>
    <t>On Sept. 12, Expedition 44 Commander Gennady Padalka of the Russian Federal Space Agency (Roscosmos) and Flight Engineers Andreas Mogensen of the European Space Agency and Aidyn Aimbetov of the Kazakh Space Agency (Kazcosmos) said their goodbyes to the remaining residents of the International Space Station before closing the hatch on their Soyuz vehicle and preparing to undock for their return home to Earth.</t>
  </si>
  <si>
    <t>vzNmGRPVoCo</t>
  </si>
  <si>
    <t>2015 09 09</t>
  </si>
  <si>
    <t>https://youtu.be/Vy9IzhbHxBY</t>
  </si>
  <si>
    <t>One-Year Space Station Crew Members Discuss Life in Space with New York Media</t>
  </si>
  <si>
    <t>Aboard the International Space Station, Expedition 45 Commander Scott Kelly of NASA and Flight Engineer Mikhail Kornienko of the Russian Federal Space Agency (Roscosmos) discussed the progress of their year-long mission during an in-flight interview Sept. 9 with the “Good Day, New York” program on WNYW-TV in New York. As they approach the midway point of their year in space on Sept. 15, Kelly and Kornienko are conducting numerous biomedical experiments designed to gather valuable data on the effect of long-duration exposure of the human body to weightlessness that will be used formulate the planning for a future human mission to Mars.</t>
  </si>
  <si>
    <t>Vy9IzhbHxBY</t>
  </si>
  <si>
    <t>2015 09 08</t>
  </si>
  <si>
    <t>https://youtu.be/Dt6PRjH0T2A</t>
  </si>
  <si>
    <t>Three Space Station Crews Answer Questions from the International Media</t>
  </si>
  <si>
    <t>Aboard the International Space Station, the nine crew members gathered Sept. 8 to answer questions from international media during a joint crew news conference. Expedition crew members Scott Kelly, who is the station’s new commander, and Kjell Lindgren of NASA, Kimiya Yui of the Japan Aerospace Exploration Agency, Russian cosmonauts Gennady Padalka, Oleg Kononenko, Mikhail Kornienko and Sergey Volkov of the Russian Federal Space Agency (Roscosmos) and visiting crewmembers Andreas Mogensen of the European Space Agency and Aidyn Aimbetov of the Kazakh Space Agency (Kazcosmos) are spending more than week together on the complex after Volkov, Mogensen and Aimbetov delivered a fresh Soyuz spacecraft to the orbital laboratory Sept. 4. Padalka, Mogensen and Aimbetov will return to Earth on the older Soyuz TMA-16M spacecraft Sept. 12 (Kazakh time) for a parachute-assisted landing on the steppe of Kazakhstan, as Expedition 45 begins with a six-man crew.</t>
  </si>
  <si>
    <t>Dt6PRjH0T2A</t>
  </si>
  <si>
    <t>2015 09 05</t>
  </si>
  <si>
    <t>https://youtu.be/ytHXbXNBTBk</t>
  </si>
  <si>
    <t>Expedition 44 Hands Over the Space Station to Expedition 45</t>
  </si>
  <si>
    <t>The reins of the International Space Station were passed from Gennady Padalka of the Russian Federal Space Agency (Roscosmos) to NASA’s Scott Kelly during a ceremony on the orbital outpost on Sept. 5. Padalka will return to Earth Sept. 12, Kazakh time, in the Soyuz TMA-16M spacecraft with visiting crew members Andreas Mogensen of the European Space Agency and Aidyn Aimbetov of the Kazakh Space Agency (Kazcosmos), who arrived in a fresh Soyuz spacecraft on Sept. 4 with cosmonaut Sergey Volkov. Kelly, who will be the station commander for Expeditions 45 and 46, and Russian cosmonaut Mikhail Kornienko of Roscosmos, are nearing the halfway mark of a year-long mission on the complex, gathering valuable biomedical data that will be used in the planning for a mission to Mars.</t>
  </si>
  <si>
    <t>ytHXbXNBTBk</t>
  </si>
  <si>
    <t>2015 09 04</t>
  </si>
  <si>
    <t>https://youtu.be/oj164sgu72Y</t>
  </si>
  <si>
    <t>Soyuz crew launches to space station on This Week @NASA – September 4, 2015</t>
  </si>
  <si>
    <t>On Sept. 2, a Soyuz spacecraft launched from the Baikonur Cosmodrome in Kazakhstan with Expedition 45 Soyuz Commander Sergey Volkov of the Russian Federal Space Agency and visiting crew members Andreas Mogensen and Aidyn Aimbetov. Two days later, the trio docked to the International Space Station and were greeted by the crew onboard, including NASA’s Scott Kelly and Kjell Lindgren. Volkov will spend six months on the station while Mogensen and Aimbetov are scheduled to return to Earth after eight days. Also, Showcasing Commercial Crew progress, SLS test stand construction, Environmental monitoring from space, ABoVE: Climate impacts study and High Ice Water Content mission!</t>
  </si>
  <si>
    <t>oj164sgu72Y</t>
  </si>
  <si>
    <t>https://youtu.be/m1pno_CKpAw</t>
  </si>
  <si>
    <t>Boeing Debuts Commercial Crew Hardware</t>
  </si>
  <si>
    <t>Boeing held a grand opening ceremony for the revamped Commercial Crew and Cargo Processing Facility (C3PF), one of NASA’s former shuttle hangars, Friday, Sept. 4, at NASA’s Kennedy Space Center in Florida. Hardware for Boeing’s Crew Space Transportation (CST)-100 Starliner spacecraft is being processed in the facility as part of the company’s contract with NASA’s Commercial Crew Program.
The pressure vessel was used for early development and testing of the spacecraft and helped inform the company’s design. The structural test article upper and lower domes will be mated and used to test the company’s design prior to flight tests to the International Space Station in 2017.</t>
  </si>
  <si>
    <t>m1pno_CKpAw</t>
  </si>
  <si>
    <t>https://youtu.be/MiSkRYg_3wI</t>
  </si>
  <si>
    <t>Expedition 45 Visiting Crew Welcomed Aboard the Space Station</t>
  </si>
  <si>
    <t>After launching on September 2 in their Soyuz TMA-18M spacecraft from the Baikonur Cosmodrome in Kazakhstan, Expedition 45 Soyuz Commander Sergei Volkov of the Russian Federal Space Agency (Roscosmos) and visiting crew members Andreas Mogensen of the European Space Agency and Aidyn Aimbetov of the Kazakh Space Agency (Kazcosmos) arrived at the International Space Station on Sept. 4. A few hours after docking, Volkov, Mogensen and Aimbetov opened hatches and were greeted by station Commander Gennady Padalka of Roscosmos, NASA Flight Engineers Scott Kelly and Kjell Lindgren, Flight Engineer Kimiya Yui of the Japan Aerospace Exploration Agency and Russian Flight Engineers Mikhail Kornienko and Oleg Kononenko.</t>
  </si>
  <si>
    <t>MiSkRYg_3wI</t>
  </si>
  <si>
    <t>https://youtu.be/ukcZodM9j8E</t>
  </si>
  <si>
    <t>Expedition 45 Visiting Crew Docks to the Space Station</t>
  </si>
  <si>
    <t>After launching on September 2 in their Soyuz TMA-18M spacecraft from the Baikonur Cosmodrome in Kazakhstan, Expedition 45 Soyuz Commander Sergei Volkov of the Russian Federal Space Agency (Roscosmos) and visiting crew members Andreas Mogensen of the European Space Agency and Aidyn Aimbetov of the Kazakh Space Agency (Kazcosmos) arrived at the International Space Station on Sept. 4. They docked their craft to the Poisk module on the Russian segment of the complex.</t>
  </si>
  <si>
    <t>ukcZodM9j8E</t>
  </si>
  <si>
    <t>2015 09 02</t>
  </si>
  <si>
    <t>https://youtu.be/r2s1ZJjeQGI</t>
  </si>
  <si>
    <t>Expedition 45 Visiting Crew Launches to the International Space Station</t>
  </si>
  <si>
    <t>Expedition 45 Soyuz Commander Sergey Volkov of the Russian Federal Space Agency (Roscosmos) and visiting crew members Andreas Mogensen of the European Space Agency (ESA) and Aidyn Aimbetov of the Kazakh Space Agency (Kazcosmos) launched on the Russian Soyuz TMA-18M spacecraft on Sept. 2, Kazakh time from the Baikonur Cosmodrome in Kazakhstan bound for the International Space Station. Volkov will spend six months on the station while Mogensen and Aimbetov will be on board the station for just eight days. The footage also includes the crew’s pre-launch activities and post-launch interviews with Michael Suffredini, NASA ISS Program Manager; William Gerstenmaier, NASA Associate Administrator for Human Exploration and Operations; Jan Woerner, ESA Director General; and Esben Lunde Larsen, Minister for Higher Education and Science, Denmark.</t>
  </si>
  <si>
    <t>r2s1ZJjeQGI</t>
  </si>
  <si>
    <t>2015 09 01</t>
  </si>
  <si>
    <t>https://youtu.be/gHHVyXlkE1g</t>
  </si>
  <si>
    <t>Expedition 45 Visiting Crew Meets Officials and Reporters as Launch Approaches</t>
  </si>
  <si>
    <t>Expedition 45 Soyuz Commander Sergei Volkov of the Russian Federal Space Agency (Roscosmos) and visiting crew members Andreas Mogensen of the European Space Agency (ESA) and Aidyn Aimbetov of the Kazakh Space Agency (Kazcosmos), and their backups, Oleg Skripochka and Sergei Prokopyev of Roscosmos and Thomas Pesquet of ESA appeared before the Russian State Commission on Sept. 1 in Baikonur, Kazakhstan. The commission gave its final approval for the launch of Volkov, Mogensen and Aimbetov to the International Space Station on Sept. 2, Kazakh time in their Soyuz TMA-18M spacecraft. The crew members also conducted a final prelaunch news conference at the Cosmonaut Hotel crew quarters in Baikonur</t>
  </si>
  <si>
    <t>gHHVyXlkE1g</t>
  </si>
  <si>
    <t>2015 08 31</t>
  </si>
  <si>
    <t>https://youtu.be/cBUxxH-hoKM</t>
  </si>
  <si>
    <t>The Expedition 45 Visiting Crew Soyuz Rocket Moved to Launch Pad</t>
  </si>
  <si>
    <t>At the Baikonur Cosmodrome in Kazakhstan, the Soyuz TMA-18M spacecraft was mated to its booster rocket August 30, and moved to the launch pad on a railcar August 31 for final preparations before launch to the International Space Station on Sept. 2, Kazakh time. The Soyuz TMA-18M will carry Soyuz Commander Sergei Volkov of the Russian Federal Space Agency (Roscosmos), European Space Agency (ESA) Flight Engineer Andreas Mogensen and Kazakh Space Agency (Kazcosmos) Flight Engineer Aidyn Aimbetov to the orbital complex. Volkov will spend six months on the station while Mogensen and Aimbetov will be on board the station for just eight days.</t>
  </si>
  <si>
    <t>cBUxxH-hoKM</t>
  </si>
  <si>
    <t>2015 08 28</t>
  </si>
  <si>
    <t>https://youtu.be/4RyP8O_NO2c</t>
  </si>
  <si>
    <t>Japanese supply ship delivers to space station on This Week @NASA – August 28, 2015</t>
  </si>
  <si>
    <t>It was a busy week for the crew aboard the International Space Station. The Japanese Aerospace Exploration Agency’s fifth H-II Transfer Vehicle, or HTV-5 arrived on Aug. 24 with more than 8,000 pounds of equipment, supplies and experiments in its pressurized cargo compartment. The delivery included an investigation that will search for signatures of dark matter, as well as enough additional food and supplies to last through 2015. Also, Soyuz relocated to Zvezda, Orion parachute drop test, Rising Seas, Hurricane Katrina remembrance, Tail first crash test, Webb telescope’s backplane arrives and Hubble’s double black hole!</t>
  </si>
  <si>
    <t>4RyP8O_NO2c</t>
  </si>
  <si>
    <t>https://youtu.be/i-VNc1cSSPk</t>
  </si>
  <si>
    <t>Launch Approaches for Next Crew Headed to Space Station</t>
  </si>
  <si>
    <t>During activities August 27-28 at the Baikonur Cosmodrome in Kazakhstan, Expedition 45 Soyuz Commander Sergei Volkov of the Russian Federal Space Agency (Roscosmos) and visiting crew members Andreas Mogensen of the European Space Agency and Aidyn Aimbetov of the Kazakh Space Agency (Kazcosmos) continued preparations for launch to the International Space Station with a final fit check in their Soyuz TMA-18M spacecraft and other pre-flight preparations. Volkov, Mogensen and Aimbetov are set to launch on Sept. 2, Kazakh time. Volkov will spend six months on the station, while Mogensen and Aimbetov will be on board the station for just ten days.</t>
  </si>
  <si>
    <t>i-VNc1cSSPk</t>
  </si>
  <si>
    <t>https://youtu.be/ec15AZ1-Q1I</t>
  </si>
  <si>
    <t>Soyuz Spacecraft Moved to a New Parking Place at the Space Station</t>
  </si>
  <si>
    <t>Expedition 44 Commander Gennady Padalka of the Russian Federal Space Agency (Roscosmos), NASA Flight Engineer Scott Kelly and Flight Engineer Mikhail Kornienko of Roscosmos donned their Sokol launch and entry suits, climbed aboard the Soyuz TMA-16M spacecraft and undocked from the Poisk module on the Earth-facing side of the Russian segment of the International Space Station Aug. 28 for a brief flyover and redocking to the aft port of the Zvezda Service Module. The relocation of the TMA-16M spacecraft was required to clear the Poisk docking port for the arrival of a new Soyuz spacecraft --- the TMA-18M --- on Sept. 4.</t>
  </si>
  <si>
    <t>ec15AZ1-Q1I</t>
  </si>
  <si>
    <t>2015 08 26</t>
  </si>
  <si>
    <t>https://youtu.be/dDE5XgVvJxE</t>
  </si>
  <si>
    <t>NASA Crashes Plane to Test Emergency Devices</t>
  </si>
  <si>
    <t>Using a Cessna 172 dropped from a height of 100 feet, NASA’s Search and Rescue Mission Office simulated a severe but survivable plane accident Wednesday, Aug. 26 at the agency’s Langley Research Center to test emergency locator transmitters (ELTs). The devices are installed on general aviation and commercial planes to transmit a location signal in the event of a crash. On this third and final test in the series the plane was dropped from 100 feet, tail down into the ground.</t>
  </si>
  <si>
    <t>dDE5XgVvJxE</t>
  </si>
  <si>
    <t>https://youtu.be/CmohPIrfITw</t>
  </si>
  <si>
    <t>Space Station Crew Members Discuss Life in Space with Japan’s Prime Minister</t>
  </si>
  <si>
    <t>Aboard the International Space Station, Expedition 44 Flight Engineers Kimiya Yui of the Japan Aerospace Exploration Agency and Scott Kelly and Kjell Lindgren of NASA discussed their mission on the orbital outpost with Japanese Prime Minister Shinzo Abe, Japanese government officials and former and current Japanese astronauts during an in-flight call Aug. 26. Yui and Lindgren will remain on the station until late December, conducting scientific research and station maintenance activities. Kelly is in the fifth month of a year-long mission on the station to gather valuable biomedical data about the effect of long periods of weightlessness on the human body that will be used to help formulate the planning for a future mission to Mars.</t>
  </si>
  <si>
    <t>CmohPIrfITw</t>
  </si>
  <si>
    <t>2015 08 25</t>
  </si>
  <si>
    <t>https://youtu.be/Na1pwRW4ZYc</t>
  </si>
  <si>
    <t>Happy NASA</t>
  </si>
  <si>
    <t>NASA Television captured some happy moments while producing agency videos. NASA is ranked the best place to work in the federal government.</t>
  </si>
  <si>
    <t>Na1pwRW4ZYc</t>
  </si>
  <si>
    <t>2015 08 24</t>
  </si>
  <si>
    <t>https://youtu.be/nBsYpLMeP1E</t>
  </si>
  <si>
    <t>Japanese Cargo Ship Arrives at the Space Station</t>
  </si>
  <si>
    <t>The Japanese Aerospace Exploration Agency’s (JAXA) “Kounotori” H-II Transfer Vehicle (HTV-5) arrived at the International Space Station Aug. 24 to deliver almost five tons of supplies and scientific experiments to the Expedition 44 crew. The cargo vehicle was launched atop a Japanese H-IIB rocket Aug. 19 from the Tanegashima Space Center in southern Japan.</t>
  </si>
  <si>
    <t>nBsYpLMeP1E</t>
  </si>
  <si>
    <t>2015 08 21</t>
  </si>
  <si>
    <t>https://youtu.be/hwQtcJjaB3o</t>
  </si>
  <si>
    <t>Japanese Cargo Ship Launches to ISS on This Week @NASA -  August 21, 2015</t>
  </si>
  <si>
    <t>On Aug. 19, the Japan Aerospace Exploration Agency launched its “Kounotori” H-II Transfer Vehicle, or HTV-5 from the Tanegashima Space Center to the International Space Station. The unpiloted cargo spacecraft is loaded with almost five tons of supplies and scientific experiments. It will spend about five weeks at the station. Also, National Aviation Day, First Atlantic hurricane of 2015, New hurricane mission, Spotlight on The Martian and more!</t>
  </si>
  <si>
    <t>hwQtcJjaB3o</t>
  </si>
  <si>
    <t>2015 08 19</t>
  </si>
  <si>
    <t>https://youtu.be/a6LnPFtKeoE</t>
  </si>
  <si>
    <t>One Year International Space Station Crew Member Discusses Life In Space With The Media</t>
  </si>
  <si>
    <t>Aboard the International Space Station, Expedition 44 Flight Engineer Scott Kelly of NASA provided an update on his year-long mission on the orbital complex during a pair of in-flight interviews Aug. 19 with “The Larry King Show” on HULU and Yahoo News’ Katie Couric. Kelly is nearing the halfway mark of his one-year mission along with Russian cosmonaut Mikhail Kornienko to gather valuable biomedical data that will be used to formulate a human mission to Mars.</t>
  </si>
  <si>
    <t>a6LnPFtKeoE</t>
  </si>
  <si>
    <t>https://youtu.be/9wuPx1O6HQk</t>
  </si>
  <si>
    <t>Matt Damon at NASA’s Mars Mission Control Center</t>
  </si>
  <si>
    <t>Matt Damon talks about science, NASA and the collaboration with Andy Weir on this "...Love letter to science" known as "The Martian” during a visit to NASA’s Mars Mission Control Center at the Jet Propulsion Laboratory in Pasadena, California.</t>
  </si>
  <si>
    <t>9wuPx1O6HQk</t>
  </si>
  <si>
    <t>https://youtu.be/yEh4INCjeGQ</t>
  </si>
  <si>
    <t>Jessica Chastain and Tracy Caldwell Dyson Discuss Space Exploration</t>
  </si>
  <si>
    <t>NASA joins actress Jessica Chastain and astronaut Tracy Caldwell Dyson for a discussion of the motion picture "The Martian", space exploration and science fiction.</t>
  </si>
  <si>
    <t>yEh4INCjeGQ</t>
  </si>
  <si>
    <t>https://youtu.be/m2bkJQah_dE</t>
  </si>
  <si>
    <t>Comic-Con  Journey to Mars and The Martian</t>
  </si>
  <si>
    <t>For the second year in a row, NASA participated in Comic-Con International in San Diego. 
NASA experts took part in two panel discussions during the conference on Thursday, July 9. 
NASA's participation continues the agency's efforts to engage and inspire the next generation of American innovators and explorers in our #JourneyToMars.</t>
  </si>
  <si>
    <t>m2bkJQah_dE</t>
  </si>
  <si>
    <t>https://youtu.be/CRpUzeNWtIA</t>
  </si>
  <si>
    <t>Comic-Con  Turning Science Fiction Into Science Fact</t>
  </si>
  <si>
    <t>CRpUzeNWtIA</t>
  </si>
  <si>
    <t>https://youtu.be/dLDU0Ow9M_U</t>
  </si>
  <si>
    <t>We're going to Mars!</t>
  </si>
  <si>
    <t>In an excerpt from the "2015 Comic-Con: Journey to Mars and The Martian" panel discussion NASA Space Launch System Program Manager Todd May shares a recently overheard quote: "...We're going to Mars"
For the full video click here: https://youtu.be/m2bkJQah_dE</t>
  </si>
  <si>
    <t>dLDU0Ow9M_U</t>
  </si>
  <si>
    <t>https://youtu.be/7PoaG0yjIJM</t>
  </si>
  <si>
    <t>Science Fiction to Science Fact</t>
  </si>
  <si>
    <t>Actor Jay Ferguson poses a question to NASA Astrophysicist Amber Straughn in an excerpt from the "2015 Comic-Con: Turning Science Fiction Into Science Fact" panel discussion.
For the full video click here: https://youtu.be/CRpUzeNWtIA</t>
  </si>
  <si>
    <t>7PoaG0yjIJM</t>
  </si>
  <si>
    <t>https://youtu.be/nDQQUnyMtFM</t>
  </si>
  <si>
    <t>Japanese Cargo Ship Sets Sail for the Space Station</t>
  </si>
  <si>
    <t>The Japan Aerospace Exploration Agency (JAXA)'s H-IIB rocket launched at 7:50 a.m. EDT on Wednesday, Aug. 19 from the Tanegashima Space Center in southern Japan carrying more than 9,500 pounds of equipment and supplies for the six-person station crew, including the CALorimetric Electron Telescope (CALET) investigation, an astrophysics mission that will search for signatures of dark matter and provide the highest energy direct measurements of the cosmic ray electron spectrum.
JAXA and NASA teams adjusted the cargo manifest to deliver additional food supplies and critical components lost in the failure of the seventh SpaceX commercial resupply services mission. The delivery will ensure the crew has plenty of food through the end of 2015. HTV-5 is delivering two multifiltration beds that filter contaminants from the station’s water supply, a Fluids Control and Pump Assembly used for urine processing to support water recycling, a Wring Collector used in conjunction with the on-orbit toilet, a Respiratory Support Pack used in space to provide breathing assistance to an astronaut in the event lung function were impaired and space suit support equipment used during spacewalks.</t>
  </si>
  <si>
    <t>nDQQUnyMtFM</t>
  </si>
  <si>
    <t>2015 08 18</t>
  </si>
  <si>
    <t>https://youtu.be/zU8kz5fqrHA</t>
  </si>
  <si>
    <t>NASA Celebrates Aviation Day</t>
  </si>
  <si>
    <t>A little more than a century ago, on March 3, 1915, congress created the National Advisory Committee for Aeronautics, the organization from which NASA was created in 1958.
Now, on National Aviation Day, we celebrate 100 years of aviation research, and we’re planning for the next 100 years!</t>
  </si>
  <si>
    <t>zU8kz5fqrHA</t>
  </si>
  <si>
    <t>https://youtu.be/2oxlEUf0uD4</t>
  </si>
  <si>
    <t>Happy Aviation Day from Dava Newman</t>
  </si>
  <si>
    <t>Wednesday, August 19 is National Aviation Day!
NASA has helped air travel become more earth friendly, efficient and safe. In fact, technology they helped develop is aboard every U.S. aircraft and air traffic control tower across the country.  Dava Newman, NASA’s deputy administrator, took a few minutes recently to mark this historic day.</t>
  </si>
  <si>
    <t>2oxlEUf0uD4</t>
  </si>
  <si>
    <t>https://youtu.be/i2LsMaEub2M</t>
  </si>
  <si>
    <t>Expedition 45 Visiting Crew Departs for Kazakh Launch Site</t>
  </si>
  <si>
    <t>Expedition 45 Soyuz Commander Sergei Volkov of the Russian Federal Space Agency (Roscosmos) and visiting crew members Andreas Mogensen of the European Space Agency (ESA) and Aidyn Aimbetov of the Kazakh Space Agency (Kazcosmos), and their backups, Oleg Skripochka and Sergei Prokopyev of Roscosmos and Thomas Pesquet of ESA participated in traditional ceremonies at the Gagarin Cosmonaut Training Center in Star City, Russia on August 18. Afterward, they departed for the Baikonur Cosmodrome in Kazakhstan to complete their training for the launch of Volkov, Mogensen and Aimbetov on Sept.2, Kazakh time, in the Soyuz TMA-18M spacecraft to the International Space Agency. Also featured is veteran Russian cosmonaut Alexei Leonov, the first human to walk in space and the Soviet Commander of the Apollo-Soyuz mission.</t>
  </si>
  <si>
    <t>i2LsMaEub2M</t>
  </si>
  <si>
    <t>2015 08 17</t>
  </si>
  <si>
    <t>https://youtu.be/30jRZe9Ss6M</t>
  </si>
  <si>
    <t>NASA International Space Station Crew Discuss Life In Space With CBS Radio</t>
  </si>
  <si>
    <t>Aboard the International Space Station, Expedition 44 Flight Engineers Scott Kelly and Kjell Lindgren of NASA discussed their life and research aboard the orbital outpost in an in-flight interview Aug. 17 with the CBS Radio Network. Kelly is completing the fifth month of his year-long mission on the station with Russian cosmonaut Mikhail Kornienko to gather valuable biomedical data that will be used to formulate a human mission to Mars, while Lindgren is completing the first month of a five-month mission on the laboratory.</t>
  </si>
  <si>
    <t>30jRZe9Ss6M</t>
  </si>
  <si>
    <t>2015 08 14</t>
  </si>
  <si>
    <t>https://youtu.be/TJ5e9O6yKlU</t>
  </si>
  <si>
    <t>Smoke and fire Rocket-engine ablaze on This Week @NASA – August 14, 2015</t>
  </si>
  <si>
    <t>On Aug. 13, NASA conducted a test firing of the RS-25 rocket engine at Stennis Space Center. The 535 second test was the sixth in the current series of seven developmental tests of the former space shuttle main engine. Four RS-25 engines will power the core stage of the new Space Launch System (SLS) rocket, which will carry humans deeper into space than ever before, including to an asteroid and Mars. Also, Veggies in space, Russian spacewalk, Supply ship undocks from ISS, Smallest giant black hole, 10th anniversary of MRO launch and more!</t>
  </si>
  <si>
    <t>TJ5e9O6yKlU</t>
  </si>
  <si>
    <t>https://youtu.be/KsItO5AwOK8</t>
  </si>
  <si>
    <t>Russian Space Station Supply Ship Departs ISS</t>
  </si>
  <si>
    <t>Six months after arriving at the International Space Station to deliver three tons of food, fuel and supplies for the station’s residents, the unpiloted Russian ISS Progress 58 cargo craft undocked from the aft port of the Zvezda Service Module Aug. 14, headed for its deorbit hours later to burn up harmlessly over the Pacific Ocean. Another Progress resupply freighter remains docked to the station after arriving in July, with the next Russian cargo vehicle – the ISS Progress 61 – scheduled to launch Oct. 1 with additional supplies for the station’s crewmembers</t>
  </si>
  <si>
    <t>KsItO5AwOK8</t>
  </si>
  <si>
    <t>2015 08 13</t>
  </si>
  <si>
    <t>https://youtu.be/fKCI7K2-NEE</t>
  </si>
  <si>
    <t>Smoke and fire RS 25 rocket engine test</t>
  </si>
  <si>
    <t>NASA conducted a developmental test firing of the RS-25 rocket engine, on August 13 at the agency’s Stennis Space Center in Mississippi. The 535 second test was the sixth in the current series of seven-tests of the former space shuttle main engine. Four RS-25 engines will power the core stage of the new Space Launch System (SLS) rocket , which will carry humans deeper into space than ever before, including to an asteroid and Mars.</t>
  </si>
  <si>
    <t>fKCI7K2-NEE</t>
  </si>
  <si>
    <t>https://youtu.be/pDWIu0YpHI0</t>
  </si>
  <si>
    <t>NASA Social -  RS-25 Rocket Engine Test</t>
  </si>
  <si>
    <t>NASA invited social media users to John C. Stennis Space Center on August 13 to participate in a NASA Social and to experience the sixth developmental test of an RS-25 rocket engine. Four of the former space shuttle main engines will power the core stage of the new Space Launch System (SLS) rocket , which will carry humans deeper into space than ever before, including to an asteroid and Mars. Participants not only saw and felt the power of the RS-25 engine test, but also got behind-the-scenes access to America’s largest rocket engine test facility and question and answer sessions with key personnel.</t>
  </si>
  <si>
    <t>pDWIu0YpHI0</t>
  </si>
  <si>
    <t>https://youtu.be/-GTYaancYC8</t>
  </si>
  <si>
    <t>Space station crew members share experiences in space with Challenger Center students</t>
  </si>
  <si>
    <t>Aboard the International Space Station, Expedition 44 Flight Engineers Scott Kelly and Kjell Lindgren of NASA discussed life and work aboard the orbital laboratory during an in-flight educational event Aug. 13 with students gathered at the Challenger Center National Conference in San Antonio, Texas. Lindgren arrived on the station three weeks ago and will remain on board until late December, while Kelly is in the fifth month of a year-long mission on the outpost with Russian crewmate Mikhail Kornienko, gathering valuable biomedical data that will be used in the formulation of a human mission to Mars.</t>
  </si>
  <si>
    <t>-GTYaancYC8</t>
  </si>
  <si>
    <t>https://youtu.be/DIvVLyltJe8</t>
  </si>
  <si>
    <t>Perseid meteor shower on NASA TV</t>
  </si>
  <si>
    <t>On August 12, meteor experts from NASA’s Marshall Space Flight Center provided commentary during NASA Television’s live coverage of the annual Perseid meteor shower. The Perseids have been observed for at least 2,000 years and are associated with the comet Swift-Tuttle, which orbits the sun once every 133 years. Every August, the Earth passes through a cloud of the comet’s debris. This debris field consists of bits of ice and dust — most over 1,000 years old — and burns up in Earth’s atmosphere to create one of the best meteor showers of the year.</t>
  </si>
  <si>
    <t>DIvVLyltJe8</t>
  </si>
  <si>
    <t>2015 08 11</t>
  </si>
  <si>
    <t>https://youtu.be/zHxRPEaARBI</t>
  </si>
  <si>
    <t>Expedition 45 Visiting Crew Conducts Traditional Ceremonies in Russia</t>
  </si>
  <si>
    <t>Expedition 45 Soyuz Commander Sergei Volkov of the Russian Federal Space Agency (Roscosmos) and visiting crew members Andreas Mogensen of the European Space Agency (ESA) and Aidyn Aimbetov of the Kazakh Space Agency (Kazcosmos), and their backups, Oleg Skripochka and Sergei Prokopyev of Roscosmos and Thomas Pesquet of ESA visited the Gagarin Museum in Star City, Russia July 8, where they viewed historic space artifacts, then traveled to Red Square in Moscow to lay flowers at the Kremlin Wall where Russian space icons are interred.  Volkov, Mogensen and Aimbetov are scheduled to launch on Sept. 2, Kazakh time, in the Soyuz TMA-18M spacecraft to the International Space Station.</t>
  </si>
  <si>
    <t>zHxRPEaARBI</t>
  </si>
  <si>
    <t>https://youtu.be/bcWJG54KCUI</t>
  </si>
  <si>
    <t>Expedition 45 Visiting Crew Conducts News Conference in Russia</t>
  </si>
  <si>
    <t>bcWJG54KCUI</t>
  </si>
  <si>
    <t>https://youtu.be/yCBzeIiYnmY</t>
  </si>
  <si>
    <t>Space station crew member talks to Japanese media</t>
  </si>
  <si>
    <t>Aboard the International Space Station, Expedition 44 Flight Engineer Kimiya Yui of the Japan Aerospace Exploration Agency (JAXA) discussed life and research aboard the orbital laboratory with Japanese media gathered at JAXA’s headquarters in Tsukuba, Japan during an in-flight question and answer session Aug. 11. Yui arrived on the station almost three weeks ago and will remain on the orbital laboratory until late December.</t>
  </si>
  <si>
    <t>yCBzeIiYnmY</t>
  </si>
  <si>
    <t>2015 08 10</t>
  </si>
  <si>
    <t>https://youtu.be/eFDVn2R3Edk</t>
  </si>
  <si>
    <t>Russian cosmonauts conduct spacewalk outside ISS</t>
  </si>
  <si>
    <t>Outside the International Space Station, Expedition 44 Commander Gennady Padalka and Flight Engineer Mikhail Kornienko of the Russian Federal Space Agency (Roscosmos) conducted a spacewalk Aug. 10 to replace and upgrade experiment and communications equipment on the Russian segment of the complex, clean windows on the Zvezda Service Module and measure thruster plume contamination on the hull of the station.</t>
  </si>
  <si>
    <t>eFDVn2R3Edk</t>
  </si>
  <si>
    <t>2015 08 07</t>
  </si>
  <si>
    <t>https://youtu.be/uWfBj8VhnQQ</t>
  </si>
  <si>
    <t>Making milestones on the journey to Mars on This Week @NASA – August 7, 2015</t>
  </si>
  <si>
    <t>NASA’s Curiosity rover celebrated the 3-year anniversary of its landing on Mars recently. Since landing, Curiosity has driven nearly seven miles to its current location at Mount Sharp, and found evidence of past conditions suitable for microbial life. To mark the anniversary, NASA is unveiling two new online tools that will bring the Mars experience to a new generation of explorers. “Mars Trek” is a free, web-based application that uses more than 40 years of Mars exploration data, to provide high-quality imagery of the planet’s features. "Experience Curiosity" is a 3-D simulation program that also uses real data, to take viewers along with Curiosity during the rover’s expeditions on the Martian surface. Since NASA’s robotic explorers became the first to study the Red Planet, advances in technology have enabled Mars exploration missions to continue making important scientific discoveries and pave the way for humans to reach Mars in the 2030s. Also, Newman visits composites tech facility, Future ISS crews, CubeSat Launch Initiative and Look, up in the sky!</t>
  </si>
  <si>
    <t>uWfBj8VhnQQ</t>
  </si>
  <si>
    <t>https://youtu.be/cFrTVYMHM44</t>
  </si>
  <si>
    <t>International Space Station Crew Member Discusses Life in Space with Japanese Students</t>
  </si>
  <si>
    <t>Aboard the International Space Station, Expedition 44 Flight Engineer Kimiya Yui of the Japan Aerospace Exploration Agency (JAXA) discussed the first weeks of his five-month mission on the complex during an in-flight event August 7 with students and officials of Kokubunji City, Japan. Kokubunji City holds an special place in Japanese space exploration history as the location where experimental Japanese rocket launches first occurred 60 years ago. Yui arrived on the station in late July and will remain on board through late December.</t>
  </si>
  <si>
    <t>cFrTVYMHM44</t>
  </si>
  <si>
    <t>2015 08 06</t>
  </si>
  <si>
    <t>https://youtu.be/aPtFpKQaLSU</t>
  </si>
  <si>
    <t>International Space Station Crew Members Discuss Life in Space with Denver Colorado Media</t>
  </si>
  <si>
    <t>Aboard the International Space Station, Expedition 44 Flight Engineers Scott Kelly and Kjell Lindgren of NASA discussed life and scientific research on the outpost during an in-flight interview August 6 with KDVR-TV in Denver. Kelly is in the fifth month of a year-long mission on the station gathering valuable data on the long duration effect of weightlessness on the human body that will apply to the planning for a mission to Mars. Lindgren, who graduated with a Master of Science degree in cardiovascular physiology from Colorado State University in 1996 and a Doctorate of Medicine from the University of Colorado in 2002, is in the initial weeks of a five-month mission on the orbital complex.</t>
  </si>
  <si>
    <t>aPtFpKQaLSU</t>
  </si>
  <si>
    <t>2015 07 31</t>
  </si>
  <si>
    <t>https://youtu.be/8cA0tiWPO_c</t>
  </si>
  <si>
    <t>Closest rocky exoplanet confirmed on This Week @NASA – July 31, 2015</t>
  </si>
  <si>
    <t>NASA’s Spitzer Space Telescope has helped astronomers confirm the discovery of the nearest rocky planet outside our solar system. The planet, called HD 219134b, is a bit larger than Earth and located a mere 21 light-years away in the Cassiopeia constellation, near the North Star. While HD 219134b orbits too close to its star to sustain life, it is the closest exoplanet to Earth to be detected transiting, or crossing in front of, its star – which makes it perfect for extensive scientific research. The results of this discovery are the subject of a study accepted for publication in the journal Astronomy &amp; Astrophysics. Also, Exoplanet found far from its central star, Orion fairing separation tests, NEEMO 20 mission, California’s “rain debt” and Unmanned Air Traffic Management!</t>
  </si>
  <si>
    <t>8cA0tiWPO_c</t>
  </si>
  <si>
    <t>https://youtu.be/D5w74zXnbTU</t>
  </si>
  <si>
    <t>Space Station Crew Members Discuss Life in Space with Ohio Students</t>
  </si>
  <si>
    <t>Aboard the International Space Station, Expedition 44 Flight Engineers Scott Kelly and Kjell Lindgren of NASA discussed life and research on the orbital laboratory with students gathered at the Great Lakes Science Center in Cleveland, Ohio during an in-flight educational event July 31. Kelly is in the fifth month of a year-long mission on the station gathering valuable biomedical data on the effect of long periods of weightlessness on the human body that will be used to help formulate the planning for a future mission to Mars, while Lindgren is in the early days of his five-month flight on the outpost.</t>
  </si>
  <si>
    <t>D5w74zXnbTU</t>
  </si>
  <si>
    <t>2015 07 30</t>
  </si>
  <si>
    <t>https://youtu.be/g4JXRH-2OIQ</t>
  </si>
  <si>
    <t>One Year Mission Crew Members Discuss Life and Research in Space</t>
  </si>
  <si>
    <t>Aboard the International Space Station, Expedition 44 Flight Engineers Scott Kelly of NASA and Mikhail Kornienko of the Russian Federal Space Agency discussed the progress of their year-long mission on the orbital complex with Fox News Channel’s “America’s News Headquarters” program and Reuters TV during a pair of in-flight interviews July 30. Kelly and Kornienko are now in the fifth month of their one-year mission, gathering valuable biomedical data on the effect of long periods of weightlessness on the human body that will be used to help formulate the planning for a future mission to Mars.</t>
  </si>
  <si>
    <t>g4JXRH-2OIQ</t>
  </si>
  <si>
    <t>2015 07 29</t>
  </si>
  <si>
    <t>https://youtu.be/8kz4_00l6m0</t>
  </si>
  <si>
    <t>SOFIA Captures Pluto Occultation</t>
  </si>
  <si>
    <t>It is no easy task to capture the shadow of Pluto as it travels across the surface of Earth at more than 53,000 mph—but that is exactly what NASA scientists and flight crew did on the night of June 29, 2015. In a true team effort, the Stratospheric Observatory for Infrared Astronomy or SOFIA's infrared telescope successfully observed the dwarf planet as it passed in front of a distant star. This event, known as an "occultation," allowed scientific analysis of Pluto and its atmosphere by flying SOFIA at the right moment to an exact location where Pluto's shadow fell on Earth. This video shows the careful planning and real time adaption of the observatory’s flight path leading up to observation, and highlights the data’s contributions to the New Horizons mission.
SOFIA is a joint project of NASA and the German Aerospace Center (DLR). The aircraft is based at NASA's Armstrong Flight Research Center facility in Palmdale, California. NASA’s Ames Research Center in Moffett Field, California is home to the SOFIA Science Center that is managed by NASA in cooperation with the Universities Space Research Association headquartered in Columbia, Maryland, and the German SOFIA Institute at the University of Stuttgart.
For more information on SOFIA visit: http://www.nasa.gov/sofia</t>
  </si>
  <si>
    <t>8kz4_00l6m0</t>
  </si>
  <si>
    <t>2015 07 24</t>
  </si>
  <si>
    <t>https://youtu.be/dWr29KIs2Ns</t>
  </si>
  <si>
    <t>NASA’s New Horizons Team Reveals New Scientific Findings on Pluto</t>
  </si>
  <si>
    <t>During a July 24 science update at NASA headquarters, new surprising imagery and science results were revealed from the recent flyby of Pluto, by the New Horizons spacecraft. These included an image from the Long Range Reconnaissance Imager or (LORRI) – looking back at Pluto – hours after the historic flyby that shows haze in the planet’s sunlit atmosphere, that extends as high as 80 miles above Pluto’s surface – much higher than expected. Models suggest that the hazes form when ultraviolet sunlight breaks apart methane gas.
LORRI images also show evidence that exotic ices have flowed – and may still be flowing across Pluto’s surface, similar to glacial movement on Earth. This unpredicted sign of present-day geologic activity was detected in Sputnik Planum – an area in the western part of Pluto’s heart-shaped Tombaugh Regio.
Additionally, new compositional data from New Horizons’ Ralph instrument indicate that the center of Sputnik Planum is rich in nitrogen, carbon monoxide, and methane ices.</t>
  </si>
  <si>
    <t>dWr29KIs2Ns</t>
  </si>
  <si>
    <t>https://youtu.be/Emaa0gbyJWo</t>
  </si>
  <si>
    <t>NASA’s New Horizons Team Discusses New Science Findings on Pluto</t>
  </si>
  <si>
    <t>These key excerpts from a July 24 science update at NASA headquarters, features team members of NASA’s New Horizons mission discussing surprising new images and science results from the spacecraft’s historic July 14 flyby of Pluto.</t>
  </si>
  <si>
    <t>Emaa0gbyJWo</t>
  </si>
  <si>
    <t>https://youtu.be/-8kGByu_EZk</t>
  </si>
  <si>
    <t>New Horizons science update on This Week @NASA – July 24, 2015</t>
  </si>
  <si>
    <t>A July 24 update at NASA headquarters, featured new surprising imagery and science results from the recent flyby of Pluto, by the New Horizons spacecraft. These included an image from the Long Range Reconnaissance Imager or (LORRI) – looking back at Pluto – hours after the historic flyby that revealed a haze in the planet’s sunlit atmosphere that extends as high as 80 miles above Pluto’s surface – much higher than expected. Models suggest that the hazes form when ultraviolet sunlight breaks apart methane gas. LORRI images also show evidence that exotic ices have flowed – and may still be flowing across Pluto’s surface, similar to glacial movement on Earth. This unpredicted sign of present-day geologic activity was detected in Sputnik Planum – an area in the western part of Pluto’s heart-shaped Tombaugh Regio. Additionally, new compositional data from New Horizons’ Ralph instrument indicate that the center of Sputnik Planum is rich in nitrogen, carbon monoxide, and methane ices. Also, Kepler discovers Earth’s “bigger cousin”, New crew launches to space station, EPIC view of Earth, Newman continues NASA center visits and Small Class Vehicle launch pad complete!</t>
  </si>
  <si>
    <t>-8kGByu_EZk</t>
  </si>
  <si>
    <t>https://youtu.be/PvOF5anPAwo</t>
  </si>
  <si>
    <t>New Horizons  Congratulations from Brian May</t>
  </si>
  <si>
    <t>Rock Star/Astrophysicist Dr. Brian May congratulates NASA on a successful flyby of Pluto.</t>
  </si>
  <si>
    <t>PvOF5anPAwo</t>
  </si>
  <si>
    <t>2015 07 23</t>
  </si>
  <si>
    <t>https://youtu.be/lJJExh5U77c</t>
  </si>
  <si>
    <t>Expedition 44 Crew Opens Hatch And Enters The International Space Station</t>
  </si>
  <si>
    <t>A few hours after docking, Expedition 44 Soyuz Commander Oleg Kononenko of the Russian Federal Space Agency (Roscosmos), NASA Flight Engineer Kjell Lindgren and Flight Engineer Kimiya Yui of the Japan Aerospace Exploration Agency opened hatches and were greeted by station Commander Gennady Padalka of Roscosmos, NASA Flight Engineer Scott Kelly and Russian Flight Engineer Mikhail Kornienko. As the crew met face to face in orbit, the families of the newly arrived crew and American, Russian and Japanese space officials viewed the activities from a conference facility in Baikonur near the launch site.</t>
  </si>
  <si>
    <t>lJJExh5U77c</t>
  </si>
  <si>
    <t>https://youtu.be/1N7ybMx_F-4</t>
  </si>
  <si>
    <t>Expedition 44 Crew Docks To The International Space Station</t>
  </si>
  <si>
    <t>After launching earlier in the day in their Soyuz TMA-17M spacecraft from the Baikonur Cosmodrome in Kazakhstan, Expedition 44 Soyuz Commander Oleg Kononenko of the Russian Federal Space Agency (Roscosmos), NASA Flight Engineer Kjell Lindgren and Flight Engineer Kimiya Yui of the Japan Aerospace Exploration Agency arrived at the International Space Station on July 23 following a four-orbit, six-hour rendezvous. They docked their craft to the Rassvet module on the Russian segment of the complex.</t>
  </si>
  <si>
    <t>1N7ybMx_F-4</t>
  </si>
  <si>
    <t>2015 07 22</t>
  </si>
  <si>
    <t>https://youtu.be/IeYmvOx8x38</t>
  </si>
  <si>
    <t>Expedition 44 Launches To The International Space Station</t>
  </si>
  <si>
    <t>Expedition 44 Soyuz Commander Oleg Kononenko of the Russian Federal Space Agency (Roscosmos), NASA Flight Engineer Kjell Lindgren and Flight Engineer Kimiya Yui of the Japan Aerospace Exploration Agency launched on the Russian Soyuz TMA-17M spacecraft on July 23, Kazakh time from the Baikonur Cosmodrome in Kazakhstan to begin a six-hour journey to the International Space Station and the start of a five-month mission.</t>
  </si>
  <si>
    <t>IeYmvOx8x38</t>
  </si>
  <si>
    <t>2015 07 21</t>
  </si>
  <si>
    <t>https://youtu.be/_IdKkLO-W_Q</t>
  </si>
  <si>
    <t>Expedition 44 Crew Meets Officials And Reporters As Launch Approaches</t>
  </si>
  <si>
    <t>_IdKkLO-W_Q</t>
  </si>
  <si>
    <t>https://youtu.be/NRGjVDsrkA0</t>
  </si>
  <si>
    <t>One Year Space Station Crew Discusses Life In Space With The News Media</t>
  </si>
  <si>
    <t>Aboard the International Space Station, Expedition 44 Flight Engineers Scott Kelly of NASA and Mikhail Kornienko of the Russian Federal Space Agency (Roscosmos) discussed the progress of their year-long mission on the complex and life and research in orbit in a pair of in-flight interviews July 21 with CNBC News and the BBC’s “Futures” Program. Kelly and Kornienko are in the fourth month of their one-year mission to gather valuable biomedical data that will be used to craft a future human mission to Mars.</t>
  </si>
  <si>
    <t>NRGjVDsrkA0</t>
  </si>
  <si>
    <t>2015 07 20</t>
  </si>
  <si>
    <t>https://youtu.be/TgqwjUGJ9eE</t>
  </si>
  <si>
    <t>Expedition 44 Soyuz Rocket Moves to Its Launch Pad as the Crew Prepares for Launch</t>
  </si>
  <si>
    <t>The Soyuz TMA-17M spacecraft and its booster were moved to the launch pad at the Baikonur Cosmodrome in Kazakhstan on a railcar July 20 for final preparations before launch to the International Space Station on July 23, Kazakh time. The Soyuz TMA-17M will carry Soyuz Commander Oleg Kononenko of the Russian Federal Space Agency (Roscosmos), NASA Flight Engineer Kjell Lindgren and Flight Engineer Kimiya Yui of the Japan Aerospace Exploration Agency to the orbital complex for a five-month mission. The footage also includes the crew’s final fit check activities and Baikonur museum visit July 17 and the mating of the booster’s stages July 19. Also included are interviews at the launch pad with Chris Cassidy, NASA Chief Astronaut; William Gerstenmaier, NASA Associate Administrator for Human Exploration Operations; and Michael Suffredini, International Space Station Program Manager July 20.</t>
  </si>
  <si>
    <t>TgqwjUGJ9eE</t>
  </si>
  <si>
    <t>2015 07 17</t>
  </si>
  <si>
    <t>https://youtu.be/qWPZTjd7Kk8</t>
  </si>
  <si>
    <t>New Horizons arrives at Pluto on This Week @NASA – July 17, 2015</t>
  </si>
  <si>
    <t>After a nearly decade-long journey, NASA’s New Horizons spacecraft arrived at Pluto on July 14 – passing by at a mere 7,750 miles above the surface … resulting in an absolutely breathtaking image – the closest ever of Pluto. Initial congratulations included a Twitter post from the White House … and from iconic figures in the scientific community. The so-called “data waterfall” released by New Horizons contains so many astounding images and detailed information about Pluto that investigators anticipate it will take about 16 months to send it all back to Earth. Also, Mariner 4 Mars flyby anniversary, Newman sworn-in, New wildfire detection tool, Expedition 44/45 prepares for launch and 40th anniversary of Apollo-Soyuz!</t>
  </si>
  <si>
    <t>qWPZTjd7Kk8</t>
  </si>
  <si>
    <t>https://youtu.be/xAGwxl7FZWw</t>
  </si>
  <si>
    <t>NASA News Conference on the New Horizons Mission</t>
  </si>
  <si>
    <t>NASA officials and team members of the historic New Horizons mission to Pluto provide an update and share the latest developments on the spacecraft during a news conference from NASA headquarters.</t>
  </si>
  <si>
    <t>xAGwxl7FZWw</t>
  </si>
  <si>
    <t>2015 07 16</t>
  </si>
  <si>
    <t>https://youtu.be/v64H35RDtR8</t>
  </si>
  <si>
    <t>Space Station Crew Talks About Life and Work on ISS</t>
  </si>
  <si>
    <t>Aboard the International Space Station, Expedition 44 Flight Engineers Scott Kelly of NASA and Mikhail Kornienko of the Russian Federal Space Agency (Roscosmos) discussed the status of their research in orbit and other aspects of life on the orbital complex in a pair of in-flight interviews July 16 with WDRB-TV, Louisville, Kentucky, and the First Coast News Network in Florida. Kelly and Kornienko are in the fourth month of a year-long mission on the station gathering valuable biomedical data that will assist in the formulation of a future human mission to Mars.</t>
  </si>
  <si>
    <t>v64H35RDtR8</t>
  </si>
  <si>
    <t>2015 07 15</t>
  </si>
  <si>
    <t>https://youtu.be/0jTdaOhG9wE</t>
  </si>
  <si>
    <t>Seeing Pluto in a New Light</t>
  </si>
  <si>
    <t>NASA officials and team members of the New Horizons mission to Pluto participate in a news conference featuring release of close-up images of Pluto’s surface and moons, and initial reactions from the New Horizons science team.
New Horizons is the first mission to the Kuiper Belt, a gigantic zone of icy bodies and mysterious small objects orbiting beyond Neptune. This region also is known as the “third” zone of our solar system, beyond the inner rocky planets and outer gas giants.</t>
  </si>
  <si>
    <t>0jTdaOhG9wE</t>
  </si>
  <si>
    <t>https://youtu.be/vSvPFrBjuHc</t>
  </si>
  <si>
    <t>Expedition 44 Crew Prepares for Launch in Kazakhstan</t>
  </si>
  <si>
    <t>At the Baikonur Cosmodrome in Kazakhstan, Expedition 44 Soyuz Commander Oleg Kononenko of the Russian Federal Space Agency (Roscosmos), NASA Flight Engineer Kjell Lindgren and Flight Engineer Kimiya Yui of the Japan Aerospace Exploration Agency, conducted pre-launch activities in preparation for their flight to the International Space Station in the Soyuz TMA-17M spacecraft on July 23, Kazakh time.</t>
  </si>
  <si>
    <t>vSvPFrBjuHc</t>
  </si>
  <si>
    <t>https://youtu.be/Z3pvlI0WFi0</t>
  </si>
  <si>
    <t>Signal Acquisition of New Horizons Spacecraft</t>
  </si>
  <si>
    <t>The New Horizons spacecraft "phoned home" around 9:00 p.m. EDT, July 14, 2015, indicating that it had successfully completed its historic flyby of Pluto earlier in the day. Team members at the Johns Hopkins Applied Physics Laboratory in Laurel, Maryland, cheered as they received the flyby confirmation. The fastest spacecraft ever launched, New Horizons has traveled for more than nine years and three billion miles to reach Pluto.</t>
  </si>
  <si>
    <t>Z3pvlI0WFi0</t>
  </si>
  <si>
    <t>https://youtu.be/Qgs7c8NJVIg</t>
  </si>
  <si>
    <t>New Horizons Mission Update – July 14, 2015 (Evening)</t>
  </si>
  <si>
    <t>NASA officials and team members of the New Horizons mission to Pluto participate in a status update of the spacecraft and its suite of instruments during New Horizon’s historic flyby of Pluto on July 14. The news briefing was broadcast from Johns Hopkins University Applied Physics Laboratory (APL) in Laurel, Maryland, site of the mission operations center.</t>
  </si>
  <si>
    <t>Qgs7c8NJVIg</t>
  </si>
  <si>
    <t>https://youtu.be/pwgPTin9pnM</t>
  </si>
  <si>
    <t>New Horizon Phones Home</t>
  </si>
  <si>
    <t>NASA TV’s coverage of the historic New Horizons mission to Pluto included a the reaction to the transmission by the New Horizons spacecraft of a preprogrammed signal after its closest approach to Pluto.</t>
  </si>
  <si>
    <t>pwgPTin9pnM</t>
  </si>
  <si>
    <t>2015 07 14</t>
  </si>
  <si>
    <t>https://youtu.be/8s0XVv6jffk</t>
  </si>
  <si>
    <t>Bastille Shout-Out for NASA's Bastille Day Pluto Flyby</t>
  </si>
  <si>
    <t>Members of the band “Bastille” salute NASA’s New Horizons spacecraft on its first-ever flyby of Pluto on June 14, 2015…which happens to also be Bastille Day!</t>
  </si>
  <si>
    <t>8s0XVv6jffk</t>
  </si>
  <si>
    <t>https://youtu.be/9jlYzc_Ketg</t>
  </si>
  <si>
    <t>One-Year Crewmember Talks About Life and Work on ISS</t>
  </si>
  <si>
    <t>Aboard the International Space Station, Expedition 44 Flight Engineer Scott Kelly of NASA discussed the status of his research in orbit and other aspects of life on the orbital complex in a pair of in-flight interviews July 14 with the Weather Channel and CNN International. Kelly and fellow one-year crewmate Mikhail Kornienko of the Russian Federal Space Agency (Roscosmos) are in the fourth month of a year-long mission on the station gathering valuable biomedical data that will assist in the formulation of a future human mission to Mars.</t>
  </si>
  <si>
    <t>9jlYzc_Ketg</t>
  </si>
  <si>
    <t>https://youtu.be/-PCXw6zxXnk</t>
  </si>
  <si>
    <t>The 40th Anniversary of the Historic Apollo-Soyuz Mission is Remembered</t>
  </si>
  <si>
    <t>Forty years ago on July 15, 1975, a Russian Soyuz spacecraft and an American Apollo spacecraft lifted off from their respective launch sites in Baikonur, Kazakhstan, and the Kennedy Space Center in Florida to send cosmonauts Alexey Leonov and Valery Kubasov and astronauts Tom Stafford, Vance Brand and Deke Slayton on a landmark mission to linkup their vehicles for the first time. The historic docking occurred on July 17, 1975, in what many consider the pinnacle moment of a flight that opened the door to international cooperation between the two countries and the birth of the International Space Station. The video includes interviews conducted in Moscow with Soyuz Commander Alexey Leonov in May 2014, and with Apollo Commander Tom Stafford conducted in Houston in June 2015, as well as highlights of the mission itself.</t>
  </si>
  <si>
    <t>-PCXw6zxXnk</t>
  </si>
  <si>
    <t>https://youtu.be/4BmybiFW6_8</t>
  </si>
  <si>
    <t>New Horizons Mission Update – July 14, 2015 (Morning)</t>
  </si>
  <si>
    <t>NASA officials and team members of the New Horizons mission to Pluto participate in a status update of the spacecraft and its suite of instruments prior to New Horizon’s historic flyby of Pluto on July 14. The news briefing was broadcast from Johns Hopkins University Applied Physics Laboratory (APL) in Laurel, Maryland, site of the mission operations center.</t>
  </si>
  <si>
    <t>4BmybiFW6_8</t>
  </si>
  <si>
    <t>https://youtu.be/wSfU2uxoFUw</t>
  </si>
  <si>
    <t>New Horizons Arrives at Pluto</t>
  </si>
  <si>
    <t>At approximately 7:49 a.m. on July 14, NASA’s New Horizons spacecraft is scheduled to be as close as it will get to Pluto, approximately 7,800 miles (12,500 kilometers) above the surface. This historic moment is part of NASA’s coverage of New Horizons’ nine year, three billion mile journey to the Pluto system to gather data about Pluto and its moons.</t>
  </si>
  <si>
    <t>wSfU2uxoFUw</t>
  </si>
  <si>
    <t>2015 07 13</t>
  </si>
  <si>
    <t>https://youtu.be/aNSGTbS3xuQ</t>
  </si>
  <si>
    <t>New Horizons Mission Update - July 13, 2015</t>
  </si>
  <si>
    <t>aNSGTbS3xuQ</t>
  </si>
  <si>
    <t>https://youtu.be/hM25uYAQWeo</t>
  </si>
  <si>
    <t>The Flight of Apollo-Soyuz  40th Anniversary</t>
  </si>
  <si>
    <t>Most of us take it for granted today that American astronauts and Russian cosmonauts live and work together in Earth orbit. They've been doing it for years, first in the Shuttle-Mir program, and now on the International Space Station. This orbital cooperation has grown to include partners in the European and Japanese space agencies, and will continue well into the next decade, as humanity learns about living off the home planet to prepare for longer journeys beyond Earth orbit.
But before the two Cold War-rivals first met in orbit in 1975, such a partnership seemed unlikely. Since Sputnik bleeped into orbit in 1957, the superpowers were driven by the Space Race, with the U.S. and then-Soviet Union driven more by competition than cooperation. When President Kennedy called for a manned moon landing in 1961, he spoke of "battle that is now going on around the world between freedom and tyranny" and referred to the "head start obtained by the Soviets with their large rocket engines."
But by the mid-70s things had changed. The U.S. had "won" the race to the Moon, with six Apollo landings between 1969 and 1972. Both nations had launched space stations, the Russian Salyut and American Skylab. With the Space Shuttle still a few years off and the diplomatic chill thawing, the time was right for a joint mission.</t>
  </si>
  <si>
    <t>hM25uYAQWeo</t>
  </si>
  <si>
    <t>2015 07 12</t>
  </si>
  <si>
    <t>https://youtu.be/DaElspuqbUA</t>
  </si>
  <si>
    <t>July 12th Daily Briefing for New Horizons Pluto Mission Pre-Flyby</t>
  </si>
  <si>
    <t>July 12th daily pre-flyby overview of the New Horizons mission, the spacecraft and its suite of instruments and a summary of Pluto science to date from the Johns Hopkins University Applied Physics Laboratory (APL) in Laurel, Maryland, site of the mission operations center.</t>
  </si>
  <si>
    <t>DaElspuqbUA</t>
  </si>
  <si>
    <t>2015 07 11</t>
  </si>
  <si>
    <t>https://youtu.be/oywH-z6nTTQ</t>
  </si>
  <si>
    <t>July 11th Daily Briefing for New Horizons Pluto Mission Pre Flyby</t>
  </si>
  <si>
    <t>July 11th daily pre-flyby overview of the New Horizons mission, the spacecraft and its suite of instruments and a summary of Pluto science to date from the Johns Hopkins University Applied Physics Laboratory (APL) in Laurel, Maryland, site of the mission operations center.</t>
  </si>
  <si>
    <t>oywH-z6nTTQ</t>
  </si>
  <si>
    <t>2015 07 10</t>
  </si>
  <si>
    <t>https://youtu.be/wjkzIKpthqk</t>
  </si>
  <si>
    <t>Commercial crew astronauts on This Week @NASA – July 10, 2015</t>
  </si>
  <si>
    <t>NASA has selected four astronauts to work closely with two U.S. commercial companies that will return human spaceflight launches to Florida’s Space Coast. NASA named veteran astronauts and experienced test pilots Robert Behnken, Eric Boe, Douglas Hurley and Sunita Williams to work closely with Boeing and SpaceX. NASA contracted with Boeing and SpaceX to develop crew transportation systems and provide crew transportation services to and from the International Space Station. The agency will select the commercial crew astronauts from this group of four for the first test, which is scheduled for 2017. Also, NASA’s newest astronauts, New Horizons still on track,
Benefits for Humanity, Cargo ship arrives at space station, Training continues for next ISS crew and more!</t>
  </si>
  <si>
    <t>wjkzIKpthqk</t>
  </si>
  <si>
    <t>https://youtu.be/IztSuNo7z0s</t>
  </si>
  <si>
    <t>July 10th Daily Briefing for New Horizons Pluto Mission Pre-Flyby</t>
  </si>
  <si>
    <t>July 10th daily pre-flyby overview of the New Horizons mission, the spacecraft and its suite of instruments and a summary of Pluto science to date from the Johns Hopkins University Applied Physics Laboratory (APL) in Laurel, Maryland, site of the mission operations center.</t>
  </si>
  <si>
    <t>IztSuNo7z0s</t>
  </si>
  <si>
    <t>https://youtu.be/i_IWCj_Htko</t>
  </si>
  <si>
    <t>Expedition 44 Crew Departs for Kazakh Launch Site</t>
  </si>
  <si>
    <t>Expedition 44 Soyuz Commander Oleg Kononenko of the Russian Federal Space Agency (Roscosmos), NASA Flight Engineer Kjell Lindgren and Flight Engineer Kimiya Yui of the Japan Aerospace Exploration Agency, and their backups, Yuri Malenchenko of Roscosmos, Tim Kopra of NASA and Timothy Peake of the European Space Agency participated in traditional ceremonies at the Gagarin Cosmonaut Training Center in Star City, Russia, outside Moscow on July 10. Afterward, they departed for the Baikonur Cosmodrome in Kazakhstan to complete their training for the launch of Kononenko, Lindgren and Yui to the International Space Station in the Soyuz TMA-17M spacecraft on July 23, Kazakh time for a five-month mission.</t>
  </si>
  <si>
    <t>i_IWCj_Htko</t>
  </si>
  <si>
    <t>https://youtu.be/MUsHccM00eU</t>
  </si>
  <si>
    <t>Astronaut Scott Kelly Greets ComicCon</t>
  </si>
  <si>
    <t>For the second year in a row, NASA is participating in ComicCon International in San Diego. NASA experts will take part in two panel discussions during the conference on Thursday, July 9. NASA's participation continues the agency's efforts to engage and inspire the next generation of American innovators and explorers in our #JourneyToMars.
Throughout history, imagination, the arts, entertainment and creativity have informed and in some cases driven innovation in science, technology and engineering. Seemingly fantastic ideas from Jules Verne and Arthur C. Clarke have helped drive innovators to develop the technologies used for space exploration today.</t>
  </si>
  <si>
    <t>MUsHccM00eU</t>
  </si>
  <si>
    <t>2015 07 09</t>
  </si>
  <si>
    <t>https://youtu.be/seQapSJupaM</t>
  </si>
  <si>
    <t>NASA Selects Astronauts for First U.S. Commercial Space Flights</t>
  </si>
  <si>
    <t>NASA Administrator Charles Bolden announced the selection of four astronauts to train and prepare for commercial spaceflights that will return American launches to U.S. soil and further open up low-Earth orbit transportation to the private sector. Experienced astronauts and test pilots Robert Behnken, Eric Boe, Douglas Hurley and Sunita Williams will work closely with The Boeing Company and SpaceX to develop their crew transportation systems and provide crew transportation services to and from the International Space Station (ISS). In a series of interviews, Behnken, Boe, Hurley and Williams discussed their thoughts on restoring a U.S. piloted launch capability, their selection and how the Commercial Crew Program will factor into future exploration plans for NASA and its commercial and international partners.</t>
  </si>
  <si>
    <t>seQapSJupaM</t>
  </si>
  <si>
    <t>https://youtu.be/mj9aPD4wvxE</t>
  </si>
  <si>
    <t>July 9th Daily Briefing for New Horizons Pluto Mission Pre-Flyby</t>
  </si>
  <si>
    <t>July 9th daily pre-flyby overview of the New Horizons mission, the spacecraft and its suite of instruments and a summary of Pluto science to date from the Johns Hopkins University Applied Physics Laboratory (APL) in Laurel, Maryland, site of the mission operations center.</t>
  </si>
  <si>
    <t>mj9aPD4wvxE</t>
  </si>
  <si>
    <t>https://youtu.be/Epe1nRh7jWE</t>
  </si>
  <si>
    <t>Launching America</t>
  </si>
  <si>
    <t>Veteran NASA astronauts and experienced test pilots Robert Behnken, Eric Boe, Douglas Hurley and Sunita Williams have been selected to begin working closely with commercial spaceflight companies SpaceX and Boeing to prepare for future human flights on those companies’ vehicles. The first NASA astronauts for commercial crew test flights will be selected from this group.</t>
  </si>
  <si>
    <t>Epe1nRh7jWE</t>
  </si>
  <si>
    <t>2015 07 08</t>
  </si>
  <si>
    <t>https://youtu.be/qalaQrZRm2M</t>
  </si>
  <si>
    <t>Expedition 44 Crew Conducts News Conference in Russia</t>
  </si>
  <si>
    <t>Expedition 44 Soyuz Commander Oleg Kononenko of the Russian Federal Space Agency (Roscosmos), NASA Flight Engineer Kjell Lindgren and Flight Engineer Kimiya Yui of the Japan Aerospace Exploration Agency, and their backups, Yuri Malenchenko of Roscosmos, Tim Kopra of NASA and Timothy Peake of the European Space Agency conducted a news conference at the Gagarin Cosmonaut Training Center in Star City, Russia July 8. Kononenko, Lindgren and Yui are scheduled to launch on July 23, Kazakh time, in the Soyuz TMA-17M spacecraft to the International Space Station for a five-month mission.</t>
  </si>
  <si>
    <t>qalaQrZRm2M</t>
  </si>
  <si>
    <t>https://youtu.be/wNwLmrxoXDU</t>
  </si>
  <si>
    <t>Expedition 44 Crew Conducts Traditional Ceremonies in Star City, Russia</t>
  </si>
  <si>
    <t>Expedition 44 Soyuz Commander Oleg Kononenko of the Russian Federal Space Agency (Roscosmos), NASA Flight Engineer Kjell Lindgren and Flight Engineer Kimiya Yui of the Japan Aerospace Exploration Agency, and their backups, Yuri Malenchenko of Roscosmos, Tim Kopra of NASA and Timothy Peake of the European Space Agency visited the Gagarin Museum where they viewed historic space artifacts at the Gagarin Cosmonaut Training Center in Star City, Russia July 8, then laid flowers at the statue of Yuri Gagarin, the first human to fly inspace.  Kononenko, Lindgren and Yui are scheduled to launch on July 23, Kazakh time, in the Soyuz TMA-17M spacecraft to the International Space Station for a five- month mission.</t>
  </si>
  <si>
    <t>wNwLmrxoXDU</t>
  </si>
  <si>
    <t>https://youtu.be/H3zbyzuFA6I</t>
  </si>
  <si>
    <t>July 8th Daily Briefing for New Horizons Pluto Mission Pre-Flyby</t>
  </si>
  <si>
    <t>July 8th daily pre-flyby overview of the New Horizons mission, the spacecraft and its suite of instruments and a summary of Pluto science to date from the Johns Hopkins University Applied Physics Laboratory (APL) in Laurel, Maryland, site of the mission operations center.</t>
  </si>
  <si>
    <t>H3zbyzuFA6I</t>
  </si>
  <si>
    <t>2015 07 07</t>
  </si>
  <si>
    <t>https://youtu.be/yAySSOI_QLo</t>
  </si>
  <si>
    <t>NASA's New Horizons spacecraft arrives at Pluto on July 14th</t>
  </si>
  <si>
    <t>NASA's New Horizons spacecraft arrives at Pluto on July 14th; a journey lasting nearly 10 years and traveling over 3 billion miles.  Watch coverage of the historic flyby of Pluto on NASA Television as NASA counts down to the Pluto encounter of a lifetime.</t>
  </si>
  <si>
    <t>yAySSOI_QLo</t>
  </si>
  <si>
    <t>https://youtu.be/UFzz5fp2fCg</t>
  </si>
  <si>
    <t>B-Roll Feed of Exp 44 Flight Engineer Kjell Lindgren</t>
  </si>
  <si>
    <t>B-Roll of NASA Astronaut Kjell Lindgren training for his launch to the International Space station aboard a Soyuz spacecraft on July 22 from the Baikonur Cosmodrome in Kazakhstan.  Lindgren hails from the Midwest but spent most of his childhood in England. Board certified in emergency and aerospace medicine, Lindgren is a graduate of the U.S. Air Force Academy in Colorado Springs and Colorado State University in Fort Collins. Lindgren received his medical degree from the University of Colorado and began working as a flight surgeon at NASA’s Johnson Space Center in Houston in 2007 before his selection to the astronaut corps in 2009.  His space station mission team will include cosmonaut Oleg Kononenko of the Russian Federal Space Agency (Roscosmos) and Kimiya Yui of the Japan Aerospace Exploration Agency (JAXA).  They will join the Expedition 44 crew of NASA astronaut Scott Kelly and Roscosmos cosmonauts Mikhail Kornienko and Gennady Padalka, who launched to the station in March, marking the start of a one-year mission for Kelly and Kornienko.  Together the six crew members will continue the several hundred experiments in biology, biotechnology, physical science and Earth science currently underway and scheduled to take place aboard humanity’s only orbiting laboratory.  Lindgren is scheduled to return to Earth with crew members Kononenko and Yui in late December.</t>
  </si>
  <si>
    <t>UFzz5fp2fCg</t>
  </si>
  <si>
    <t>2015 07 05</t>
  </si>
  <si>
    <t>https://youtu.be/xaWSAEZ6Pkw</t>
  </si>
  <si>
    <t>Russian Supply Ship Arrives at ISS</t>
  </si>
  <si>
    <t>The unpiloted Russian ISS Progress 60 cargo craft arrived at the International Space Station July 5, carrying more than three tons of food, fuel and supplies for the Expedition 44 crewmembers on the orbital outpost. The Progress automatically docked to the Pirs Docking Compartment on the Russian segment of the station, two days after its launch from the Baikonur Cosmodrome in Kazakhstan.</t>
  </si>
  <si>
    <t>xaWSAEZ6Pkw</t>
  </si>
  <si>
    <t>2015 07 03</t>
  </si>
  <si>
    <t>https://youtu.be/vdQ5rFSH7c4</t>
  </si>
  <si>
    <t>NASA wishes America Happy July 4th</t>
  </si>
  <si>
    <t>vdQ5rFSH7c4</t>
  </si>
  <si>
    <t>https://youtu.be/h8SRnSTXe_k</t>
  </si>
  <si>
    <t>Happy 4th of July...from Space!</t>
  </si>
  <si>
    <t>NASA Astronaut Scott Kelly took a moment from his duties onboard the International Space Station, to send greetings and wishes for a safe and happy 4th of July! Kelly is in the fourth month of his year-long mission on the complex with Russian cosmonaut Mikhail Kornienko of the Russian Federal Space Agency (Roscosmos), gathering valuable biomedical data that will be used in crafting a mission to Mars in the future.</t>
  </si>
  <si>
    <t>h8SRnSTXe_k</t>
  </si>
  <si>
    <t>https://youtu.be/HdE2xs4ccF0</t>
  </si>
  <si>
    <t>Russian Supply Ship Heads to ISS</t>
  </si>
  <si>
    <t>The unpiloted Russian ISS Progress 60 cargo craft launched to the International Space Station from the Baikonur Cosmodrome in Kazakhstan July 3, filled with more than three tons of food, fuel and supplies for the Expedition 44 crew members aboard the orbital outpost.</t>
  </si>
  <si>
    <t>HdE2xs4ccF0</t>
  </si>
  <si>
    <t>2015 07 02</t>
  </si>
  <si>
    <t>https://youtu.be/t5OxLeajz6I</t>
  </si>
  <si>
    <t>Happy 4th of July … from Space!</t>
  </si>
  <si>
    <t>t5OxLeajz6I</t>
  </si>
  <si>
    <t>https://youtu.be/K5ZBdhCLb-I</t>
  </si>
  <si>
    <t>SpaceX leading investigation of mishap on This Week @NASA – July 3, 2015</t>
  </si>
  <si>
    <t>SpaceX, with Federal Aviation Administration oversight, is leading the investigation of what caused the June 28 mishap shortly after the company’s Falcon 9 rocket and Dragon cargo spacecraft launched from Cape Canaveral Air Force Station in Florida. The flight was SpaceX’s seventh contracted resupply mission to the International Space Station. Although important supplies and cargo were lost aboard the Dragon, the station crew has sufficient supplies into the Fall. Also, Progress on crew access tower at Cape, New Horizons’ final flight path, Forever Remembered exhibit, Health and Safety Fair and NASA Week and the Essence Festival!</t>
  </si>
  <si>
    <t>K5ZBdhCLb-I</t>
  </si>
  <si>
    <t>https://youtu.be/ijig1A2ViRo</t>
  </si>
  <si>
    <t>Space Station Live  Scott Kelly Interview</t>
  </si>
  <si>
    <t>Tune in July 2 at 11 a.m. to Space Station Live on NASA Television.
Live On-Console Interview with Expedition 44 Flight Engineer Scott Kelly of NASA - JSC
www.nasa.gov/multimedia/nasatv</t>
  </si>
  <si>
    <t>ijig1A2ViRo</t>
  </si>
  <si>
    <t>2015 07 01</t>
  </si>
  <si>
    <t>https://youtu.be/hCWqNy6tVOM</t>
  </si>
  <si>
    <t>Benefits for Humanity  Hope Crystalizes</t>
  </si>
  <si>
    <t>Description: In one of many direct Earth applications of International Space Station research, the newest
Benefits for Humanity video in the Benefits series highlights how high quality crystals grown in microgravity lead to new therapeutics for disease. Learn how the investigation of protein crystals in space is helping treat Duchenne Muscular Dystrophy (DMD), an incurable genetic disorder affecting the muscles with onset usually in early childhood and primarily in young males.
Since 2003, scientists with the Japan Aerospace Exploration Agency have conducted protein crystal growth investigations on the space station, including proteins associated with DMD. Crystals grown on Earth are impacted by gravity, which may affect the way the molecules align on the surface of the crystal. Researchers have discovered that growing crystals aboard the space station allows for slower growth and higher quality crystals. Having a better understanding of the protein’s shape enabled researchers to design a drug that fits specifically into a location on the protein associated with DMD. The research team estimates that the drug may be able to slow the progression of DMD by half.
With many other protein crystal growth studies occurring or planned aboard the space station, many thousands of other proteins’ structures could be determined. This is yet another way the orbiting laboratory is enabling research Off the Earth, For the Earth.</t>
  </si>
  <si>
    <t>hCWqNy6tVOM</t>
  </si>
  <si>
    <t>https://youtu.be/2uP-0oqmyiA</t>
  </si>
  <si>
    <t>NASA LGBT Pride Month Profile Larry C  Liou, Glenn Research Center</t>
  </si>
  <si>
    <t>Larry C. Liou is a project manager in the Space Science Project Office at NASA John H. Glenn Research Center in Cleveland, Ohio. Born in Taiwan, ethnic heritage Chinese, Liou immigrated to the United States in 1977 where he raised a family, graduated from the University of Toledo, Suma cum Laude, and started his NASA career in science and engineering. Early in his career, Liou researched rocket propulsion, transitioned to management and eventually to earth science. "I am passionate about Earth Science that studies Earth as a planet which carries our affection, gratitude, respect and curiosity,” said Liou.
Currently keeping Liou busy is a project that uses a sensor on an aircraft to observe the harmful algal blooms on Lake Erie. Personally, Liou loves, respects and takes care of animals. “They have contributed to human’s wellness and prosperity in most major ways,” Liou said. Liou is also a musician, constantly thankful for the gift of music and music playing, which brings Liou joy and beautiful imagination. Plus, Liou sails “sailing takes me to nature and learning to utilize everything I have learned on journeys.”</t>
  </si>
  <si>
    <t>2uP-0oqmyiA</t>
  </si>
  <si>
    <t>2015 06 30</t>
  </si>
  <si>
    <t>https://youtu.be/EHjWfarVyZc</t>
  </si>
  <si>
    <t>Mission Updates  Countdown to Pluto - June 30, 2015</t>
  </si>
  <si>
    <t>Follow New Horizons on its incredible journey as it nears the edge of the planetary system and speeds toward a historic July 14 flyby of Pluto. We don’t know what we’ll learn about Pluto and its moons—all the science team is predicting is to “expect to be surprised.” In this four-part series you’ll hear from the scientists and engineers behind New Horizons, as they set the stage for encounter. Topics include mission and science overviews, a look at the spacecraft and its seven science instruments, and what we know about Pluto to date.</t>
  </si>
  <si>
    <t>EHjWfarVyZc</t>
  </si>
  <si>
    <t>2015 06 28</t>
  </si>
  <si>
    <t>https://youtu.be/LxqZOb68mrA</t>
  </si>
  <si>
    <t>SpaceX, NASA Managers Discuss Vehicle Mishap Following CRS-7 Launch</t>
  </si>
  <si>
    <t>During a post-launch press conference on June 28, mangers from SpaceX and NASA discuss the mishap following the liftoff of the SpaceX CRS-7 mission from Space Launch Complex 40 at Cape Canaveral Air Force Station. The mission was to deliver supplies, hardware and other important cargo to the International Space Station. SpaceX is leading the investigation of the cause of the issue.
 Anyone who spots debris in the water or sees it washed up anywhere along the shore should report it by calling 866-392-0035 or emailing recovery@spaceX.com or contacting your nearest local law enforcement official.</t>
  </si>
  <si>
    <t>LxqZOb68mrA</t>
  </si>
  <si>
    <t>2015 06 27</t>
  </si>
  <si>
    <t>https://youtu.be/l6GmuRY5bHA</t>
  </si>
  <si>
    <t>SpaceX Pre-Launch Briefing from NASA's Kennedy Space Center</t>
  </si>
  <si>
    <t>NASA and commercial partner SpaceX discussed its plans for a launch of its seventh cargo delivery to the International Space Station under the agency’s Commercial Resupply Services contract.  The company’s Falcon 9 will carry its Dragon cargo spacecraft to the station from Space Launch Complex 40 at Cape Canaveral Air Force Station in Florida and be  filled with more than 4,000 pounds of supplies and payloads, including critical materials for the science and research investigations that will occur during Expeditions 44 and 45. 
The science payloads aboard will offer new insight to combustion in microgravity, perform the first space-based observations of meteors entering Earth’s atmosphere, continue solving potential crew health risks and make new strides toward being able to grow food in space. Research continues to support the twins study and one-year mission investigations with NASA Astronaut Scott Kelly.  This mission also is launching more than 30 student experiments, all of which are flying under the U.S. National Laboratory managed by the Center for the Advancement of Science in Space (CASIS).
The first of two International Docking Adapters for the station will be delivered in Dragon’s unpressurized trunk. The adapters will enable space station docking of commercial crew spacecraft, including the Boeing CST-100 and SpaceX Crew Dragon.  Expedition 44 Flight Engineer Scott Kelly of NASA will use the station's Canadarm2 robotic arm to reach out and capture Dragon with Station commander Gennady Padalka of the Russian Federal Space Agency (Roscosmos) supporting Kelly as they operate from the station's cupola.  After more than five weeks at the space station, the spacecraft will return with more than 1,400 pounds of cargo, including science experiments, crew supplies, hardware and computer resources, space station hardware, and trash.</t>
  </si>
  <si>
    <t>l6GmuRY5bHA</t>
  </si>
  <si>
    <t>https://youtu.be/ZJt6AA2lFRs</t>
  </si>
  <si>
    <t>SpaceX International Space Station Pre Launch Science Tech Briefing from NASA's Kennedy Space Center</t>
  </si>
  <si>
    <t>NASA and commercial partner SpaceX discuss the seventh cargo delivery to the International Space Station under the agency’s Commercial Resupply Services contract.   The Falcon 9 rocket being prepared for a June 28 launch will carry its Dragon cargo spacecraft to the station from Space Launch Complex 40 at Cape Canaveral Air Force Station in Florida. The Dragon spacecraft is filled with more than 4,000 pounds of supplies and payloads, including critical materials for the science and research investigations that will occur during Expeditions 44 and 45.  The science payloads on board offer new insight into combustion in microgravity, perform the first space-based observations of meteors entering Earth’s atmosphere, continue solving potential crew health risks and make new strides toward being able to grow food in space. Also to be discussed is a mission to launch more than 30 student experiments, all of which are flying under the U.S. National Laboratory managed by the Center for the Advancement of Science in Space (CASIS).  After more than five weeks at the space station, the spacecraft will return with more than 1,400 pounds of cargo, including science experiments, crew supplies, hardware and computer resources, space station hardware, and trash.</t>
  </si>
  <si>
    <t>ZJt6AA2lFRs</t>
  </si>
  <si>
    <t>2015 06 26</t>
  </si>
  <si>
    <t>https://youtu.be/DQX1kajzy0M</t>
  </si>
  <si>
    <t>SpaceX International Space Station Pre Launch Briefing from NASA's Kennedy Space Center</t>
  </si>
  <si>
    <t>NASA and commercial partner SpaceX discussed its plans for a launch of its seventh cargo delivery to the International Space Station under the agency’s Commercial Resupply Services contract.  The company’s Falcon 9 will carry its Dragon cargo spacecraft to the station from Space Launch Complex 40 at Cape Canaveral Air Force Station in Florida and be  filled with more than 4,000 pounds of supplies and payloads, including critical materials for the science and research investigations that will occur during Expeditions 44 and 45.
The science payloads aboard will offer new insight to combustion in microgravity, perform the first space-based observations of meteors entering Earth’s atmosphere, continue solving potential crew health risks and make new strides toward being able to grow food in space. Research continues to support the twins study and one-year mission investigations with NASA Astronaut Scott Kelly.  This mission also is launching more than 30 student experiments, all of which are flying under the U.S. National Laboratory managed by the Center for the Advancement of Science in Space (CASIS).
The first of two International Docking Adapters for the station will be delivered in Dragon’s unpressurized trunk. The adapters will enable space station docking of commercial crew spacecraft, including the Boeing CST-100 and SpaceX Crew Dragon.  Expedition 44 Flight Engineer Scott Kelly of NASA will use the station's Canadarm2 robotic arm to reach out and capture Dragon with Station commander Gennady Padalka of the Russian Federal Space Agency (Roscosmos) supporting Kelly as they operate from the station's cupola.  After more than five weeks at the space station, the spacecraft will return with more than 1,400 pounds of cargo, including science experiments, crew supplies, hardware and computer resources, space station hardware, and trash.</t>
  </si>
  <si>
    <t>DQX1kajzy0M</t>
  </si>
  <si>
    <t>https://youtu.be/kqq-4QqZPi0</t>
  </si>
  <si>
    <t>Looking for Human Landing Sites on Mars on This Week @NASA – June 26, 2015</t>
  </si>
  <si>
    <t>On June 25, NASA announced that the first Landing Site/Exploration Zone Workshop for Human Missions to the Surface of Mars will take place Oct. 27-30, at the Lunar and Planetary Institute in Houston. The agency hopes to collect proposals at the conference about which areas on Mars have the best scientific and physical characteristics for humans to safely land, live and work on the Red Planet. Once identified, the potential “exploration zones” could be further imaged by NASA's Mars Reconnaissance Orbiter and Mars Odyssey spacecraft, to create better resolution maps for mission planning. Also, Mars Odyssey: 60,000 orbits, Martian New Year in Mars, PA, Mars Day on the Hill, Wiseman and Wilmore appearances, Engine tests continue, Micro-g NExT!</t>
  </si>
  <si>
    <t>kqq-4QqZPi0</t>
  </si>
  <si>
    <t>2015 06 24</t>
  </si>
  <si>
    <t>https://youtu.be/LaMVihIWJps</t>
  </si>
  <si>
    <t>What’s New in Aerospace  Meet an Astronaut  Reid Wiseman</t>
  </si>
  <si>
    <t>NASA astronaut Reid Wiseman or otherwise known as @Astro_Reid  recounts his launch into space on a Soyuz rocket and his stay on board the International Space Station as a member of Expedition 40/41 from the Moving Beyond Earth Gallery at the Smithsonian's Air and Space Museum.  During his 165 days in space, took all of us back on Earth along for the journey. An active Twitter user, Wiseman posted amazing images and videos from space, using the hashtag #EarthArt for many of his amazing shots of our beautiful planet.</t>
  </si>
  <si>
    <t>LaMVihIWJps</t>
  </si>
  <si>
    <t>2015 06 23</t>
  </si>
  <si>
    <t>https://youtu.be/f8b_BhUHlNw</t>
  </si>
  <si>
    <t>Expedition 41 flight Engineer Astronaut Reid Wiseman Gives Presentation at NASA HQ</t>
  </si>
  <si>
    <t>NASA Headquarters employees joined Astronaut Reid Wiseman, Expedition 41 flight engineer, for a post-flight presentation on Tuesday, June 23, to learn about his time onboard the space station as part of Expedition 40 and 41.  As a member of the ISS Expedition 41 crew, Wiseman began his stay aboard the orbiting laboratory in May 2014 and returned to Earth in November 2014. This mission was his first spaceflight and included almost 13 hours of spacewalking to perform work outside the orbital complex. He and his crewmates also spent hundreds of hours conducting valuable scientific research in areas such as human physiology, medicine, physical science, Earth science and astrophysics.</t>
  </si>
  <si>
    <t>f8b_BhUHlNw</t>
  </si>
  <si>
    <t>https://youtu.be/2NWldRsZvUw</t>
  </si>
  <si>
    <t>One Year Space Station Crew Member Scott Kelly Discusses Life In Space With CBS News</t>
  </si>
  <si>
    <t>Aboard the International Space Station, Expedition 44 Flight Engineer Scott Kelly of NASA discussed life and research aboard the orbital laboratory with CBS Evening News anchor Scott Pelley during an in-flight interview June 23. Now three months into his year-long mission on the station with Russian cosmonaut Mikhail Kornienko of the Russian Federal Space Agency (Roscosmos), Kelly is gathering biomedical data on the long duration effect of weightlessness on the human body that will be valuable to the planning of future missions to Mars.</t>
  </si>
  <si>
    <t>2NWldRsZvUw</t>
  </si>
  <si>
    <t>https://youtu.be/hGO1F6Qdwfk</t>
  </si>
  <si>
    <t>NASA's New Horizons Mission Update from the Johns Hopkins University Applied Physics Lab (APL)</t>
  </si>
  <si>
    <t>Weekly pre-flyby updates aired June 23 on NASA TV provides an overview of the New Horizons mission, the spacecraft and its suite of instruments being prepared for a July 14 flyby, and a summary of Pluto science to date.</t>
  </si>
  <si>
    <t>hGO1F6Qdwfk</t>
  </si>
  <si>
    <t>2015 06 22</t>
  </si>
  <si>
    <t>https://youtu.be/hMZw19F0lek</t>
  </si>
  <si>
    <t>One Year ISS Crew Member Talks Space with Industry Executives</t>
  </si>
  <si>
    <t>Aboard the International Space Station, Expedition 44 Flight Engineer Scott Kelly of NASA discussed life and research aboard the orbital laboratory during an in-flight question and answer session June 17 with research industry executives gathered in Philadelphia at the BIO Exhibition conference. The world’s largest biotechnology gathering, the BIO Exhibition allows exhibitors to reach high-level executives and influential decision makers who come to BIO to discover new players in the industry, form partnerships and evaluate emerging technologies. Kelly and Russian cosmonaut Mikhail Kornienko of the Russian Federal Space Agency (Roscosmos) are spending a year on the outpost gathering valuable biomedical data that will be instrumental in the formulation of a mission to Mars.</t>
  </si>
  <si>
    <t>hMZw19F0lek</t>
  </si>
  <si>
    <t>2015 06 19</t>
  </si>
  <si>
    <t>https://youtu.be/wVtO-8XKhVE</t>
  </si>
  <si>
    <t>Mission to Europa Gets Green Light on This Week @NASA – June 19, 2015</t>
  </si>
  <si>
    <t>A new NASA mission to investigate the habitability of Jupiter's ocean moon Europa has moved from the concept phase to the development phase known as formulation, after successfully completing its first major review by the agency. Europa is considered to be one of the best places in the solar system to search for signs of present-day life beyond Earth. Plans for the mission call for a spacecraft to be launched to the Jupiter system sometime in the 2020s. Also, Seeking other worlds suitable for life, Agreements advance Mars exploration, Asteroid exploration update, Newman visits Langley, Rainfall spacecraft re-enters over tropics and Sample Robot Return Challenge!</t>
  </si>
  <si>
    <t>wVtO-8XKhVE</t>
  </si>
  <si>
    <t>2015 06 16</t>
  </si>
  <si>
    <t>https://youtu.be/d4hPWdRIgHQ</t>
  </si>
  <si>
    <t>Ian Ziering talks Pluto</t>
  </si>
  <si>
    <t>Pluto’s moment in history has finally arrived: Ian Ziering tells of the ‘plight of Pluto’ and how the New Horizons July 14 flyby is about to change that.
www.nasa.gov/newhorizons</t>
  </si>
  <si>
    <t>d4hPWdRIgHQ</t>
  </si>
  <si>
    <t>https://youtu.be/yXuUJgkKd_Y</t>
  </si>
  <si>
    <t>Ed White -- Ambassador of Exploration Ceremony</t>
  </si>
  <si>
    <t>On June 3, 2015, the 50th anniversary of the first spacewalk in U.S. history, NASA posthumously awarded astronaut Ed White, America’s first spacewalker, its Ambassador of Exploration Award at a ceremony at the West Point Museum at the United States Military Academy West Point in New York.
White achieved this first in U.S. space exploration history in 1965 while serving as the pilot of Gemini 4, a four-day mission that began on June 3 and during which he carried out the first extra vehicular activity (EVA). He was outside Gemini 4 for 21 minutes and became the first man to control himself in space during an EVA with a maneuvering unit – a hand-held oxygen jet gun. This first excursion into space put America on pace to walk on the moon just four years later, capture and repair satellites in orbit, construct the International Space Station, and prepare us for our journey to Mars.</t>
  </si>
  <si>
    <t>yXuUJgkKd_Y</t>
  </si>
  <si>
    <t>https://youtu.be/ecq8QwKqLuY</t>
  </si>
  <si>
    <t>The Search for Life in the Solar System and Beyond</t>
  </si>
  <si>
    <t>NASA and university scientists discussed astrobiology research activities and technology that are advancing the search for evidence of habitability in our solar system and beyond, during a briefing on June 16 at the 2015 Astrobiology Science Conference in Chicago. Briefing topics included the quest for evidence of habitability and life on Mars, plans for exploring the habitability of Europa and Enceladus, and progress in identifying signs of habitability on exoplanets. Astrobiology is the study of the origin, evolution, distribution, and future of life in the universe.</t>
  </si>
  <si>
    <t>ecq8QwKqLuY</t>
  </si>
  <si>
    <t>https://youtu.be/Bb1a0dbcni8</t>
  </si>
  <si>
    <t>Mission Updates  Countdown to Pluto - June 16, 2015</t>
  </si>
  <si>
    <t>Follow New Horizons on its incredible journey as it nears the edge of the planetary system and speeds toward a historic July 14 flyby of Pluto. We don’t know what we’ll learn about Pluto and its moons—all the science team is predicting is to “expect to be surprised.” In this four-part series you’ll hear from the scientists and engineers behind New Horizons, as they set the stage for encounter. Topics include a mission and science overviews, a look at the spacecraft and its seven science instruments, and what we know about Pluto to date.</t>
  </si>
  <si>
    <t>Bb1a0dbcni8</t>
  </si>
  <si>
    <t>2015 06 12</t>
  </si>
  <si>
    <t>https://youtu.be/xv4ON7nvFO8</t>
  </si>
  <si>
    <t>Tour over -- Expedition 43 returns home on This Week @NASA – June 12, 2015</t>
  </si>
  <si>
    <t>On June 10, NASA’s Terry Virts passed command of the International Space Station to Gennady Padalka of the Russian Federal Space Agency – marking the start of the Expedition 44 mission. The following day, Virts and Expedition 43 crewmates Samantha Cristoforetti of ESA and Anton Shkaplerov of Roscosmos climbed aboard a Soyuz spacecraft and headed back to Earth – landing safely in Kazakhstan and capping off 199 days in space. The remaining members of Expedition 44, including NASA’s Kjell Lindgren, are targeted for launch in late July. Also, Climate change projections , Second flight test of saucer-shaped vehicle, DAWN images bring Ceres to life, Heavy lift crane back in place, and more!</t>
  </si>
  <si>
    <t>xv4ON7nvFO8</t>
  </si>
  <si>
    <t>https://youtu.be/PtyDxLMvozs</t>
  </si>
  <si>
    <t>International Space Station Expedition 43 Crew Receives Warm Welcome in Kazakhstan and Russia</t>
  </si>
  <si>
    <t>Expedition 43 Commander Terry Virts of NASA, Soyuz Commander Anton Shkaplerov of the Russian Federal Space Agency (Roscosmos) and Flight Engineer Samantha Cristoforetti of ESA (European Space Agency) were greeted in a traditional ceremony at the airport in Karaganda, Kazakhstan on June 11, a few hours after landing in their Soyuz TMA-15M spacecraft in Kazakhstan near the town of Dzhezkazgan. After the ceremony, the crew split up, with Shkaplerov returning to his training base in Star City, Russia, while Virts and Cristoforetti boarded a NASA plane to return to the Johnson Space Center in Houston. The trio completed 199 days in space and on the International Space Station following their launch in late November. The footage includes interviews conducted with Virts and Cristoforetti before they began their trip back to Houston.</t>
  </si>
  <si>
    <t>PtyDxLMvozs</t>
  </si>
  <si>
    <t>https://youtu.be/EJxwWpaGoJs</t>
  </si>
  <si>
    <t>The Year of Pluto - New Horizons Documentary Brings Humanity Closer to the Edge of the Solar System</t>
  </si>
  <si>
    <t>New Horizons is the first mission to the Kuiper Belt, a gigantic zone of icy bodies and mysterious small objects orbiting beyond Neptune. This region also is known as the “third” zone of our solar system, beyond the inner rocky planets and outer gas giants.  Johns Hopkins University Applied Physics Laboratory (APL) in Maryland, designed, built and operates the New Horizons spacecraft, and manages the mission for NASA’s Science Mission Directorate in Washington.   The Year of Pluto - NASA New Horizons is a one hour documentary which takes on the hard science and gives us answers to how the mission came about and why it matters. Interviews with Dr. James Green, John Spencer, Fran Bagenal, Mark Showalter and others share how New Horizons will answer many questions. New Horizons is part of the New Frontiers Program, managed by NASA’s Marshall Space Flight Center in Huntsville, Alabama.</t>
  </si>
  <si>
    <t>EJxwWpaGoJs</t>
  </si>
  <si>
    <t>2015 06 11</t>
  </si>
  <si>
    <t>https://youtu.be/XyMzPnoUmBk</t>
  </si>
  <si>
    <t>New Horizons Will Shed More Light on Pluto Than Ever Before</t>
  </si>
  <si>
    <t>The New Horizons mission will help us understand worlds at the edge of our solar system by making the first reconnaissance of the dwarf planet Pluto and by venturing deeper into the distant, mysterious Kuiper Belt – a relic of solar system formation.
Following a January 2006 launch, New Horizons is currently about 2.95 billion miles from home; the spacecraft is healthy and all systems are operating normally.
APL designed, built, and operates the New Horizons spacecraft, and manages the mission for NASA's Science Mission Directorate. SwRI leads the science team, payload operations and encounter science planning. New Horizons is part of the New Frontiers Program managed by NASA's Marshall Space Flight Center in Huntsville, Alabama.</t>
  </si>
  <si>
    <t>XyMzPnoUmBk</t>
  </si>
  <si>
    <t>https://youtu.be/DFmi3itKRT0</t>
  </si>
  <si>
    <t>The Year of Pluto Promo</t>
  </si>
  <si>
    <t>The Dream…The Adventure…The Promise of Discovery.  That’s what makes 2015 The Year of Pluto.</t>
  </si>
  <si>
    <t>DFmi3itKRT0</t>
  </si>
  <si>
    <t>https://youtu.be/cAb4BHFYotY</t>
  </si>
  <si>
    <t>International Space Station Expedition 43 Crew Lands Safely in Kazakhstan</t>
  </si>
  <si>
    <t>Expedition 43 Commander Terry Virts of NASA, Soyuz Commander Anton Shkaplerov of the Russian Federal Space Agency (Roscosmos) and Flight Engineer Samantha Cristoforetti of the European Space Agency landed safely near the town of Dzhezkazgan, Kazakhstan on June 11, Kazakh time, after bidding farewell to the Expedition 44 crew members and undocking their Soyuz TMA-15M spacecraft from the Rassvet module on the International Space Station. The trio completed 199 days in space since launching in late November. After landing, Virts, Shkaplerov and Cristoforetti were assisted into reclining chairs by Russian, U.S. and European personnel to begin their adaptation to gravity after being extracted from their spacecraft.</t>
  </si>
  <si>
    <t>cAb4BHFYotY</t>
  </si>
  <si>
    <t>https://youtu.be/QA8-RLLO9EI</t>
  </si>
  <si>
    <t>ISS Expedition 43 Farewell, Hatch Closure and Undocking from the International Space Station</t>
  </si>
  <si>
    <t>At 6:20 a.m. June 11, NASA’s Terry Virts and Flight Engineers Samantha Cristoforetti of ESA (European Space Agency) and Anton Shkaplerov of Roscosmos undocked their Soyuz TMA-15M spacecraft from the International Space Station to return back to Earth and land in Kazakhstan at 9:43 a.m. (7:43 p.m. Kazakh time).  Their return wraps up 199 days in space, during which they traveled more than 84 million miles since their launch from the Baikonur Cosmodrome in Kazakhstan on Nov. 24. Their return date was delayed four weeks to allow Roscosmos to investigate the cause of the loss of the un-piloted Progress 59 cargo ship in late April.</t>
  </si>
  <si>
    <t>QA8-RLLO9EI</t>
  </si>
  <si>
    <t>2015 06 10</t>
  </si>
  <si>
    <t>https://youtu.be/yrRE7rKEc_4</t>
  </si>
  <si>
    <t>Year-Long Space Station Crew Member Discusses The Progress Of His Mission With The Media</t>
  </si>
  <si>
    <t>Aboard the International Space Station, Expedition 43 Flight Engineer Scott Kelly of NASA discussed life and research aboard the orbital laboratory in a pair of in-flight interviews June 10 with the NBC Nightly News and Federal News Radio. Kelly is in the third month of a year-long mission on the station with cosmonaut Mikhail Kornienko of the Russian Federal Space Agency (Roscosmos), gathering invaluable data on the long duration effect of weightlessness on the human body that will be used to formulate future human missions to Mars.</t>
  </si>
  <si>
    <t>yrRE7rKEc_4</t>
  </si>
  <si>
    <t>https://youtu.be/zdXjwiopT9Y</t>
  </si>
  <si>
    <t>Expedition 43 Hands Over the Space Station to Expedition 44</t>
  </si>
  <si>
    <t>The reins of the International Space Station were passed from NASA’s Terry Virts to Gennady Padalka of the Russian Federal Space Agency (Roscosmos) during a ceremony on the orbital outpost on June 10. Virts will return to Earth on June 11 in the Soyuz TMA-15M spacecraft with Russian cosmonaut Anton Shkaplerov and Flight Engineer Samantha Cristoforetti of ESA (European Space Agency) to wrap up more than six months in orbit. Padalka, who became the first four-time commander of the station, remains on board with Scott Kelly of NASA, and Russian cosmonaut Mikhail Kornienko of Roscosmos, who are in the midst of a year-long mission on the complex.</t>
  </si>
  <si>
    <t>zdXjwiopT9Y</t>
  </si>
  <si>
    <t>2015 06 09</t>
  </si>
  <si>
    <t>https://youtu.be/zpHhxAg8pog</t>
  </si>
  <si>
    <t>Mission Updates  Countdown to Pluto - June 9, 2015</t>
  </si>
  <si>
    <t>Follow New Horizons on its incredible journey as it nears the edge of the planetary system and speeds toward a historic July 14 flyby of Pluto. We don’t know what we’ll learn about Pluto and its moons—all the science team is predicting is to “expect to be surprised.” In this four-part series you’ll hear from the scientists and engineers behind New Horizons, as they set the stage for encounter. Topics include a mission and science overviews, a look at the spacecraft and its seven science instruments, and what we know about Pluto to date. Part 1: Mission Overview</t>
  </si>
  <si>
    <t>zpHhxAg8pog</t>
  </si>
  <si>
    <t>https://youtu.be/5P_SYRk30k0</t>
  </si>
  <si>
    <t>What's New in Aerospace   Tools of the EVA Trade used by NASA Astronauts during Space Walks</t>
  </si>
  <si>
    <t>5P_SYRk30k0</t>
  </si>
  <si>
    <t>2015 06 08</t>
  </si>
  <si>
    <t>https://youtu.be/7ksgMkDeLoM</t>
  </si>
  <si>
    <t>NASA's Flying Saucer Makes Second Voyage to the Edge of Space</t>
  </si>
  <si>
    <t>NASA's Low Density Supersonic Decelerator (LDSD) launched on Monday, June 8th from the U.S. Navy's Pacific Missile Range Facility on Kauai, Hawaii. The saucer-shaped vehicle was used to test new technologies that will help NASA land heavier payloads than current technology will allow on the surface of planets including Mars.  The test vehicle was carried by balloon to about 120,000 feet. After release, an engine took the vehicle to 180,000 feet, where the tests occurred in the thin atmosphere to simulate Mars' atmosphere.  This flight test was the second of three planned for the project. The LDSD mission is designed to test entry and descent technology in the form of a donut-shaped airbag and a supersonic parachute that can be deployed while the vehicle is traveling several times the speed of sound.</t>
  </si>
  <si>
    <t>7ksgMkDeLoM</t>
  </si>
  <si>
    <t>2015 06 06</t>
  </si>
  <si>
    <t>https://youtu.be/tlNjniFCXMg</t>
  </si>
  <si>
    <t>NASA Social Media Conducts Web Chat on New Horizons Pluto Mission at the Applied Physics Laboratory</t>
  </si>
  <si>
    <t>On Saturday, at the Applied Physics Laboratory in Laurel, MD, NASA connected with social media followers in-person and online for a Web Social on the New Horizons mission exploring Pluto using #NASASocial and #PlutoFlyby and @NASANewHorizons. 
NASA Social is a program to provide opportunities for NASA's social media followers to learn and share information about NASA's missions, people, and programs. NASA Social is the next evolution in the agency’s social media efforts. Formerly called NASA Tweetup, NASA Social program includes both special in-person events and social media credentials for individuals who share the news in a significant way. This program has brought thousands of people together for unique social media experiences of exploration and discovery.</t>
  </si>
  <si>
    <t>tlNjniFCXMg</t>
  </si>
  <si>
    <t>2015 06 05</t>
  </si>
  <si>
    <t>https://youtu.be/RMbSPnC-RIM</t>
  </si>
  <si>
    <t>50 Years of Spacewalks on This Week @NASA – June 5, 2015</t>
  </si>
  <si>
    <t>On June 3, 1965, NASA astronaut Edward White became the first American to walk in space when he spent about 23 minutes outside the Gemini 4 spacecraft, maneuvering around with a hand-held oxygen-jet gun. That mission also was the first time the agency’s famed Mission Control Center at the Johnson Space Center was used. NASA’s celebration of the first U.S. spacewalk, also known as an extravehicular activity or EVA – included a documentary narrated by actor Jon Cryer and featuring NASA Administrator Charlie Bolden, Deputy Administrator Dava Newman and others. The film, titled Suit Up, focused on the five decade history of spacewalks and the future of humans working on a tether in space. Also, U.S. Astronaut Hall of Fame induction, Pluto’s moons tumbling about, 2015 Atlantic hurricane season begins, Agency Honor Awards and A ringing endorsement for space!</t>
  </si>
  <si>
    <t>RMbSPnC-RIM</t>
  </si>
  <si>
    <t>https://youtu.be/WbuProXpilE</t>
  </si>
  <si>
    <t>NASA, Partners Ring Closing Bell at New York Stock Exchange</t>
  </si>
  <si>
    <t>NASA officials and representatives from U.S. commercial space partners rang the closing bell of the New York Stock Exchange Thursday, June 4. NASA's work with U.S. industry is making commercial research on the space station more accessible and affordable, leading to discoveries not possible on Earth. Commercial companies are already providing cargo transportation services to the orbiting laboratory and will soon launch astronauts once again from the United States. This is stimulating the growth of a robust U.S. commercial space industry with access to low-Earth orbit, creating new jobs and markets.</t>
  </si>
  <si>
    <t>WbuProXpilE</t>
  </si>
  <si>
    <t>2015 06 04</t>
  </si>
  <si>
    <t>https://youtu.be/pKwLR93tf4k</t>
  </si>
  <si>
    <t>One Year Space Station Crew Members Discuss Life in Space</t>
  </si>
  <si>
    <t>Aboard the International Space Station, Expedition 43 Flight Engineers Scott Kelly of NASA and Mikhail Kornienko of the Russian Federal Space Agency (Roscosmos) fielded questions about the progress of their year-long stay on the orbital outpost during a pair of in-flight interviews June 4 with the CBS Radio Network and the ABC News Digital Network. Kelly and Kornienko are in the third month of a mission on the laboratory that will span a year, gathering invaluable biomedical data on the long duration effect of weightlessness on the human body that will be vital to the planning for future missions to Mars.</t>
  </si>
  <si>
    <t>pKwLR93tf4k</t>
  </si>
  <si>
    <t>2015 06 03</t>
  </si>
  <si>
    <t>https://youtu.be/pMMwLi6UGrs</t>
  </si>
  <si>
    <t>Ed White Ambassador of Exploration</t>
  </si>
  <si>
    <t>On June 3, 1965, when Gemini IV astronaut Ed White emerged from his spacecraft into the blackness of space, he became the first American to walk in space. For more than 20 minutes, White maneuvered himself around the Gemini spacecraft while it traveled from over Hawaii to the Gulf of Mexico--making his orbital stroll 6,500 miles long.</t>
  </si>
  <si>
    <t>pMMwLi6UGrs</t>
  </si>
  <si>
    <t>https://youtu.be/L0AiXuPy9Dg</t>
  </si>
  <si>
    <t>Space Station Crew Members Discuss Life in Space with Buzzfeed</t>
  </si>
  <si>
    <t>Aboard the International Space Station, Expedition 43 Commander Terry Virts and Flight Engineer Scott Kelly of NASA discussed life and work aboard the orbital outpost during an in-flight interview June 3 with the BuzzFeed social media news site. Virts is in the homestretch of his 6 and a half month mission on the complex, while Kelly is in the third month of a year-long stay on the laboratory with Russian cosmonaut Mikhail Kornienko, gathering invaluable biomedical data on the long duration effect of weightlessness on the human body that will be vital to the planning for future missions to Mars.</t>
  </si>
  <si>
    <t>L0AiXuPy9Dg</t>
  </si>
  <si>
    <t>2015 06 02</t>
  </si>
  <si>
    <t>https://youtu.be/3c0hfqHRwro</t>
  </si>
  <si>
    <t>NASA 2015 Agency Honor Awards</t>
  </si>
  <si>
    <t>NASA Administrator Charlie Bolden helped recognize the best of best at NASA during the Agency Honor Awards June 2 at Kennedy Space Center. The annual event is meant to highlight the distinguished contributions of the honorees and to thank them for their valued service to NASA and its mission.</t>
  </si>
  <si>
    <t>3c0hfqHRwro</t>
  </si>
  <si>
    <t>https://youtu.be/_D0DxtKj0mc</t>
  </si>
  <si>
    <t>Second Test of Supersonic Vehicle Previewed</t>
  </si>
  <si>
    <t>The second flight test of NASA's Low-Density Supersonic Decelerator (LDSD) was previewed during a June 1 press briefing. LDSD will launch no earlier than 1:30 p.m. EDT (7:30 a.m. HST) Wednesday, June 3, from the U.S. Navy's Pacific Missile Range Facility (PMRF) on Kauai, Hawaii. NASA Television coverage will begin at 1 p.m. EDT (7 a.m. HST). The project is designed to investigate and test breakthrough technologies for landing future robotic and human Mars missions and safely returning large payloads to Earth. The test, performed over the Pacific Ocean, will simulate the supersonic entry and descent speeds at which the spacecraft would be traveling through the Martian atmosphere.</t>
  </si>
  <si>
    <t>_D0DxtKj0mc</t>
  </si>
  <si>
    <t>2015 06 01</t>
  </si>
  <si>
    <t>https://youtu.be/Z62z64-AyH0</t>
  </si>
  <si>
    <t>Suit Up - 50 Years of Spacewalks</t>
  </si>
  <si>
    <t>This NASA documentary celebrates 50 years of extravehicular activity (EVA) or spacewalks that began with the first two EVAs conducted by Russian Alexey Leonov in March 1965 and American astronaut Edward White in June 1965 . The documentary features interviews with NASA Administrator and astronaut, Charles Bolden, NASA Deputy Administrator and spacesuit designer, Dava Newman, as well as other astronauts, engineers, technicians, managers and luminaries of spacewalk history. They share their personal stories and thoughts that cover the full EVA experience-- from the early spacewalking experiences, to spacesuit manufacturing, to modern day spacewalks aboard the International Space Station as well as what the future holds for humans working on a tether in space. "Suit Up," is narrated by actor and fan of space exploration Jon Cryer. Cryer recently traveled to Star City, NASA Headquarters and the Johnson Space Center to film an upcoming Travel Channel documentary series.</t>
  </si>
  <si>
    <t>Z62z64-AyH0</t>
  </si>
  <si>
    <t>2015 05 31</t>
  </si>
  <si>
    <t>https://youtu.be/tbIt8m9cnFA</t>
  </si>
  <si>
    <t>U.S. Astronaut Hall of Fame Induction Ceremony at the Kennedy Space Center</t>
  </si>
  <si>
    <t>Joining the hall of fame this year are NASA’s associate administrator for the Science Mission Directorate John Grunsfeld, and former astronauts Steve Lindsey, Kent Rominger, and M. Rhea Seddon. Their induction brings the total number of space explorers enshrined to 91.
NASA Administrator Charles Bolden, a 2006 hall of famer, and Kennedy Director Bob Cabana, inducted into the hall of fame in 2008, will deliver remarks at the event.
Grunsfeld was selected as a NASA astronaut in March 1992. A five-flight veteran, he logged more than 58 days in space, including 58 hours and 30 minutes of extravehicular activity during eight spacewalks. Three of his missions focused on repairing and upgrading NASA’s Hubble Space Telescope.
Lindsey was selected as a NASA astronaut in March 1995. A veteran of five spaceflights, he logged more than 1,510 hours in space. Lindsey served on several notable missions, including STS-95 alongside Sen. John Glenn, STS-121, the second Return to Flight mission after the loss of Columbia, and STS-133, the final flight of shuttle Discovery.
Rominger was selected by NASA to become an astronaut in 1992. A veteran of five spaceflights – three as pilot and two as commander – he logged more than 1,600 hours in space. Several of Rominger’s missions were integral to the beginnings of the International Space Station. As commander of STS-96, Rominger oversaw the first docking of a space shuttle to the space station.
Seddon was selected by NASA in January 1978 and became an astronaut in August 1979 as part of the first U.S. astronaut class to include women. A three-flight veteran, she logged more than 722 hours in space. In addition to participating in and leading numerous science and medical experiments during her flights, Seddon also helped develop and implement a variety of programs and plans for the shuttle program.</t>
  </si>
  <si>
    <t>tbIt8m9cnFA</t>
  </si>
  <si>
    <t>2015 05 29</t>
  </si>
  <si>
    <t>https://youtu.be/Rxhv5lzXUgc</t>
  </si>
  <si>
    <t>Science Instruments Selected for Europa Mission on This Week @NASA – May 29, 2015</t>
  </si>
  <si>
    <t>NASA announced May 26, it has selected nine science instruments for a mission to Jupiter’s moon Europa to investigate whether the icy moon has conditions suitable for life. The instruments, targeted for launch aboard a robotic probe in the 2020s, include cameras and spectrometers to collect high-resolution imagery; an ice penetrating radar to measure surface thickness and look for subsurface lakes; and a magnetometer to measure the strength and direction of the moon’s magnetic field, and allow scientists to determine the depth and salinity of the moon’s ocean. The mission will collect data during a series of close flybys of Europa during a three-year period. Also, Commercial Crew update, Space station module relocated, Bolden visits space companies, SLS engine test, Supersonic vehicle test and more!</t>
  </si>
  <si>
    <t>Rxhv5lzXUgc</t>
  </si>
  <si>
    <t>https://youtu.be/F9hrKGOpW_I</t>
  </si>
  <si>
    <t>One-Year Space Station Crew Member Discusses Life In Space With The Media</t>
  </si>
  <si>
    <t>Aboard the International Space Station, Expedition 43 Flight Engineer Scott Kelly of NASA discussed the progress of his year-long mission on the orbital laboratory in a pair of in-flight interviews May 29 with KTRK-TV in Houston and the PRI Science Friday network. Kelly is now in the third month of his year on the station with cosmonaut Mikhail Kornienko of the Russian Federal Space Agency (Roscosmos), conducting a cache of biomedical experiments that are expected to gain valuable data for a future mission to Mars.</t>
  </si>
  <si>
    <t>F9hrKGOpW_I</t>
  </si>
  <si>
    <t>2015 05 28</t>
  </si>
  <si>
    <t>https://youtu.be/lIOgeONyOos</t>
  </si>
  <si>
    <t>NASA Asian American Pacific Islander History Month - Sameer Kulkarni, Glenn Research Center</t>
  </si>
  <si>
    <t>Sameer Kulkarni is a research aerospace engineer in the Turbomachinery and Turboelectric Systems Branch at NASA's Glenn Research Center. He currently serve as the research lead for the Highly Loaded Front Block Core Compressor test program in the W-7 test facility (Multistage Compressor Facility) of the Engine Research Building. The effort is a part of NASA’s Environmentally Responsible Aviation Project, with the goal of demonstrating compressor technologies which increase fuel efficiency of modern turbofan engines. Kulkarni works with industry partners and NASA engineers to define the test requirements and execute the test plan. He uses computational fluid dynamics simulations and test data to enhance current understanding of compressor aerothermodynamics.</t>
  </si>
  <si>
    <t>lIOgeONyOos</t>
  </si>
  <si>
    <t>2015 05 27</t>
  </si>
  <si>
    <t>https://youtu.be/J1QuGKpFnlg</t>
  </si>
  <si>
    <t>International Space Station Module Moved to New Location To Prep For U.S. Commercial Vehicle Traffic</t>
  </si>
  <si>
    <t>At the International Space Station, the large Permanent Multipurpose Module was robotically relocated from the Earth-facing port of the Unity module to the forward port of the Tranquility module May 27 in the next step to reconfigure the complex for the future arrival of U.S. commercial crew vehicles. Robotic flight controllers at Mission Control, Houston used the Canadarm2 robotic arm to maneuver the 11-ton module a short distance to its new location. The operation opened the Earth-facing port of Unity as another berthing location for U.S. commercial cargo vehicles, while future U.S. commercial crew vehicles will arrive at new International Docking Adapters to be installed on hardware on the Harmony module.</t>
  </si>
  <si>
    <t>J1QuGKpFnlg</t>
  </si>
  <si>
    <t>2015 05 26</t>
  </si>
  <si>
    <t>https://youtu.be/g5GFPEEsJGQ</t>
  </si>
  <si>
    <t>NASA Announces selection of science instruments for mission to Europa</t>
  </si>
  <si>
    <t>NASA announced on Tuesday, May 26, the selection of science instruments for a mission to Europa to investigate whether Jupiter’s icy moon could harbor conditions suitable for life.   NASA received 33 proposals for science instruments to fly onboard a Europa mission, which would conduct repeated close flybys of the small moon during a three-year period.
Participants in the announcement were:
·         John Grunsfeld, associate administrator for the Science Mission Directorate, NASA Headquarters
·         Jim Green, director, Planetary Science Division, NASA Headquarters
·         Curt Niebur, Europa program scientist, NASA Headquarters</t>
  </si>
  <si>
    <t>g5GFPEEsJGQ</t>
  </si>
  <si>
    <t>2015 05 22</t>
  </si>
  <si>
    <t>https://youtu.be/q08YgivkPdI</t>
  </si>
  <si>
    <t>NASA’s new Deputy Administrator on This Week @NASA</t>
  </si>
  <si>
    <t>Dr. Dava Newman, whose first day on the job as NASA’s new Deputy Administrator was May 18, was introduced during a town hall meeting at headquarters the following day. Newman previously was the Apollo Program Professor of Astronautics at the Massachusetts Institute of Technology in Cambridge and brings with her valuable experience in engineering, science and space policy. Much of her research at MIT focused on critical aspects of human space exploration, and she’s well known in the space community for development of a new, lighter-weight spacesuit design that gives astronauts more mobility. Also, SpaceX Dragon departs ISS, Soil moisture mission begins science, NASA seeks design ideas for future asteroid spacecraft, Robotic mining competition and 3-D-Printed Habitat Challenge!</t>
  </si>
  <si>
    <t>q08YgivkPdI</t>
  </si>
  <si>
    <t>https://youtu.be/k6Seub90tGQ</t>
  </si>
  <si>
    <t>NASA Asian American Pacific Islander History Month – Gayleen Ijames, Marshall Space Flight Center</t>
  </si>
  <si>
    <t>Gayleen Ijames is a ground system engineer at NASA’s Marshall Space Flight Center in Huntsville, Alabama.
She works in the Payload Operations and Integrations Center supporting science experiments and payloads aboard the International Space Station. Her role is to interact with NASA’s international partners to ensure that they receive their science data. She attended the University of Alabama in Huntsville, where she graduated with a Bachelor’s in Industrial Engineering and a Master’s in Systems Engineering.</t>
  </si>
  <si>
    <t>k6Seub90tGQ</t>
  </si>
  <si>
    <t>https://youtu.be/2ti1LBk119E</t>
  </si>
  <si>
    <t>NASA Asian American Pacific Islander History Month – Ban Tieu, Jet Propulsion Laboratory</t>
  </si>
  <si>
    <t>Ban Tieu is the Integration and Test Manager for the Low Density Supersonic Decelerator (LDSD) project at NASA’s Jet Propulsion Laboratory. Tieu started at JPL in 2001 and has performed a number of roles in his division, including: Cost Engineering for Pre-Phase A/Phase A proposals, Aquarius Project System Engineering Support, Aquarius and Active Mirror Development (AMD) Integration and Test Engineer, and Aquarius Operations Lead. His most recent roles have been on the Low Density Supersonic Decelerator (LDSD) project, as the Electrical I&amp;T Lead before being promoted to the I&amp;T Manager position. Tieu has a BS in Aerospace Engineering from UCLA, and a MS in Astronautical Engineering from USC.</t>
  </si>
  <si>
    <t>2ti1LBk119E</t>
  </si>
  <si>
    <t>2015 05 21</t>
  </si>
  <si>
    <t>https://youtu.be/sd4LrHfqa-Y</t>
  </si>
  <si>
    <t>Space Station Supply Ship Returns to Earth</t>
  </si>
  <si>
    <t>After almost five weeks at the International Space Station, the unpiloted U.S. SpaceX Dragon cargo spacecraft departed the ISS on May 21 to begin the journey back to Earth. Dragon brought back with it, more than 3,000 pounds of experiments and cargo for researchers and station program personnel.</t>
  </si>
  <si>
    <t>sd4LrHfqa-Y</t>
  </si>
  <si>
    <t>2015 05 20</t>
  </si>
  <si>
    <t>https://youtu.be/bGJXj6tei2k</t>
  </si>
  <si>
    <t>STEM in 30 – Living and Working in Space</t>
  </si>
  <si>
    <t>This episode of the Smithsonian National Air and Space Museum’s STEM in 30 series focuses on what it is like living and working in space and the benefits and challenges of what astronauts do every day onboard the International Space Station. STEM in 30 is a series of live, fast-paced, 30-minute webcasts designed to increase interest and engagement in STEM for students</t>
  </si>
  <si>
    <t>bGJXj6tei2k</t>
  </si>
  <si>
    <t>2015 05 19</t>
  </si>
  <si>
    <t>https://youtu.be/6ZzxU8qAnn8</t>
  </si>
  <si>
    <t>Space Station Crew Discusses Life in Space with the News Media</t>
  </si>
  <si>
    <t>Aboard the International Space Station, Expedition 43 Commander Terry Virts and Flight Engineer Scott Kelly of NASA fielded questions from reporters from WGN-TV, Chicago and the Bloomberg News Network during a pair of in-flight interviews May 19. Virts is enjoying a bonus month aboard the station with his return to Earth now scheduled for early June, while Kelly is concluding the second month of a year-long mission on the station with Russian cosmonaut Mikhail Kornienko, designed to gather valuable biomedical data on the long duration effect of weightlessness on the human body that will be used to plan for future missions to Mars.</t>
  </si>
  <si>
    <t>6ZzxU8qAnn8</t>
  </si>
  <si>
    <t>2015 05 15</t>
  </si>
  <si>
    <t>https://youtu.be/PDVkBV-dnkU</t>
  </si>
  <si>
    <t>NASA Asian American Pacific Islander History Month – Alex Chin, Armstrong Flight Research Center</t>
  </si>
  <si>
    <t>Alex Chin is an aerospace engineer in the Aerostructures Research Branch at NASA’s Armstrong Flight Research Center in Edwards, California. He is responsible for planning, executing, and analyzing tests to support structural dynamics research at Armstrong.</t>
  </si>
  <si>
    <t>PDVkBV-dnkU</t>
  </si>
  <si>
    <t>https://youtu.be/ULU7ha1GTjs</t>
  </si>
  <si>
    <t>Schedule changes for space station traffic on This Week @NASA</t>
  </si>
  <si>
    <t>NASA and its international partners are making changes to the International Space Station’s schedule of arriving and departing spacecraft, following the Russian Federal Space Agency's preliminary findings on its recent loss of the Progress 59 cargo craft. Exact dates will be announced in the coming weeks, with a Roscosmos update about the Progress 59 investigation expected May 22. The schedule adjustments mean NASA's Terry Virts and Expedition 43 crewmates, Samantha Cristoforetti of ESA and Russian cosmonaut Anton Shkaplerov – now will return to Earth in June instead of May. NASA’s Kjell Lindgren, who is conducting pre-flight training in Russia with the other members of Expedition 44, now will launch to the station in July. Also, Small satellite launch services, Latest images of Ceres, Europa’s sea salt? Antarctica Ice Shelf Nearing Its Final Act and No major U.S. hurricanes in nine years!</t>
  </si>
  <si>
    <t>ULU7ha1GTjs</t>
  </si>
  <si>
    <t>https://youtu.be/P1M6gxvuPrM</t>
  </si>
  <si>
    <t>The International Space Station Crew Discuss Life in Space with Weather Channel and Time Magazine</t>
  </si>
  <si>
    <t>Aboard the International Space Station, Expedition 43 Commander Terry Virts and Flight Engineer Scott Kelly of NASA discussed the ongoing progress of their mission in a pair of in-flight interviews May 15 with the Weather Channel’s “Wake Up with Al Roker” program and TIME Magazine. Virts’ stay aboard the station has been extended several weeks in the wake of the loss of the Russian ISS Progress 59 cargo ship while Kelly is in the second month of a year-long mission on the complex along with Russian cosmonaut Mikhail Kornienko designed to gather valuable data on the effect of long duration exposure of the human body to weightlessness for the future planning of missions to Mars.</t>
  </si>
  <si>
    <t>P1M6gxvuPrM</t>
  </si>
  <si>
    <t>2015 05 11</t>
  </si>
  <si>
    <t>https://youtu.be/_7ZHzjXZ_nw</t>
  </si>
  <si>
    <t>Women in STEM  STEM in the Global Science Community</t>
  </si>
  <si>
    <t>Women in STEM: STEM in the Global Science Community is a program featuring NASA women in STEM careers. Chief Scientist Ellen Stofan and NASA astronaut Cady Coleman open the program. Coleman introduces Russian cosmonaut Elena Serova of the Russian Federal Space Agency and Italian astronaut Samantha Cristoforetti of the European Space Agency, who worked together on the International Space Station in 2015, marking only the second time in the history of the space station that two women have served on the same expedition. Students from the School for Ethics and Global Leadership in Washington DC submitted career questions to Serova and Cristoforetti in February 2015, and the women's answers were recorded in a video downlink. 
The Women in STEM program also features a career discussion among women at NASA Headquarters in Washington DC. Sarah DeWitt hosts the discussion with engineer Mamta Nagaraja, technologist LaNetra Tate and scientist Tara Ruttley. Students were on hand to ask questions of these NASA women who are making a difference today – here on Earth and in space – and inspiring future generations of STEM leaders.</t>
  </si>
  <si>
    <t>_7ZHzjXZ_nw</t>
  </si>
  <si>
    <t>2015 05 08</t>
  </si>
  <si>
    <t>https://youtu.be/t0j4vW0UJYU</t>
  </si>
  <si>
    <t>Expedition 44 Crew Undergoes Final Training at Star City Outside Moscow</t>
  </si>
  <si>
    <t>Expedition 44 Soyuz Commander Oleg Kononenko of the Russian Federal Space Agency (Roscosmos), NASA Flight Engineer Kjell Lindgren and Flight Engineer Kimiya Yui of the Japan Aerospace Exploration Agency, and their backups, Yuri Malenchenko of Roscosmos, Tim Kopra of NASA and Timothy Peake of the European Space Agency conducted final qualification training at the Gagarin Cosmonaut Training Center in Star City, Russia May 6 and 7.  Kononenko, Lindgren and Yui are scheduled to launch on May 27, Kazakh time, in the Soyuz TMA-17M spacecraft to the International Space Station for a 5 1Ž2 month mission.</t>
  </si>
  <si>
    <t>t0j4vW0UJYU</t>
  </si>
  <si>
    <t>https://youtu.be/Zb5uU1DcT_c</t>
  </si>
  <si>
    <t>Humans to Mars Summit on This Week @NASA</t>
  </si>
  <si>
    <t>NASA Administrator Charlie Bolden delivered opening remarks at the Humans to Mars Summit 2015, on May 5 at The George Washington University, in Washington. Bolden outlined NASA’s Journey to Mars and the agency’s clear, affordable, and sustainable plan to explore the Red Planet. NASA’s associate administrator for Science John Grunsfeld, associate administrator for Human Exploration and Operations Bill Gerstenmaier, and Steve Jurczyk, the associate administrator for the agency’s Space Technology Mission Directorate participated in a panel discussion at the Summit about the development of capabilities NASA needs to send humans first to an asteroid and then to Mars in the 2030s. Also, One-year mission update, SpaceX pad abort test, FINDER technology update, Small Business Week and Improving vertical flight!</t>
  </si>
  <si>
    <t>Zb5uU1DcT_c</t>
  </si>
  <si>
    <t>https://youtu.be/DA_b1XPYxkc</t>
  </si>
  <si>
    <t>Education channel promo squeeze</t>
  </si>
  <si>
    <t>DA_b1XPYxkc</t>
  </si>
  <si>
    <t>2015 05 07</t>
  </si>
  <si>
    <t>https://youtu.be/urY1AEVGyIY</t>
  </si>
  <si>
    <t>NASA Helps Students of Beating the Odds Foundation at Special Event in Washington DC</t>
  </si>
  <si>
    <t>A Beating the Odds/Quarterback for Life: EFT-1 Student Design Challenge event was hosted by NASA Administrator Charles Bolden, Nujoud Merancy of the Mission Planning &amp; Analysis Lead Orion Vehicle Integration Office and Jason Crusan, Director - Advanced Exploration Systems Division.  The Beating the Odds Foundation partnership with NASAt at NASA Headquarters in Washington DC and the Goddard Space Flight Center in Greenbelt, MD.  This educational partnership between Beating the Odds Foundation and NASA presents students with an experience that allows them to see what they are learning in school shapes their success in school, life, and a career.</t>
  </si>
  <si>
    <t>urY1AEVGyIY</t>
  </si>
  <si>
    <t>2015 05 06</t>
  </si>
  <si>
    <t>https://youtu.be/5bhW2h08zhY</t>
  </si>
  <si>
    <t>SpaceX Crew Dragon Spacecraft Takes Flight During Pad Abort Test at Cape Canaveral</t>
  </si>
  <si>
    <t>SpaceX tested its Crew Dragon, a spacecraft under final development and certification through NASA’s Commercial Crew Program (CCP) which simulated an emergency abort from a test stand on Space Launch Complex 40 at Cape Canaveral Air Force Station (CCAFS) in Florida.
The ability to abort from a launch or pad emergency, and safely carry crew members out of harm's way, is a critical element for NASA's next generation of crewed spacecraft. SpaceX will perform the test under its Commercial Crew Integrated Capability (CCiCap) agreement with NASA, but can use the data gathered during the development flight as it continues on the path to certification.  Under a separate Commercial Crew Transportation Capability (CCtCap) contract, NASA's CCP will certify SpaceX’s Crew Dragon, Falcon 9 rocket and ground and mission operations systems to fly crews to and from the International Space Station.</t>
  </si>
  <si>
    <t>5bhW2h08zhY</t>
  </si>
  <si>
    <t>https://youtu.be/XbIf7FrfKHA</t>
  </si>
  <si>
    <t>30 Minutes to Mars  part II</t>
  </si>
  <si>
    <t>Mars is a fascinating planet, and NASA’s journey to Mars has many challenges, and many possibilities. Dr. Jim Green, NASA planetary science division director and NASA Astronaut Stan Love continue to explore the next steps of sending humans to the fourth planet from the Sun in this bonus feature of 30 Minutes to Mars, and help answer the questions of what a crew might experience on the Martian surface; what kind of samples could be returned that would provide scientific value; and determine what would be most useful in sustaining a crew for short and, eventual, long-term stays on the Red Planet as NASA maps its journey to Mars.</t>
  </si>
  <si>
    <t>XbIf7FrfKHA</t>
  </si>
  <si>
    <t>https://youtu.be/cY6BWalV39o</t>
  </si>
  <si>
    <t>Space Station Crewmember Scott Kelly Talks to the “Today Show” and Social Media Followers</t>
  </si>
  <si>
    <t>Aboard the International Space Station, Expedition 43 Flight Engineer Scott Kelly of NASA fielded questions from NBC’s “Today Show” and YouTube social media followers during a pair of in-flight question and answer sessions on May 6. Along with Russian cosmonaut Mikhail Kornienko, Kelly is in the second month of a year-long mission on the orbital outpost, collecting valuable biomedical data that will be used to expand the database needed for future missions to Mars. Kelly and Kornienko will return to Earth in March 2016.</t>
  </si>
  <si>
    <t>cY6BWalV39o</t>
  </si>
  <si>
    <t>2015 05 05</t>
  </si>
  <si>
    <t>https://youtu.be/e2yvyHhvkwM</t>
  </si>
  <si>
    <t>Space Exploration Makes Big Difference in Small Business</t>
  </si>
  <si>
    <t>NASA Administrator Charles Bolden encouraged small business leaders to “Dream Big” to mark Small Business Week 2015, highlighting NASA-developed technology that supports innovation in small businesses.
Bolden toured Compass Coffee, a Washington, DC, coffee shop that uses NASA-derived technology in their coffee roasting and to talk brewing, technology transfer and commercialization of technology.
Small businesses develop critical technology, software and hardware for NASA’s missions, pioneering the future of space exploration, scientific discovery, and aeronautics research. NASA assists small businesses in high tech areas that include technology transfer and commercialization of technology. To learn more about Small Business Week, visit www.sba.gov and follow the discussion on social media using #DreamSmallBiz.</t>
  </si>
  <si>
    <t>e2yvyHhvkwM</t>
  </si>
  <si>
    <t>2015 05 04</t>
  </si>
  <si>
    <t>https://youtu.be/TSiGW70kusI</t>
  </si>
  <si>
    <t>30 Minutes to Mars</t>
  </si>
  <si>
    <t>NASA has robots and rovers on the surface of Mars and is planning on sending humans there as soon as technically possible, but there are steppingstones to getting there, conducting valuable scientific research, and returning home safely. Dr. Jim Green, NASA planetary science division director and NASA Astronaut Stan Love explore the next steps and help answer the questions of what a crew might experience on the Martian surface; what kind of samples could be returned that would provide scientific value; and determine what would be most useful in sustaining a crew for short and, eventual, long-term stays on the Red Planet.</t>
  </si>
  <si>
    <t>TSiGW70kusI</t>
  </si>
  <si>
    <t>https://youtu.be/4uoeGtM_AVA</t>
  </si>
  <si>
    <t>NASA Administrator Charles Bolden on Small Business Week</t>
  </si>
  <si>
    <t>During Small Business Week, NASA Administrator Charles Bolden discusses the importance of small businesses to America’s space program.</t>
  </si>
  <si>
    <t>4uoeGtM_AVA</t>
  </si>
  <si>
    <t>2015 05 01</t>
  </si>
  <si>
    <t>https://youtu.be/BD1q7ILnIMw</t>
  </si>
  <si>
    <t>Newman confirmed as NASA’s Deputy Administrator on This Week @NASA</t>
  </si>
  <si>
    <t>Following unanimous confirmation by the Senate on April 27, the appointment of MIT Professor Dava Newman as NASA’s next deputy administrator will become official when signed by President Obama. Newman, a professor of astronautics and engineering systems, has been on the MIT faculty since 1993. In a statement, Administrator Charlie Bolden said he was ecstatic to welcome her aboard at such a busy and exciting time – as the agency continues making extraordinary strides on the Journey to Mars. Also, New Pluto imagery, MESSENGER mission ends, Progress cargo craft update, Joining Forces and more!</t>
  </si>
  <si>
    <t>BD1q7ILnIMw</t>
  </si>
  <si>
    <t>https://youtu.be/McjiEjec0E8</t>
  </si>
  <si>
    <t>NASA and Discovery Education Celebrate Space Day 2015</t>
  </si>
  <si>
    <t>In celebration of Space Day NASA and Discovery Education shared a live look from inside NASA’s Goddard Space Flight Center on May 1, to help viewers discover more about NASA’s missions, their cutting-edge discoveries, and why it is important for us to continue to explore the solar system.</t>
  </si>
  <si>
    <t>McjiEjec0E8</t>
  </si>
  <si>
    <t>https://youtu.be/FbfEUwfRalc</t>
  </si>
  <si>
    <t>Pad Abort Test Preview</t>
  </si>
  <si>
    <t>A May 1 news briefing at Kennedy Space Center in Florida, previewed the pad abort test of the SpaceX Crew Dragon spacecraft, scheduled for no earlier than Wednesday, May 6. The test at nearby Cape Canaveral Air Force Station simulates an emergency abort situation and evaluates the ability of the spacecraft’s system to carry crew members to safety following a launch abort or a launch pad emergency. This capability is a critical element for the next generation of crew spacecraft being developed to fly astronauts to and from the International Space Station.</t>
  </si>
  <si>
    <t>FbfEUwfRalc</t>
  </si>
  <si>
    <t>2015 04 29</t>
  </si>
  <si>
    <t>https://youtu.be/zs8ayL6EDzM</t>
  </si>
  <si>
    <t>One-Year Space Station Crew Members Discuss Life in Space with the Media</t>
  </si>
  <si>
    <t>Aboard the International Space Station, Expedition 43 Flight Engineers Scott Kelly of NASA and Mikhail Kornienko of the Russian Federal Space Agency (Roscosmos) discussed the early weeks of their year-long mission during a pair of interviews April 29 with the Associated Press and the Westwood One Radio Network. Kelly and Kornienko are wrapping up the first month of a planned year-long mission on the station to gather valuable data on the effect of long duration exposure to weightlessness for the future planning of human missions to Mars. Kelly and Kornienko are scheduled to return to Earth in March 2016.</t>
  </si>
  <si>
    <t>zs8ayL6EDzM</t>
  </si>
  <si>
    <t>https://youtu.be/4CAfk0n9D0k</t>
  </si>
  <si>
    <t>Hubble’s 25th Anniversary Tribute</t>
  </si>
  <si>
    <t>During a program at the Smithsonian’s National Air and Space Museum in Washington, the Astronauts, scientists, engineers, technicians, educators, and staff who have contributed to Hubble’s success were honored, followed by talks from prominent officials whose significant contribution to space science have made Hubble possible. April 24 marks the 25th anniversary of the launch of the Hubble Space Telescope.</t>
  </si>
  <si>
    <t>4CAfk0n9D0k</t>
  </si>
  <si>
    <t>2015 04 28</t>
  </si>
  <si>
    <t>https://youtu.be/veMnIIrUTBI</t>
  </si>
  <si>
    <t>Russian Space Station Freighter Launches</t>
  </si>
  <si>
    <t>The Russian ISS Progress 59 cargo craft launched to the International Space Station from the Baikonur Cosmodrome in Kazakhstan April 28, carrying more than three tons of food, fuel and supplies for the residents on board the orbital outpost. The unpiloted resupply ship launched on a trajectory that will enable the vehicle to arrive at the station just six hours after launch. The new Progress will dock to the Pirs Docking Compartment on the Russian segment of the station where it will spend more than three months attached to the complex.</t>
  </si>
  <si>
    <t>veMnIIrUTBI</t>
  </si>
  <si>
    <t>https://youtu.be/7r9zq6pMP00</t>
  </si>
  <si>
    <t>Video of the International Space Station Progress 59 cargo craft</t>
  </si>
  <si>
    <t>Russian flight controllers are continuing to troubleshoot issues with the ISS Progress 59 cargo craft that was launched at 3:09 a.m. EDT (1:09 p.m.local time in Baikonur) from the Baikonur Cosmodrome in Kazakhstan. The spacecraft made another pass over Russian ground stations and continued to experience telemetry problems regarding the deployment of navigational antennas and the pressurization of the manifolds in the propulsion system. Flight controllers also confirmed that the vehicle had entered into a slow spin and have issued commands to attempt to control it.</t>
  </si>
  <si>
    <t>7r9zq6pMP00</t>
  </si>
  <si>
    <t>2015 04 27</t>
  </si>
  <si>
    <t>https://youtu.be/X63aofXj9ZM</t>
  </si>
  <si>
    <t>Space Station Crew Member Discusses Fitness in Space with Italian Students</t>
  </si>
  <si>
    <t>During an April 27 NASA Television in-flight event, International Space Station Expedition 43 Flight Engineer Samantha Cristoforetti, of the European Space Agency, discussed the value of fitness and exercise as well as the highlights of her mission with Italian students involved in the Mission X fitness program. Cristoforetti, who is a native of Milan, Italy, is in the final weeks of a five and a half month mission on the station, headed for a return to Earth on May 14 in a Russian Soyuz spacecraft.</t>
  </si>
  <si>
    <t>X63aofXj9ZM</t>
  </si>
  <si>
    <t>https://youtu.be/1aHZ_KP4SSI</t>
  </si>
  <si>
    <t>STEM message from Scott Kelly</t>
  </si>
  <si>
    <t>Aboard the International Space Station, Expedition 43 Flight Engineer Scott Kelly of NASA recorded a video message for an April 27 Joining Forces event to celebrate the National Math and Science Initiative’s College Readiness Program for military families. Joining Forces is an initiative started by First Lady Michelle Obama and Dr. Jill Biden in April 2011 that works hand in hand with the public and private sectors to ensure that service members, veterans, and their families have the tools they need to succeed throughout their lives.</t>
  </si>
  <si>
    <t>1aHZ_KP4SSI</t>
  </si>
  <si>
    <t>2015 04 25</t>
  </si>
  <si>
    <t>https://youtu.be/UZI23PBOv5o</t>
  </si>
  <si>
    <t>NASA's Documentary Film  Hubble25 (Abbreviated Version)</t>
  </si>
  <si>
    <t>In its quarter-century in orbit, the Hubble Space Telescope has transformed the way we understand the Universe, helped us find our place among the stars, and paved the way to incredible advancements in science and technology. The Hubble story is a human story. Hubble overcame much adversity early on in its mission and demonstrated the great heights NASA is capable of achieving against all odds.  Much of that is thanks to the “Hubble Heroes”, including scientists, engineers, and the brave astronauts who flew five Space Shuttle missions to service Hubble.
Join NASA Television in celebrating the 25th anniversary of the Hubble Space Telescope in orbit April 24, 2015.</t>
  </si>
  <si>
    <t>UZI23PBOv5o</t>
  </si>
  <si>
    <t>https://youtu.be/n7kslRWlwzU</t>
  </si>
  <si>
    <t>Russian Space Freighter Departs the Complex</t>
  </si>
  <si>
    <t>Loaded with trash, the Russian ISS Progress 57 cargo craft undocked April 25 from the Pirs Docking Compartment on the Russian segment of the International Space Station, headed for an entry into the Earth’s atmosphere on April 26 to burn up over the Pacific Ocean. The Progress 57 craft arrived at the station in late October, bringing more than two tons of food, fuel and supplies for the station’s residents. The departure of the Progress 57 vehicle cleared the Pirs docking port for the arrival of the new ISS Progress 59 cargo ship, which will launch to the station on April 28 from the Baikonur Cosmodrome in Kazakhstan on a resupply mission to deliver another two tons of provisions for the station crewmembers.</t>
  </si>
  <si>
    <t>n7kslRWlwzU</t>
  </si>
  <si>
    <t>https://youtu.be/2FPB7dsgfJ0</t>
  </si>
  <si>
    <t>25 years of Hubble on This Week @NASA-April 24, 2015</t>
  </si>
  <si>
    <t>On April 24, 1990, NASA’s Hubble Space Telescope rode to space aboard space shuttle Discovery – on a mission to do just that – discover. The results over the past 25 years have been nothing short of remarkable.
The storied and historic journey into the cosmos that Hubble’s eyes have taken us on, has led to groundbreaking discoveries, captivated imaginations and given humans a better understanding of our place in the universe. NASA celebrated Hubble’s Silver anniversary with a variety of events including the unveiling of the official Hubble 25th anniversary image at the Newseum in Washington and a gala at the Smithsonian’s National Air and Space Museum, during which many of the astronauts, scientists, engineers, technicians, educators, and others who have contributed to Hubble’s success were honored. Also, NASA celebrates Earth Day, 3-D printed copper engine part and more!</t>
  </si>
  <si>
    <t>2FPB7dsgfJ0</t>
  </si>
  <si>
    <t>https://youtu.be/uOVXCdZHApI</t>
  </si>
  <si>
    <t>NASA's Documentary Film  Hubble25</t>
  </si>
  <si>
    <t>uOVXCdZHApI</t>
  </si>
  <si>
    <t>2015 04 24</t>
  </si>
  <si>
    <t>https://youtu.be/4Gifym6jXLw</t>
  </si>
  <si>
    <t>Official Hubble 25th Anniversary Image Unveiled</t>
  </si>
  <si>
    <t>The official Hubble 25th anniversary image was unveiled during a program at the Newseum in Washington, DC. Remarks were made by NASA Administrator Charlie Bolden, Associate Administrator for the Science Mission Directorate John Grunsfeld and others. April 24 marks the 25th anniversary of the launch of the Hubble Space Telescope.</t>
  </si>
  <si>
    <t>4Gifym6jXLw</t>
  </si>
  <si>
    <t>2015 04 23</t>
  </si>
  <si>
    <t>https://youtu.be/64jzZ7AY5W8</t>
  </si>
  <si>
    <t>Hubble Space Telescope-25th Anniversary Resource Reel</t>
  </si>
  <si>
    <t>On April 24, 1990, the space shuttle Discovery lifted off on space shuttle mission STS-31, with the Hubble Space Telescope in its payload bay. The following day, Hubble was released into space, ready to peer into the vast unknown. Unfortunately, it was discovered that the observatory's primary mirror had a flaw that affected the clarity of the telescope's early images. Over the next three years corrective optics were developed for the telescope and in December 1993, astronauts repaired Hubble’s “vision” during space shuttle mission STS-61, the first of NASA’s five servicing missions to the orbiting observatory. Subsequent repairs and upgrades were also made on servicing missions in February 1997 (STS-82); December 1999 (STS-103); March 2002 (STS-109); and May 2009 (STS-125).
The Hubble Space Telescope has provided scientists and the public with spectacular images of deep space. One of the most technologically advanced pieces of equipment that humans have put into orbit, it has helped researchers make important discoveries about our universe, ranging from planets and stars to galaxies and cosmology, in the process reinvigorating and reshaping our perception of the cosmos and giving astronomers insight into the history and fate of our universe.</t>
  </si>
  <si>
    <t>64jzZ7AY5W8</t>
  </si>
  <si>
    <t>https://youtu.be/O89oUoaj0zo</t>
  </si>
  <si>
    <t>Space Station Crew Talks Space and Sports</t>
  </si>
  <si>
    <t>O89oUoaj0zo</t>
  </si>
  <si>
    <t>2015 04 22</t>
  </si>
  <si>
    <t>https://youtu.be/VbB1p9wm0XA</t>
  </si>
  <si>
    <t>The Earth from Space</t>
  </si>
  <si>
    <t>The view of Earth from orbit was the focus of this What's New in Aerospace? presentation televised on NASA Television from the Smithsonian National Air and Space Museum in Washington. The program featured Piers Sellers, a climate scientist and former NASA astronaut, taking viewers on a tour of our home planet as never seen before.</t>
  </si>
  <si>
    <t>VbB1p9wm0XA</t>
  </si>
  <si>
    <t>https://youtu.be/bTaKUdtD0E0</t>
  </si>
  <si>
    <t>STEM in 30 - Earth Day</t>
  </si>
  <si>
    <t>This episode of the Smithsonian National Air and Space Museum’s STEM in 30 series focuses on Earth Day with a look at the beginnings of Earth Day and how a better understanding of our place in the universe has evolved through photographic scientific discoveries. STEM in 30 is a series of live, fast-paced, 30-minute webcasts designed to increase interest and engagement in STEM for students.</t>
  </si>
  <si>
    <t>bTaKUdtD0E0</t>
  </si>
  <si>
    <t>https://youtu.be/FLKCMdSCQyA</t>
  </si>
  <si>
    <t>Space Station Crew Member Discusses Life in Space with Italian Officials and Students</t>
  </si>
  <si>
    <t>Aboard the International Space Station, Expedition 43 Flight Engineer Samantha Cristoforetti of the European Space Agency discussed the highlights of her mission with Italian Education Minister Stefania Gianinni, officials of ESA and the Italian Space Agency and students during an in-flight event April 22. Cristoforetti, who is a native of Milan, Italy, is in the final weeks of a five and a half month mission on the station, headed for a return to Earth on May 14 in a Russian Soyuz spacecraft.</t>
  </si>
  <si>
    <t>FLKCMdSCQyA</t>
  </si>
  <si>
    <t>2015 04 20</t>
  </si>
  <si>
    <t>https://youtu.be/t2oiaa1tdRE</t>
  </si>
  <si>
    <t>Coming Soon  Hubble Space Telescope 25th Anniversary Film</t>
  </si>
  <si>
    <t>Join NASA Television in celebrating the 25th anniversary of the Hubble Space Telescope in orbit April 24, 2015.</t>
  </si>
  <si>
    <t>t2oiaa1tdRE</t>
  </si>
  <si>
    <t>https://youtu.be/ULfPxf9Osg0</t>
  </si>
  <si>
    <t>NASA uses the vantage point of space to increase our understanding of our home planet, improve lives and safeguard our future. The agency also develops new ways to observe and study Earth's interconnected natural systems with long-term data records, shares this unique knowledge, and works with institutions around the world to gain new insights into how our planet is changing.  Here's a brief thirty second video showing some of the sights and sounds of our Earth and why it's important to us all to appreciate our unique home in the solar system.</t>
  </si>
  <si>
    <t>ULfPxf9Osg0</t>
  </si>
  <si>
    <t>2015 04 18</t>
  </si>
  <si>
    <t>https://youtu.be/n9XPbAYgkh8</t>
  </si>
  <si>
    <t>NASA Administrator joins Earth Day event in Washington</t>
  </si>
  <si>
    <t>NASA Administrator Charles Bolden and entertainer will.i.am discuss NASA’s mission to use space to better understand Earth at Global Citizen 2015 Earth Day, April 18. Thousands attended the free event on the grounds of the Washington Monument sponsored by the Earth Day Network and the Global Poverty Project. One of NASA’s core missions is to use the vantage point of space to increase our understanding of our home planet, improve lives, and safeguard our future.</t>
  </si>
  <si>
    <t>n9XPbAYgkh8</t>
  </si>
  <si>
    <t>2015 04 17</t>
  </si>
  <si>
    <t>https://youtu.be/j7b8AV_wg7E</t>
  </si>
  <si>
    <t>Another Dragon launches to the ISS on This Week @NASA-April 17, 2015</t>
  </si>
  <si>
    <t>On April 14, a SpaceX Dragon cargo craft launched on a Falcon 9 rocket from Cape Canaveral Air Force Station on the company’s sixth NASA-contracted resupply mission to the International Space Station. When it arrived three days later, the Dragon was captured by the Expedition 43 crew with the station’s Canadarm2 robotic arm and attached to the orbital laboratory where it will remain for about a month. The supply ship delivered more than two tons of science experiments and cargo. Also, New Horizons nearing Pluto, MESSENGER’s accomplishments, Budget hearings, Space Symposium and International Space Apps Challenge!</t>
  </si>
  <si>
    <t>j7b8AV_wg7E</t>
  </si>
  <si>
    <t>https://youtu.be/em2seQyBSjE</t>
  </si>
  <si>
    <t>SpaceX Dragon Commercial Cargo Ship Arrives at the International Space Station</t>
  </si>
  <si>
    <t>The SpaceX Dragon cargo vehicle arrived at the International Space Station after it was launched atop the company’s Falcon 9 rocket from the Cape Canaveral Air Force Station, Florida. Loaded with more than two tons of vital science experiments and supplies for the Expedition 43 crew, Dragon was grappled by Flight Engineer Samantha Cristoforetti of the European Space Agency and station Commander Terry Virts of NASA using the station’s Canadarm2 robotic arm. Dragon was installed on the Earth-facing port of the Harmony module for a month-long stay on the company’s latest commercial resupply mission for the orbital outpost.</t>
  </si>
  <si>
    <t>em2seQyBSjE</t>
  </si>
  <si>
    <t>2015 04 16</t>
  </si>
  <si>
    <t>https://youtu.be/ZCclu4c9Yk4</t>
  </si>
  <si>
    <t>NASA Celebrates MESSENGER Mission Prior to Surface Impact on Planet Mercury</t>
  </si>
  <si>
    <t>NASA held a panel discussion media on Thursday, April 16, to share scientific findings and technical accomplishments of the agency’s MErcury Surface, Space ENvironment, GEochemistry, and Ranging (MESSENGER) spacecraft.
After more than 10 years in space, the highly successful mission will come to an end when it is expected to collide into planet Mercury at a speed of more than 8,750 miles per hour (3.91 km/sec) near the end of this month.
Launched in August 2004, MESSENGER traveled 4.9 billion miles (7.9 billion kilometers) - a journey that included 15 trips around the sun and flybys of Earth once, Venus twice, and Mercury three times - before it was inserted into orbit around its target planet in March 2011. The spacecraft's cameras and other sophisticated, high-technology instruments have collected unprecedented images and made other observations. Mission managers are preparing to impact Mercury’ surface in the next couple weeks.
Participants featured were:
· James Green, director, Planetary Science Division, NASA Headquarters, Washington
· Sean Solomon, MESSENGER principal investigator; director, Columbia University's Lamont-Doherty Earth Observatory, Palisades, New York
· Helene Winters, MESSENGER project manager, Johns Hopkins University Applied Physics Laboratory, Laurel, Maryland
· Daniel O’Shaughnessy, MESSENGER systems engineer, Johns Hopkins University Applied Physics Laboratory, Laurel, Maryland</t>
  </si>
  <si>
    <t>ZCclu4c9Yk4</t>
  </si>
  <si>
    <t>2015 04 15</t>
  </si>
  <si>
    <t>https://youtu.be/DrSm-qMnhBg</t>
  </si>
  <si>
    <t>Update on the President's 2010 Exploration Goals</t>
  </si>
  <si>
    <t>On April 15, 2010, President Barack Obama outlined his plan for America's space program. At NASA's Kennedy Space Center that day, the President said:
“We will not only extend humanity's reach in space -- we will strengthen America's leadership here on Earth … For pennies on the dollar, the space program has improved our lives, advanced our society, strengthened our economy, and inspired generations of Americans … the question for us now is whether that was the beginning of something or the end of something.  I choose to believe it was only the beginning.” 
The President's plan will put American astronauts on Mars in the 2030s. In the five years since the President's speech, NASA has brought the United States closer to realizing that vision than at any point in human history. During that time, the agency has:
- Flown the Orion spacecraft farther into space than any spacecraft built for human passengers has flown in more than four decades.
- Moved the Space Launch System rocket from concept to development, hitting critical benchmarks.  
- Moved forward on the Asteroid Redirect Mission, which will test new capabilities – like advanced propulsion systems – that will be needed for future human expeditions to Mars. 
- Sent the MAVEN spacecraft to Mars to join a fleet of orbiters and surface rovers, building on America’s 40-year legacy of advanced robotic exploration of that planet.
- Sent astronaut Scott Kelly to the International Space Station to spend a year there to continue research into how the human body responds to extended periods of time off the planet.
- Chose Boeing and SpaceX to transport our astronaut crews to the station, bringing those launches back to America in 2017 and ending our sole reliance on the Russians to get humans into space.
- Tested new technologies like Low Density Supersonic Decelerator that will allow heavier spacecraft to land safely on places like Mars.</t>
  </si>
  <si>
    <t>DrSm-qMnhBg</t>
  </si>
  <si>
    <t>https://youtu.be/L30v3D4DZCg</t>
  </si>
  <si>
    <t>SpaceX Dragon Cargo Mission Post Launch News Conference from NASA's Kennedy Space Center in Florida</t>
  </si>
  <si>
    <t>A Post Launch News Conference following the succesful launch of SpaceX's sixth cargo mission to the International Space Station under NASA's Commercial Resupply Services contract was held on Tuesday, April 14, from the Kennedy Space Center in Florida. The company's Falcon 9 rocket lifted off at 4:10:40 p.m  carrying its Dragon cargo spacecraft to the station and holds more than 4,300 pounds of supplies and payloads, including critical materials to directly support about 40 of the more than 250 science and research investigations that will occur during the space station’s Expeditions 43 and 44.  After about five weeks at the space station, Dragon will return to Earth filled with more than 3,000 pounds of cargo including crew supplies, hardware and computer resources, science experiments, and space station hardware.</t>
  </si>
  <si>
    <t>L30v3D4DZCg</t>
  </si>
  <si>
    <t>2015 04 14</t>
  </si>
  <si>
    <t>https://youtu.be/E_s_ZxVsCvQ</t>
  </si>
  <si>
    <t>SpaceX Dragon Commercial Cargo Ship Speeds to the International Space Station</t>
  </si>
  <si>
    <t>The sixth SpaceX cargo mission to the International Space Station under NASA's Commercial Resupply Services contract launched on Tuesday, April 14, from Space Launch Complex 40 at Cape Canaveral Air Force Station in Florida. The company's Falcon 9 rocket lifted off at 4:10:40 p.m.,  carrying its Dragon cargo spacecraft to the station. Dragon is filled with more than 4,300 pounds of supplies and payloads, including critical materials to directly support about 40 of the more than 250 science and research investigations that will occur during the space station’s Expeditions 43 and 44.
Science investigations aboard Dragon include commercial and academic payloads in myriad disciplines, exploring new ways to possibly counteract the microgravity-induced cell damage seen during spaceflight; studying the effects of microgravity on the most common cells in bones; gathering new insight that could lead to treatments for osteoporosis and muscle wasting conditions; continuing studies into astronaut vision changes; and testing a new material that could one day be used as a synthetic muscle for robotic explorers of the future.  After about five weeks at the space station, Dragon will return to Earth filled with more than 3,000 pounds of cargo including crew supplies, hardware and computer resources, science experiments, and space station hardware.</t>
  </si>
  <si>
    <t>E_s_ZxVsCvQ</t>
  </si>
  <si>
    <t>https://youtu.be/OOx7Oi7go3E</t>
  </si>
  <si>
    <t>NASA's New Horizons Spacecraft  Getting to Pluto</t>
  </si>
  <si>
    <t>In NASA'a second televised briefings on Tuesday, April 14, plans and upcoming activities about the agency’s mission to Pluto that will make the first-ever close flyby of the dwarf planet on July 14 were briefed.
Briefers described the mission’s goals and context, scientific objectives and encounter plans – including what images can be expected and when.
New Horizons already has covered more than 3 billion miles since it launched on Jan. 19, 2006. The spacecraft will pass Pluto at a speed of 31,000 mph taking thousands of images and making a wide range of science observations. At a distance of nearly 4 billion miles from Earth at flyby, it will take approximately 4.5 hours for data to reach Earth.
Participants for the 2:20-3:30 p.m. discussion were:
-       James Green, director of Planetary Science, NASA Headquarters
-       Glen Fountain, New Horizons Project Manager, Johns Hopkins University Applied Physics Laboratory, Laurel, Maryland
-       Hal Weaver, New Horizons Project Scientist, Johns Hopkins University Applied Physics Laboratory, Laurel, Maryland
-       Alan Stern, New Horizons Principal Investigator, Southwest Research Institute, Boulder, Colorado</t>
  </si>
  <si>
    <t>OOx7Oi7go3E</t>
  </si>
  <si>
    <t>https://youtu.be/Ej3HUvLw_sA</t>
  </si>
  <si>
    <t>NASA's New Horizons Spacecraft  Seeing Pluto as Never Before</t>
  </si>
  <si>
    <t>In NASA first of two televised briefings on Tuesday, April 14, plans and upcoming activities about the agency’s mission to Pluto that will make the first-ever close flyby of the dwarf planet on July 14 were discussed.
Briefers described the mission’s goals and context, scientific objectives and encounter plans – including what images can be expected and when.
New Horizons already has covered more than 3 billion miles since it launched on Jan. 19, 2006. The spacecraft will pass Pluto at a speed of 31,000 mph taking thousands of images and making a wide range of science observations. At a distance of nearly 4 billion miles from Earth at flyby, it will take approximately 4.5 hours for data to reach Earth.
Participants for 1-2 p.m. discussion were:
-       John Grunsfeld, astronaut and Science Mission Directorate associate administrator, NASA Headquarters, Washington
-       James Green, director of Planetary Science, NASA Headquarters
-       Alan Stern, New Horizons Principal Investigator, Southwest Research Institute, Boulder, Colorado
-       William McKinnon, New Horizons Co-Investigator, Washington University in St. Louis
-       Cathy Olkin, New Horizons Deputy Project Scientist, Southwest Research Institute, Boulder, Colorado</t>
  </si>
  <si>
    <t>Ej3HUvLw_sA</t>
  </si>
  <si>
    <t>2015 04 12</t>
  </si>
  <si>
    <t>https://youtu.be/wbb_2uhQuUs</t>
  </si>
  <si>
    <t>SPACEX SIX PRELAUNCH NEWS CONFERENCE ON NASA TV</t>
  </si>
  <si>
    <t>On Sunday, April 12 (L-1 day): a Prelaunch News Conference was held at Kennedy’s Press Site at 5 p.m. and featured the following briefing participants:
Hans Koenigsmann, vice president of Mission Assurance, SpaceX
Dan Hartman, deputy International Space Station Program manager, NASA’s Johnson Space Center
Mike McAleenan, launch weather officer, 45th Weather Squadron.
The sixth SpaceX cargo mission to the International Space Station under NASA's Commercial Resupply Services contract is scheduled to launch on Monday, April 13, from Space Launch Complex 40 at Cape Canaveral Air Force Station in Florida. 
The company's Falcon 9 rocket will carry its Dragon cargo spacecraft filled with more than 4,300 pounds of supplies and payloads, including critical materials to directly support about 40 of the more than 250 science and research investigations that will occur during Expeditions 43 and 44.
After about five weeks at the space station, Dragon will return to Earth filled with more than 3,000 pounds of cargo including crew supplies, hardware and computer resources, science experiments, and space station hardware.</t>
  </si>
  <si>
    <t>wbb_2uhQuUs</t>
  </si>
  <si>
    <t>https://youtu.be/MuTWWuBytv0</t>
  </si>
  <si>
    <t>ISS NATIONAL LAB PANEL ON NASA TV</t>
  </si>
  <si>
    <t>On Sunday, April 12 (L-1 day): An ISS National lab panel was held at Kennedy’s Press Site at 3:30 p.m. and featured the following panel participants:
Kirt Costello, International Space Station deputy chief scientist, NASA’s Johnson Space Center
Mike Roberts, senior research pathway manager, CASIS
Paul Reichert, principal investigator, Protein Crystal Growth-3, Merck Research Laboratories
Lenore Rasmussen, RasLabs, Synthetic Muscle for Prosthetics and Robotics.
Science payloads will study new ways to possibly counteract the microgravity-induced cell damage seen during spaceflight, the effects of microgravity on the most common cells in bones, gather new insight that could lead to treatments for osteoporosis and muscle wasting conditions, continue studies into astronaut vision changes and test a new material that could one day be used as a synthetic muscle for robotics explorers of the future.
After about five weeks at the space station, Dragon will return to Earth filled with more than 3,000 pounds of cargo including crew supplies, hardware and computer resources, science experiments, and space station hardware.</t>
  </si>
  <si>
    <t>MuTWWuBytv0</t>
  </si>
  <si>
    <t>https://youtu.be/h9h0k02OsXw</t>
  </si>
  <si>
    <t>ISS SCIENCE, RESEARCH AND TECHNOLOGY PANEL ON NASA TV</t>
  </si>
  <si>
    <t>Sunday, April 12 (L-1 day): An ISS Science, Research and Technology briefing was held at Kennedy’s Press Site at 1:30 p.m. and featured engineer and science participants including:
Marshall Porterfield, director, Space Life and Physical Sciences, NASA Headquarters
Kirt Costello, International Space Station deputy chief scientist, NASA’s Johnson Space Center
Mike Roberts, senior research pathway manager, CASIS
Noel Clark, principal investigator, Observation and Analysis of Smectic Islands In Space (OASIS), University of Colorado
Paola D. Pajevic, principal investigator, Osteocytes and Mechanomechano-transduction (Osteo-4), Harvard University
Science payloads will study new ways to possibly counteract the microgravity-induced cell damage seen during spaceflight, the effects of microgravity on the most common cells in bones, gather new insight that could lead to treatments for osteoporosis and muscle wasting conditions, continue studies into astronaut vision changes and test a new material that could one day be used as a synthetic muscle for robotics explorers of the future.</t>
  </si>
  <si>
    <t>h9h0k02OsXw</t>
  </si>
  <si>
    <t>2015 04 10</t>
  </si>
  <si>
    <t>https://youtu.be/LoEcLekZ-fw</t>
  </si>
  <si>
    <t>Water in the universe on This Week @NASA</t>
  </si>
  <si>
    <t>On April 7, a group of NASA experts held a panel discussion at the agency’s headquarters about recent discoveries of water and organics in our solar system, the role our sun plays in water-loss in neighboring planets, and our search for habitable worlds among the stars. Understanding the distribution of water in our solar system tells us a great deal about how the planets, moons, comets and other bodies formed. Recent findings related to water by several NASA spacecraft are helping to inspire the continued investigation of our origins and the fascinating possibilities of life on other worlds in the universe. Also, 3-D printed parts back from space, Small Business Administrator’s Cup, Student Rocket Fair, #NoPlaceLikeHome and more!</t>
  </si>
  <si>
    <t>LoEcLekZ-fw</t>
  </si>
  <si>
    <t>2015 04 08</t>
  </si>
  <si>
    <t>https://youtu.be/KiJg-GDzcNw</t>
  </si>
  <si>
    <t>Space Station Crew Member Discusses Life in Space with the Italian Prime Minister</t>
  </si>
  <si>
    <t>Aboard the International Space Station, Expedition 43 Flight Engineer Samantha Cristoforetti of the European Space Agency discussed her mission and its accomplishments with Italian Prime Minister Matteo Renzi during an in-flight call originating from the Prime Minister’s residence in Rome on April 8. Cristoforetti, who is a native of Milan, is in the final weeks of a five and a half month mission on the orbital outpost, planning for a return to Earth in a Soyuz spacecraft on May 14.</t>
  </si>
  <si>
    <t>KiJg-GDzcNw</t>
  </si>
  <si>
    <t>2015 04 07</t>
  </si>
  <si>
    <t>https://youtu.be/eiAT41aHaH4</t>
  </si>
  <si>
    <t>Water in the Universe</t>
  </si>
  <si>
    <t>This panel discussion from NASA headquarters focuses on recent discoveries of water and organics in our solar system, the role our sun plays in water-loss in neighboring planets, and our search for habitable worlds among the stars.</t>
  </si>
  <si>
    <t>eiAT41aHaH4</t>
  </si>
  <si>
    <t>https://youtu.be/IeVxBM8Avo4</t>
  </si>
  <si>
    <t>A Story of Ozone-NASA TED Talk with Dr. Paul Newman</t>
  </si>
  <si>
    <t>Dr. Paul Newman, chief scientist for atmospheric sciences at NASA's Goddard Space Flight Center in Greenbelt, Maryland, discusses the ozone layer's past, present and potential future.</t>
  </si>
  <si>
    <t>IeVxBM8Avo4</t>
  </si>
  <si>
    <t>2015 04 06</t>
  </si>
  <si>
    <t>https://youtu.be/-fFDZyjMiTA</t>
  </si>
  <si>
    <t>Space Station Crew Discusses Life in Space with Texas Students</t>
  </si>
  <si>
    <t>Aboard the International Space Station, Expedition 43 Commander Terry Virts of NASA and Flight Engineer Samantha Cristoforetti of the European Space Agency discussed life in orbit and the research they are conducting during an in-flight event April 6 with students at the Smithson Valley High School in Spring Branch, Texas. In attendance was Rep. Lamar Smith (R-Texas), who chairs the House Science, Space and Technology Committee. Virts and Cristoforetti, who have been in orbit since last November, will be returning to Earth May 14 in a Soyuz spacecraft to complete a five and a half month mission.</t>
  </si>
  <si>
    <t>-fFDZyjMiTA</t>
  </si>
  <si>
    <t>2015 04 04</t>
  </si>
  <si>
    <t>https://youtu.be/KCOR2FFXf4I</t>
  </si>
  <si>
    <t>Shortest Lunar Eclipse of the Century</t>
  </si>
  <si>
    <t>On Saturday morning, April 4, 2015 not long before sunrise, the bright full moon over North America turned a lovely shade of celestial red during a total lunar eclipse.</t>
  </si>
  <si>
    <t>KCOR2FFXf4I</t>
  </si>
  <si>
    <t>2015 04 03</t>
  </si>
  <si>
    <t>https://youtu.be/UqjkbJR3kEc</t>
  </si>
  <si>
    <t>One-year mission underway on This Week @NASA</t>
  </si>
  <si>
    <t>A few days after his one-year mission to study the effects of long duration spaceflight on the human body began aboard the International Space Station, Expedition 43 Flight Engineer Scott Kelly was congratulated by NASA Administrator Charlie Bolden from Washington DC. Also on the call – Kelly’s twin brother and former astronaut Mark. The pair will be studied during the mission as part of a science investigation. White House science advisor John Holdren also joined the call and echoed the importance of the mission. Kelly and Russian cosmonaut Mikhail Kornienko will conduct the one-year research mission through March 2016. Also, Super typhoon seen from space, Asteroid mission milestone, LDSD spin test and Sniffing the history of the Martian atmosphere!</t>
  </si>
  <si>
    <t>UqjkbJR3kEc</t>
  </si>
  <si>
    <t>2015 04 02</t>
  </si>
  <si>
    <t>https://youtu.be/tEqLHFpfkRY</t>
  </si>
  <si>
    <t>NASA Women’s History Month Profile – Rhonda Smitherman Hickman (Michoud Assembly Facility)</t>
  </si>
  <si>
    <t>Rhonda Smitherman-Hickman is the Chief Information Office Lead at the  Michoud Assembly Facility.</t>
  </si>
  <si>
    <t>tEqLHFpfkRY</t>
  </si>
  <si>
    <t>https://youtu.be/xH7ZDQFGbus</t>
  </si>
  <si>
    <t>NASA Women’s History Month Profile – Cynthia Spraul (Michoud Assembly Facility)</t>
  </si>
  <si>
    <t>Cynthia Spraul serves as the Integration and Operations Lead at the Michoud Assembly Facility for the production of NASA’s Space Launch System rocket.</t>
  </si>
  <si>
    <t>xH7ZDQFGbus</t>
  </si>
  <si>
    <t>https://youtu.be/QV7MO29BnME</t>
  </si>
  <si>
    <t>NASA Women’s History Month Profile – Renee Horton (Michoud Assembly Facility)</t>
  </si>
  <si>
    <t>Dr Renee Horton is the Lead Metallics and Weld Engineer for NASA’s Space Launch System at the Michoud Assembly Facility.</t>
  </si>
  <si>
    <t>QV7MO29BnME</t>
  </si>
  <si>
    <t>2015 04 01</t>
  </si>
  <si>
    <t>https://youtu.be/Je4CfrNNJ1A</t>
  </si>
  <si>
    <t>NASA Women’s History Month Profile – Kate McMurtry (Armstrong Flight Research Center)</t>
  </si>
  <si>
    <t>Kate McMurtry is the Branch Chief of Operations Engineering at NASA’s Armstrong Flight Research Center in Edwards, California. She is responsible for planning, directing, and coordinating the technical and administrative supervisory functions of the Branch necessary to ensure continued aircraft airworthiness and mission success at Armstrong.</t>
  </si>
  <si>
    <t>Je4CfrNNJ1A</t>
  </si>
  <si>
    <t>2015 03 31</t>
  </si>
  <si>
    <t>https://youtu.be/VESUEB0VzxQ</t>
  </si>
  <si>
    <t>NASA conducts spin test on15-foot-wide saucer-shaped Low-Density Supersonic Decelerator (LDSD)</t>
  </si>
  <si>
    <t>NASA's Low-Density Supersonic Decelerator (LDSD) project will be flying a rocket-powered, saucer-shaped test vehicle into near-space from the Navy's Pacific Missile Range Facility this June from Kauai, Hawaii.  To prepare for the flight, a "spin" test was conducted from the gallery above a clean room at NASA's Jet Propulsion Laboratory in Pasadena, California, where this near-space experimental test vehicle is being prepared for shipment to Hawaii.  During the broadcast, the 15-foot-wide, 7,000-pound vehicle underwent a "spin-table" test.  The LDSD crosscutting demonstration mission will test breakthrough technologies that will enable large payloads to be safely landed on the surface of Mars, or other planetary bodies with atmospheres, including Earth.</t>
  </si>
  <si>
    <t>VESUEB0VzxQ</t>
  </si>
  <si>
    <t>2015 03 30</t>
  </si>
  <si>
    <t>https://youtu.be/jnzoK-QE_P4</t>
  </si>
  <si>
    <t>NASA Administrator Greets the Agency’s One-Year Crew Member to ISS</t>
  </si>
  <si>
    <t>Aboard the International Space Station, Expedition 43 Flight Engineer Scott Kelly of NASA was welcomed for his year-long mission in a call to the complex March 30 by NASA Administrator Charles Bolden, John Holdren, science advisor to President Obama and director of the White House Office of Science and Technology Policy, and former astronaut Mark Kelly. Speaking from Washington, Bolden greeted Kelly less than three days after Kelly’s launch to the station on a Russian Soyuz spacecraft from the Baikonur Cosmodrome in Kazakhstan, with cosmonauts Gennady Padalka and Mikhail Kornienko of the Russian Federal Space Agency. Kelly and Kornienko will remain on the outpost through March 2016, conducting critical biomedical experiments that will expand the database needed to understand the potential effects of weightlessness on the human body for a trip to Mars.</t>
  </si>
  <si>
    <t>jnzoK-QE_P4</t>
  </si>
  <si>
    <t>https://youtu.be/3H6WPNLeVPQ</t>
  </si>
  <si>
    <t>NASA Women’s History Month Profile - Jane Maples (Marshall Space Flight Center)</t>
  </si>
  <si>
    <t>Jane Maples is an information technology specialist at NASA’s Marshall Space Flight Center in Huntsville, Alabama. She manages the Enterprise Service Bus Line of Business and the Center for Internal Mobile Applications at the NASA Enterprise Applications Competency Center.
Maples graduated from Auburn University with a Bachelor of Science in Business Administration, as well as a Masters in Business Administration from the University of Kentucky. Having worked for NASA since 1982, she has been awarded a Silver Snoopy Award, was a Space Flight Awareness Honoree Award and received an Exceptional Achievement Medal.
During her career, she was an integral part of the Burst and Transient Source Experiment that was part of the Compton Gamma Ray Observatory, launched on Space Shuttle Atlantis on STS-37 in 1991. Outside of work, Jane enjoys traveling, reading, serving her church, enjoying friends, family and being an aunt; a great aunt; and great great aunt.</t>
  </si>
  <si>
    <t>3H6WPNLeVPQ</t>
  </si>
  <si>
    <t>https://youtu.be/f3gAaG7zH_8</t>
  </si>
  <si>
    <t>One-year crew launches to ISS on This Week @NASA</t>
  </si>
  <si>
    <t>The much-anticipated March 27 launch to the International Space Station of NASA astronaut Scott Kelly and Expedition 43 crewmates Gennady Padalka and Mikhail Kornienko of the Russian Federal Space Agency, began a one-year odyssey that plays a key role in NASA’s Journey to Mars. Kelly and Kornienko will spend a year on the orbital laboratory conducting extensive research on the human body to provide valuable data on the physical and mental challenges astronauts may face on future longer-duration missions -- like those to an asteroid and Mars. Also, Asteroid Redirect Mission concept, Orion EFT-1 “thank you” event, White House Science Fair and Kepler team receives award!</t>
  </si>
  <si>
    <t>f3gAaG7zH_8</t>
  </si>
  <si>
    <t>2015 03 28</t>
  </si>
  <si>
    <t>https://youtu.be/dsQf4ySBwM4</t>
  </si>
  <si>
    <t>Welcome to the Space Station</t>
  </si>
  <si>
    <t>Following a six-hour trip from the Baikonur Cosmodrome in Kazakhstan, Expedition 43 Flight Engineer Scott Kelly of NASA, Soyuz Commander Gennady Padalka and Flight Engineer Mikhail Kornienko of the Russian Federal Space Agency (Roscosmos) were welcomed aboard the International Space Station on March 27 U.S. time (March 28 Kazakh time) by station Commander Terry Virts of NASA and Flight Engineers Anton Shkaplerov of Roscosmos and Samantha Cristoforetti of ESA, the European Space Agency. For Kelly and Kornienko, their entrance into the station began a year on the orbital laboratory where they will conduct extensive research on the effect of long duration space travel on the human body.</t>
  </si>
  <si>
    <t>dsQf4ySBwM4</t>
  </si>
  <si>
    <t>https://youtu.be/m34WYszUt7g</t>
  </si>
  <si>
    <t>One-Year Crew Docks to ISS</t>
  </si>
  <si>
    <t>After launching earlier in the day in their Soyuz TMA-16M spacecraft from the Baikonur Cosmodrome in Kazakhstan, Expedition 43 Flight Engineer Scott Kelly of NASA, Soyuz Commander Gennady Padalka and Flight Engineer Mikhail Kornienko of the Russian Federal Space Agency (Roscosmos) docked at the International Space Station on March 27 U.S. time (March 28 Kazakh time) following a four-orbit, six-hour rendezvous.</t>
  </si>
  <si>
    <t>m34WYszUt7g</t>
  </si>
  <si>
    <t>https://youtu.be/6kt2mPchQWU</t>
  </si>
  <si>
    <t>Launch Day For New ISS Crew</t>
  </si>
  <si>
    <t>A recap of the pre-launch and launch activities of the Expedition 43 crew at the Baikonur Cosmodrome in Kazakhstan on March 27 U.S. time (March 28, Kazakh time), as well as post-launch observations about the crew’s mission to the International Space Station. Soyuz Commander Gennady Padalka and Flight Engineer Mikhail Kornienko of the Russian Federal Space Agency (Roscosmos) and NASA Flight Engineer Scott Kelly launched to the orbital complex, where Kelly and Kornienko will spend a year conducting research on the long duration effects of space travel on the human body.</t>
  </si>
  <si>
    <t>6kt2mPchQWU</t>
  </si>
  <si>
    <t>2015 03 27</t>
  </si>
  <si>
    <t>https://youtu.be/YwR1SnpcYCo</t>
  </si>
  <si>
    <t>One-Year Crew Launches to the ISS</t>
  </si>
  <si>
    <t>ASA Television covered the launch of the Expedition 43 crew to the International Space Station from the Baikonur Cosmodrome in Kazakhstan on March 27 U.S. time (March 28, Kazakh time). The spacecraft carried Soyuz Commander Gennady Padalka and Flight Engineer Mikhail Kornienko of the Russian Federal Space Agency (Roscosmos) and NASA Flight Engineer Scott Kelly to the orbital complex, where Kelly and Kornienko will spend a year conducting research on the long duration effects of space travel on the human body.</t>
  </si>
  <si>
    <t>YwR1SnpcYCo</t>
  </si>
  <si>
    <t>https://youtu.be/X-HdGYjFHr0</t>
  </si>
  <si>
    <t>One year crew launches to ISS on This Week @NASA</t>
  </si>
  <si>
    <t>X-HdGYjFHr0</t>
  </si>
  <si>
    <t>2015 03 26</t>
  </si>
  <si>
    <t>https://youtu.be/ULuKc7fVWtY</t>
  </si>
  <si>
    <t>Next ISS Crew Meets Officials as Launch Approaches</t>
  </si>
  <si>
    <t>Expedition 43 Soyuz Commander Gennady Padalka and Flight Engineer Mikhail Kornienko of the Russian Federal Space Agency (Roscosmos), NASA Flight Engineer Scott Kelly and their backups, Alexei Ovchinin and Sergei Volkov of Roscosmos and Jeff Williams of NASA appeared before the Russian State Commission on March 26 in Baikonur, Kazakhstan. The commission gave its final approval for the launch of Padalka, Kelly and Kornienko to the International Space Station on March 27 U.S. time (March 28, Kazakh time) in their Soyuz TMA-16M spacecraft.</t>
  </si>
  <si>
    <t>ULuKc7fVWtY</t>
  </si>
  <si>
    <t>2015 03 25</t>
  </si>
  <si>
    <t>https://youtu.be/LvhesKohxg4</t>
  </si>
  <si>
    <t>NASA African American History Month Profile - Kevin Poe (NSSC)</t>
  </si>
  <si>
    <t>Kevin Poe serves as an Information Technology Specialist for the NASA Shared Services Center.</t>
  </si>
  <si>
    <t>LvhesKohxg4</t>
  </si>
  <si>
    <t>https://youtu.be/O5UJZx8s9i4</t>
  </si>
  <si>
    <t>Expedition 43’s Rocket Moves to Its Launch Pad</t>
  </si>
  <si>
    <t>The Soyuz TMA-16M spacecraft and its booster were moved to the launch pad at the Baikonur Cosmodrome in Kazakhstan on a railcar March 25 for final preparations before launch to the International Space Station on March 27 U.S. time (March 28, Kazakh time). The Soyuz TMA-16M will carry Soyuz Commander Gennady Padalka and Flight Engineer Mikhail Kornienko of the Russian Federal Space Agency (Roscosmos) and NASA Flight Engineer Scott Kelly to the orbital complex, where Kelly and Kornienko will spend a year conducting research on the long duration effects of space travel on the human body.</t>
  </si>
  <si>
    <t>O5UJZx8s9i4</t>
  </si>
  <si>
    <t>2015 03 24</t>
  </si>
  <si>
    <t>https://youtu.be/I4UOra7yG8c</t>
  </si>
  <si>
    <t>Let's Move %23GimmeFive with the NASA Administrator</t>
  </si>
  <si>
    <t>As part of the fifth anniversary of Let’s Move!, the First Lady is challenging everyone to #GimmeFive things they are doing to eat better, be more active, and lead a healthier life. 
NASA Administrator and former astronaut Charlie Bolden took on First Lady Michelle Obama’s challenge and challenges you to #GimmeFive (letsmove.gov).
Astronauts aboard the International Space Station (nasa.gov/station) exercise two hours a day to prevent bone and muscle loss. https://youtu.be/xziYRjfqFMw
Looking for ideas to complete your own #GimmeFive challenge? Check out NASA Astronaut Mike Hopkin’s workouts from space, exercises that help him meet the physical requirements of America’s astronauts. https://youtu.be/EEQyybh617I</t>
  </si>
  <si>
    <t>I4UOra7yG8c</t>
  </si>
  <si>
    <t>https://youtu.be/BRHegGqeXME</t>
  </si>
  <si>
    <t>One-year crew’s ride to orbit prepped for flight</t>
  </si>
  <si>
    <t>At the Baikonur Cosmodrome in Kazakhstan, the Soyuz TMA-16M spacecraft was mated to its Soyuz booster rocket March 24 as preparations continued for the launch of Expedition 43 Soyuz Commander Gennady Padalka and Flight Engineer Mikhail Kornienko of the Russian Federal Space Agency (Roscosmos) and NASA Flight Engineer Scott Kelly on March 27 U.S. time (March 28, Kazakh time) to the International Space Station. Kelly and Kornienko will spend a year aboard the station conducting research on the long duration effect of space travel on the human body.</t>
  </si>
  <si>
    <t>BRHegGqeXME</t>
  </si>
  <si>
    <t>https://youtu.be/CD7N07Y7ckA</t>
  </si>
  <si>
    <t>Staying fit on the space station</t>
  </si>
  <si>
    <t>Aboard the International Space Station, Expedition 43 Flight Engineer Samantha Cristoforetti of ESA (European Space Agency) discussed the merits of fitness and nutrition with elementary school students in her native Italy as well as Spain and Austria during an in-flight event March 24. The students are involved in what is known as the “Mission X” competition centered on promoting health and fitness through a healthy diet and exercise. Cristoforetti, who launched to the station in late November, is scheduled to return to Earth in mid-May on a Russian Soyuz spacecraft.</t>
  </si>
  <si>
    <t>CD7N07Y7ckA</t>
  </si>
  <si>
    <t>2015 03 23</t>
  </si>
  <si>
    <t>https://youtu.be/pAGnc8LUuR4</t>
  </si>
  <si>
    <t>Expedition 43 Prepares for Launch in Kazakhstan</t>
  </si>
  <si>
    <t>At the Baikonur Cosmodrome in Kazakhstan, Expedition 43 Soyuz Commander Gennady Padalka and Flight Engineer Mikhail Kornienko of the Russian Federal Space Agency (Roscosmos), NASA Flight Engineer Scott Kelly and their backups, Alexei Ovchinin and Sergei Volkov of Roscosmos and Jeff Williams of NASA participated in a variety of activities from March 21-23 as they prepared for the launch of Padalka, Kelly and Kornienko to the International Space Station in the Soyuz TMA-16M spacecraft on March 27 U.S. time (March 28, Kazakh time). Kelly and Kornienko will spend a year aboard the orbital outpost. The footage includes the crew’s traditional media day activities at the Cosmonaut Hotel in Baikonur and their final Soyuz fit check in the Cosmodrome’s Integration Facility.</t>
  </si>
  <si>
    <t>pAGnc8LUuR4</t>
  </si>
  <si>
    <t>2015 03 20</t>
  </si>
  <si>
    <t>https://youtu.be/faTvQ68BRN4</t>
  </si>
  <si>
    <t>International Space Station Expedition 43 Crew Prepares for Launch in Kazakhstan</t>
  </si>
  <si>
    <t>At the Baikonur Cosmodrome in Kazakhstan, Expedition 43 Soyuz Commander Gennady Padalka and Flight Engineer Mikhail Kornienko of the Russian Federal Space Agency (Roscosmos), NASA Flight Engineer Scott Kelly and their backups, Alexei Ovchinin and Sergei Volkov of Roscosmos and Jeff Williams of NASA participated in a variety of activities March 14-20 as they prepared for the launch of Padalka, Kelly and Kornienko to the International Space Station in the Soyuz TMA-16M spacecraft on March 27 U.S. time (March 28, Kazakh time). The footage includes the crew’s arrival in Baikonur, their Soyuz fit checks in the Cosmodrome Integration Facility, the ceremonial Cosmonaut Hotel flag-raising ceremony, various training activities and interviews with Kelly, Kornienko and Kelly’s Flight Surgeon, Dr. Stevan Gilmore. Kelly and Kornienko will spend a year aboard the orbital outpost.</t>
  </si>
  <si>
    <t>faTvQ68BRN4</t>
  </si>
  <si>
    <t>https://youtu.be/hk-_7EFywpc</t>
  </si>
  <si>
    <t>One year ISS crew at launch site on This Week @NASA</t>
  </si>
  <si>
    <t>Expedition 43, the next crew headed to the International Space Station is conducting final training at the Baikonur Cosmodrome in Kazakhstan. NASA’s Scott Kelly and Gennady Padalka and Flight Engineer Mikhail Kornienko of the Russian Federal Space Agency (Roscosmos) are scheduled for launch aboard a Soyuz spacecraft on March 27 at 3:42 p.m. Eastern. Kelly and Kornienko will become the first crew to conduct a one-year research mission aboard the orbital laboratory. Expedition 44/45 news conference, Orion heat shield testing, Spacewalk training under water, Gemini 3 50th anniversary, SXSW Interactive and Total solar eclipse!</t>
  </si>
  <si>
    <t>hk-_7EFywpc</t>
  </si>
  <si>
    <t>https://youtu.be/BqBgDsa9yUk</t>
  </si>
  <si>
    <t>NASA Celebrates the 50th Anniversary of Gemini 3</t>
  </si>
  <si>
    <t>Gemini 3 launched March 23, 1965 from Cape Canaveral, Florida. It was the first crewed Earth-orbiting spacecraft of the Gemini series. It was piloted by astronauts Virgil "Gus" Grissom and John Young.</t>
  </si>
  <si>
    <t>BqBgDsa9yUk</t>
  </si>
  <si>
    <t>2015 03 19</t>
  </si>
  <si>
    <t>https://youtu.be/hH48UO4_5tc</t>
  </si>
  <si>
    <t>Why spacewalk training is done under water</t>
  </si>
  <si>
    <t>Training for spacewalks underwater in gigantic pools like NASA’s Neutral Buoyancy Lab or NBL, in Houston, was the focus of a March 19 What's New in Aerospace? presentation televised on NASA Television from the Smithsonian National Air and Space Museum in Washington. The program featured a live interview with spacewalk trainers from beneath the surface of the 40-foot-deep NBL facility. Water is uniquely suited for spacewalk training because it provides extended periods of simulated microgravity. This year marks the 50th anniversary of the first two spacewalks in history – March 18, 1965 by Soviet cosmonaut Aleksei Leonov, followed by U.S. astronaut Edward White a few months later on June 3, during the Gemini IV mission.</t>
  </si>
  <si>
    <t>hH48UO4_5tc</t>
  </si>
  <si>
    <t>2015 03 18</t>
  </si>
  <si>
    <t>https://youtu.be/H16W7mJ4KZ4</t>
  </si>
  <si>
    <t>Expedition 44-45 Crew News Conference from Johnson Space Center Houston</t>
  </si>
  <si>
    <t>NASA Astronaut Kjell Lindgren, part of the crew that’s scheduled to launch to the International Space Station in May, will took part in a NASA Television news conference and media interview on Wednesday, March 18, at the agency's Johnson Space Center in Houston.  Board certified in emergency and aerospace medicine, Lindgren is a graduate of the U.S. Air Force Academy and Colorado State University. He was a member of the academy’s “Wings of Blue” parachute team. Lindgren received his medical degree from the University of Colorado. Lindgren began at Johnson Space Center as a flight surgeon before being selected as an astronaut in 2009.  Astronaut Lindgren, cosmonaut Oleg Kononenko of the Russian Federal Space Agency (Roscosmos) and Kimiya Yui of the Japan Aerospace Exploration Agency will launch to the space station aboard a Soyuz TMA-17M spacecraft May 26 from the Baikonur Cosmodrome in Kazakhstan to round out the Expedition 44 crew. The trio will return to Earth in November as part of the Expedition 45 crew.</t>
  </si>
  <si>
    <t>H16W7mJ4KZ4</t>
  </si>
  <si>
    <t>https://youtu.be/HnREkhEOKBE</t>
  </si>
  <si>
    <t>Russian Space Pioneer Discusses the First Spacewalk in History 50 Years Ago</t>
  </si>
  <si>
    <t>Former Russian cosmonaut Alexey Leonov relived the highlights of the spacewalk he conducted 50 years ago – the first spacewalk in history --- during an interview with NASA Public Affairs Officer Rob Navias in Moscow in May 2014. Leonov, who is now 80 years old, stepped out of his Voskhod 2 spacecraft on March 18, 1965 for a 12-minute spacewalk to test his spacesuit and maneuverability. He was followed two months later by American astronaut Edward White, who performed the first U.S. spacewalk in history during the Gemini 4 mission on June 3, 1965. Leonov went on to command the Soyuz 19 spacecraft that conducted the first docking with an American space vehicle --- the Apollo spacecraft commanded by Thomas Stafford --- during the historic Apollo-Soyuz Test Project 40 years ago in July 1975.</t>
  </si>
  <si>
    <t>HnREkhEOKBE</t>
  </si>
  <si>
    <t>2015 03 16</t>
  </si>
  <si>
    <t>https://youtu.be/YgX8Kx_yE3Y</t>
  </si>
  <si>
    <t>Expedition 43 Crew Departs for Kazakh Launch Site in Preparation for Trip to Space Station</t>
  </si>
  <si>
    <t>Expedition 43 Soyuz Commander Gennady Padalka of the Russian Federal Space Agency (Roscosmos), NASA Flight Engineer Scott Kelly and Flight Engineer Mikhail Kornienko of Roscosmos and their backups, Alexei Ovchinin and Sergei Volkov of Roscosmos and Jeff Williams of NASA participated in traditional ceremonies at the Gagarin Cosmonaut Training Center in Star City, Russia, outside Moscow on March 14. Afterward, they departed for the Baikonur Cosmodrome in Kazakhstan to complete their training for the launch of Padalka, Kelly and Kornienko to the International Space Station in the Soyuz TMA-16M spacecraft on March 27 U.S. time (March 28, Kazakh time). Kelly and Kornienko will spend a year aboard the orbital outpost.</t>
  </si>
  <si>
    <t>YgX8Kx_yE3Y</t>
  </si>
  <si>
    <t>https://youtu.be/3ezHnT-_F_E</t>
  </si>
  <si>
    <t>NASA Space Station Commander Discusses Life in Space with Hometown Baltimore Maryland</t>
  </si>
  <si>
    <t>Aboard the International Space Station, Expedition 43 Commander Terry Virts of NASA, a native of Baltimore, discussed his day-to-day regiment in orbit and his research activities during an in-flight interview with WBFF-TV in Baltimore March 16. Virts became commander of the outpost on March 10 and will continue his 5 1/2 month mission on the station until he returns to Earth in mid-May.</t>
  </si>
  <si>
    <t>3ezHnT-_F_E</t>
  </si>
  <si>
    <t>https://youtu.be/gK8peG1P508</t>
  </si>
  <si>
    <t>NASA Women’s History Month Profile – Cécile Saltzman (Stennis Space Center)</t>
  </si>
  <si>
    <t>Cécile Saltzman is a Human Resources Specialist at NASA’s John C. Stennis Space Center (SSC) in Bay St. Louis, Mississippi. She leads SSC employee relations, including the broad impact areas of performance management and workforce culture. Under her guidance, SSC has repeatedly ranked among the top 5 agency subcomponents as Best Places to Work across the Federal Government. Saltzman was appointed by the Bush Administration as a Presidential Management Intern to NASA in 2001 and served as a Program Analyst in the SSC Center Operations Directorate and Systems Integration Office prior to her current role. She is a graduate of the University of South Alabama with a Master of Public Administration and holds an undergraduate degree in social work from the Union Institute &amp; University in Cincinnati, Ohio. Recognized on numerous occasions for outstanding achievements, she is a recipient of the astronaut corps’ prestigious Space Flight Awareness Silver Snoopy Award.</t>
  </si>
  <si>
    <t>gK8peG1P508</t>
  </si>
  <si>
    <t>2015 03 14</t>
  </si>
  <si>
    <t>https://youtu.be/3gJ0DfULLGU</t>
  </si>
  <si>
    <t>ISS Crew Discusses Life in Space</t>
  </si>
  <si>
    <t>Aboard the International Space Station, the new Expedition 43 Commander Terry Virts of NASA and Flight Engineer Samantha Cristoforetti of ESA (European Space Agency) discussed the progress of their mission and key activities in the weeks ahead in a pair of in-flight interviews March 13 with WTOP Radio in Washington, D.C,. and Euronews. Virts took over command of the station March 10 from NASA’s Barry Wilmore, who returned to Earth March 12 aboard a Russian Soyuz spacecraft with two Russian cosmonaut crewmates.</t>
  </si>
  <si>
    <t>3gJ0DfULLGU</t>
  </si>
  <si>
    <t>https://youtu.be/Z4P_JNLAmLQ</t>
  </si>
  <si>
    <t>ISS Crew Returns Home Safely on This Week @NASA</t>
  </si>
  <si>
    <t>On March 10, Expedition 42 Commander Barry Wilmore of NASA handed over command of the International Space Station to NASA astronaut and Expedition 43 commander Terry Virts. The next day, Wilmore and Alexander Samokutyaev and Elena Serova of the Russian Federal Space Agency undocked from the station aboard a Soyuz spacecraft. Several hours later the trio landed safely in Kazakhstan – completing 167 days in space since launching in September 2014. Also, One-year ISS crew trains, Bolden testifies on budget, SLS booster firing test, Magnetospheric Multiscale mission underway, Space habitat technology, Ocean on Jovian moon? And more!</t>
  </si>
  <si>
    <t>Z4P_JNLAmLQ</t>
  </si>
  <si>
    <t>2015 03 13</t>
  </si>
  <si>
    <t>https://youtu.be/0nxqSu6FVu4</t>
  </si>
  <si>
    <t>Expedition 42 Landing and Post-Landing Activities</t>
  </si>
  <si>
    <t>Highlights from NASA Television coverage of post-landing activities of Expedition 42 Commander Barry Wilmore of NASA, Soyuz Commander Alexander Samokutyaev of the Russian Federal Space Agency (Roscosmos) and Flight Engineer Elena Serova of Roscosmos include crew members being greeted during traditional ceremonies as well as various interviews. The trio landed safely in Kazakhstan on March 11 EDT time after completing 167 days in space since launching in late September.</t>
  </si>
  <si>
    <t>0nxqSu6FVu4</t>
  </si>
  <si>
    <t>https://youtu.be/KCVpLtq8tjY</t>
  </si>
  <si>
    <t>Magnetospheric Multiscale mission launches</t>
  </si>
  <si>
    <t>NASA’s Magnetospheric Multiscale (MMS) mission launched March 12 aboard a United Launch Alliance Atlas V rocket from Cape Canaveral Air Force Station in Florida. The mission’s four identical observatories will orbit earth -- providing the first ever three-dimensional view of magnetic reconnection –a fundamental process that occurs throughout the universe during which interaction between magnetic fields results in explosive energy that can accelerate particles to nearly the speed of light.</t>
  </si>
  <si>
    <t>KCVpLtq8tjY</t>
  </si>
  <si>
    <t>2015 03 12</t>
  </si>
  <si>
    <t>https://youtu.be/EVMBJ0Ft28A</t>
  </si>
  <si>
    <t>Expedition 42 Returns Home Safely</t>
  </si>
  <si>
    <t>After bidding farewell, hours earlier, to the Expedition 43 crew members and undocking their Soyuz spacecraft from the International Space Station, Expedition 42 Commander Barry Wilmore of NASA, Soyuz Commander Alexander Samokutyaev of the Russian Federal Space Agency (Roscosmos) and Flight Engineer Elena Serova of Roscosmos landed safely in Kazakhstan on March 11, EDT time. The trio completed 167 days in space since launching in late September.</t>
  </si>
  <si>
    <t>EVMBJ0Ft28A</t>
  </si>
  <si>
    <t>https://youtu.be/ki4AU2rsGFg</t>
  </si>
  <si>
    <t>NASA Women’s History Month Profile – Valerie Wiesner (Glenn Research Center)</t>
  </si>
  <si>
    <t>Dr. Valerie Wiesner is a materials research engineer at NASA Glenn Research Center in Cleveland, Ohio. She is responsible for evaluating high-temperature interactions between Calcium-Magnesium Aluminosilicate and Environmental Barrier Coating materials for aircraft turbine engine development.</t>
  </si>
  <si>
    <t>ki4AU2rsGFg</t>
  </si>
  <si>
    <t>https://youtu.be/fBZIhkvTyFg</t>
  </si>
  <si>
    <t>Magnetic Multiscale Science previewed</t>
  </si>
  <si>
    <t>A pre-launch news briefing on March 11 from NASA’s Kennedy Space Center in Florida previewed the science of the Magnetospheric Multiscale (MMS) mission, set to lift off at 10:44 p.m. EDT Thursday, March 12 from Space Launch Complex 41 at Cape Canaveral Air Force Station in Florida. The mission’s four identical observatories will orbit earth -- providing the first ever three-dimensional view of magnetic reconnection –a fundamental process that occurs throughout the universe during which interaction between magnetic fields results in explosive energy that can accelerate particles to nearly the speed of light.</t>
  </si>
  <si>
    <t>fBZIhkvTyFg</t>
  </si>
  <si>
    <t>https://youtu.be/5XhG4dRWI14</t>
  </si>
  <si>
    <t>ISS Exp 42 Farewells and Hatch Closure</t>
  </si>
  <si>
    <t>On March 11, a day after handing over command of the International Space Station, Expedition 42 Commander Barry Wilmore of NASA, Alexander Samokutyaev and Elena Serova of the Russian Federal Space Agency said farewell to new station Commander Terry Virts of NASA and his Expedition 43 crewmates. Following the goodbyes, Wilmore and crew boarded their Soyuz spacecraft to prepare for the return trip to Earth.</t>
  </si>
  <si>
    <t>5XhG4dRWI14</t>
  </si>
  <si>
    <t>2015 03 11</t>
  </si>
  <si>
    <t>https://youtu.be/jATkV8HE2sQ</t>
  </si>
  <si>
    <t>SLS Qualification Booster Test</t>
  </si>
  <si>
    <t>Orbital ATK Promontory, Utah - Captured Live on Ustream at http://www.ustream.tv/channel/nasa-msfc</t>
  </si>
  <si>
    <t>jATkV8HE2sQ</t>
  </si>
  <si>
    <t>https://youtu.be/Ts9sFtUSeQE</t>
  </si>
  <si>
    <t>Space Launch System Booster Passes Major Ground Test</t>
  </si>
  <si>
    <t>The largest, most powerful rocket booster ever built successfully fired up Wednesday for a major-milestone ground test in preparation for future missions to help propel NASA’s Space Launch System (SLS) rocket and Orion spacecraft to deep space destinations, including an asteroid and Mars. The booster fired for two minutes, the same amount of time it will fire when it lifts the SLS off the launch pad, and produced about 3.6 million pounds of thrust. The test was conducted at the Promontory, Utah test facility of commercial partner Orbital ATK.
For more information, visit: http://go.nasa.gov/1C7abZl</t>
  </si>
  <si>
    <t>Ts9sFtUSeQE</t>
  </si>
  <si>
    <t>https://youtu.be/_Cwb6lqxItE</t>
  </si>
  <si>
    <t>Message From Space Marks 100th Anniversary of NASA’s Predecessor</t>
  </si>
  <si>
    <t>In celebration of the 100th anniversary of the establishment of the National Advisory Committee for Aeronautics, or N-A-C-A – NASA’s predecessor, NASA astronauts Barry Wilmore and Terry Virts sent a congratulatory message from onboard the International Space Station. The NACA was founded on March 3, 1915, “to supervise and direct the scientific study of the problems of flight with a view to their practical solution, and to determine the problems which should be experimentally attacked, and to discuss their solution and their application to practical questions.”  In 1958, responding to the nation’s fear of falling behind the Soviets in the utilization and exploration of outer space, Congress passed the National Aeronautics and Space Act of 1958, which formed a new civilian space agency, NASA. NACA staff, research facilities and operations formed the core of NASA when it came into existence on 1 October 1958.</t>
  </si>
  <si>
    <t>_Cwb6lqxItE</t>
  </si>
  <si>
    <t>2015 03 10</t>
  </si>
  <si>
    <t>https://youtu.be/Cca82UEW2oE</t>
  </si>
  <si>
    <t>NASA Social SLS Booster Test (from Promontory, Utah)</t>
  </si>
  <si>
    <t>NASA Social Highlights Milestone Booster Test
A NASA Social on March 10 at Orbital ATK Propulsion Systems’ test facilities in Promontory, Utah provided behind-the-scenes access to people and facilities that will conduct a static firing test on March 11, of the largest, most powerful booster ever built for NASA's new Space Launch System rocket. The two-minute static test is a significant milestone for the SLS as part of NASA’s journey to Mars.</t>
  </si>
  <si>
    <t>Cca82UEW2oE</t>
  </si>
  <si>
    <t>https://youtu.be/JNTtZ7adgX8</t>
  </si>
  <si>
    <t>Magnetic Multiscale mission previewed</t>
  </si>
  <si>
    <t>A pre-launch news briefing on March 10 from NASA’s Kennedy Space Center in Florida previewed the Magnetospheric Multiscale (MMS) mission, set to lift off at 10:44 p.m. EDT Thursday, March 12 from Space Launch Complex 41 at Cape Canaveral Air Force Station in Florida. MMS will study magnetic reconnection, a fundamental process that occurs throughout the universe when magnetic fields connect and disconnect explosively, releasing energy and accelerating particles up to nearly the speed of light.</t>
  </si>
  <si>
    <t>JNTtZ7adgX8</t>
  </si>
  <si>
    <t>https://youtu.be/bsd3oOKIBLM</t>
  </si>
  <si>
    <t>Change of Command on the ISS</t>
  </si>
  <si>
    <t>On March 10, Expedition 42 Commander Barry Wilmore of NASA handed over command of the International Space Station to NASA astronaut Terry Virts – marking the start of Expedition 43. Wilmore will return to Earth March 11 EDT in the Soyuz TMA-14M spacecraft with Russian cosmonauts Alexander Samokutyaev and Elena Serova to wrap up almost six months in orbit.</t>
  </si>
  <si>
    <t>bsd3oOKIBLM</t>
  </si>
  <si>
    <t>2015 03 07</t>
  </si>
  <si>
    <t>https://youtu.be/LKdIX1LmQ_E</t>
  </si>
  <si>
    <t>NASA African American History Month Profile – Karen Gilliam (Glenn Research Center)</t>
  </si>
  <si>
    <t>Dr. Karen Gilliam serves as chief, Human Capital Development Division at NASA's Glenn Research Center in Cleveland, Ohio.  She is responsible for developing effective training and development programs for Glenn employees.</t>
  </si>
  <si>
    <t>LKdIX1LmQ_E</t>
  </si>
  <si>
    <t>2015 03 06</t>
  </si>
  <si>
    <t>https://youtu.be/Lqei3f4z9N4</t>
  </si>
  <si>
    <t>Bolden Testifies About Budget on This Week @NASA</t>
  </si>
  <si>
    <t>In his testimony before Congress during the first week of March, NASA Administrator Charlie Bolden outlined the return on investment legislators can expect from the $18.5 billion dollars proposed for the agency under President Obama’s FY 2016 budget. The funding allows NASA to continue on the Journey to Mars – with development of vehicles and technologies needed for unprecedented human missions, first to an asteroid and then on to the Red Planet. The budget request and current contract schedules support certification, by the end of 2017, of commercial vehicles being developed to launch American astronauts from U.S. soil on round-trip missions to the International Space Station. It also further enables the agency’s quest to improve life on Earth – with technologies for greener, quieter aviation and investigations to enhance the health of our planet’s climate. Also, NASA spacecraft arrives at dwarf planet, Space station ready for new docking ports, One-year crew in pre-flight training, Steve Swanson visit and 100th birthday of NACA!</t>
  </si>
  <si>
    <t>Lqei3f4z9N4</t>
  </si>
  <si>
    <t>2015 03 05</t>
  </si>
  <si>
    <t>https://youtu.be/8-4lcqXi1go</t>
  </si>
  <si>
    <t>NACA Centenary  A Symposium on 100 Years of Aerospace Research and Development</t>
  </si>
  <si>
    <t>On March 4th, 2015, the Smithsonian Institution’s National Air and Space Museum and the NASA History Program Office hosted a special symposium to commemorates a century of aerospace research and development.
In a special What's New in Aerospace? program, moderated by National Air and Space Museum chief curator Peter Jakab, a presention as part of the NACA Centenary symposium was given and featured a panel discussion with Mark Lewis from the Institute for Defense Analyses's Science and Technology Policy Institute, Michael Gorn from the National Air and Space Museum, Janet Bednarek from the University of Dayton, and Peter Westwick from the University of Southern California.
In March 3, 1915, Congress established the National Advisory Committee for Aeronautics, or N-A-C-A, “to supervise and direct the scientific study of the problems of flight with a view to their practical solution, and to determine the problems which should be experimentally attacked, and to discuss their solution and their application to practical questions.” In 1958, the NACA's staff, research facilities and know-how were transitioned to the new NASA.</t>
  </si>
  <si>
    <t>8-4lcqXi1go</t>
  </si>
  <si>
    <t>https://youtu.be/RM8wu3v78ZY</t>
  </si>
  <si>
    <t>On March 4th, 2015, the Smithsonian Institution’s National Air and Space Museum and the NASA History Program Office hosted a special symposium to commemorates a century of aerospace research and development. 
The NACA Centenary program is presented as part of a symposium by the National Air and Space Museum and the NASA History Program Office in commemoration of the aerospace research and development that has occurred in the 100 years since the NACA was established.  Moderated by National Air and Space Museum curator Bob van der Linden, the NACA Centenary symposium program included the following presentations:
This What's New in Aerospace? program, 
The NACA Transition to Space: Validating the Blunt Body; Presenter: Glenn Bugos, NASA Ames Research Center
Reaction Control Systems and the NACA; Presenter: Christian Gelzer, NASA Armstrong Research Center
Tin Soldiers and Glass Slippers: How Postwar Competition Sailplane Development Shifted from America to Europe; Presenter: Russell Lee, National Air and Space Museum
Towards Victory: NACA Public Relations on the Coattails of the Cold War, 1946-1958; Presenter: Kristen Starr, Auburn University
In March 3, 1915, Congress established the National Advisory Committee for Aeronautics, or N-A-C-A, “to supervise and direct the scientific study of the problems of flight with a view to their practical solution, and to determine the problems which should be experimentally attacked, and to discuss their solution and their application to practical questions.” In 1958, the NACA's staff, research facilities and know-how were transitioned to the new NASA.</t>
  </si>
  <si>
    <t>RM8wu3v78ZY</t>
  </si>
  <si>
    <t>2015 03 04</t>
  </si>
  <si>
    <t>https://youtu.be/t5OWyJdDrGA</t>
  </si>
  <si>
    <t>Panel Discussion Key-Aspects of NACA Research  NACA Centenary  A Symposium on 100 Years of Aerospace</t>
  </si>
  <si>
    <t>On March 4th, 2015, the Smithsonian Institution’s National Air and Space Museum and the NASA History Program Office hosted a special symposium to commemorate a century of aerospace research and development. A speakers panel was convened to discuss the transition of the NACA to NASA.  The speakers panel was comprised of:  
Moderator: Michael J. Neufeld, National Air and Space Museum
The NACA and Research Policy at the Hands of History — Robert Ferguson, Independent Researcher
Epochs of Space Technology at NASA: NACA to OART and Beyond — John C. Mankins, Artemis Innovation Management Solutions, LLC
Women of NACA: STEM Stories to Inspire Future Generations — Adrienne Provenzano, STEAM Educator
The NACA at Lewis Laboratory, a Legacy of Ohioans Solving the Problem of Flight — Shannon Bohle, Archivopedia, LLC 
The NACA Centenary program was presented as part of a symposium by the National Air and Space Museum and the NASA History Program Office in commemoration of the aerospace research and development that has occurred in the 100 years since the NACA was established.</t>
  </si>
  <si>
    <t>t5OWyJdDrGA</t>
  </si>
  <si>
    <t>https://youtu.be/7-29DCljgZ0</t>
  </si>
  <si>
    <t>Welcoming Address - Trailblazing the Technical World of Aerodynamics   NACA Centenary Symposium</t>
  </si>
  <si>
    <t>On March 4th, 2015, the Smithsonian Institution’s National Air and Space Museum and the NASA History Program Office hosted a special symposium to commemorate a century of aerospace research and development. The second day welcoming address was made by Dr. John D. Anderson, Jr. - Curator at the Smithsonian National Air and Space Museum.
The NACA Centenary program was presented as part of a symposium by the National Air and Space Museum and the NASA History Program Office in commemoration of the aerospace research and development that has occurred in the 100 years since the NACA was established.</t>
  </si>
  <si>
    <t>7-29DCljgZ0</t>
  </si>
  <si>
    <t>https://youtu.be/E7EyUoFhunY</t>
  </si>
  <si>
    <t>Panel Discussion - Flight Test and Research  NACA Centenary  A Symposium on 100 Years of Aerospace</t>
  </si>
  <si>
    <t>On March 3rd, 2015, the Smithsonian Institution’s National Air and Space Museum and the NASA History Program Office hosted a special symposium to commemorate a century of aerospace research and development. A speakers panel was convened to discuss the early years of the NACA just after its establishment.  The speakers panel was comprised of:  
Moderator: Richard P. Hallion, Florida Polytechnic University
Conducting Research in Flight: A Unique NACA Contribution to Aerospace — Robert E. Curry, NASA Armstrong Flight Research Center, Retired
The NACA, the Airplane Propeller, and World War II — Jeremy R. Kinney, National Air and Space Museum
 “The Real Right Stuff”: An Historical Examination of the Culture and Accomplishments of the NACA Research Pilot, 1917-1958 — James R. Hansen, Auburn University
Flight Test to Moon Shot: The NACA, the Astronauts, and the Culture of Experiment, 1959–1969 — Matthew H. Hersch, University of Pennsylvania 
The NACA Centenary program was presented as part of a symposium by the National Air and Space Museum and the NASA History Program Office in commemoration of the aerospace research and development that has occurred in the 100 years since the NACA was established.</t>
  </si>
  <si>
    <t>E7EyUoFhunY</t>
  </si>
  <si>
    <t>2015 03 03</t>
  </si>
  <si>
    <t>https://youtu.be/RDcXcswjf3w</t>
  </si>
  <si>
    <t>On March 3rd, 2015, the Smithsonian Institution’s National Air and Space Museum and the NASA History Program Office hosted a special symposium to commemorates a century of aerospace research and development. 
The NACA Centenary program is presented as part of a symposium by the National Air and Space Museum and the NASA History Program Office in commemoration of the aerospace research and development that has occurred in the 100 years since the NACA was established.  In a program moderated by Stephen Garber from NASA Headquarters, the program  explored the early history of the NACA and includes the following presentations:
Bringing Aerodynamics – and Aeronautical Engineering – to the American University; Presenter: Deborah G. Douglas, MIT Museum
NACA, Naval Aviation and MIT: Establishing the Practice of Aeronautical Engineering; Presenter: John Tylko, MIT
Transplanting Göttingen to the Tidewater: The NACA and German Aerodynamics, 1919-1926; Presenter: Richard P. Hallion, Florida Polytechnic University
The War, the NACA and the Convention: Laying the Ideological Foundation for Federal Regulation during the Wilson Administration; Presenter: Sean Seyer, University of Kansas
In March 3, 1915, Congress established the National Advisory Committee for Aeronautics, or N-A-C-A, “to supervise and direct the scientific study of the problems of flight with a view to their practical solution, and to determine the problems which should be experimentally attacked, and to discuss their solution and their application to practical questions.” In 1958, the NACA's staff, research facilities and know-how were transitioned to the new NASA.</t>
  </si>
  <si>
    <t>RDcXcswjf3w</t>
  </si>
  <si>
    <t>https://youtu.be/IIRc_aIGEWc</t>
  </si>
  <si>
    <t>The NACA at 100</t>
  </si>
  <si>
    <t>On March 3, 2015, NASA celebrates 100 years since the founding of its predecessor -- the National Advisory Committee for Aeronautics, or NACA.
With a small budget and no paid staff,  the NACA began developing the capabilities our nation needed to gain leadership in aeronautics.  Throughout and beyond World War II, the NACA developed or helped develop many aeronautical breakthroughs that are still used today -- from engine cowlings, to retractable landing gear, and jet engine compressors and turbines.
When the nation's focus began turning to space during the 1950s, it was decided that the NACA's 7,500 employees and $300 million in facilities would transition on October 1, 1958, to a new agency. Some of the NACA's brightest minds became leaders of the space effort and directors of NASA research centers. One former NACA employee put the first footprints on the moon.</t>
  </si>
  <si>
    <t>IIRc_aIGEWc</t>
  </si>
  <si>
    <t>https://youtu.be/qv7jQxzO-ZU</t>
  </si>
  <si>
    <t>Panel Discussion - Setting the Stage - NACA Centenary  A Symposium on 100 Years of Aerospace</t>
  </si>
  <si>
    <t>On March 3rd, 2015, the Smithsonian Institution’s National Air and Space Museum and the NASA History Program Office hosted a special symposium to commemorate a century of aerospace research and development. A speakers panel was convened to discuss the years prior to the establishment of the NACA featuring the following panelists: 
Moderator: NASA Chief Historian - William P. Barry, NASA Headquarters 
Flight Not Improbable: Octave Chanute tackles aeronautics as a civil engineer — Simine Short, National Soaring Museum
False Start: The Langley Aerodynamical Laboratory, 1911-1915 — Tom D. Crouch, National Air and Space Museum
The US Military and the Creation of the NACA — Laurence Burke, Carnegie Mellon University 
The NACA Centenary program was presented as part of a symposium by the National Air and Space Museum and the NASA History Program Office in commemoration of the aerospace research and development that has occurred in the 100 years since the NACA was established.</t>
  </si>
  <si>
    <t>qv7jQxzO-ZU</t>
  </si>
  <si>
    <t>https://youtu.be/LlXyhmBZtMs</t>
  </si>
  <si>
    <t>Welcoming and Keynote Address on the NACA Centenary  A Symposium on 100 Years of Aerospace</t>
  </si>
  <si>
    <t>On March 3rd, 2015, the Smithsonian Institution’s National Air and Space Museum and the NASA History Program Office hosted a special symposium to commemorate a century of aerospace research and development. Welcoming remarks and keynote address were made by Dr. Roger D. Launius, Associate Director, Collections and Curatorial Affairs - National Air and Space Museum. 
The NACA Centenary program was presented as part of a symposium by the National Air and Space Museum and the NASA History Program Office in commemoration of the aerospace research and development that has occurred in the 100 years since the NACA was established.</t>
  </si>
  <si>
    <t>LlXyhmBZtMs</t>
  </si>
  <si>
    <t>https://youtu.be/npohVRqCYsU</t>
  </si>
  <si>
    <t>NASA's Dawn Mission Pre- Close Approach News Briefing</t>
  </si>
  <si>
    <t>NASA's Jet Propulsion Laboratory hosted a Pre- Close Approach News Briefing on March 2 to discuss the March 6 arrival of the agency's Dawn spacecraft to the dwarf planet Ceres. The news briefing was held at JPL's von Karman Auditorium in Pasadena, California.
Ceres, located in the main asteroid belt between Mars and Jupiter, is the largest unexplored world of the inner solar system. Dawn will not only be the first spacecraft to reach a dwarf planet, it will be the first spacecraft ever to orbit two different worlds in deep space.
Dawn was the first spacecraft to orbit a body in the main asteroid belt when it explored the giant asteroid Vesta from 2011 to 2012.
Participants in the news conference will be:
-- Jim Green, director, Planetary Science Division, NASA Headquarters, Washington
-- Robert Mase, Dawn project manager, JPL
-- Carol Raymond, Dawn deputy principal investigator, JPL</t>
  </si>
  <si>
    <t>npohVRqCYsU</t>
  </si>
  <si>
    <t>2015 03 02</t>
  </si>
  <si>
    <t>https://youtu.be/xziYRjfqFMw</t>
  </si>
  <si>
    <t>Space Station Crew Participates in First Lady’s “GimmeFive” Challenge</t>
  </si>
  <si>
    <t>Aboard the International Space Station, Expedition 42 Commander Barry Wilmore of NASA responds to a challenge Feb. 27 from First Lady Michelle Obama. As part of the fifth anniversary of Let’s Move!, the First Lady is challenging everyone to #GimmeFive things they are doing to eat better, be more active and lead a healthier life. The First Lady challenged the NASA astronaut, saying “GimmeFive zero gravity somersaults.” The spacefarer responded with examples of the two-hours of exercise astronauts participate in each day and gave five somersaults.</t>
  </si>
  <si>
    <t>xziYRjfqFMw</t>
  </si>
  <si>
    <t>2015 03 01</t>
  </si>
  <si>
    <t>https://youtu.be/2n0WETnaPaY</t>
  </si>
  <si>
    <t>International Space Station Astronauts Conduct Third Spacewalk in Eight Days</t>
  </si>
  <si>
    <t>Outside the International Space Station, Expedition 42 Commander Barry Wilmore and Flight Engineer Terry Virts of NASA conducted their third spacewalk in eight days March 1 to install antennas and communications gear that will be used to provide rendezvous and navigational information to visiting vehicles approaching the complex in the future, including the new U.S. commercial crew vehicles. Wilmore and Virts installed about 400 feet of cable along the truss of the station as part of the new Common Communications for Visiting Vehicles (C2V2) system. In two previous spacewalks on Feb. 21 and Feb. 25, the two astronauts rigged cables for new International Docking Adapter ports that will be delivered to the complex this year and lubricated the grappling end of the Canadian-built Canadarm2 robotic arm.</t>
  </si>
  <si>
    <t>2n0WETnaPaY</t>
  </si>
  <si>
    <t>2015 02 27</t>
  </si>
  <si>
    <t>https://youtu.be/zczwVH4jcDQ</t>
  </si>
  <si>
    <t>U.S. spacewalks continue on ISS on This Week @NASA</t>
  </si>
  <si>
    <t>On Feb. 25, International Space Station Commander Barry Wilmore and Flight Engineer Terry Virts of NASA continued rigging power and data cables during the second in a series of three spacewalks to prepare for installation of two new docking ports for the future arrival of U.S. commercial crew spacecraft. The new docking adapters will begin arriving at the station later this year. During airlock repressurazation at the conclusion of the spacewalk, Virts reported seeing a small amount of water floating in his helmet. No water was reported during the EVA and the crew was never in any danger. The third and final spacewalk of the series is scheduled for no earlier than March 1. Also, Preview of magnetic mission, Earth is changing. We’re on it, Soil moisture satellite deploys antenna and Groundbreaking for commercial crew access tower.</t>
  </si>
  <si>
    <t>zczwVH4jcDQ</t>
  </si>
  <si>
    <t>2015 02 26</t>
  </si>
  <si>
    <t>https://youtu.be/7UcYOAp_Bxw</t>
  </si>
  <si>
    <t>Space station crew talks space with media</t>
  </si>
  <si>
    <t>Aboard the International Space Station, Expedition 42 Commander Barry Wilmore and Flight Engineer Terry Virts of NASA discussed their daily regiment and research aboard the orbital laboratory in a pair of in-flight interviews Feb. 26 with Aviation Week, Space Technology and WAAY-TV in Huntsville, Alabama. Wilmore and Virts are in the midst of a trio of spacewalks to rig the station’s modules for the installation of new docking ports that will greet U.S. commercial crew vehicles in the future.</t>
  </si>
  <si>
    <t>7UcYOAp_Bxw</t>
  </si>
  <si>
    <t>2015 02 25</t>
  </si>
  <si>
    <t>https://youtu.be/qgvg6TUEJJk</t>
  </si>
  <si>
    <t>NASA mission’s magnetic personality</t>
  </si>
  <si>
    <t>During a Feb. 25 briefing at NASA headquarters, details were discussed about the upcoming Magnetospheric Multiscale (MMS) mission, scheduled for launch March 12 from Cape Canaveral Florida. MMS will study a phenomenon called magnetic reconnection – a fundamental process during which magnetic fields around Earth connect and disconnect, releasing explosive energy. Magnetic reconnection also occurs throughout the universe and can accelerate particles up to nearly the speed of light.</t>
  </si>
  <si>
    <t>qgvg6TUEJJk</t>
  </si>
  <si>
    <t>https://youtu.be/CINnHXIfkDk</t>
  </si>
  <si>
    <t>Spacewalk continues prepping of ISS for new docking ports</t>
  </si>
  <si>
    <t>Working outside the International Space Station for the second time in four days, Expedition 42 Commander Barry Wilmore and Flight Engineer Terry Virts of NASA conducted a spacewalk Feb. 25 to continue rigging cables for the future installation of new docking ports that will greet U.S. commercial crew vehicles in the years ahead. Working around Pressurized Mating Adapter-2 at the forward end of the Harmony module, Wilmore and Virts completed the deployment of the final cables to provide power and data for the new docking adapters that will begin arriving at the station later this year.</t>
  </si>
  <si>
    <t>CINnHXIfkDk</t>
  </si>
  <si>
    <t>2015 02 21</t>
  </si>
  <si>
    <t>https://youtu.be/52bNS_RixgU</t>
  </si>
  <si>
    <t>U.S. Space Station Crew Members Begin Spacewalk Trilogy To Prepare For Commercial Crew Vehicles</t>
  </si>
  <si>
    <t>Outside the International Space Station, Expedition 42 Commander Barry Wilmore and Flight Engineer Terry Virts of NASA conducted a spacewalk Feb. 21 to begin rigging cables and other equipment as the precursor to the installation of new docking ports to which U.S. commercial crew vehicles will link up to in the years ahead. The docking ports, called International Docking Adapters, will be delivered to the station later this year on SpaceX Dragon cargo vehicles for attachment to Pressurized Mating Adapters 2 and 3. The spacewalk was the 185th in support of space station assembly and maintenance, the second in Wilmore’s career and the first for Virts. The two astronauts will venture outside the Quest airlock again on Feb. 25 and March 1 to continue the routing of cables for the new docking ports and to install communications gear for the new commercial crew vehicles.</t>
  </si>
  <si>
    <t>52bNS_RixgU</t>
  </si>
  <si>
    <t>2015 02 20</t>
  </si>
  <si>
    <t>https://youtu.be/-zHmrklu0p4</t>
  </si>
  <si>
    <t>Space station spacewalks on This Week @NASA</t>
  </si>
  <si>
    <t>A Feb. 18 briefing at Johnson Space Center previewed a series of U.S. spacewalks to prepare the International Space Station for new docking ports that will allow future crews launched from Florida, on U.S. commercial spacecraft to dock to the station. On the first EVA, scheduled for no earlier than Feb. 21, NASA astronauts Barry Wilmore and Terry Virts will prepare cables and communications gear for the two new International Docking Adapters, built by Boeing and scheduled for delivery on a pair of SpaceX flights this year. The other spacewalks are slated for Feb. 25th, and March 1. Also, Final Automated Transfer Vehicle, Progress supply ship to ISS, Magnetospheric Multiscale mission, Orion chutes in the wind, Pegasus modifications and more!</t>
  </si>
  <si>
    <t>-zHmrklu0p4</t>
  </si>
  <si>
    <t>2015 02 18</t>
  </si>
  <si>
    <t>https://youtu.be/5Mj0PhVU2-s</t>
  </si>
  <si>
    <t>NASA Holds Expedition 42 Space Walk Briefing from Johnson Space Center in Houston</t>
  </si>
  <si>
    <t>As two NASA astronauts from the International Space Station’s Expedition 42 crew prepare to venture outside the orbital complex on Friday, Feb. 20, NASA Television provided  a preview news briefing on Wednesday, Feb. 18.  The preview briefing was held at NASA’s Johnson Space Center in Houston with the following panelists: 
Kenneth Todd, International Space Station Operations and Integration manager
Tomas Gonzalez-Torres, Expedition 42 lead flight director
Karina Eversley, Extravehicular Activity (EVA) # 29 officer
Sarah Korona, EVA # 30 officer
Arthur Thomason, EVA # 31 officer
Expedition 42 Commander Barry Wilmore and Flight Engineer Terry Virts will exit the station from the Quest airlock for each of the three spacewalks around 7:10 a.m. NASA TV coverage of the approximately six-and-a-half hour spacewalks will begin at 6 a.m.
Built by Boeing under contract to NASA, the International Docking Adapters are a critical component of the station's reconfiguration to ensure long-term docking ports for future commercial crew and other visiting spacecraft. They will permit the standard station crew size to grow from six to seven, potentially doubling the amount of time devoted to research aboard the orbiting laboratory.
The two new docking adapters will be launched to the station on a pair of SpaceX Dragon cargo spacecraft this year. Astronauts will install the first of two adapters on Pressurized Mating Adapter-2 on the forward end of the station’s Harmony module during a future spacewalk. The second adapter will be installed on Pressurized Mating Adapter-3 after it is relocated robotically to the space-facing port of Harmony later this year.
The spacewalks will be the 185th, 186th and 187th in support of space station assembly and maintenance. Wilmore has conducted one spacewalk in his career last October. The spacewalks will be the first of Virts' career.</t>
  </si>
  <si>
    <t>5Mj0PhVU2-s</t>
  </si>
  <si>
    <t>https://youtu.be/7rWkZk5SSR4</t>
  </si>
  <si>
    <t>International Space Station Crew Members Discuss Life In Space With The Media</t>
  </si>
  <si>
    <t>Aboard the International Space Station, Expedition 42 Commander Barry Wilmore and Flight Engineer Terry Virts of NASA discussed their daily regimen in orbit, their research and the music they enjoy listening to during a pair of in-flight interviews Feb. 18 with Billboard Magazine and WBIR-TV, Knoxville, Tennessee. Wilmore, who is a native of Mt. Juliet, Tennessee, will be returning to Earth in less than month to complete a 5 1/2 month mission on the complex, while Virts, who arrive on the station in late November, will remain aboard the orbital laboratory until mid-May.</t>
  </si>
  <si>
    <t>7rWkZk5SSR4</t>
  </si>
  <si>
    <t>https://youtu.be/MiIZOn8npT0</t>
  </si>
  <si>
    <t>Russian Space Station Cargo Ship Launches, Docks to the International Complex</t>
  </si>
  <si>
    <t>The unpiloted Russian ISS Progress 58 cargo ship launched from the Baikonur Cosmodrome in Kazakhstan Feb. 17 to deliver more than three tons of food, fuel and supplies to the residents aboard the International Space Station. Six hours after it launched, the Progress coasted in for an automatic docking to the aft port of the Zvezda Service Module where it will remain until late August. The Progress was loaded with 1,940 pounds of propellant, 110 pounds of oxygen, 926 pounds of water and 3,333 pounds of spare parts and hardware for use on the orbital laboratory.</t>
  </si>
  <si>
    <t>MiIZOn8npT0</t>
  </si>
  <si>
    <t>2015 02 14</t>
  </si>
  <si>
    <t>https://youtu.be/aznqRz54DiY</t>
  </si>
  <si>
    <t>European Cargo Ship Departs The Space Station For The Final Time</t>
  </si>
  <si>
    <t>ESA’s (European Space Agency) fifth and final Automated Transfer Vehicle (ATV) undocked from the International Space Station’s aft port of the Zvezda service module on Feb. 14 at 8:42 a.m. EST.
ATV-5 then moved to a safe distance from the space station for its deorbit and destructive entry in the Earth’s atmosphere one day later.
This is the last in a series of European resupply spacecraft that began servicing the space station in the spring of 2008. In all, the ATVs delivered approximately 34 tons of supplies to the complex while docked to the station of 776 days. ESA is applying its technology and knowledge from the cargo ship to develop the service module for NASA’s Orion spacecraft.</t>
  </si>
  <si>
    <t>aznqRz54DiY</t>
  </si>
  <si>
    <t>2015 02 13</t>
  </si>
  <si>
    <t>https://youtu.be/swYbsuchLeo</t>
  </si>
  <si>
    <t>Future ISS crews announced on This Week @NASA</t>
  </si>
  <si>
    <t>NASA and its International Space Station partners announced the crews of three upcoming missions to the ISS. The crews include three NASA astronauts. In May 2016, Kate Rubins will join the Expedition 48 crew already in orbit. Shane Kimbrough will follow on Expedition 49 and veteran astronaut Peggy Whitson will serve on Expedition 50. Also, Reid Wiseman’s hometown visit, Grunsfeld selected to Hall of Fame, Dragon departs station, Deep Space Climate Observatory, African American History Month and Getting to know the NACA!</t>
  </si>
  <si>
    <t>swYbsuchLeo</t>
  </si>
  <si>
    <t>https://youtu.be/QsHL_kkmPtU</t>
  </si>
  <si>
    <t>Curiosity Rover Report (Feb 12, 2015)  Rover Walkabout</t>
  </si>
  <si>
    <t>Curiosity wraps up an investigation at Mars' Pink Cliffs while trying out a style of exploration used by geologists on Earth called “the walkabout.”</t>
  </si>
  <si>
    <t>QsHL_kkmPtU</t>
  </si>
  <si>
    <t>https://youtu.be/8LfQfbxuZv4</t>
  </si>
  <si>
    <t>NASA African American History Month Profile - Shawn Goodman (Jet Propulsion Laboratory)</t>
  </si>
  <si>
    <t>Shawn Goodman is an engineer at NASA’s Jet Propulsion Laboratory in Pasadena, California. He currently serves as the Deputy Division Manager for the Mechanical Systems Fabrication and Test Division. Additionally, he is the Project System Engineer and Engineering Technical Authority for the agency’s Soil Moisture Active Passive (SMAP) Mission. SMAP is the first Earth satellite designed to collect global observations of the vital soil moisture hidden just beneath our feet. Its high resolution space-based measurements will give scientists a new capability to better predict natural hazards of extreme weather, climate change, floods and droughts and improve our understanding of Earth’s water, energy and carbon cycles.</t>
  </si>
  <si>
    <t>8LfQfbxuZv4</t>
  </si>
  <si>
    <t>https://youtu.be/u4cimKKa_vg</t>
  </si>
  <si>
    <t>NASA African American History Month Profile - Tommy Thompson (Marshall Space Flight Center)</t>
  </si>
  <si>
    <t>Tommy Thompson works as a systems engineer at Marshall Space Flight Center. Working in Systems Test and Verification, he qualifies test articles by exposing them to extreme conditions and temperatures to replicate the environment the real hardware will need to endure. His advice to the younger generation is to study as much math as possible.</t>
  </si>
  <si>
    <t>u4cimKKa_vg</t>
  </si>
  <si>
    <t>https://youtu.be/EQjVa8wR8xE</t>
  </si>
  <si>
    <t>Space Station Crew Discusses Life In Space With Fox News Television</t>
  </si>
  <si>
    <t>Aboard the International Space Station, Expedition 42 Commander Barry Wilmore and Flight Engineer Terry Virts of NASA discussed life and research on board the orbital laboratory in a pair of in-flight interviews Feb. 13 with the Fox News Channel. Wilmore, who arrived at the station in late September, is in the final weeks of his mission heading for a return to Earth March 12. Virts, who arrived at the station in late November, will remain in orbit until mid-May.</t>
  </si>
  <si>
    <t>EQjVa8wR8xE</t>
  </si>
  <si>
    <t>https://youtu.be/BqakNPlbsvA</t>
  </si>
  <si>
    <t>NASA African American History Month Profile-Ryan Warner (Armstrong Flight Research Center)</t>
  </si>
  <si>
    <t>Ryan Warner works as an aerospace engineer at Armstrong Flight Research Center. He currently works on the Assurance of Flight Critical Systems project. This is a platform that researchers use as a simulated environment for their actuator models to determine what adjustments need to be performed before placing the hardware into real world use. Ryan also  enjoys competing in triathlons.</t>
  </si>
  <si>
    <t>BqakNPlbsvA</t>
  </si>
  <si>
    <t>2015 02 12</t>
  </si>
  <si>
    <t>https://youtu.be/GuzDsPgVrPs</t>
  </si>
  <si>
    <t>Space Station Crew Member Discusses Life In Space And Music With Her Native Italy</t>
  </si>
  <si>
    <t>Aboard the International Space Station, Expedition 42 Flight Engineer Samantha Cristoforetti of the European Space Agency (ESA) discussed her love of music and how she listens to music aboard the orbital laboratory during an in-flight interview Feb. 12 with Italian television network RAI and media gathered at the Sanremo Music Festival in Sanremo, Italy.  The festival features a popular Italian song contest and a competition to publicize previously unreleased songs by Italian artists. This year’s festival – the 65th edition -- is scheduled for Feb. 10-14. Cristoforetti, who is a native of Milan, Italy, also answered questions from ESA personnel about the progress of scientific research on the station.</t>
  </si>
  <si>
    <t>GuzDsPgVrPs</t>
  </si>
  <si>
    <t>https://youtu.be/U3d1OgMkqyw</t>
  </si>
  <si>
    <t>NOAA Space Weather Mission Underway</t>
  </si>
  <si>
    <t>The National Oceanic and Atmospheric Administration’s Deep Space Climate Observatory (DSCOVR), a new satellite designed to monitor space weather, launched on Wednesday, Feb. 11, aboard a SpaceX Falcon 9 rocket from Cape Canaveral Air Force Station, Florida. A partnership between NOAA, NASA and the U.S. Air Force, DSCOVR will maintain the nation’s solar wind observations, which are critical to the accuracy and lead time of NOAA’s space weather alerts, forecasts, and warnings. The spacecraft was built at NASA’s Goddard Space Flight Center and carries two NASA Earth science instruments to advance our understanding of our home planet.</t>
  </si>
  <si>
    <t>U3d1OgMkqyw</t>
  </si>
  <si>
    <t>2015 02 11</t>
  </si>
  <si>
    <t>https://youtu.be/CtvHTh-cABg</t>
  </si>
  <si>
    <t>Anniversary of Hubble Space Telescope Servicing Mission 2</t>
  </si>
  <si>
    <t>Space Shuttle Mission STS-82, NASA’s second in a series of planned servicing missions to the Hubble Space Telescope (HST), launched February 11, 1997. The upgrades made on the mission greatly improved Hubble's productivity. The installation of new instruments extended Hubble's wavelength range into the near infrared for imaging and spectroscopy, providing new views of objects too distant for research by previous Hubble instruments. HST was launched on April 24, 1990 by the Space Shuttle Discovery on STS-31. This year, the venerable space-based observatory is celebrating 25 years of peering into the universe to help us unravel its mysteries.</t>
  </si>
  <si>
    <t>CtvHTh-cABg</t>
  </si>
  <si>
    <t>https://youtu.be/38bzKH4jfpA</t>
  </si>
  <si>
    <t>Celebrate 25 Years of Hubble</t>
  </si>
  <si>
    <t>The Hubble Space Telescope is celebrating 25 years of discoveries this April, transforming our understanding of the universe and helping us find our place among the stars. This anniversary logo shows Hubble as it whirls around Earth, revealing secrets of our solar system and beyond. Join in the celebration with #Hubble25, and learn more at www.nasa.gov/hubble.</t>
  </si>
  <si>
    <t>38bzKH4jfpA</t>
  </si>
  <si>
    <t>2015 02 10</t>
  </si>
  <si>
    <t>https://youtu.be/wTFras1r2uc</t>
  </si>
  <si>
    <t>U.S. Commercial Cargo Ship Departs International Space Station</t>
  </si>
  <si>
    <t>After spending a month at the International Space Station, the U.S. unpiloted SpaceX Dragon cargo spacecraft was unberthed from the Earth-facing port of the Harmony module and released from the station’s Canadarm2 robotic arm Feb. 10 by Expedition 42 Flight Engineers Samantha Cristoforetti of the European Space Agency and Terry Virts of NASA, headed for a deorbit and parachute-assisted splashdown in the Pacific Ocean. Loaded with almost two tons of vital scientific experiments and station hardware, Dragon was aiming for a splashdown about 259 statute miles southwest of Long Beach, California, to complete the fifth commercial resupply mission to the station for SpaceX under its contract with NASA. Dragon was launched to the station atop the SpaceX Falcon 9 rocket from the Cape Canaveral Air Force Station, Florida, Jan. 10 and arrived at the station Jan. 12.</t>
  </si>
  <si>
    <t>wTFras1r2uc</t>
  </si>
  <si>
    <t>2015 02 07</t>
  </si>
  <si>
    <t>https://youtu.be/TOSLdVOGAIc</t>
  </si>
  <si>
    <t>Deep Space Climate Observatory (DSCOVR) Briefing from Kennedy Space Center</t>
  </si>
  <si>
    <t>NASA Television coverage of the National Oceanic and Atmospheric Administration’s (NOAA) Deep Space Climate Observatory (DSCOVR) mission news briefing on Feb. 7 2015 from the Kennedy Space Center in Florida. 
Participants in the prelaunch news conference were:
·         Stephen Volz, assistant administrator of the NOAA Satellite and Information Service in Silver Spring, Maryland
·         Tom Berger, director of the NOAA Space Weather Prediction Center in Boulder, Colorado
·         Steven Clarke, NASA Joint Agency Satellite Division director for the agency’s Science Mission Directorate in Washington
·         Col. D. Jason Cothern, Space Demonstrations Division chief at Kirtland Air Force Base in Albuquerque, New Mexico
·         Hans Koenigsmann, vice president of mission assurance at SpaceX in Hawthorne, California
·         Mike McAlaneen, launch weather officer with the 45tth Weather Squadron at Cape Canaveral AFS
DSCOVR is a partnership between NOAA, NASA and the U.S. Air Force. DSCOVR will maintain the nation’s solar wind observations, which are critical to the accuracy and lead time of NOAA’s space weather alerts, forecasts, and warnings. Space weather events like geomagnetic storms, caused by changes in solar wind, can affect public infrastructure systems such as power grids, telecommunications systems, and aircraft avionics.  DSCOVR will succeed NASA’s Advanced Composition Explorer in supporting solar observations and provide 15 to 60 minute warning time to improve predictions of geomagnetic storm impact locations.</t>
  </si>
  <si>
    <t>TOSLdVOGAIc</t>
  </si>
  <si>
    <t>2015 02 06</t>
  </si>
  <si>
    <t>https://youtu.be/QgQrTRNZbaQ</t>
  </si>
  <si>
    <t>The State of NASA on This Week @NASA</t>
  </si>
  <si>
    <t>NASA Administrator Charles Bolden, speaking during his Feb. 2 “State of NASA” address at Kennedy Space Center in Florida after the release of President Obama’s Fiscal Year 2016 $18.5 billion budget proposal for NASA said, “I can unequivocally say that the State of NASA is strong.” The proposed budget is a half-billion-dollar increase over last year’s enacted budget, which, the Administrator noted, “is a clear vote of confidence to you – the employees of NASA and the ambitious exploration program you are executing.” The budget facilitates NASA’s plan moving forward, which includes development of new vehicles and technologies needed for unprecedented human missions to an asteroid and to Mars, commercial partnerships to provide transportation to and from the International Space Station from the United States and research on the station for the benefit of future deep space travelers and people living on our home planet. Also, New views of Pluto, Soil moisture mission underway and Virginia Aerospace Day!</t>
  </si>
  <si>
    <t>QgQrTRNZbaQ</t>
  </si>
  <si>
    <t>2015 02 05</t>
  </si>
  <si>
    <t>https://youtu.be/axUGLKFodxY</t>
  </si>
  <si>
    <t>Astronauts Share Out of This World Experience with Students</t>
  </si>
  <si>
    <t>International Space Station Expedition 42 Commander Barry Wilmore and Flight Engineer Terry Virts of NASA and Flight Engineer Samantha Cristoforetti of the European Space Agency discussed life aboard the orbital laboratory during an in-flight educational event Feb. 5 with engineering students at the University of California, Davis. The event featured former astronaut Dr. Stephen Robinson, who is now a Professor of Mechanical and Aerospace Engineering at the university.</t>
  </si>
  <si>
    <t>axUGLKFodxY</t>
  </si>
  <si>
    <t>2015 02 02</t>
  </si>
  <si>
    <t>https://youtu.be/F2qkdSvV_Ng</t>
  </si>
  <si>
    <t>Administrator Discusses the State of NASA</t>
  </si>
  <si>
    <t>During his “State of NASA” speech from Kennedy Space Center on Feb. 2, Administrator Charles Bolden touched on the agency’s scientific and technological achievements and the exciting work ahead as NASA pushes farther into the solar system and continues to lead the world in a new era of exploration.</t>
  </si>
  <si>
    <t>F2qkdSvV_Ng</t>
  </si>
  <si>
    <t>https://youtu.be/d5j_gqd7Uq8</t>
  </si>
  <si>
    <t>Reach for New Heights</t>
  </si>
  <si>
    <t>NASA centers across the country are talking about the “State of NASA” as we continue our journey to Mars. 
Innovation drives this journey to reach new heights and reveal the unknown, which will benefit all of humankind.</t>
  </si>
  <si>
    <t>d5j_gqd7Uq8</t>
  </si>
  <si>
    <t>https://youtu.be/ZPb4B_srj_Y</t>
  </si>
  <si>
    <t>ISS Downlink Superbowl 2015 Message</t>
  </si>
  <si>
    <t>From aboard the International Space Station, Expedition 42 Commander Barry Wilmore and Flight Engineer Terry Virts, both of NASA took a break from the important scientific research being conducted on the station to prepare humans for NASA’s Journey to Mars to discuss the NFL’s Super Bowl XLIX between New England Patriots and the Seattle Seahawks.</t>
  </si>
  <si>
    <t>ZPb4B_srj_Y</t>
  </si>
  <si>
    <t>2015 01 31</t>
  </si>
  <si>
    <t>https://youtu.be/bp_G-AMT0Rw</t>
  </si>
  <si>
    <t>Status Update for Soil Moisture Mission</t>
  </si>
  <si>
    <t>A post-launch briefing was held Jan. 31 to discuss the launch and status of NASA’s Soil Moisture Active Passive (SMAP) spacecraft. SMAP, which launched earlier the same day aboard a United Launch Alliance Delta II rocket from California’s Vandenberg Air Force Base, is the first U.S. Earth-observing satellite designed to collect global observations of surface soil moisture. The mission’s high resolution space-based measurements of soil moisture will give scientists a new capability to better predict natural hazards of extreme weather and improve our understanding of Earth’s water, energy and carbon cycles.</t>
  </si>
  <si>
    <t>bp_G-AMT0Rw</t>
  </si>
  <si>
    <t>https://youtu.be/snghE_hWMhY</t>
  </si>
  <si>
    <t>NASA Earth Science Mission Launches</t>
  </si>
  <si>
    <t>NASA’s Soil Moisture Active Passive (SMAP) spacecraft launched Jan. 31 from California’s Vandenberg Air Force Base. SMAP is the first U.S. Earth-observing satellite designed to collect global observations of surface soil moisture. The mission’s high resolution space-based measurements of soil moisture will give scientists a new capability to better predict natural hazards of extreme weather and improve our understanding of Earth’s water, energy and carbon cycles.</t>
  </si>
  <si>
    <t>snghE_hWMhY</t>
  </si>
  <si>
    <t>2015 01 30</t>
  </si>
  <si>
    <t>https://youtu.be/fp40jVjYNsI</t>
  </si>
  <si>
    <t>The plan to Launch America on This Week @NASA</t>
  </si>
  <si>
    <t>During a Jan. 26 media briefing at the Johnson Space Center, Administrator Charlie Bolden, other NASA officials and representatives from Boeing and SpaceX discussed key development activities, test plans and objectives for developing safe, reliable and cost-effective spacecraft and systems that will launch astronauts to the International Space Station from the United States. Under Commercial Crew Transportation Capability (CCtCap) contracts for NASA’s Launch America initiative, the companies will conduct spacecraft systems testing followed by increasingly complex flight tests – before ultimately flying astronauts on orbital flights and eventually on operational missions to the station in the next few years. Also, Soil moisture mission update, ISSAC robot unveiled, Close asteroid flyby, Best images yet of Ceres and Day of Remembrance!</t>
  </si>
  <si>
    <t>fp40jVjYNsI</t>
  </si>
  <si>
    <t>2015 01 28</t>
  </si>
  <si>
    <t>https://youtu.be/yD-qmnidyH0</t>
  </si>
  <si>
    <t>NASA Social on Earth Science Mission</t>
  </si>
  <si>
    <t>A Jan. 28 NASA Social Media event at Vandenberg Air Force Base featured a briefing about the science and engineering of the Soil Moisture Active Passive (SMAP) mission and a behind-the-scenes tour of Vandenberg Air Force Base. SMAP is the first U.S. Earth-observing satellite designed to collect global observations of surface soil moisture. The mission is scheduled for launch Jan. 29 at 6:20 a.m. PST (9:20 a.m. EST).</t>
  </si>
  <si>
    <t>yD-qmnidyH0</t>
  </si>
  <si>
    <t>https://youtu.be/N-tQNXgwGaU</t>
  </si>
  <si>
    <t>STEM in 30 - Lighter, Stronger, Better  Composites</t>
  </si>
  <si>
    <t>“Lighter, Stronger, Better: Composites” is part of the Smithsonian National Air and Space Museum’s STEM in 30 series of live, fast-paced, 30-minute webcasts designed to increase interest and engagement in STEM for students. This episode, which originated from the museum Jan. 28, examines composites and how these engineered materials are used in the aerospace industry.</t>
  </si>
  <si>
    <t>N-tQNXgwGaU</t>
  </si>
  <si>
    <t>https://youtu.be/xiIKYo58_O0</t>
  </si>
  <si>
    <t>Aboard the International Space Station, Expedition 42 Commander Barry Wilmore and Flight Engineer Terry Virts of NASA and Flight Engineer Samantha Cristoforetti of the European Space Agency discussed life and work aboard the orbital laboratory with the Air Force Times and the Houston Chronicle during a pair of in-flight interviews Jan. 28. Wilmore will wrap up 5 ½ months on the station with a return to Earth on March 12, while Virts and Cristoforetti will remain aboard the complex until mid-May.</t>
  </si>
  <si>
    <t>xiIKYo58_O0</t>
  </si>
  <si>
    <t>2015 01 27</t>
  </si>
  <si>
    <t>https://youtu.be/aemhBiIqlwA</t>
  </si>
  <si>
    <t>Soil Moisture Mission Previewed</t>
  </si>
  <si>
    <t>NASA’s Soil Moisture Active Passive mission (SMAP) was previewed during a Jan. 27 pre-launch briefing at Vandenberg Air Force Base. SMAP is the first U.S. Earth-observing satellite designed to collect global observations of surface soil moisture. The mission’s high resolution space-based measurements of soil moisture will give scientists a new capability to better predict natural hazards of extreme weather and improve our understanding of Earth’s water, energy and carbon cycles. Liftoff from Space Launch Complex 2 aboard a United Launch Alliance Delta II rocket is targeted for Jan. 29 at 6:20 a.m. PST (9:20 a.m. EST).</t>
  </si>
  <si>
    <t>aemhBiIqlwA</t>
  </si>
  <si>
    <t>https://youtu.be/owgZeGVup-Q</t>
  </si>
  <si>
    <t>Small Satellite Mission Previewed</t>
  </si>
  <si>
    <t>During a Jan. 27 briefing at Vandenberg Air Force Base, officials and investigators involved with the Educational Launch of Nanosatellites (ELaNa) program, discussed the mission science objectives of the ELaNa CubeSats being launched as auxiliary payloads on NASA’s Soil Moisture Active Passive (SMAP) mission on Jan. 29. ELaNa is a partnership between NASA’s Launch Services Program and several universities to launch small research satellites.</t>
  </si>
  <si>
    <t>owgZeGVup-Q</t>
  </si>
  <si>
    <t>https://youtu.be/ihAlsdZgtZE</t>
  </si>
  <si>
    <t>Orion and Ikhana UAS</t>
  </si>
  <si>
    <t>Orion blazed into the morning sky at 7:05 a.m. EST, Friday, Dec. 5, 2014, in Florida. Lifting off from Space Launch Complex 37 at Cape Canaveral Air Force Station in Florida.  The Orion crew module splashed down approximately 4.5 hours later in the Pacific Ocean, 600 miles southwest of San Diego. During splashdown and recovery the Orion was tracked by a NASA Ikhana UAS (Unmanned Aerial System) from the air.</t>
  </si>
  <si>
    <t>ihAlsdZgtZE</t>
  </si>
  <si>
    <t>2015 01 26</t>
  </si>
  <si>
    <t>https://youtu.be/TtQGyBGJpTA</t>
  </si>
  <si>
    <t>The Plan to Launch America</t>
  </si>
  <si>
    <t>NASA, Boeing and SpaceX will held a news briefing on NASA Television at the agency’s Johnson Space Center in Houston on Jan. 26, to highlight key development activities, test plans and objectives for achieving certification of two American crew transportation systems. Under Commercial Crew Transportation Capability (CCtCap) contracts for NASA’s Launch America initiative, Boeing and SpaceX will develop safe and reliable crew transportation to and from the International Space Station on American spacecraft launched from the United States.</t>
  </si>
  <si>
    <t>TtQGyBGJpTA</t>
  </si>
  <si>
    <t>2015 01 23</t>
  </si>
  <si>
    <t>https://youtu.be/l561tAwY3xo</t>
  </si>
  <si>
    <t>State of STEM on This Week @ NASA</t>
  </si>
  <si>
    <t>During his State of the Union address Jan. 20, President Obama emphasized the importance of Science, Technology, Engineering and Math or STEM, to maintaining a strong and competitive American economy. On hand as an invited guest, was NASA astronaut Scott Kelly who is preparing to take part in the first ever one-year mission aboard the International Space Station – to investigate how the human body responds to longer durations in space. The President acknowledged how this and other NASA research and technology efforts is preparing us for deep space travel, while also returning benefits to humanity. Also, 2015 Spinoff publication, Virtual walk on Mars, Dawn images of Ceres and more!</t>
  </si>
  <si>
    <t>l561tAwY3xo</t>
  </si>
  <si>
    <t>2015 01 21</t>
  </si>
  <si>
    <t>https://youtu.be/zRNIHGTsK8c</t>
  </si>
  <si>
    <t>NASA Joins White House, from Ground and Space, to Discuss State of STEM Education in America</t>
  </si>
  <si>
    <t>On Wednesday, January 21, 2015, the White House Office of Science and Technology Policy (OSTP)  hosted its third annual “State of Science, Technology, Engineering, and Mathematics” – or “SoSTEM” -- event, celebrating the Administration’s commitment to science and technology, STEM education, and STEM careers, as articulated in the President’s State of the Union address delivered the previous evening.  During the event, more than 100 DC area middle- and high-school students had the opportunity to hear from, and ask questions of an array of science and technology officials, including President Obama’s science advisor Dr. John Holdren, Chief Technology Officer Megan Smith, NASA Administrator Charles Bolden, NASA Chief Scientist Ellen Stofan and other Administration experts, and non-Administration special guests. The students will also have an opportunity to interact with astronauts.</t>
  </si>
  <si>
    <t>zRNIHGTsK8c</t>
  </si>
  <si>
    <t>https://youtu.be/i7HahmSgrjI</t>
  </si>
  <si>
    <t>Space Station Crew Discusses Life in Space With Students and NASA Administrator Charles Bolden</t>
  </si>
  <si>
    <t>Aboard the International Space Station, Expedition 42 Commander Barry Wilmore and Flight Engineer Terry Virts of NASA discussed their mission and life and research on the complex during an in-flight chat Jan. 21 with NASA Administrator Charles Bolden, officials of the White House Office of Science and Technology Policy and middle and high school students. The unique discussion was part of the third annual State of Science Technology, Engineering and Math event (SoSTEM), a type of science fair that included students from schools in Maryland, Virginia and Washington.</t>
  </si>
  <si>
    <t>i7HahmSgrjI</t>
  </si>
  <si>
    <t>https://youtu.be/oWCWwEv_LcI</t>
  </si>
  <si>
    <t>Spinoff 2015</t>
  </si>
  <si>
    <t>NASA has a long history of transferring technologies from their original mission applications to secondary uses. For example, Mars continues to be a rich destination for scientific discovery and exploration, and NASA's missions there have inspired a variety of practical, terrestrial benefits. Spinoff 2015 features stories about some of these technologies, including shock absorbers used during space shuttle launches that are now being used to brace buildings during earthquakes, preventing damage and save lives.</t>
  </si>
  <si>
    <t>oWCWwEv_LcI</t>
  </si>
  <si>
    <t>https://youtu.be/JlYt-widyIc</t>
  </si>
  <si>
    <t>State of the Union and Climate Change</t>
  </si>
  <si>
    <t>President Obama recognizes climate change as an immediate risk. Find out more from NASA #EarthRightNow 
www.nasa.gov/content/earth-right-now</t>
  </si>
  <si>
    <t>JlYt-widyIc</t>
  </si>
  <si>
    <t>https://youtu.be/xhyVEbZls54</t>
  </si>
  <si>
    <t>State of the Union and NASA</t>
  </si>
  <si>
    <t>President Obama recognizes NASA and Astronaut Scott Kelly at 2015 State of the Union Address.
http://www.nasa.gov/content/one-year-crew</t>
  </si>
  <si>
    <t>xhyVEbZls54</t>
  </si>
  <si>
    <t>2015 01 20</t>
  </si>
  <si>
    <t>https://youtu.be/fVfToIq4IEc</t>
  </si>
  <si>
    <t>What's New In Aerospace from the Smithsonian Air and Space Museum in Washington DC</t>
  </si>
  <si>
    <t>Bringing an Object to Life is the topic for the Smithsonian's What's New in Aerospace? Series and presented in collaboration with NASA.  In this segment, researchers preparing objects for an exhibit require more than just selecting something from a list. Conservators must examine the object, treat problems they see, and ensure the object has proper support for the duration of its display.  At the National Air and Space Museum, a team including the exhibition curator, a conservator, a designer, and an object mount maker collaborated on bringing one special object to the Museum floor for the first time. After his Apollo 17 moonwalk, Gene Cernan returned his Oxygen Purge System cover to Earth, and NASA sealed it in a package just weeks after the mission’s completion. For decades, it sat untouched and virtually unknown in Museum storage until it was rediscovered in 2013 and became a candidate for the new Outside the Spacecraft: Fifty Years of Extra-Vehicular Activity exhibition.
This What’s New in Aerospace? program tells the story of the inclusion of the object in the exhibition and how Museum conservator Lisa Young prepares an object for display using microscopic examination of the materials. The exhibition’s curator, Jennifer Levasseur, and a representative from the United Technologies Corporation also spoke about the design and construction of life support systems for work outside the spacecraft.</t>
  </si>
  <si>
    <t>fVfToIq4IEc</t>
  </si>
  <si>
    <t>2015 01 16</t>
  </si>
  <si>
    <t>https://youtu.be/x-ZgybF-UZ4</t>
  </si>
  <si>
    <t>Dragon arrives at ISS on This Week @NASA</t>
  </si>
  <si>
    <t>The SpaceX Dragon cargo spacecraft arrived at the International Space Station on Jan. 12, two days after its launch from Cape Canaveral Air Force Station in Florida. SpaceX’s fifth contracted resupply mission to the ISS includes delivery of more than two tons of supplies and experiments for the station’s crew. Also, One-year ISS mission previewed, Record global warmth in 2014, Successful RS-25 engine test and more!</t>
  </si>
  <si>
    <t>x-ZgybF-UZ4</t>
  </si>
  <si>
    <t>https://youtu.be/C7LDBvPTC20</t>
  </si>
  <si>
    <t>Crew of First Yearlong Expedition Aboard ISS Previews Mission</t>
  </si>
  <si>
    <t>In one of two briefings held by NASA Thursday, Jan. 15 at Johnson Space Center in Houston, to preview the upcoming yearlong stay aboard the International Space Station of Expedition 43, crewmembers discussed the mission. NASA astronaut Scott Kelly and cosmonauts Mikhail Kornienko and Gennady Padalka of the Russian Federal Space Agency (Roscosmos) will launch to the space station aboard the Soyuz TMA-16M spacecraft March 27. Padalka will return to Earth in September while Kelly and Kornienko remain onboard until March 2016. Kelly and Kornienko are embarking on a first-ever yearlong mission to the station. The valuable scientific data collected will provide insight into how the human body responds to longer durations in space, supporting the next generation of space exploration.</t>
  </si>
  <si>
    <t>C7LDBvPTC20</t>
  </si>
  <si>
    <t>2015 01 15</t>
  </si>
  <si>
    <t>https://youtu.be/cehHygZhh-Q</t>
  </si>
  <si>
    <t>Mission and Science of Expedition 43 Previewed</t>
  </si>
  <si>
    <t>In one of two briefings held by NASA Thursday, Jan. 15 at Johnson Space Center in Houston, to preview the upcoming yearlong stay aboard the International Space Station of the Expedition 43 crew, ISS officials discussed the science and mission priorities and objectives, which include hundreds of research experiments, numerous spacewalks and international and commercial cargo deliveries to the complex. NASA astronaut Scott Kelly and cosmonauts Mikhail Kornienko and Gennady Padalka of the Russian Federal Space Agency (Roscosmos) will launch to the space station aboard the Soyuz TMA-16M spacecraft March 27. Padalka will return to Earth in September while Kelly and Kornienko remain onboard until March 2016.</t>
  </si>
  <si>
    <t>cehHygZhh-Q</t>
  </si>
  <si>
    <t>2015 01 12</t>
  </si>
  <si>
    <t>https://youtu.be/GPG2IjLxSqM</t>
  </si>
  <si>
    <t>U.S. Cargo Ship Delivers Goods to ISS</t>
  </si>
  <si>
    <t>Two days after its launch from the Cape Canaveral Air Force Station, Florida, the unpiloted U.S. SpaceX Dragon cargo craft arrived at the International Space Station Jan. 12 with more than two tons of supplies and science experiments for the Expedition 42 crew. The station crew grappled the Dragon supply ship with the station’s robotic arm and ground controllers at Mission Control, Houston maneuvered Dragon to the Earth-facing port of the station’s Harmony module, where it was installed and bolted into place for a month-long stay.</t>
  </si>
  <si>
    <t>GPG2IjLxSqM</t>
  </si>
  <si>
    <t>2015 01 10</t>
  </si>
  <si>
    <t>https://youtu.be/6PWHWZ8l1hQ</t>
  </si>
  <si>
    <t>SpaceX - 5 Commercial Resupply Launch from Kennedy Space Center</t>
  </si>
  <si>
    <t>SpaceX’s Falcon 9 rocket and its unpiloted Dragon cargo craft launched in pre-dawn darkness from the Cape Canaveral Air Force Station in Florida Jan. 10, bound on a two-day journey to deliver more than two tons of supplies and science experiments to the Expedition 42 crew aboard the International Space Station.  About 10 minutes after launch, Dragon separated from the second stage of the Falcon 9 rocket and deployed its solar arrays to begin the rendezvous to reach the station on Jan. 12, where it will be grappled by station Commander Barry Wilmore of NASA and Flight Engineer Samantha Cristoforetti of the European Space Agency using the station’s Canadian-built robotic arm from the orbiting laboratory’s cupola. Dragon will spend a month attached to the Earth-facing port of the station’s Harmony module and then splash down in the Pacific Ocean, off the coast of Baja California, bringing with it almost two tons of experiment samples and equipment from the station.</t>
  </si>
  <si>
    <t>6PWHWZ8l1hQ</t>
  </si>
  <si>
    <t>2015 01 09</t>
  </si>
  <si>
    <t>https://youtu.be/IPFKXtTi1cg</t>
  </si>
  <si>
    <t>SpaceX CRS-5 mission on This Week @NASA</t>
  </si>
  <si>
    <t>The SpaceX Dragon spacecraft is loaded with more than 5,000 pounds of supplies and experiments for delivery to the International Space Station on CRS-5 – the company’s fifth resupply mission to the ISS. One of the experiments, the Cloud Aerosol Transport System – or CATS, is designed to study the global distribution of clouds and aerosols in our atmosphere. Launch from Cape Canaveral Air Force Station is no earlier than Jan. 10. Also, NASA astronomical findings, Soil moisture mission previewed, Weaving the way to Mars and more!</t>
  </si>
  <si>
    <t>IPFKXtTi1cg</t>
  </si>
  <si>
    <t>2015 01 08</t>
  </si>
  <si>
    <t>https://youtu.be/lYNBxr_GvYc</t>
  </si>
  <si>
    <t>NASA Previews New Mission to Track Water in Earth's Soil</t>
  </si>
  <si>
    <t>NASA held a media briefing on Thursday, Jan. 8, at NASA Headquarters in Washington DC to discuss the upcoming Soil Moisture Active Passive (SMAP) mission.  SMAP, set for a Jan. 29 launch from Vandenberg Air Force Base in California, will provide the most accurate, highest-resolution global measurements of soil moisture ever obtained from space and will detect whether the ground is frozen or thawed. The data will be used to enhance scientists' understanding of the processes that link Earth's water, energy and carbon cycles.
The briefing participants were:
-- Christine Bonniksen, SMAP program executive with the Science Mission Directorate’s Earth Science Division at NASA Headquarters in Washington
-- Kent Kellogg, SMAP project manager with NASA’s Jet Propulsion Laboratory (JPL) in Pasadena, California
-- Dara Entekhabi, SMAP science team lead, Massachusetts Institute of Technology, Cambridge, Massachusetts
-- Brad Doorn, SMAP applications lead, Science Mission Directorate’s Applied Sciences Program at NASA Headquarters
SMAP is the last of five NASA Earth science missions scheduled for launch within a 12-month period. NASA monitors Earth's vital signs from land, air and space with a fleet of satellites and ambitious airborne and ground-based observation campaigns. NASA develops new ways to observe and study Earth's interconnected natural systems with long-term data records and computer analysis tools to better see how our planet is changing.</t>
  </si>
  <si>
    <t>lYNBxr_GvYc</t>
  </si>
  <si>
    <t>2015 01 07</t>
  </si>
  <si>
    <t>https://youtu.be/3lx7AOzzBdw</t>
  </si>
  <si>
    <t>NASA International Space Station Briefing of the Cloud-Aerosol Transport System (CATS)</t>
  </si>
  <si>
    <t>NASA held an Earth Science Briefing from the Kennedy Space Center about the Cloud-Aerosol Transport System (CATS) mission aboard the SpaceX CRS-5 Dragon cargo resupply spacecraft.  The research will characterize and measure the worldwide distribution of clouds and aerosols -- the tiny particles that make up haze, dust, air pollutants and smoke; model organism research using fruit flies to study the biological effects of spaceflight; and, a new study using flatworms to better understand wound healing in space.
The fifth SpaceX cargo mission to the International Space Station (ISS) under NASA's Commercial Resupply Services contract will carry more than 3,700 pounds of scientific experiments, technology demonstrations and supplies, including critical materials to support 256 science and research investigations that will take place on the space station during ISS Expeditions 42 and 43.</t>
  </si>
  <si>
    <t>3lx7AOzzBdw</t>
  </si>
  <si>
    <t>2015 01 06</t>
  </si>
  <si>
    <t>https://youtu.be/Xe5MX-PFc0U</t>
  </si>
  <si>
    <t>NASA Space Station Crew Discusses Life In Space With The Media</t>
  </si>
  <si>
    <t>Aboard the International Space Station, Expedition 42 Commander Barry Wilmore and Flight Engineer Terry Virts of NASA and Flight Engineer Samantha Cristoforetti of the European Space Agency discussed the progress of their research, other work on the orbital outpost and upcoming spacewalks in February by Wilmore and Virts in a pair of in-flight interviews Jan. 6 with the Associated Press and KGO-TV, San Francisco. Wilmore has been aboard the complex since September, while Virts and Cristoforetti arrived on the station in late November</t>
  </si>
  <si>
    <t>Xe5MX-PFc0U</t>
  </si>
  <si>
    <t>https://youtu.be/We7UG63heo4</t>
  </si>
  <si>
    <t>NASA International Space Station Research and Technology Briefing</t>
  </si>
  <si>
    <t>During panel discussions from NASA's Kennedy Space center in Florida, scientists and researchers discussed the onboard science and research studies being carried to space aboard the SpaceX Dragon cargo spacecraft which include the Cloud-Aerosol Transport System (CATS) and supplies for research on the risks of in-flight infections in astronauts, as well as research on degenerative brain diseases such as Alzheimer's.
The fifth SpaceX cargo mission to the International Space Station (ISS) under NASA's Commercial Resupply Services contract will carry more than 3,700 pounds of scientific experiments, technology demonstrations and supplies, including critical materials to support 256 science and research investigations that will take place on the space station during ISS Expeditions 42 and 43.</t>
  </si>
  <si>
    <t>We7UG63heo4</t>
  </si>
  <si>
    <t>https://youtu.be/VLKLC58nTJY</t>
  </si>
  <si>
    <t>NASA Coverage Set for Fifth SpaceX Resupply Mission to Space Station</t>
  </si>
  <si>
    <t>The fifth SpaceX cargo mission to the International Space Station (ISS) under NASA's Commercial Resupply Services contract is scheduled to launch Tuesday, Jan. 6, from Space Launch Complex 40 at Cape Canaveral Air Force Station in Florida. The company's Falcon 9 rocket will carry its Dragon cargo spacecraft loaded with more than 3,700 pounds of scientific experiments, technology demonstrations and supplies, including critical materials to support 256 science and research investigations that will take place on the space station during ISS Expeditions 42 and 43.
The Dragon spacecraft will remain attached to the space station's Harmony module for more than four weeks and then splash down in the Pacific Ocean, off the coast of Baja California, bringing with it almost two tons of experiment samples and equipment from the station.</t>
  </si>
  <si>
    <t>VLKLC58nTJY</t>
  </si>
  <si>
    <t>2014 12 31</t>
  </si>
  <si>
    <t>https://youtu.be/_odLfGD8WVY</t>
  </si>
  <si>
    <t>Happy New Year from NASA Television</t>
  </si>
  <si>
    <t>We would like to thank all of you for watching NASA Television in 2014 and wish you a very happy New Year.</t>
  </si>
  <si>
    <t>_odLfGD8WVY</t>
  </si>
  <si>
    <t>2014 12 30</t>
  </si>
  <si>
    <t>https://youtu.be/VXvYcIbFVzs</t>
  </si>
  <si>
    <t>Happy New Year from the International Space Station</t>
  </si>
  <si>
    <t>Aboard the International Space Station, Expedition 42 Commander Barry Wilmore and Flight Engineer Terry Virts of NASA wish the world a happy New Year during downlink messages from the orbital complex on Dec. 17. Wilmore has been aboard the research lab since late September and will remain in orbit until mid-March 2015. Virts arrived at the station in late November and will stay until mid-May 2015.</t>
  </si>
  <si>
    <t>VXvYcIbFVzs</t>
  </si>
  <si>
    <t>https://youtu.be/UStYetO2icA</t>
  </si>
  <si>
    <t>Space Station Crew Members Discuss Life in Space at Holidays with the Media</t>
  </si>
  <si>
    <t>Aboard the International Space Station, Expedition 42 Commander Barry Wilmore of NASA and Flight Engineer Samantha Cristoforetti of the European Space Agency discussed their research activities aboard the laboratory and life away from Earth during the holiday season during a pair of in-flight interviews Dec. 30. Wilmore has been aboard the complex since late September while Cristoforetti has been living and working on the outpost since late November.</t>
  </si>
  <si>
    <t>UStYetO2icA</t>
  </si>
  <si>
    <t>2014 12 29</t>
  </si>
  <si>
    <t>https://youtu.be/V22b4Bk7Yd4</t>
  </si>
  <si>
    <t>Actress Jessica Chastain Looks into the Future of Space Exploration</t>
  </si>
  <si>
    <t>There is momentum building as human discovery goes even further into interstellar space. Recently astronomers from the Kepler mission discovered Earth-size planets in the habitable zone. Meanwhile on and near Earth NASA pushes the boundaries of space exploration with the design of the Space Launch System (SLS), testing of the Orion capsule and fourteen years of continued human exploration and operation aboard the International Space Station (ISS).</t>
  </si>
  <si>
    <t>V22b4Bk7Yd4</t>
  </si>
  <si>
    <t>2014 12 24</t>
  </si>
  <si>
    <t>https://youtu.be/JCxjGNECtOw</t>
  </si>
  <si>
    <t>2014 Year End Video File</t>
  </si>
  <si>
    <t>NASA Takes Giant Leaps on the Journey to Mars, Eyes Our Home Planet and the Distant Universe, Tests Technologies and Improves the Skies Above in 2014.  In 2014, NASA took significant steps, tested cutting-edge technologies and made scientific discoveries on the agency’s journey to Mars, all while studying our changing Earth and the infinite universe as we made progress on the next generation of air travel.</t>
  </si>
  <si>
    <t>JCxjGNECtOw</t>
  </si>
  <si>
    <t>2014 12 22</t>
  </si>
  <si>
    <t>https://youtu.be/rxS5PW1faVA</t>
  </si>
  <si>
    <t>International Space Station Crew Members Discuss Living in Space During the Holidays with the Media</t>
  </si>
  <si>
    <t>Aboard the International Space Station, Expedition 42 Commander Barry Wilmore and Flight Engineer Terry Virts of NASA discussed the progress of their mission and life away from Earth during the holiday season during a pair of in-flight interviews Dec. 22 with WBAL Radio in Baltimore and CBS’ “This Morning” program. Wilmore has been aboard the station since late September, while Virts, a native of Baltimore, has been aboard the orbital complex since late November.</t>
  </si>
  <si>
    <t>rxS5PW1faVA</t>
  </si>
  <si>
    <t>https://youtu.be/WRIVMXdTVA0</t>
  </si>
  <si>
    <t>International Space Station Crew Member Discusses Living in Space with Italian President</t>
  </si>
  <si>
    <t>Aboard the International Space Station, Expedition 42 Flight Engineer Samantha Cristoforetti of Italy and the European Space Agency discussed her mission on the orbital outpost during a call from Italian President Giorgio Napolitano Dec. 22. The discussion was part of a greeting from President Napolitano to Italian military personnel deployed around the world --- and off the planet --- during the holiday season. Cristoforetti is a captain in the Italian Air Force. She launched to the station in late November for a 5 1/2 month mission.</t>
  </si>
  <si>
    <t>WRIVMXdTVA0</t>
  </si>
  <si>
    <t>https://youtu.be/HrUtJHYWPkY</t>
  </si>
  <si>
    <t>Space Station Crew Members Offer Christmas Greetings to the World</t>
  </si>
  <si>
    <t>Aboard the International Space Station, Expedition 42 Commander Barry Wilmore and Flight Engineer Terry Virts of NASA offered their thoughts and best wishes to the world for the Christmas holiday during downlink messages from the orbital complex on Dec. 17. Wilmore has been aboard the research lab since late September and will remain in orbit until mid-March 2015. Virts arrived at the station in late November and will stay until mid-May 2015.</t>
  </si>
  <si>
    <t>HrUtJHYWPkY</t>
  </si>
  <si>
    <t>2014 12 19</t>
  </si>
  <si>
    <t>https://youtu.be/LveV4vtThOE</t>
  </si>
  <si>
    <t>2014 What Happened This Year @NASA</t>
  </si>
  <si>
    <t>In 2014, NASA took significant steps on the agency’s journey to Mars -- testing cutting-edge technologies and making scientific discoveries while studying our changing Earth and the infinite universe as the agency made progress on the next generation of air travel. Here’s a look at some of the top NASA stories of the year!</t>
  </si>
  <si>
    <t>LveV4vtThOE</t>
  </si>
  <si>
    <t>https://youtu.be/un7MKRoPQ6o</t>
  </si>
  <si>
    <t>NASA 2014</t>
  </si>
  <si>
    <t>As 2014 comes to a close we look back on a few of the events that took place this year at NASA.</t>
  </si>
  <si>
    <t>un7MKRoPQ6o</t>
  </si>
  <si>
    <t>https://youtu.be/ibtsgAig3Yk</t>
  </si>
  <si>
    <t>Video Gives Inside Look at Trial by Fire for NASA's Orion Spacecraft</t>
  </si>
  <si>
    <t>The video begins 10 minutes before Orion's 11:29 a.m. EST splashdown in the Pacific Ocean, just as the spacecraft was beginning to experience Earth's atmosphere. Peak heating from the friction caused by the atmosphere rubbing against Orion's heat shield comes less than two minutes later, and the footage shows the plasma created by the interaction change from white to yellow to lavender to magenta as the temperature increases. The video goes on to show the deployment of Orion’s parachutes and the final splash as it touches down.</t>
  </si>
  <si>
    <t>ibtsgAig3Yk</t>
  </si>
  <si>
    <t>https://youtu.be/-qDtz55LezY</t>
  </si>
  <si>
    <t>Space Station Partners Discuss Year-Long Mission During Paris News Conference</t>
  </si>
  <si>
    <t>NASA and its International Space Station partners held a news conference in Paris on Dec. 18, to discuss the upcoming one-year expedition on the Station.
NASA astronaut Scott Kelly will launch to the ISS in March 2015 to begin a year-long stay aboard the orbiting laboratory -- the longest single space mission ever undertaken by an American. He will be joined by Mikhail Kornienko of the Russian Federal Space Agency (Roscosmos).</t>
  </si>
  <si>
    <t>-qDtz55LezY</t>
  </si>
  <si>
    <t>2014 12 17</t>
  </si>
  <si>
    <t>https://youtu.be/8NwZhQ_S3qM</t>
  </si>
  <si>
    <t>STEM in 30  Kites to Flight  Inventing with the Wright Brothers</t>
  </si>
  <si>
    <t>In celebration of the anniversary of the Wilbur and Orville Wright's historic first flight in 1903, this fast-paced webcast gives students in sixth to eighth grades an introduction to the Wright brothers and the process of innovation. The program uses the Wright Flyer as a starting point to explore the concepts of flight. The program was presented at the National Air and Space Museum.</t>
  </si>
  <si>
    <t>8NwZhQ_S3qM</t>
  </si>
  <si>
    <t>2014 12 15</t>
  </si>
  <si>
    <t>https://youtu.be/C8ZWjdP74aA</t>
  </si>
  <si>
    <t>ISS Astronaut Talks About Life in Space with BBC</t>
  </si>
  <si>
    <t>Aboard the International Space Station, Expedition 42 Flight Engineer Samantha Cristoforetti of the European Space Agency, discussed life and research aboard the orbital outpost with the British Broadcasting Corporation’s Channel 4, during an in-flight question and answer session Dec. 15. Cristoforetti arrived on the station in late November and is scheduled to remain in orbit until mid-May 2015.</t>
  </si>
  <si>
    <t>C8ZWjdP74aA</t>
  </si>
  <si>
    <t>2014 12 12</t>
  </si>
  <si>
    <t>https://youtu.be/jQmRxStVXkk</t>
  </si>
  <si>
    <t>Orion is back on This Week @NASA - December 12, 2014</t>
  </si>
  <si>
    <t>The hugely successful first flight test on Dec. 5 of NASA’s Orion spacecraft took it farther than any spacecraft designed for astronauts has been in more than 40 years. The two-orbit, 4.5 hour trip into space was designed to test many of Orion’s systems critical to crew safety – with data collected by more than 1,200 onboard sensors. The capsule splashed down in the Pacific Ocean about 600 miles southwest of San Diego and was recovered by a team of NASA, U.S. Navy and Lockheed Martin personnel aboard the USS Anchorage. Final destination for NASA’s new deep space capsule is Kennedy Space Center in Florida – where its first journey to space began – so engineers there can evaluate the data. Orion will open the space between Earth and Mars for exploration by astronauts and testing of the capabilities and technologies needed for future human missions to Mars. Also, Curiosity’s Mount Sharp findings, New Horizons’ wake-up call and Enabling unique aircraft design!</t>
  </si>
  <si>
    <t>jQmRxStVXkk</t>
  </si>
  <si>
    <t>https://youtu.be/bm3r3Q2lULo</t>
  </si>
  <si>
    <t>European Space Station Crew Member Discusses Life in Space with Italian Media</t>
  </si>
  <si>
    <t>Aboard the International Space Station, Expedition 42 Flight Engineer Samantha Cristoforetti of the European Space Agency discussed the progress of her mission on the orbital laboratory during an in-flight news conference Dec. 12 with Italian media gathered at the Italian Space Agency's headquartersin Rome. Cristoforetti arrived on the station Nov. 24 for five and a half months of scientific research and maintenance activity.</t>
  </si>
  <si>
    <t>bm3r3Q2lULo</t>
  </si>
  <si>
    <t>2014 12 10</t>
  </si>
  <si>
    <t>https://youtu.be/omnWO_t_zyM</t>
  </si>
  <si>
    <t>Space Station Crew Members Discuss Life in Space with CNN and the US Navy</t>
  </si>
  <si>
    <t>Aboard the International Space Station, Expedition 42 Commander Barry Wilmore of NASA, a captain in the U.S. Navy, and Flight Engineer Terry Virts of NASA discussed life and work aboard the orbital laboratory with CNN International and the Navy Times during a pair of in-flight interviews Dec. 10. Wilmore has been conducting research and living on the complex since arriving Sept. 26, while Virts is in his third week on the outpost.</t>
  </si>
  <si>
    <t>omnWO_t_zyM</t>
  </si>
  <si>
    <t>2014 12 09</t>
  </si>
  <si>
    <t>https://youtu.be/tuAN3I2KSEk</t>
  </si>
  <si>
    <t>President Obama Recognizes Orion Chief Engineer Julie Kramer White</t>
  </si>
  <si>
    <t>President Obama recognizes Orion Chief Engineer Julie Kramer White during remarks at the conference for senior leaders of the Senior Executive Service.</t>
  </si>
  <si>
    <t>tuAN3I2KSEk</t>
  </si>
  <si>
    <t>2014 12 08</t>
  </si>
  <si>
    <t>https://youtu.be/MuSnkk2SEN0</t>
  </si>
  <si>
    <t>Orion’s first flight on This Week @NASA - December 8, 2014</t>
  </si>
  <si>
    <t>The successful first flight test of NASA’s Orion spacecraft on Dec. 5 not only was a historic moment for the agency – but also was a critical step on NASA’s Journey to Mars. Orion rode to space from Cape Canaveral Air Force Station on a Delta IV heavy rocket with no crew, but loaded with about 1,200 sensors. The flight test basically was a compilation of the riskiest events that will happen when astronauts fly on Orion on deep space missions. Also, Journey to Mars briefing, 1st SLS flight barrel and Commercial crew milestone.</t>
  </si>
  <si>
    <t>MuSnkk2SEN0</t>
  </si>
  <si>
    <t>https://youtu.be/wXU0dseMe0s</t>
  </si>
  <si>
    <t>NASA TV Presents  Inside the ISS - December 2014</t>
  </si>
  <si>
    <t>A look inside the life, science and adventure of being an astronaut aboard the International Space Station.
www.nasa.gov/mission_pages/station</t>
  </si>
  <si>
    <t>wXU0dseMe0s</t>
  </si>
  <si>
    <t>2014 12 05</t>
  </si>
  <si>
    <t>https://youtu.be/tocdRA-_lLs</t>
  </si>
  <si>
    <t xml:space="preserve"> (See below for updated link to this video)-Orion’s first flight on This Week @NASA</t>
  </si>
  <si>
    <t>Updated video for “Orion’s first flight on This Week @NASA” is located at: (http://youtu.be/MuSnkk2SEN0)</t>
  </si>
  <si>
    <t>tocdRA-_lLs</t>
  </si>
  <si>
    <t>https://youtu.be/6RbgegMSQL0</t>
  </si>
  <si>
    <t>Orion’s First Flight Test Reviewed</t>
  </si>
  <si>
    <t>Following the first flight test of NASA’s Orion spacecraft on Dec. 4, known as Exploration Flight Test-1, a media briefing was held at Kennedy Space Center to review the mission.</t>
  </si>
  <si>
    <t>6RbgegMSQL0</t>
  </si>
  <si>
    <t>https://youtu.be/Qa5fQ0dkOW0</t>
  </si>
  <si>
    <t>The von Kármán Lecture Series  Dawn’s Mission to the Asteroid Belt</t>
  </si>
  <si>
    <t>A Theodore von Kármán Lecture Series talk, held December 4 and 5 at NASA’s Jet Propulsion Laboratory in Pasadena, California, addressed the ambitious and exciting mission of the Dawn spacecraft, one of NASA's most remarkable ventures into the solar system. After more than seven years of interplanetary spaceflight, which included a spectacular exploration of the asteroid Vesta, the Dawn probe is just a few months away from the mysterious world, Ceres. Ceres and Vesta are two of the most massive residents of the main asteroid belt, that vast collection of bodies between Mars and Jupiter. Dr. Marc Rayman, Dawn Project Mission Director, is the featured speaker.</t>
  </si>
  <si>
    <t>Qa5fQ0dkOW0</t>
  </si>
  <si>
    <t>https://youtu.be/DiFBOyTdX9I</t>
  </si>
  <si>
    <t>Orion Explore and Beyond</t>
  </si>
  <si>
    <t>DiFBOyTdX9I</t>
  </si>
  <si>
    <t>https://youtu.be/ZWEa_uil9bM</t>
  </si>
  <si>
    <t>Orion Navy Preps</t>
  </si>
  <si>
    <t>ZWEa_uil9bM</t>
  </si>
  <si>
    <t>https://youtu.be/ThVdnyokBME</t>
  </si>
  <si>
    <t>Orion Journey To Mars</t>
  </si>
  <si>
    <t>ThVdnyokBME</t>
  </si>
  <si>
    <t>https://youtu.be/UEuOpxOrA_0</t>
  </si>
  <si>
    <t>Orion Soars on First Flight Test</t>
  </si>
  <si>
    <t>NASA’s Orion spacecraft launched successfully atop a United Launch Alliance Delta IV Heavy rocket Dec. 5 at 7:05 a.m. EST from Space Launch Complex 37 at Cape Canaveral Air Force Station in Florida. Orion’s Exploration Flight Test-1 (EFT-1), is the first flight test for NASA’s new deep space capsule and is a critical step on NASA's journey to Mars. The 4.5 hour flight is scheduled to conclude with the splashdown of Orion in the Pacific Ocean.</t>
  </si>
  <si>
    <t>UEuOpxOrA_0</t>
  </si>
  <si>
    <t>2014 12 04</t>
  </si>
  <si>
    <t>https://youtu.be/GXm2uZii-_c</t>
  </si>
  <si>
    <t>Orion Post-Scrub News Conference</t>
  </si>
  <si>
    <t>A news conference was held at Kennedy Space Center, on Dec. 4 to discuss the launch postponement of the first flight test for NASA’s Orion spacecraft. The launch was scrubbed because of an issue related to fill and drain valves on the Delta IV Heavy rocket that teams could not troubleshoot by the time the launch window expired. The next launch window opens at 7:05 a.m. Eastern on Friday, Dec. 5. NASA Television coverage of the Friday, Dec. 5 launch attempt begins at 6 a.m. EST.</t>
  </si>
  <si>
    <t>GXm2uZii-_c</t>
  </si>
  <si>
    <t>https://youtu.be/hWzSZkWN9H4</t>
  </si>
  <si>
    <t>Orion This Year @NASA 2014</t>
  </si>
  <si>
    <t>hWzSZkWN9H4</t>
  </si>
  <si>
    <t>https://youtu.be/k0qgrEtoGeY</t>
  </si>
  <si>
    <t>Orion Year End Music Video</t>
  </si>
  <si>
    <t>k0qgrEtoGeY</t>
  </si>
  <si>
    <t>https://youtu.be/SaoMxjldSDQ</t>
  </si>
  <si>
    <t>Orion Flight Test Opening Video</t>
  </si>
  <si>
    <t>SaoMxjldSDQ</t>
  </si>
  <si>
    <t>2014 12 03</t>
  </si>
  <si>
    <t>https://youtu.be/Ca1gp-rjbe4</t>
  </si>
  <si>
    <t>NASA Social for Orion’s First Flight Test</t>
  </si>
  <si>
    <t>For the first time ever, all 10 NASA field centers participated in a multi-center NASA Social event on Dec. 3, previewing the Dec. 4 first flight of the Orion Spacecraft on Exploration Flight Test-1. Social media members were invited to participate in the event, in-person at one of eight locations around the country. The Social included discussion about Orion and NASA’s Journey to Mars and provided participants a unique behind the scenes look the NASA center hosting them for the event.</t>
  </si>
  <si>
    <t>Ca1gp-rjbe4</t>
  </si>
  <si>
    <t>https://youtu.be/ib4djfbik40</t>
  </si>
  <si>
    <t>Orion Versatility Video</t>
  </si>
  <si>
    <t>ib4djfbik40</t>
  </si>
  <si>
    <t>https://youtu.be/gjglwMPvzVo</t>
  </si>
  <si>
    <t>Orion Trial By Fire</t>
  </si>
  <si>
    <t>gjglwMPvzVo</t>
  </si>
  <si>
    <t>https://youtu.be/eunS46Yfb2Q</t>
  </si>
  <si>
    <t>Orion Parachutes Feature</t>
  </si>
  <si>
    <t>eunS46Yfb2Q</t>
  </si>
  <si>
    <t>https://youtu.be/SXHcRy73dS0</t>
  </si>
  <si>
    <t>Orion NASA's Parallel Path to Human Spaceflight</t>
  </si>
  <si>
    <t>SXHcRy73dS0</t>
  </si>
  <si>
    <t>https://youtu.be/LlnSgHdF9WE</t>
  </si>
  <si>
    <t>Orion Heatshield Feature</t>
  </si>
  <si>
    <t>LlnSgHdF9WE</t>
  </si>
  <si>
    <t>https://youtu.be/O9Tm4N5S4s4</t>
  </si>
  <si>
    <t>Orion Flow</t>
  </si>
  <si>
    <t>O9Tm4N5S4s4</t>
  </si>
  <si>
    <t>https://youtu.be/nopcLTKMVU8</t>
  </si>
  <si>
    <t>Orion Cockpit Feature</t>
  </si>
  <si>
    <t>nopcLTKMVU8</t>
  </si>
  <si>
    <t>https://youtu.be/u71bRf54xDw</t>
  </si>
  <si>
    <t>Orion’s First Flight Test Previewed</t>
  </si>
  <si>
    <t>On the eve of the first flight test of NASA’s Orion spacecraft, the agency held a media briefing at Kennedy Space Center to preview the mission. Orion’s Exploration Flight Test-1 is scheduled for no earlier than December 4. Following launch atop a United Launch Alliance (ULA) Delta IV Heavy rocket from Space Launch Complex 37 at Cape Canaveral Air Force Station in Florida, the uninhabited Orion will travel 3,600 miles in altitude to test many of the systems most critical to safety, before returning to Earth for a splashdown in the Pacific Ocean.</t>
  </si>
  <si>
    <t>u71bRf54xDw</t>
  </si>
  <si>
    <t>2014 12 02</t>
  </si>
  <si>
    <t>https://youtu.be/-jNzvLOHLJw</t>
  </si>
  <si>
    <t>Orion Flight Test Prelaunch Status and Overview Briefing</t>
  </si>
  <si>
    <t>During this Dec. 2 prelaunch news briefing about the first flight test of NASA’s Orion spacecraft, officials from NASA, Lockheed Martin and United Launch Alliance discussed the status of prelaunch operations and the activities of the mission itself. The launch of Orion , on Exploration Flight Test-1, is scheduled for December 4, atop a United Launch Alliance (ULA) Delta IV Heavy rocket from Space Launch Complex 37 at Cape Canaveral Air Force Station in Florida. The uninhabited spacecraft will travel 3,600 miles in altitude to test many of the systems most critical to safety, before returning to Earth for a splashdown in the Pacific Ocean.</t>
  </si>
  <si>
    <t>-jNzvLOHLJw</t>
  </si>
  <si>
    <t>https://youtu.be/zBoj-1m-qLU</t>
  </si>
  <si>
    <t>NASA’s Journey to Mars News Briefing</t>
  </si>
  <si>
    <t>On Dec. 2, two days before the launch of the Orion spacecraft’s first flight test (Exploration Flight Test-1), NASA held a news briefing, with participants at Kennedy Space Center and NASA Headquarters in Washington, to discuss the agency’s Journey to Mars and the critical role Orion’s flight test plays in the endeavor.</t>
  </si>
  <si>
    <t>zBoj-1m-qLU</t>
  </si>
  <si>
    <t>2014 12 01</t>
  </si>
  <si>
    <t>https://youtu.be/cKGc3iFighE</t>
  </si>
  <si>
    <t>Beautiful Earth-Global Precipitation Measurement Mission</t>
  </si>
  <si>
    <t>This Dec. 1 link-up to schools from Goddard Space Flight Center’s Digital Learning Network Studio, included a musical and visual tour of Earth from space and discussion with Global Precipitation Measurement (GPM) Mission scientist Dr. Dalia Kirschbaum. The GPM mission’s Core Observatory launched in February 2014 to provide next generation, detailed observations from space of global precipitation.</t>
  </si>
  <si>
    <t>cKGc3iFighE</t>
  </si>
  <si>
    <t>https://youtu.be/5lTSXDufSPk</t>
  </si>
  <si>
    <t>Why I Give  NASA Employee Miriam Moreno</t>
  </si>
  <si>
    <t>My name is Miriam Moreno, I have worked for the federal government for 25 years. I grew up in a poor village in El Salvador where food was scarce, and life was hard, especially for those who were sick and of advanced age. I would sometimes go to bed feeling hungry, but for many people in the village going to bed feeling hungry was routine and not an isolated event.  I’ve always had a soft spot for older people and now that I have been blessed with a great job and are in a position to help, I am happy that I am able to give to senior centers in disadvantaged areas through the CFC, because that is my way of showing gratitude and saying thank you for what I now have, which is a lot relative to what I had when I started. Giving through the CFC is a great way to help others but also a great way to express your own gratitude.</t>
  </si>
  <si>
    <t>5lTSXDufSPk</t>
  </si>
  <si>
    <t>2014 11 28</t>
  </si>
  <si>
    <t>https://youtu.be/-Qx6cbXWD0Y</t>
  </si>
  <si>
    <t>New crew launches to ISS on This Week @NASA - November 28, 2014</t>
  </si>
  <si>
    <t>NASA’s Terry Virts and Expedition 42/43 crewmates, Anton Shkaplerov of the Russian Federal Space Agency and the European Space Agency’s Samantha Cristoforetti, launched Nov. 23 at 4:01 p.m. Eastern Standard Time, from Baikonur, Kazakhstan. Almost six hours later, their Soyuz spacecraft docked to the International Space Station – where they joined Expedition 42 Commander Barry Wilmore of NASA, and Flight Engineers Alexander Samokutyaev and Elena Serova of Roscosmos – returning the station crew to its full complement of six people. Also, First 3-D printed object in space, Orion flight test update, New airborne Earth Science missions and Happy Thanksgiving from space!</t>
  </si>
  <si>
    <t>-Qx6cbXWD0Y</t>
  </si>
  <si>
    <t>2014 11 25</t>
  </si>
  <si>
    <t>https://youtu.be/tLmQW-4yO1k</t>
  </si>
  <si>
    <t>International Space Station Crew Discusses Life In Space With Tennessee and Maryland Media</t>
  </si>
  <si>
    <t>Aboard the International Space Station, Expedition 42 Commander Barry Wilmore and Flight Engineer Terry Virts of NASA discussed life and work aboard the orbital laboratory during a pair of in-flight interviews Nov. 25 with WBAL-TV in Baltimore and WKRN-TV in Nashville, Tennessee. Wilmore, who is a native of Mount Juliet, Tennessee, arrived on the station in late September and will remain in orbit until March 2015, while Virts, a native of Baltimore, is in his first days aboard the complex of a five and a half month mission that will culminate with his return to Earth in May 2015.</t>
  </si>
  <si>
    <t>tLmQW-4yO1k</t>
  </si>
  <si>
    <t>2014 11 24</t>
  </si>
  <si>
    <t>https://youtu.be/VcI9tTUDFTQ</t>
  </si>
  <si>
    <t>Welcome to the Space Station!</t>
  </si>
  <si>
    <t>Following a six-hour trip from the Baikonur Cosmodrome in Kazakhstan, Expedition 42/43 Soyuz Commander Anton Shkaplerov of the Russian Federal Space Agency (Roscosmos), NASA Flight Engineer Terry Virts and Flight Engineer Samantha Cristoforetti of the European Space Agency, were welcomed aboard the International Space Station by Commander Barry Wilmore, of NASA and the rest of the crew aboard the station.</t>
  </si>
  <si>
    <t>VcI9tTUDFTQ</t>
  </si>
  <si>
    <t>https://youtu.be/GyJGuZnUKoc</t>
  </si>
  <si>
    <t>New Crew Docks to ISS</t>
  </si>
  <si>
    <t>After launching earlier in the day in their Soyuz TMA-15M spacecraft from the Baikonur Cosmodrome in Kazakhstan, Expedition 42/43 Soyuz Commander Anton Shkaplerov of the Russian Federal Space Agency (Roscosmos), NASA Flight Engineer Terry Virts and Flight Engineer Samantha Cristoforetti of the European Space Agency, arrived at the International Space Station on Nov. 24, following a four-orbit, six-hour rendezvous.</t>
  </si>
  <si>
    <t>GyJGuZnUKoc</t>
  </si>
  <si>
    <t>2014 11 23</t>
  </si>
  <si>
    <t>https://youtu.be/h3V_vR5IJ_I</t>
  </si>
  <si>
    <t>Expedition 42 43 Launches to the ISS</t>
  </si>
  <si>
    <t>Expedition 42/43 Soyuz Commander Anton Shkaplerov of the Russian Federal Space Agency, NASA Flight Engineer Terry Virts and Flight Engineer Samantha Cristoforetti of the European Space Agency launched to the International Space Station on Nov. 24, Kazakh time, from the Baikonur Cosmodrome in Kazakhstan to begin a 5 ½-month mission aboard the station.</t>
  </si>
  <si>
    <t>h3V_vR5IJ_I</t>
  </si>
  <si>
    <t>2014 11 22</t>
  </si>
  <si>
    <t>https://youtu.be/un1QjgeVWk8</t>
  </si>
  <si>
    <t>Expedition 42 43 Crew Meets Officials and Reporters</t>
  </si>
  <si>
    <t>The Russian State Commission Meeting and Final Expedition 42/43 Pre-Launch Crew News Conference in Baikonur, Kazakhstan</t>
  </si>
  <si>
    <t>un1QjgeVWk8</t>
  </si>
  <si>
    <t>2014 11 21</t>
  </si>
  <si>
    <t>https://youtu.be/3PNRy8XymFo</t>
  </si>
  <si>
    <t>NASA is with you when you fly on This Week @NASA - November 21, 2014</t>
  </si>
  <si>
    <t>NASA invited social media members Nov. 18 and 19 to the agency’s Armstrong Flight Research Center for a two-day event highlighting the ways NASA is with you when you fly. The NASA social gave participants an exclusive look at the latest tools and technologies being developed to improve the efficiency, safety and adaptability of air transportation. Also, Next ISS crew trains, 3D printer installed in space, Asteroid capture technology test, Journey to Mars media day and more!</t>
  </si>
  <si>
    <t>3PNRy8XymFo</t>
  </si>
  <si>
    <t>https://youtu.be/yG8EdmkLXdk</t>
  </si>
  <si>
    <t>ISS Commander talks sports with ESPN</t>
  </si>
  <si>
    <t>Aboard the International Space Station, Expedition 42 Commander Barry Wilmore of NASA discussed the progress of his mission and his favorite sports teams during an in-flight interview Nov. 21 with ESPN Radio’s Colin Cowherd.</t>
  </si>
  <si>
    <t>yG8EdmkLXdk</t>
  </si>
  <si>
    <t>2014 11 20</t>
  </si>
  <si>
    <t>https://youtu.be/vNR1pWZ42oI</t>
  </si>
  <si>
    <t>Launch day cometh for next ISS crew</t>
  </si>
  <si>
    <t>At the Baikonur Cosmodrome in Kazakhstan, Expedition 42/43 Soyuz Commander Anton Shkaplerov of the Russian Federal Space Agency (Roscosmos), NASA Flight Engineer Terry Virts and Flight Engineer Samantha Cristoforetti of the European Space Agency, completed a final “fit check” dress rehearsal on November 19; the day before their Soyuz spacecraft was mated to its booster. The crew is preparing for liftoff on Nov. 24, Kazakh time, for a five-and-a-half-month mission on the International Space Station.</t>
  </si>
  <si>
    <t>vNR1pWZ42oI</t>
  </si>
  <si>
    <t>2014 11 19</t>
  </si>
  <si>
    <t>https://youtu.be/GaI88NgH9dw</t>
  </si>
  <si>
    <t>All you ever wanted to know about space food</t>
  </si>
  <si>
    <t>From John Glenn's food in a tube to the shuttle astronauts' candy coated chocolates; space food has come a long way. In this episode of The Smithsonian National Air and Space Museum's educational "STEM in 30" series, students learn about the history of space food, how food is prepared and packaged for space, and the changes in nutrition over time.</t>
  </si>
  <si>
    <t>GaI88NgH9dw</t>
  </si>
  <si>
    <t>2014 11 18</t>
  </si>
  <si>
    <t>https://youtu.be/fBhQRD_eA3s</t>
  </si>
  <si>
    <t>Next ISS Crew Prepares for Launch</t>
  </si>
  <si>
    <t>At the Baikonur Cosmodrome in Kazakhstan, Expedition 42/43, the next crew headed to the International Space Station participated in final training activities prior to their upcoming launch. Soyuz Commander Anton Shkaplerov of the Russian Federal Space Agency (Roscosmos), NASA Flight Engineer Terry Virts and Flight Engineer Samantha Cristoforetti of the European Space Agency will launch to station on Nov. 24, Kazakh time.</t>
  </si>
  <si>
    <t>fBhQRD_eA3s</t>
  </si>
  <si>
    <t>2014 11 14</t>
  </si>
  <si>
    <t>https://youtu.be/OJsBU1jYpoo</t>
  </si>
  <si>
    <t>Orion rolled out and mated on This Week @NASA - November 14, 2014</t>
  </si>
  <si>
    <t>In preparation for its first spaceflight test next month, NASA’s Orion spacecraft was transported from Kennedy Space Center’s Launch Abort System Facility to Space Launch Complex 37 at nearby Cape Canaveral Air Force Station on November 11, arriving at the launch pad early Nov. 12. NASA’s new deep space exploration capsule then was attached to the top of the Delta IV Heavy rocket that will carry it to space for the Dec. 4 test. Also,  ISS crew returns safely, Earth Science research to continue with developing nations, Rosetta update, Rocks and Robots and more!</t>
  </si>
  <si>
    <t>OJsBU1jYpoo</t>
  </si>
  <si>
    <t>2014 11 13</t>
  </si>
  <si>
    <t>https://youtu.be/BrP3vKO3oP8</t>
  </si>
  <si>
    <t>Countdown to Launch Live Event from the National Air and Space Museum in Washington D.C.</t>
  </si>
  <si>
    <t>The "What's New in Aerospace" program is presented from the National Air and Space Museum's Moving Beyond Earth exhibition gallery and showcases NASA's Launch Services--Jim Norman, Director of Launch Services; Tim Dunn, NASA Launch Manager and Albert Sierra, Chief of the Launch Services Program's Flight Projects Office to discuss NASA's mission flow up to launch.</t>
  </si>
  <si>
    <t>BrP3vKO3oP8</t>
  </si>
  <si>
    <t>https://youtu.be/lZ310kCDVJg</t>
  </si>
  <si>
    <t>Expedition 42 43 Crew Departs Star City for Baikonur Cosmodrome in Kazakhstan</t>
  </si>
  <si>
    <t>Expedition 42/43 Soyuz Commander Anton Shkaplerov of the Russian Federal Space Agency (Roscosmos), NASA Flight Engineer Terry Virts and Flight Engineer Samantha Cristoforetti of the European Space Agency and their backups, Oleg Kononenko of Roscosmos, Kjell Lindgren of NASA and Kimiya Yui of the Japan Aerospace Exploration Agency participated in traditional ceremonies at the Gagarin Cosmonaut Training Center in Star City, Russia, outside Moscow on Nov. 11. Afterward, they departed for the Baikonur Cosmodrome in Kazakhstan to complete their training for the launch of Shkaplerov, Virts and Cristoforetti to the International Space Station in the Soyuz TMA-15M spacecraft on Nov. 24, Kazakh time.</t>
  </si>
  <si>
    <t>lZ310kCDVJg</t>
  </si>
  <si>
    <t>2014 11 12</t>
  </si>
  <si>
    <t>https://youtu.be/oZ5ydKUzkds</t>
  </si>
  <si>
    <t>Get Ready to Celebrate 25 years of Hubble!</t>
  </si>
  <si>
    <t>April 24, 2015 marks the historic launch of the Hubble Space Telescope aboard the space shuttle Discovery. Join in the celebration and stay in the loop with #Hubble25</t>
  </si>
  <si>
    <t>oZ5ydKUzkds</t>
  </si>
  <si>
    <t>https://youtu.be/8jsRs6HYlLo</t>
  </si>
  <si>
    <t>NASA’s Orion Spacecraft Set to Roll out to Launch Pad for its First Test Flight</t>
  </si>
  <si>
    <t>NASA’s Orion spacecraft rolled out of the Launch Abort System Facility (LASF) at NASA’s Kennedy Space Center in Florida to its launch pad at nearby Cape Canaveral Air Force Station’s Space Launch Complex 37 late Tuesday night Nov. 11, in preparation for liftoff next month on its first space flight.</t>
  </si>
  <si>
    <t>8jsRs6HYlLo</t>
  </si>
  <si>
    <t>2014 11 10</t>
  </si>
  <si>
    <t>https://youtu.be/v8PVrn6lyx0</t>
  </si>
  <si>
    <t>NASA Conducts Media Briefing on Orion Spacecraft Roll out to Launch Pad for First Test Flight</t>
  </si>
  <si>
    <t>NASA conducted a media news briefing from the Launch Abort System Facility (LASF) at NASA’s Kennedy Space Center in Florida prior to the Orion spacecraft roll out to its launch pad at nearby Cape Canaveral Air Force Station’s Space Launch Complex 37 in preparation for liftoff next month on its first space flight.  
Participants in the briefing included:
-       Robert Cabana, Kennedy Space Center director
-       Ellen Ochoa, Johnson Space Center director
-       Mark Geyer, Orion Program manager
-       Mike Hawes, Lockheed Martin Space Systems Company      director of Human Space Flight Programs</t>
  </si>
  <si>
    <t>v8PVrn6lyx0</t>
  </si>
  <si>
    <t>https://youtu.be/aHRuyNXuLxg</t>
  </si>
  <si>
    <t>Coming Soon  Orion Flight Test</t>
  </si>
  <si>
    <t>NASA’s Orion spacecraft is built to take humans farther than they’ve ever gone before. Orion will serve as the exploration vehicle that will carry the crew to space, provide emergency abort capability, sustain the crew during the space travel, and provide safe re-entry from deep space return velocities.
On December 4, 2014, Orion will launch atop a Delta IV Heavy rocket from Cape Canaveral Air Force Station's Space Launch Complex Flight Test on the Orion Flight Test: a two-orbit, four-hour flight that will test many of the systems most critical to safety.
The Orion Flight Test will evaluate launch and high speed re-entry systems such as avionics, attitude control, parachutes and the heat shield. In the future, Orion will launch on NASA’s new heavy-lift rocket, the Space Launch System. More powerful than any rocket ever built, SLS will be capable of sending humans to deep space destinations such as an asteroid and eventually Mars. Exploration Mission-1 will be the first mission to integrate Orion and the Space Launch System.
http://www.nasa.gov/exploration/systems/orion</t>
  </si>
  <si>
    <t>aHRuyNXuLxg</t>
  </si>
  <si>
    <t>https://youtu.be/zbUNeyGRErQ</t>
  </si>
  <si>
    <t>NASA Inspires Brad Paisley</t>
  </si>
  <si>
    <t>During a visit to NASA's Kennedy Space Center, country music artist Brad Paisley discusses the inspiration of the "American Flag on the Moon” and NASA's next giant leap in space exploration.</t>
  </si>
  <si>
    <t>zbUNeyGRErQ</t>
  </si>
  <si>
    <t>https://youtu.be/uhsb7EWLzuo</t>
  </si>
  <si>
    <t>Expedition 41 Crew Receives a Warm Welcome in Kazakhstan and Russia</t>
  </si>
  <si>
    <t>Expedition 41 Commander Max Suraev of the Russian Federal Space Agency (Roscosmos), Flight Engineer Reid Wiseman of NASA and Flight Engineer Alexander Gerst of the European Space Agency were greeted in a traditional ceremony at the airport in Kustanai, Kazakhstan, on Nov. 10, a few hours after landing in their Soyuz TMA-13M spacecraft in Kazakhstan near the town of Arkalyk. After the ceremony, the crew split up, with Suraev returning to his training base in Star City, Russia, and Wiseman and Gerst boarding a NASA plane in Kustanai to return to the Johnson Space Center in Houston and Europe, respectively. The trio completed 165 days in space following their launch in late May. The footage includes interviews conducted with Wiseman and Gerst before they began their respective trips.</t>
  </si>
  <si>
    <t>uhsb7EWLzuo</t>
  </si>
  <si>
    <t>https://youtu.be/RPkMWIzvgJA</t>
  </si>
  <si>
    <t>International Space Station Expedition 41 Astronaut Crew Lands Safely in Kazakhstan</t>
  </si>
  <si>
    <t>Expedition 41 Commander Max Suraev of the Russian Federal Space Agency (Roscosmos), NASA Flight Engineer Reid Wiseman and Flight Engineer Alexander Gerst of the European Space Agency landed safely on the steppe of Kazakhstan near the town of Arkalyk on Nov. 10, Kazakh time, after bidding farewell to the Expedition 42 crew members and undocking their Soyuz TMA-13M spacecraft from the Rassvet module on the International Space Station. The trio completed 165 days in space since launching in late May. After landing, Suraev, Wiseman and Gerst were assisted into reclining chairs by Russian and U.S. personnel to begin their adaptation to gravity after being extracted from their spacecraft. The footage includes the change of command ceremony that took place on the station Nov. 8 in which Suraev handed over command of the complex to NASA Flight Engineer Barry Wilmore.</t>
  </si>
  <si>
    <t>RPkMWIzvgJA</t>
  </si>
  <si>
    <t>https://youtu.be/Hne7jqoF0Sk</t>
  </si>
  <si>
    <t>Expedition 41 Crew Successfully Departs the International Space Station and heads back to Earth</t>
  </si>
  <si>
    <t>Expedition 41 Commander Max Suraev of the Russian Federal Space Agency (Roscosmos), NASA Flight Engineer Reid Wiseman and Flight Engineer Alexander Gerst of the European Space Agency bid farewell to the Expedition 42 crew members and undocked their Soyuz TMA-13M spacecraft from the Rassvet module on the International Space Station. The footage includes the change of command ceremony that took place on the station Nov. 8 in which Suraev handed over command of the complex to NASA Flight Engineer Barry Wilmore. The trio completed 165 days in space since launching in late May.</t>
  </si>
  <si>
    <t>Hne7jqoF0Sk</t>
  </si>
  <si>
    <t>2014 11 09</t>
  </si>
  <si>
    <t>https://youtu.be/o9vsHSE8i4E</t>
  </si>
  <si>
    <t>Expedition 41 Crew Hands Over Reins of ISS, Prepares to Head Home</t>
  </si>
  <si>
    <t>In preparation for their return to Earth, International Space Station Expedition 41 Commander Max Suraev of the Russian Federal Space Agency (Roscosmos), NASA Flight Engineer Reid Wiseman and Flight Engineer Alexander Gerst of the European Space Agency, bid farewell to the Expedition 42 crew, who will continue the important research being conducted aboard the station. Suraev, Wiseman and Gerst completed 165 days in space since launching in late May.</t>
  </si>
  <si>
    <t>o9vsHSE8i4E</t>
  </si>
  <si>
    <t>2014 11 07</t>
  </si>
  <si>
    <t>https://youtu.be/gI8Dk9CeeZA</t>
  </si>
  <si>
    <t>Orion flight test previewed on This Week @NASA - November 7, 2014</t>
  </si>
  <si>
    <t>A NASA media briefing on Nov. 6 at Kennedy Space Center highlighted the fully assembled Orion spacecraft and details of its first test flight, scheduled for Dec. 4. The 4 and-a-half hour flight, called Exploration Flight Test-1, will send Orion 3,600 miles from Earth on a two-orbit flight to confirm its critical systems are ready for the challenges of eventually sending astronauts on deep space missions to an asteroid and Mars. Also, Delta IV Heavy wet dress test, Next ISS crew trains, Space agency leaders support ISS, Curiosity confirms orbital data and more!</t>
  </si>
  <si>
    <t>gI8Dk9CeeZA</t>
  </si>
  <si>
    <t>https://youtu.be/PIbGuKQS_F8</t>
  </si>
  <si>
    <t>The von Karman Lecture Series NASA Asteroid Redirect</t>
  </si>
  <si>
    <t>A Theodore von Kármán Lecture Series talk, held November 6 and 7 at NASA’s Jet Propulsion Laboratory in Pasadena, California, addressed the key aspects of the agency’s Asteroid Redirect Robotic Mission (ARRM) concept, which seeks to rendezvous with, capture, and redirect to translunar space a near-Earth asteroid.</t>
  </si>
  <si>
    <t>PIbGuKQS_F8</t>
  </si>
  <si>
    <t>2014 11 06</t>
  </si>
  <si>
    <t>https://youtu.be/X7Akd7rCKmI</t>
  </si>
  <si>
    <t>Next ISS Crew Participates in Pre Flight Activities</t>
  </si>
  <si>
    <t>Expedition 42/43 Soyuz Commander Anton Shkaplerov of the Russian Federal Space Agency (Roscosmos), NASA Flight Engineer Terry Virts and Flight Engineer Samantha Cristoforetti of the European Space Agency conducted a pre-launch news conference at the Gagarin Cosmonaut Training Center in Star City, Russia, Nov. 6, then toured Red Square and the Kremlin in Moscow. Shkaplerov, Virts and Cristoforetti are scheduled to launch Nov. 24, Kazakh time, in the Soyuz TMA-15M spacecraft to begin a five-and-a-half-month mission on the International Space Station.</t>
  </si>
  <si>
    <t>X7Akd7rCKmI</t>
  </si>
  <si>
    <t>https://youtu.be/mu98Eq-goT4</t>
  </si>
  <si>
    <t>NASA Previews Orion Spacecraft’s First Flight Test</t>
  </si>
  <si>
    <t>During a NASA Television media briefing from the agency’s Kennedy Space Center in Florida, NASA officials discussed the completed construction of the new Orion spacecraft and details of its first test flight, scheduled for Dec. 4. During the 4.5-hour flight, called Exploration Flight Test-1, Orion will travel farther than any crewed spacecraft has gone in more than 40 years, before returning to Earth at speeds near 20,000 mph and generating temperatures up to 4,000 degrees Fahrenheit.</t>
  </si>
  <si>
    <t>mu98Eq-goT4</t>
  </si>
  <si>
    <t>2014 11 05</t>
  </si>
  <si>
    <t>https://youtu.be/bvqfkNoQunE</t>
  </si>
  <si>
    <t>NASA’s supersonic flying saucer highlighted</t>
  </si>
  <si>
    <t>NASA’s Low-Density Supersonic Decelerator project was the focus of a November 5 “What's New in Aerospace?” discussion at the Smithsonian National Air and Space Museum, featuring Principal Investigator Ian Clark from the Jet Propulsion Laboratory. LDSD is testing cross-cutting technologies to safely land heavier payloads on Mars and other planets with atmospheres. The successful flight in late June of its rocket-powered, saucer-shaped test vehicle into near-space in Kauai, Hawaii was the first of three planned for the LDSD project.</t>
  </si>
  <si>
    <t>bvqfkNoQunE</t>
  </si>
  <si>
    <t>2014 11 04</t>
  </si>
  <si>
    <t>https://youtu.be/msnQUTLIJB4</t>
  </si>
  <si>
    <t>ISS Astronaut Talks with Members of the German Parliament</t>
  </si>
  <si>
    <t>Aboard the International Space Station, Expedition 41 Flight Engineer Alexander Gerst of the European Space Agency discussed the highlights of his mission on the complex and his upcoming return to Earth during a question and answer session Nov. 4 with members of the German Parliament and top German space officials gathered in Berlin. Gerst arrived on the station in late May and is scheduled to return to Earth on Nov. 9.</t>
  </si>
  <si>
    <t>msnQUTLIJB4</t>
  </si>
  <si>
    <t>2014 11 03</t>
  </si>
  <si>
    <t>https://youtu.be/maSAdw4tPQo</t>
  </si>
  <si>
    <t>Space Station Crew Member Discusses His Mission and Upcoming Homecoming</t>
  </si>
  <si>
    <t>Aboard the International Space Station, Expedition 41 Flight Engineer Reid Wiseman of NASA, a Baltimore native, discussed the highlights of his 5 ½ month mission on the complex and his upcoming return to Earth during a pair of in-flight interviews Nov. 3 with the CBS Radio Network and WJZ-TV in Baltimore. Wiseman, who arrived on the station in late May, is preparing to return to Earth the night of Nov. 9, U.S. time, in a Russian Soyuz spacecraft for a parachute-assisted landing in Kazakhstan.</t>
  </si>
  <si>
    <t>maSAdw4tPQo</t>
  </si>
  <si>
    <t>2014 10 31</t>
  </si>
  <si>
    <t>https://youtu.be/Yu_wwVEqR-E</t>
  </si>
  <si>
    <t>SpaceX Dragon returns on This Week @NASA- October 31, 2014</t>
  </si>
  <si>
    <t>The SpaceX Dragon cargo capsule was recently detached from the International Space Station for its return to Earth, just over a month after delivering about 5,000 pounds of supplies and experiments to the ISS. Dragon safely returned to Earth with more than 3,200 pounds of NASA cargo and science samples – completing the company’s fourth resupply mission to the station. Also, Destination Station ISS Tech Forum, Orbital Sciences investigating accident, Russian supply ships to and from the ISS, Next ISS crew trains in Russia, Wind tunnel tests of SLS model and more!</t>
  </si>
  <si>
    <t>Yu_wwVEqR-E</t>
  </si>
  <si>
    <t>https://youtu.be/AE98uJB-_zU</t>
  </si>
  <si>
    <t>Expedition 42 43 Crew Undergoes Final Training In Star City, Russia</t>
  </si>
  <si>
    <t>Expedition 42/43 Soyuz Commander Anton Shkaplerov of the Russian Federal Space Agency (Roscosmos), NASA Flight Engineer Terry Virts and Flight Engineer Samantha Cristoforetti of the European Space Agency and their backups, Oleg Kononenko of Roscosmos, Kjell Lindgren of NASA and Kimiya Yui of the Japan Aerospace Exploration Agency, conducted final qualification training at the Gagarin Cosmonaut Training Center in Star City, Russia October 30 and 31.  Shkaplerov, Virts and Cristoforetti are scheduled to launch Nov. 24, Kazakh time, in the Soyuz TMA-15M spacecraft to begin a five and a half month mission on the International Space Station.</t>
  </si>
  <si>
    <t>AE98uJB-_zU</t>
  </si>
  <si>
    <t>2014 10 30</t>
  </si>
  <si>
    <t>https://youtu.be/LqwgLz6N83s</t>
  </si>
  <si>
    <t>German Astronaut On International Space Station Discusses Life In Orbit With German Media</t>
  </si>
  <si>
    <t>Aboard the International Space Station, Expedition 41 Flight Engineer Alexander Gerst of the European Space Agency discussed the accomplishments of his five and a half month mission on the complex with German media during an in-flight question and answer session Oct. 30. Gerst, who launched in late May, will return to Earth Nov. 10 aboard a Russian Soyuz vehicle for a parachute-assisted landing in Kazakhstan.</t>
  </si>
  <si>
    <t>LqwgLz6N83s</t>
  </si>
  <si>
    <t>2014 10 29</t>
  </si>
  <si>
    <t>https://youtu.be/CGgp4DsRyCM</t>
  </si>
  <si>
    <t>Russian Progress 57 Cargo Ship Launches To The International Space Station</t>
  </si>
  <si>
    <t>Filled with almost three tons of food, fuel and supplies for the Expedition residents on the International Space Station, the unpiloted Russian ISS Progress 57 cargo craft launched from the Baikonur Cosmodrome in Kazakhstan Oct. 29, bound on a fast track journey to the orbital complex. 
oughly six hours after launching from the Baikonur Cosmodrome in Kazakhstan, the Progress 57 Cargo Craft filled with nearly three tons of food, fuel and other supplies has arrived at the International Space Station.  The Russian spacecraft automatically docked to the Pirs Docking Compartment, where it will remain for four months.</t>
  </si>
  <si>
    <t>CGgp4DsRyCM</t>
  </si>
  <si>
    <t>https://youtu.be/y5HaD5zZjeE</t>
  </si>
  <si>
    <t>NASA Holds News Conference Following Orbital Launch Mishap</t>
  </si>
  <si>
    <t>NASA held a news conference Tuesday October 28 following the mishap that occurred at NASA’s Wallops Flight Facility in Virginia during the attempted launch of Orbital Sciences Corp’s Antares rocket and Cygnus cargo spacecraft to the International Space Station. Briefing participants were, Bill Gerstenmaier, associate administrator of NASA’s Human Exploration and Operations Mission Directorate, Frank Culbertson, Executive Vice President and General Manager of Advanced Programs Group at Orbital Sciences Corp, Bill Wrobel, director of NASA’s Wallops Flight Facility, and Mike Suffredini, NASA’s International Space Station Program Manager.</t>
  </si>
  <si>
    <t>y5HaD5zZjeE</t>
  </si>
  <si>
    <t>2014 10 28</t>
  </si>
  <si>
    <t>https://youtu.be/nM9x7TYcxBU</t>
  </si>
  <si>
    <t>2014 NASA Halloween Animated Greetings</t>
  </si>
  <si>
    <t>There might be more Trick than Treat at this house. Can you spot the ISS as it darts past this dark and for foreboding scene? Happy Halloween from NASA.</t>
  </si>
  <si>
    <t>nM9x7TYcxBU</t>
  </si>
  <si>
    <t>https://youtu.be/6mqhqojL26c</t>
  </si>
  <si>
    <t>NASA Administrator Charles Bolden Discusses Science With Space Station Crew</t>
  </si>
  <si>
    <t>NASA Administrator Charles Bolden had a chance to explore the scientific research being conducted aboard the International Space Station during an in-flight discussion with Expedition 41 Flight Engineers Barry Wilmore and Reid Wiseman of NASA Oct. 28. The event took place during a visit by Bolden to the Payload Operations and Integration Center at the Marshall Space Flight Center in Huntsville, Alabama, which controls science research on the orbital laboratory. Wilmore has been aboard the station since late September and will remain in orbit until March 2015, while Wiseman is scheduled to return to Earth Nov. 10 in a Russian Soyuz spacecraft for a parachute-assisted landing in Kazakhstan.</t>
  </si>
  <si>
    <t>6mqhqojL26c</t>
  </si>
  <si>
    <t>2014 10 27</t>
  </si>
  <si>
    <t>https://youtu.be/nSUWvG2OA3I</t>
  </si>
  <si>
    <t>Hawking ISS Crew Q&amp;A</t>
  </si>
  <si>
    <t>NASA’s space telescopes are exploring the universe and searching for habitable planets out among the stars. Missions like Kepler and Spitzer are combing through our galaxy for Earth-like planets, while telescopes like Hubble and Chandra are delving deep into the evolution of the universe. Professor Hawking’s theories have unlocked a universe of possibilities that NASA and the world are exploring hand in hand. Astronauts Rick Mastracchio and Koichi Wakata aboard the International Space Station (ISS) spoke with Professor Hawking during their mission earlier this year. These excerpts courtesy of Arrow Media.
http://www.nasa.gov/content/reaching-for-the-stars-with-stephen-hawking</t>
  </si>
  <si>
    <t>nSUWvG2OA3I</t>
  </si>
  <si>
    <t>https://youtu.be/38UaR2zNM9w</t>
  </si>
  <si>
    <t>Actor Eddie Redmayne on Stephen Hawking's Links to NASA</t>
  </si>
  <si>
    <t>Stephen Hawking, one of the most prominent cosmologists of our time, has given voice to the great heights humanity can achieve. Recently, actor Eddie Redmayne, who plays Professor Hawking in the film “The Theory of Everything,” took time to explain the inspirational relationship between Professor Hawking and NASA’s mission and programs.</t>
  </si>
  <si>
    <t>38UaR2zNM9w</t>
  </si>
  <si>
    <t>https://youtu.be/3frrRHEOEVU</t>
  </si>
  <si>
    <t>Professor Stephen Hawking on Space Exploration</t>
  </si>
  <si>
    <t>Every 90 minutes, the ISS circles planet Earth as humanity's first permanent home away from home in space. The space station is developing the technologies and techniques necessary to allow humanity to move outward into the solar system. At the same time, research being conducted on the orbiting outpost is benefiting humanity here on Earth with advances in medicine, biotechnology, physical sciences and many other fields. Professor Hawking explains the need for space exploration in this footage, courtesy of Arrow Media.
http://www.nasa.gov/content/reaching-for-the-stars-with-stephen-hawking</t>
  </si>
  <si>
    <t>3frrRHEOEVU</t>
  </si>
  <si>
    <t>https://youtu.be/aqtWOk7Y0NE</t>
  </si>
  <si>
    <t>Destination Station From NASA's Marshall Space Flight Center Discusses Technology Aboard The ISS</t>
  </si>
  <si>
    <t>Recorded during a live event, Destination Station forum is the second in a series of interactive panel discussions about the International Space Station and how technologies are tested aboard the orbiting laboratory. Thousands of investigations have been performed on the space station, and although they provide benefits to people on Earth, they also prepare NASA to send humans farther into the solar system than ever before.  The production occurred at the Davidson Center for Space Exploration theater at the Space &amp; Rocket Center – the official visitor information center for NASA's Marshall Space Flight Center.
Forum panelists and exhibits focused on space station environmental and life support systems; 3-D printing; Space Communications and Navigation (SCaN) systems; and Synchronized Position Hold, Engage, Reorient, Experimental Satellites (SPHERES).
The forum's panelists are:
- Jeffrey Sheehy, senior technologist in NASA's Space Technology Mission Directorate
- Robyn Gatens, manager for space station System and Technology Demonstration, and Environmental Control Life Support System expert
- Jose Benavides, SPHERES chief engineer
- Rich Reinhart, principal investigator for the SCaN Testbed
- Niki Werkeiser, project manager for the space station 3-D printer</t>
  </si>
  <si>
    <t>aqtWOk7Y0NE</t>
  </si>
  <si>
    <t>https://youtu.be/3cO_tzZ2nNI</t>
  </si>
  <si>
    <t>Loaded with trash and obsolete items, the un-piloted Russian ISS Progress 56 cargo ship undocked from the Pirs Docking Compartment at the International Space Station Oct. 27, three months after arriving to deliver more than two and a half tons of supplies for the Expedition crew member residents. The Progress moved to a safe distance away from the complex for three weeks of engineering tests by Russian flight controllers before its scheduled deorbiting Nov. 19 to burn up in the Earth’s atmosphere.</t>
  </si>
  <si>
    <t>3cO_tzZ2nNI</t>
  </si>
  <si>
    <t>2014 10 26</t>
  </si>
  <si>
    <t>https://youtu.be/VH09j8CqfKc</t>
  </si>
  <si>
    <t>Orbital and NASA hold a status briefing about next mission to resupply International Space Station</t>
  </si>
  <si>
    <t>Orbital Sciences Corp. and NASA held a pre launch status briefing to discuss the next mission to resupply the International Space Station on Monday, Oct. 27.
Orbital's Cygnus cargo spacecraft will launch from the Mid-Atlantic Regional Spaceport's Pad 0A at NASA's Wallops Flight Facility in Virginia and will transport almost 5,000 pounds of supplies, including science experiments, crew provisions, spare parts and experiment hardware. Expedition 41 crew members Reid Wiseman and Barry Wilmore of NASA will be ready in the station’s cupola to capture the resupply craft with the station's robotic arm and install it on the Earth-facing port of the station's Harmony module.  This mission is the third of eight Orbital flights NASA contracted with the company to resupply the space station, and the fourth trip by a Cygnus spacecraft to the orbiting laboratory.</t>
  </si>
  <si>
    <t>VH09j8CqfKc</t>
  </si>
  <si>
    <t>https://youtu.be/r-A52OhSvw8</t>
  </si>
  <si>
    <t>Orbital and NASA hold science briefing update for next resupply mission to ISS</t>
  </si>
  <si>
    <t>Orbital Sciences Corp. and NASA held a pre launch science update to discuss the mission's science cargo aboard the SS Deke Slayton spacecraft soon to depart for the International Space Station on Monday, Oct. 27. 
Orbital's Cygnus cargo spacecraft will launch from the Mid-Atlantic Regional Spaceport's Pad 0A at NASA's Wallops Flight Facility in Virginia and will transport almost 5,000 pounds of supplies, including science experiments, crew provisions, spare parts and experiment hardware. Expedition 41 crew members Reid Wiseman and Barry Wilmore of NASA will be ready in the station’s cupola to capture the resupply craft with the station's robotic arm and install it on the Earth-facing port of the station's Harmony module.  
Continuing the tradition of naming its spacecraft after astronauts who have made significant contributions to spaceflight, Orbital dubbed this Cygnus resupply ship the SS Deke Slayton. The name is a tribute to original Mercury 7 astronaut Donald “Deke” K. Slayton, who flew on the Apollo-Soyuz Test Project mission in 1975 and championed commercial space endeavors after retiring from NASA in 1982. Slayton passed away in 1993.</t>
  </si>
  <si>
    <t>r-A52OhSvw8</t>
  </si>
  <si>
    <t>2014 10 25</t>
  </si>
  <si>
    <t>https://youtu.be/gVd0F5WnNf0</t>
  </si>
  <si>
    <t>Dragon Departs the ISS</t>
  </si>
  <si>
    <t>Filled with more than 3,700 pounds of hardware and critical science experiments, the SpaceX Dragon cargo craft left the International Space Station, headed for a deorbit and a parachute-assisted splashdown in the Pacific Ocean west of Baja California. Dragon arrived at the station on Sept. 23 on the fourth resupply mission to the outpost for the U.S. commercial firm. Dragon is the only cargo vehicle servicing the space station that can return cargo and scientific experiments back to Earth intact for researchers to retrieve for post-flight analysis.</t>
  </si>
  <si>
    <t>gVd0F5WnNf0</t>
  </si>
  <si>
    <t>2014 10 24</t>
  </si>
  <si>
    <t>https://youtu.be/8Vcrq6PX8Pk</t>
  </si>
  <si>
    <t>Images From Comet’s Mars Flyby On This Week @NASA- October 24, 2014</t>
  </si>
  <si>
    <t>Several Mars-based NASA spacecraft had prime viewing positions for comet Siding Spring’s October 19 close flyby of the Red Planet. Early images included a composite photo from NASA’s Hubble Space Telescope that combined shots of Mars, the comet, and a star background to illustrate Siding Spring’s distance from Mars at closest approach. Also, images from the Mars Reconnaissance Orbiter’s HiRISE camera, which represent the highest-resolution views ever acquired of a comet that came from the Oort Cloud, at the outer fringe of the solar system. The comet flyby – only about 87,000 miles from Mars – was much closer than any other known comet flyby of a planet. Also, Partial solar eclipse, Space station spacewalk, Preparing to release Dragon, Cygnus launch update, Welding begins on SLS, Astronaut class visits Glenn and more!</t>
  </si>
  <si>
    <t>8Vcrq6PX8Pk</t>
  </si>
  <si>
    <t>2014 10 23</t>
  </si>
  <si>
    <t>https://youtu.be/sMaUUwci1YA</t>
  </si>
  <si>
    <t>ISS Astronaut talks Space and Sports</t>
  </si>
  <si>
    <t>Aboard the International Space Station, Expedition 41 Flight Engineer Barry “Butch” Wilmore of NASA discussed football and other aspects of sports and life on orbit with the Southeastern Conference (SEC) Network during an in-flight interview Oct. 23. Wilmore, who arrived on the station in late September, is an avid football fan with degrees from Tennessee Tech University and the University of Tennessee, which is a member of the SEC. Wilmore will remain aboard the station until March 2015.</t>
  </si>
  <si>
    <t>sMaUUwci1YA</t>
  </si>
  <si>
    <t>https://youtu.be/L-nELgBjsaY</t>
  </si>
  <si>
    <t>Space Station Astronaut Talks Space with Students</t>
  </si>
  <si>
    <t>Aboard the International Space Station, Expedition 41 Flight Engineer Alexander Gerst of the European Space Agency (ESA) answered questions from students gathered at the agency’s Columbus Control Center in Germany during an in-flight interview opportunity on Oct. 23. Gerst, who is German, arrived on the station in late May and is in the home stretch of his 5 1/2 month mission.</t>
  </si>
  <si>
    <t>L-nELgBjsaY</t>
  </si>
  <si>
    <t>2014 10 22</t>
  </si>
  <si>
    <t>https://youtu.be/STUyjTO8gQw</t>
  </si>
  <si>
    <t>Space Station Spacewalk</t>
  </si>
  <si>
    <t>Outside the International Space Station, Expedition 41 Commander Max Suraev and Flight Engineer Alexander Samokutyaev of the Russian Federal Space Agency conducted a spacewalk on Oct. 22 to remove experiment hardware and antennas no longer needed on the Russian segment of the complex. The pair also performed a detailed photographic survey of the exterior of the Russian modules.</t>
  </si>
  <si>
    <t>STUyjTO8gQw</t>
  </si>
  <si>
    <t>2014 10 17</t>
  </si>
  <si>
    <t>https://youtu.be/cOGNsTd4cb4</t>
  </si>
  <si>
    <t>Power Spacewalk on This Week @NASA - October 17, 2014</t>
  </si>
  <si>
    <t>During an October 15 spacewalk outside the International Space Station – the second U.S. spacewalk in as many weeks – Expedition 41 Flight Engineers Reid Wiseman and Barry Wilmore of NASA, replaced a failed voltage regulation device to restore the station’s electrical power output to full capacity. The pair also relocated camera and TV equipment as part of a major reconfiguration to accommodate new docking adapters for use by U.S. commercial crew spacecraft in the next few years. Also, MAVEN’s “First Light”, Hubble finds extremely distant galaxy, Possible bonus destination for New Horizons, New information about volcanic activity on our moon and more!</t>
  </si>
  <si>
    <t>cOGNsTd4cb4</t>
  </si>
  <si>
    <t>https://youtu.be/oGwYFO0csdM</t>
  </si>
  <si>
    <t>NASA Hispanic Heritage Month Profile - Vicente Suarez</t>
  </si>
  <si>
    <t>Vicente Suarez is a structural dynamics engineer at NASA’s Glenn Research Center. As the mechanical lead for “Saffire”, a spacecraft fire safety experiment, Vicente is responsible for the mechanical designs, structural analysis and test activities of the investigation.</t>
  </si>
  <si>
    <t>oGwYFO0csdM</t>
  </si>
  <si>
    <t>2014 10 15</t>
  </si>
  <si>
    <t>https://youtu.be/cOhkcXf416g</t>
  </si>
  <si>
    <t>NASA Astronauts Conduct Space Walk To Make Important Repairs On International Space Station</t>
  </si>
  <si>
    <t>Outside the International Space Station, Expedition 41 Flight Engineers Reid Wiseman and Barry Wilmore of NASA replaced a voltage regulation device and relocated camera and television equipment during a spacewalk Oct. 15, the second excursion outside the Quest airlock by station astronauts in U.S. spacesuits in as many weeks. The voltage regulator, called a Sequential Shunt Unit, failed in May, taking down one of eight power channels for station systems. Its replacement brought the station’s electrical output back to full capacity. The repositioning of the camera and television equipment was the first step in a major reconfiguration of station systems and modules to accommodate next year’s delivery of new docking adapters that will be used by commercial crew vehicles later this decade. The spacewalk was the 183rd in support of station assembly and maintenance, the second by Wiseman and the first for Wilmore.</t>
  </si>
  <si>
    <t>cOhkcXf416g</t>
  </si>
  <si>
    <t>2014 10 10</t>
  </si>
  <si>
    <t>https://youtu.be/DcouM-KGoR4</t>
  </si>
  <si>
    <t>U.S. spacewalk on ISS on This Week @NASA - October 10, 2014</t>
  </si>
  <si>
    <t>Aboard the International Space Station, Expedition 41 Flight Engineers Reid Wiseman of NASA and Alexander Gerst of the European Space Agency donned U.S. spacesuits for an October 7 spacewalk to relocate a failed cooling pump and to install a backup power cable device for the station’s rail car system. The failed pump was replaced with a spare and is being temporarily stowed near the Quest airlock and the back-up power cables are for the unlikely event that the Mobile Transporter rail car on the station’s truss loses power. Also, A comet’s Mars flyby, Brightest pulsar! Total Lunar Eclipse and LADEE wins Popular Mechanics award!</t>
  </si>
  <si>
    <t>DcouM-KGoR4</t>
  </si>
  <si>
    <t>https://youtu.be/EyJHo50UNsk</t>
  </si>
  <si>
    <t>Space Station Astronaut Discusses Life in Space</t>
  </si>
  <si>
    <t>Aboard the International Space Station, Expedition 41 Flight Engineer Reid Wiseman of NASA discussed life and research on the orbital laboratory and his involvement in social media during a pair of in-flight question and answer sessions Oct. 10 with the Weather Channel and the social media coordinator at NASA's Johnson Space Center in Houston.</t>
  </si>
  <si>
    <t>EyJHo50UNsk</t>
  </si>
  <si>
    <t>https://youtu.be/urXuyEpkiTw</t>
  </si>
  <si>
    <t>Rosetta - A Lesson on Comets</t>
  </si>
  <si>
    <t>On October 9, as part of the Von Karman Lecture Series at NASA’s Jet Propulsion Laboratory, Manager of the US Rosetta Project, Art Chmielewski discussed comets and how they have inspired awe and wonder since the dawn of history. In November, the Rosetta spacecraft will attempt to become the first spacecraft to soft-land a robot on a comet – named 67P/Churyumov–Gerasimenko. The ten year Rosetta mission seeks to learn more about the origins of our universe by studying the comet.</t>
  </si>
  <si>
    <t>urXuyEpkiTw</t>
  </si>
  <si>
    <t>2014 10 09</t>
  </si>
  <si>
    <t>https://youtu.be/yICO-Fy3RQ0</t>
  </si>
  <si>
    <t>NASA Prepares to Eye Comet’s Flyby of Mars</t>
  </si>
  <si>
    <t>During an October 9 press briefing at NASA headquarters, panelists discussed the Earth and space-based assets  that will be in position to observe the October 19 flyby of Mars by comet C/2013 A1, also known as comet Siding Spring. These assets include NASA’s iconic Hubble Space Telescope and spacecraft orbiting and roving Mars.
During the once-in-a-lifetime flyby, Siding Spring will pass within about 88,000 miles (139,500 kilometers) of the Red Planet -- less than half the distance between Earth and our moon and less than one-tenth the distance of any known comet flyby of Earth. This proximity will provide an unprecedented opportunity for researchers to gather data on both the comet and its effect on the Martian atmosphere.</t>
  </si>
  <si>
    <t>yICO-Fy3RQ0</t>
  </si>
  <si>
    <t>2014 10 08</t>
  </si>
  <si>
    <t>https://youtu.be/w2kSeINalHg</t>
  </si>
  <si>
    <t>NASA Premieres ‘Trial By Fire’ video on Orion’s Flight Test</t>
  </si>
  <si>
    <t>As the flight test of NASA’s Orion spacecraft nears, the agency released Oct. 8 a video detailing the spacecraft’s test and the critical systems engineers will evaluate during the Dec. 4 flight. Orion is in the final stages of preparation for the uncrewed flight test that will take it 3,600 miles above Earth on a 4.5-hour mission to test many of the systems necessary for future human missions into deep space. After two orbits, Orion will reenter Earth’s atmosphere at almost 20,000 miles per hour, and reach temperatures near 4,000 degrees Fahrenheit, before its parachute system deploys to slow the spacecraft for a splashdown in the Pacific Ocean.
On future missions, the Orion spacecraft will carry astronauts farther into the solar system than ever before, including to an asteroid and Mars.</t>
  </si>
  <si>
    <t>w2kSeINalHg</t>
  </si>
  <si>
    <t>2014 10 07</t>
  </si>
  <si>
    <t>https://youtu.be/dkfW1Q1T72c</t>
  </si>
  <si>
    <t>NASA Astronauts Conduct Spacewalk on ISS</t>
  </si>
  <si>
    <t>Clad in U.S. spacesuits, Expedition 41 Flight Engineers Reid Wiseman of NASA and Alexander Gerst of the European Space Agency conducted a spacewalk outside the International Space Station Oct. 7 to relocate a failed cooling pump and to install a power cable device designed to provide backup electrical capability to the station’s rail car system. The spacewalk was the 182nd in support of station assembly and maintenance and the first for both Wiseman and Gerst.</t>
  </si>
  <si>
    <t>dkfW1Q1T72c</t>
  </si>
  <si>
    <t>2014 10 06</t>
  </si>
  <si>
    <t>https://youtu.be/nymxP4q0yTo</t>
  </si>
  <si>
    <t>ISS Space Walk Briefing for Expedition Crew 41 from NASA's Johnson Space Center, Texas</t>
  </si>
  <si>
    <t>From NASA's Johnson Space Center in Houston, a mission briefing was held about two upcoming space walks on Oct. 7 and Oct. 15 to replace a failed power regulator and relocate a failed cooling pump. 
The Briefing participants were:
-- Kenny Todd, space station integration operations manager
-- Scott Stover, NASA space station flight director
-- Jaclyn Kagey, U.S. spacewalk 27 officer
-- Kieth Johnson, U.S. spacewalk 28 officer
NASA Flight Engineer Reid Wiseman and Flight Engineer Alexander Gerst of the European Space Agency will exit the station's Quest airlock for the Oct. 7 spacewalk at about 8:10 a.m., both wearing U.S. spacesuits. NASA TV coverage of the planned six-and-a-half-hour spacewalk will begin at 7 a.m. Wiseman will be extravehicular crew member one (EV1) and will wear a suit bearing red stripes. Gerst will be EV2 and wear a suit with no stripes. The astronauts will move a failed cooling pump from temporary to long-term storage on the station's truss. They also will install a new relay system that will provide backup power options to the mobile transporter, which moves the large robotic arm around the out outside of the space station.
Wiseman will venture outside Quest again Oct. 15, with NASA Flight Engineer Barry Wilmore, a new arrival to the space station, for another six-and-a-half-hour spacewalk. The two-man team will replace a sequential shunt unit electronics box, a voltage regulator, on the starboard truss that failed in mid-May. Although the station has since operated normally on seven of its eight power channels, the voltage regulator replacement is considered a high priority.  Wiseman, again designated EV1, and Wilmore, who will serve as EV 2, also will relocate external cameras and equipment to begin configuring the station for international docking adapters for future commercial crew vehicles. Coverage of this second spacewalk begins at 7 a.m. with the spacewalk expected to begin around 8:10 a.m.  The spacewalks will be the 182nd and the 183rd in support of station assembly and maintenance. All three astronauts will be conducting the first spacewalks of their careers.</t>
  </si>
  <si>
    <t>nymxP4q0yTo</t>
  </si>
  <si>
    <t>2014 10 03</t>
  </si>
  <si>
    <t>https://youtu.be/mZtORUPr9jQ</t>
  </si>
  <si>
    <t>Orion moved at Kennedy Space Center on This Week @NASA - October 3, 2014</t>
  </si>
  <si>
    <t>On Sept. 28, NASA’s Orion spacecraft was moved from Kennedy Space Center’s Payload Hazardous Servicing Facility to its Launch Abort System Facility, for installation of its launch abort system, one of the many critical safety systems that will be evaluated during Orion’s un-crewed Exploration Flight Test -1, in December. NASA’s new deep space capsule is being developed to safely transport astronauts to and from Mars and other destinations on future missions. Also, Delta IV Heavy moved to the launch pad, U.S. spacewalks previewed, NASA and India to discuss joint exploration, Helicopter safety crash test, Combined Federal Campaign underway and Stop, Think, Connect!</t>
  </si>
  <si>
    <t>mZtORUPr9jQ</t>
  </si>
  <si>
    <t>2014 10 01</t>
  </si>
  <si>
    <t>https://youtu.be/NWwRALI55kY</t>
  </si>
  <si>
    <t>Conflict Resolution Day</t>
  </si>
  <si>
    <t>On October 16th, NASA will observe Conflict Resolution Day. The Association for Conflict Resolution (ACR) created this internationally recognized event to promote awareness of the many techniques available to resolve and manage conflict.</t>
  </si>
  <si>
    <t>NWwRALI55kY</t>
  </si>
  <si>
    <t>2014 09 30</t>
  </si>
  <si>
    <t>https://youtu.be/BZnykzJXIbo</t>
  </si>
  <si>
    <t>BZnykzJXIbo</t>
  </si>
  <si>
    <t>2014 09 26</t>
  </si>
  <si>
    <t>https://youtu.be/RkO4orNOcmY</t>
  </si>
  <si>
    <t>New Crew Launches to the ISS on This Week @NASA - September 26, 2014</t>
  </si>
  <si>
    <t>On September 25, Eastern time, NASA astronaut Barry Wilmore and his Expedition 41/42 crewmates, Alexander Samokutyaev and Elena Serova of the Russian Federal Space Agency, launched to the International Space Station aboard a Russian Soyuz spacecraft, from the Baikonur Cosmodrome in Kazakhstan. They arrived six hours later and were welcomed by the crew onboard the station, including NASA’s Reid Wiseman. Expedition 41/42 will spend about five-and-a-half months on the ISS. Also, Clinton Global Initiative, SpaceX Dragon arrives at ISS, MAVEN’s first Mars images, Curiosity drills at Mt. Sharp, New aeronautics technologies and more!</t>
  </si>
  <si>
    <t>RkO4orNOcmY</t>
  </si>
  <si>
    <t>https://youtu.be/BEtPwTzQGk8</t>
  </si>
  <si>
    <t>Expedition 41 42  Launches, Arrives, and Enters the International Space Station</t>
  </si>
  <si>
    <t>Expedition 41/42 Soyuz Commander Alexander Samokutyaev and Flight Engineers Elena Serova of the Russian Federal Space Agency (Roscosmos) and Barry Wilmore of NASA launched on the Russian Soyuz TMA-14M spacecraft on Sept. 26, Kazakh time, from the Baikonur Cosmodrome in Kazakhstan to begin a journey to the International Space Station.  After launching, Samokutyaev, Serova and Wilmore arrived at the International Space Station on Sept. 26 following a six-hour rendezvous. They docked their craft to the Poisk module on the Russian segment of the complex and were greeted by station Commander Max Suraev of Roscosmos and Flight Engineers Reid Wiseman of NASA and Alexander Gerst of the European Space Agency. As the hatches were opened, the families of the newly arrived crew and American and Russian space officials viewed the activities from Baikonur near the launch site. Serova is the first Russian female cosmonaut to live and work aboard the International Space Station.</t>
  </si>
  <si>
    <t>BEtPwTzQGk8</t>
  </si>
  <si>
    <t>https://youtu.be/k8Uihe3ggfI</t>
  </si>
  <si>
    <t>Expedition 41 42 Crew Enters the International Space Station for the First Time</t>
  </si>
  <si>
    <t>Two hours after docking, Expedition 41/42 Soyuz Commander Alexander Samokutyaev and Flight Engineers Elena Serova of the Russian Federal Space Agency (Roscosmos) and Barry Wilmore of NASA were greeted by space station Commander Max Suraev of Roscosmos and Flight Engineers Reid Wiseman of NASA and Alexander Gerst of the European Space Agency. As the hatches were opened, the families of the newly arrived crew and American and Russian space officials viewed the activities from Baikonur near the launch site. Serova is the first Russian female cosmonaut to live and work aboard the International Space Station.</t>
  </si>
  <si>
    <t>k8Uihe3ggfI</t>
  </si>
  <si>
    <t>https://youtu.be/O99lOZOfCK4</t>
  </si>
  <si>
    <t>Expedition 41 42 Crew Docks to the International Space Station</t>
  </si>
  <si>
    <t>After launching in their Soyuz TMA-14M spacecraft from the Baikonur Cosmodrome in Kazakhstan, Expedition 41/42 Soyuz Commander Alexander Samokutyaev and Flight Engineers Elena Serova of the Russian Federal Space Agency (Roscosmos) and Barry Wilmore of NASA arrived at the International Space Station on Sept. 26 following a six-hour rendezvous. They docked their craft to the Poisk module on the Russian segment of the complex.</t>
  </si>
  <si>
    <t>O99lOZOfCK4</t>
  </si>
  <si>
    <t>2014 09 25</t>
  </si>
  <si>
    <t>https://youtu.be/-I6JPWJKTbg</t>
  </si>
  <si>
    <t>Expedition 41 42 Launches to the International Space Station</t>
  </si>
  <si>
    <t>Expedition 41/42 Soyuz Commander Alexander Samokutyaev and Flight Engineers Elena Serova of the Russian Federal Space Agency (Roscosmos) and Barry Wilmore of NASA launched on the Russian Soyuz TMA-14M spacecraft on Sept. 26, Kazakh time, from the Baikonur Cosmodrome in Kazakhstan to begin a journey to the International Space Station. Once aboard the orbital outpost, the trio will start a 5 1/2 month mission. With the launch, Serova became only the fourth Russian female cosmonaut to fly in space.</t>
  </si>
  <si>
    <t>-I6JPWJKTbg</t>
  </si>
  <si>
    <t>2014 09 24</t>
  </si>
  <si>
    <t>https://youtu.be/-riwCepog-o</t>
  </si>
  <si>
    <t>Space Station Crew Member Discusses the Future with Former President Clinton</t>
  </si>
  <si>
    <t>Aboard the International Space Station, Expedition 41 Flight Engineer Reid Wiseman of NASA discussed the future of human spaceflight, the commercialization of space and the research being conducted aboard the orbital laboratory during an in-flight question and answer session with former President Bill Clinton and NASA astronaut Cady Coleman Sept. 24 at the closing plenary session of the Clinton Global Initiative in New York. The Global Initiative is a think tank created by the former president to develop big ideas about the social and scientific world we live in and to encourage others to act on those ideas to pay back benefits to humanity. Attending the session as well was former Secretary of State Hillary Clinton. Wiseman, who has been aboard the station since late May, will return to Earth in early November to complete a 5 1Ž2 month mission.</t>
  </si>
  <si>
    <t>-riwCepog-o</t>
  </si>
  <si>
    <t>https://youtu.be/qPD647b3HXg</t>
  </si>
  <si>
    <t>MAVEN Arrives at Mars</t>
  </si>
  <si>
    <t>Engineers from Lockheed Martin Space Systems in Littleton, Colorado monitor progress of the 33-minute orbit-insertion maneuver intended to place NASA’s Mars Atmosphere and Volatile EvolutioN (MAVEN)  spacecraft in orbit around Mars.  These scenes were captured from the MAVEN Mission Support Area on September 21, 2014.  The orbiter will be the first mission dedicated to studying the upper atmosphere of Mars, in an effort to understand how Mars lost its early atmosphere and its liquid water.</t>
  </si>
  <si>
    <t>qPD647b3HXg</t>
  </si>
  <si>
    <t>https://youtu.be/HROoSDMd4Ag</t>
  </si>
  <si>
    <t>Expedition 41 42 Crew Meets Russian Commission Officials and Reporters as Launch Approaches</t>
  </si>
  <si>
    <t>Expedition 41/42 Soyuz Commander Alexander Samokutyaev and Flight Engineer Elena Serova of the Russian Federal Space Agency (Roscosmos), NASA Flight Engineer Barry Wilmore, and their backups, Gennady Padalka and Mikhail Kornienko of Roscosmos and Scott Kelly of NASA, appeared before the Russian State Commission on Sept. 24 in Baikonur, Kazakhstan. The commission gave its final approval for the launch of Samokutyaev, Wilmore and Serova to the International Space Station on Sept. 26, Kazakh time in their Soyuz TMA-14M spacecraft. The crew members also conducted a final prelaunch news conference at the Cosmonaut Hotel. Serova will become only the fourth Russian female cosmonaut to fly in space. Kelly and Kornienko are scheduled to launch in March 2015 for a one-year mission on the space station.</t>
  </si>
  <si>
    <t>HROoSDMd4Ag</t>
  </si>
  <si>
    <t>https://youtu.be/ENDpURNxDr4</t>
  </si>
  <si>
    <t>The Expedition 41 42 Soyuz Rocket Moves to Its Launch Pad</t>
  </si>
  <si>
    <t>The Soyuz TMA-14M spacecraft and its booster were moved to the launch pad at the Baikonur Cosmodrome in Kazakhstan on a railcar Sept. 23 for final preparations before launch to the International Space Station on Sept. 26, Kazakh time. The Soyuz TMA-14M will carry Expedition 41/42 Soyuz Commander Alexander Samokutyaev of the Russian Federal Space Agency (Roscosmos), NASA Flight Engineer Barry Wilmore and Flight Engineer Elena Serova of Roscosmos to the space station for a 5 1/2 month mission.</t>
  </si>
  <si>
    <t>ENDpURNxDr4</t>
  </si>
  <si>
    <t>2014 09 23</t>
  </si>
  <si>
    <t>https://youtu.be/DxeGTQX5mRg</t>
  </si>
  <si>
    <t>U S Cargo Ship Arrives and Grapples at the International Space Station</t>
  </si>
  <si>
    <t>An unmanned U.S. resupply ship arrived at the International Space Station Sept. 23, two days after its launch from the Cape Canaveral Air Force Station, carrying more than 5000 pounds of supplies and critical experiments to the orbital laboratory. Space Exploration Technologies Corporation’s (SpaceX) Dragon cargo vehicle was grappled by station Flight Engineers Alexander Gerst of the European Space Agency and Reid Wiseman of NASA, who operated the station’s Canadarm2 robotic arm from the cupola. Dragon was subsequently berthed to the Earth-facing port of the Harmony module, where it will remain until around October 18th. This is the fourth commercial resupply mission of the station by SpaceX.</t>
  </si>
  <si>
    <t>DxeGTQX5mRg</t>
  </si>
  <si>
    <t>2014 09 22</t>
  </si>
  <si>
    <t>https://youtu.be/RajMklyfGpQ</t>
  </si>
  <si>
    <t>The Expedition 41 42 Soyuz Spacecraft and Crew are Prepared for Launch</t>
  </si>
  <si>
    <t>At the Baikonur Cosmodrome in Kazakhstan, the Soyuz TMA-14M spacecraft was encapsulated into the third stage of its Soyuz booster rocket Sept. 19 as preparations continued for the Sept. 26 launch of Expedition 41/42 Soyuz Commander Alexander Samokutyaev of the Russian Federal Space Agency (Roscosmos), NASA Flight Engineer Barry Wilmore and Flight Engineer Elena Serova of Roscosmos to the International Space Station. The trio also conducted their final “fit check” dress rehearsal in their Soyuz craft Sept. 21 for a mission in which they will spend five and a half months on the orbital laboratory.</t>
  </si>
  <si>
    <t>RajMklyfGpQ</t>
  </si>
  <si>
    <t>https://youtu.be/FJPl70WZtJ0</t>
  </si>
  <si>
    <t>Returning Human Spaceflight to America on This Week @NASA - September 22, 2014</t>
  </si>
  <si>
    <t>During a September 16 news conference at Kennedy Space Center – a major announcement by NASA Administrator Charlie Bolden that Boeing and SpaceX have been chosen to transport U.S. astronauts to and from the International Space Station – effectively putting America back into the business of launching humans to space – ending our sole reliance on Russia by 2017. Final pre-launch processing of the Boeing CST-100 and the SpaceX Crew Dragon spacecraft will take place at Florida’s Kennedy Space Center with launches of the vehicles happening at nearby Cape Canaveral Air Force Station. Also, SpaceX CRS-4 mission previewed, Astronaut visits commercial partner, Next space station crews prepare, MAVEN’s arrival at Mars, and Rosetta’s landing site.</t>
  </si>
  <si>
    <t>FJPl70WZtJ0</t>
  </si>
  <si>
    <t>https://youtu.be/tILvsZ0j4Ac</t>
  </si>
  <si>
    <t>MAVEN Post Mars Orbit Insertion News Conference</t>
  </si>
  <si>
    <t>A NASA news conference was held to announce the arrival of the Mars Atmosphere and Volatile Evolution (MAVEN) spacecraft into Mars’ orbit at 10:24 p.m. EDT Sunday, Sept. 21, where it now will prepare to study the Red Planet’s upper atmosphere as never done before. MAVEN is the first spacecraft dedicated to exploring the tenuous upper atmosphere of Mars.  After a 10-month journey, confirmation of successful orbit insertion was received at 10:24 p.m. from MAVEN data, observed at the Lockheed Martin operations center in Littleton, Colorado, as well as from tracking data monitored at NASA’s Jet Propulsion Laboratory (JPL) navigation facility in Pasadena, California. The telemetry and tracking data were received by NASA’s Deep Space Network antenna station in Canberra, Australia.  Following orbit insertion, MAVEN will begin a six-week commissioning phase that includes maneuvering into its final science orbit and testing the instruments and science-mapping commands. MAVEN then will begin its one Earth-year primary mission, taking measurements of the composition, structure and escape of gases in Mars’ upper atmosphere and its interaction with the sun and solar wind.</t>
  </si>
  <si>
    <t>tILvsZ0j4Ac</t>
  </si>
  <si>
    <t>2014 09 21</t>
  </si>
  <si>
    <t>https://youtu.be/GmMOM2uJdKk</t>
  </si>
  <si>
    <t>SpaceX CRS-4 Post Launch Briefing</t>
  </si>
  <si>
    <t>During a September 21 press briefing at Kennedy Space Center, NASA officials and representatives from SpaceX update the status of the SpaceX-CRS 4 mission shortly after launch. The mission is delivering 2.5 tons of supplies, science experiments, and technology demonstrations to the International Space Station.</t>
  </si>
  <si>
    <t>GmMOM2uJdKk</t>
  </si>
  <si>
    <t>https://youtu.be/kbivNwbD9to</t>
  </si>
  <si>
    <t>SpaceX Dragon launches to the ISS</t>
  </si>
  <si>
    <t>NASA Television coverage of the September 21 launch of the SpaceX Dragon cargo craft on the company’s CRS-4 mission to the International Space Station. The spacecraft’s 2.5 tons of supplies, science experiments, and technology demonstrations includes critical materials to support 255 science and research investigations that will occur onboard the station.</t>
  </si>
  <si>
    <t>kbivNwbD9to</t>
  </si>
  <si>
    <t>2014 09 19</t>
  </si>
  <si>
    <t>https://youtu.be/9TUQ52907ew</t>
  </si>
  <si>
    <t>Next SpaceX mission to ISS previewed</t>
  </si>
  <si>
    <t>On September 19 a press briefing at Kennedy Space Center featuring NASA senior leaders and representatives from SpaceX, previewed the Space X CRS-4 mission, which is scheduled to launch to the International Space Station on September 20.</t>
  </si>
  <si>
    <t>9TUQ52907ew</t>
  </si>
  <si>
    <t>https://youtu.be/I8Xou0VU4LA</t>
  </si>
  <si>
    <t>ISS “View from the Top” Briefing</t>
  </si>
  <si>
    <t>During this September 19 press briefing at NASA’s Kennedy Space Center, agency officials discuss the scientific utilization of the International Space Station. Research conducted on the orbiting laboratory includes investigations on human physiology, next-generation technology and other areas with potential benefits to life in space and on Earth.</t>
  </si>
  <si>
    <t>I8Xou0VU4LA</t>
  </si>
  <si>
    <t>2014 09 18</t>
  </si>
  <si>
    <t>https://youtu.be/mb29WucJwoA</t>
  </si>
  <si>
    <t>Crew Members Headed to ISS Preview Their Mission</t>
  </si>
  <si>
    <t>Members of the Expedition 42/43 crew, scheduled to launch to the International Space Station in late November, previewed their upcoming mission during a news conference at Johnson Space Center. NASA astronaut Terry Virts, Samantha Cristoforetti of the European Space Agency, and Anton Shkaplerov of the Russian Federal Space Agency will launch to the space station Nov. 23 from the Baikonur Cosmodrome in Kazakhstan aboard a Soyuz spacecraft.</t>
  </si>
  <si>
    <t>mb29WucJwoA</t>
  </si>
  <si>
    <t>https://youtu.be/laPX7h9W9To</t>
  </si>
  <si>
    <t>SpaceX CRS-4 Model Organisms Cargo Previewed</t>
  </si>
  <si>
    <t>During a Pre-flight panel discussion September 18 at Kennedy Space Center, scientists and researchers discussed the Model Organisms investigations being delivered to the International Space Station on the SpaceX CRS-4 mission, scheduled to launch September from Cape Canaveral Air Force Station.</t>
  </si>
  <si>
    <t>laPX7h9W9To</t>
  </si>
  <si>
    <t>https://youtu.be/nuyVedH-I0o</t>
  </si>
  <si>
    <t>ISS Astronaut Helps Make a Difference from space</t>
  </si>
  <si>
    <t>Aboard the International Space Station, Expedition 41 Flight Engineer Reid Wiseman of NASA discussed his social media activities and research on the orbital outpost with NBC Nightly News during an in-flight interview September 18 for the broadcast’s “Making a Difference” feature segment. Wiseman, who has been aboard the station since late May, has been avidly involved in social media in the midst of a 5 ½ month mission on the complex. He is scheduled to return to Earth in early November on a Russian Soyuz spacecraft.</t>
  </si>
  <si>
    <t>nuyVedH-I0o</t>
  </si>
  <si>
    <t>https://youtu.be/4x_yvE_M11w</t>
  </si>
  <si>
    <t>SpaceX CRS-4 Technology Cargo Previewed</t>
  </si>
  <si>
    <t>During a Pre-flight panel discussion September 18 at Kennedy Space Center, scientists and researchers discussed the 3-D printer and other technology payloads being delivered to the International Space Station on the SpaceX CRS-4 mission, scheduled to launch September from Cape Canaveral Air Force Station.</t>
  </si>
  <si>
    <t>4x_yvE_M11w</t>
  </si>
  <si>
    <t>https://youtu.be/5Y7ufkhlHKI</t>
  </si>
  <si>
    <t>SpaceX CRS-4 Earth Science Cargo Previewed</t>
  </si>
  <si>
    <t>During a Pre-flight panel discussion September 18 at Kennedy Space Center, scientists and researchers discussed ISS-RapidScat, the primary Earth Science payload being delivered to the International Space Station on the SpaceX CRS-4 mission, scheduled to launch September from Cape Canaveral Air Force Station.</t>
  </si>
  <si>
    <t>5Y7ufkhlHKI</t>
  </si>
  <si>
    <t>https://youtu.be/R2pRE1TX4Y0</t>
  </si>
  <si>
    <t>Next Space Station Crew Prepares for Launch</t>
  </si>
  <si>
    <t>At the Baikonur Cosmodrome in Kazakhstan, Expedition 41/42 Soyuz Commander Alexander Samokutyaev and Flight Engineer Elena Serova of the Russian Federal Space Agency (Roscosmos), NASA Flight Engineer Barry Wilmore, and their backups, Gennady Padalka and Mikhail Kornienko of Roscosmos and Scott Kelly of NASA, participated in a variety of activities in prepartion for the launch of Samokutyaev, Wilmore and Serova to the International Space Station on Sept. 26, Kazakh time.</t>
  </si>
  <si>
    <t>R2pRE1TX4Y0</t>
  </si>
  <si>
    <t>2014 09 17</t>
  </si>
  <si>
    <t>https://youtu.be/MJQBTWKhSgo</t>
  </si>
  <si>
    <t>Arrival of Spacecraft at Mars, Previewed</t>
  </si>
  <si>
    <t>NASA hosted a televised media briefing on September 17, to outline activities around the September 21 orbital insertion at Mars of the agency’s Mars Atmosphere and Volatile Evolution (MAVEN) spacecraft. MAVEN is the first spacecraft dedicated to exploring the upper atmosphere of Mars. The mission’s goal is to determine how the loss of atmospheric gas to space played a role in changing the Martian climate through time.</t>
  </si>
  <si>
    <t>MJQBTWKhSgo</t>
  </si>
  <si>
    <t>https://youtu.be/Oq0DqAyh_NA</t>
  </si>
  <si>
    <t>European Astronaut Answers Questions from Space</t>
  </si>
  <si>
    <t>Aboard the International Space Station, Expedition 41 Flight Engineer Alexander Gerst of the European Space Agency took time to discuss his life and research on the orbital outpost during a pair of in-flight question and answer sessions September 17 with German media outlet WDR-TV and for the Glasgow, Scotland, Space Exploration Festival.</t>
  </si>
  <si>
    <t>Oq0DqAyh_NA</t>
  </si>
  <si>
    <t>2014 09 16</t>
  </si>
  <si>
    <t>https://youtu.be/kECY85DM2I8</t>
  </si>
  <si>
    <t>NASA Chooses Boeing and SpaceX Companies to Transport U.S. Astronauts to ISS</t>
  </si>
  <si>
    <t>NASA officials at the agency’s Kennedy Space Center in Florida announced Sept. 16 the selection of Boeing and SpaceX to develop and certify crew transportation systems that will transport U.S. astronaut crews from American soil to and from the International Space Station. Participants in the announcement included NASA Administrator Charles Bolden, Kennedy Director Bob Cabana, Commercial Crew Program Manager Kathy Lueders, and Astronaut Mike Fincke.</t>
  </si>
  <si>
    <t>kECY85DM2I8</t>
  </si>
  <si>
    <t>2014 09 12</t>
  </si>
  <si>
    <t>https://youtu.be/7W1HpkqSysM</t>
  </si>
  <si>
    <t>Rocket welding tool ready on This Week @NASA - September 12, 2014</t>
  </si>
  <si>
    <t>NASA Administrator Charlie Bolden, other NASA officials and representatives from The Boeing Company participated in a September 12 ribbon cutting for the new 170-foot-high Vertical Assembly Center at NASA’s Michoud Assembly Facility in New Orleans. The Vertical Assembly Center is a new tool that will be used to assemble parts of NASA’s Space Launch System rocket that will send humans to an asteroid and Mars. The administrator also visited Stennis Space Center in nearby Bay St. Louis, Mississippi, where engineers plan to test the RS-25 engines that will power the core stage of SLS. Also, Orion moved for fueling, Curiosity to climb Martian mountain, Possible geological activity on Europa, Expedition 40 returns, Earth Science on ISS and Hurricane-hunting aircraft!</t>
  </si>
  <si>
    <t>7W1HpkqSysM</t>
  </si>
  <si>
    <t>https://youtu.be/ab3WDxn1_0o</t>
  </si>
  <si>
    <t>NASA Administrator Marks Completion of World’s Largest Spacecraft Welding Tool for Space Launch Sys</t>
  </si>
  <si>
    <t>NASA’s new Vertical Assembly Center (VAC), a 170-foot-high marvel of machinery that will be used to assemble elements of the agency's Space Launch System (SLS), now is complete and ready to weld parts for the rocket that will send humans to an asteroid and Mars.  Media was invited to join NASA Administrator Charles Bolden at the ribbon cutting for the enormous new tool at the agency's Michoud Assembly Facility in New Orleans where the core stage is being built.  Bolden and other officials from NASA and Boeing, the prime contractor for the SLS core stage and avionics participated in the ceremony.
The Vertical Assembly Center will be used to join domes, rings and barrels segments to complete the SLS fuel tanks. The tool also will be used to perform evaluations of the completed welds. Towering more than 200 feet tall, with a diameter of 27.6 feet, the core stage will store cryogenic liquid hydrogen and liquid oxygen to feed the vehicle’s RS-25 engines.</t>
  </si>
  <si>
    <t>ab3WDxn1_0o</t>
  </si>
  <si>
    <t>https://youtu.be/rsshvou0zok</t>
  </si>
  <si>
    <t>Expedition 41 42 Crew Departs for Kazakh Launch Site</t>
  </si>
  <si>
    <t>Expedition 41/42 Soyuz Commander Alexander Samokutyaev and Flight Engineer Elena Serova of the Russian Federal Space Agency (Roscosmos), NASA Flight Engineer Barry Wilmore, and their backups, Gennady Padalka and Mikhail Kornienko of Roscosmos and Scott Kelly of NASA, participated in traditional ceremonies at the Gagarin Cosmonaut Training Center in Star City, Russia, outside Moscow on Sept. 12. Afterward, they departed for the Baikonur Cosmodrome in Kazakhstan to complete their training for the launch of Samokutyaev, Wilmore and Serova to the International Space Station in the Soyuz TMA-14M spacecraft on Sept. 26, Kazakh time. Serova will become only the fourth Russian female cosmonaut to fly in space and was greeted at the farewell ceremony by Valentina Tereshkova, the first woman to fly in space.  Kelly and Kornienko are scheduled to launch in March 2015 for a one-year mission on the space station.</t>
  </si>
  <si>
    <t>rsshvou0zok</t>
  </si>
  <si>
    <t>https://youtu.be/YrdQuXSUG60</t>
  </si>
  <si>
    <t>200th Anniversary of The Star-Spangled Banner</t>
  </si>
  <si>
    <t>Astronaut Reid Wiseman commemorates the 200th Anniversary of the raising of the American flag over Fort McHenry in Baltimore, Maryland on September 14, 1814 which inspired Francis Scott Key to scribe "The Star-Spangled Banner" eventually becoming the national anthem of the United States.</t>
  </si>
  <si>
    <t>YrdQuXSUG60</t>
  </si>
  <si>
    <t>2014 09 11</t>
  </si>
  <si>
    <t>https://youtu.be/bkePmysM-AI</t>
  </si>
  <si>
    <t>Expedition 40 Crew Bids Farewell, Undocks and Safely Lands in Kazakhstan</t>
  </si>
  <si>
    <t>Expedition 40 Commander Steve Swanson of NASA and Flight Engineers Alexander Skvortsov and Oleg Artemyev of the Russian Federal Space Agency landed safely on the steppe of Kazakhstan near the town of Dzhezkazgan on Sept. 11, local time, after bidding farewell to the Expedition 41 crew members and undocking their Soyuz TMA-12M spacecraft from the Poisk module on the International Space Station. The trio completed 169 days in space since launching in late March.</t>
  </si>
  <si>
    <t>bkePmysM-AI</t>
  </si>
  <si>
    <t>2014 09 09</t>
  </si>
  <si>
    <t>https://youtu.be/PZil9FxJE98</t>
  </si>
  <si>
    <t>Expedition 40 Hands Over the Space Station to Expedition 41</t>
  </si>
  <si>
    <t>The reins of the International Space Station were passed from NASA’s Steve Swanson to Max Suraev of the Russian Federal Space Agency (Roscosmos) during a ceremony on the orbital outpost on Sept. 9. Swanson will return to Earth Sept. 11, Kazakh time, in the Soyuz TMA-12M spacecraft with Russian cosmonauts Alexander Skvortsov and Oleg Artemyev to wrap up almost six months in orbit. Suraev will remain on board with NASA Flight Engineer Reid Wiseman and European Space Agency Flight Engineer Alexander Gerst, awaiting the arrival of Alexander Samokutyaev of Roscosmos, Barry Wilmore of NASA and Elena Serova of Roscosmos, who will launch to the complex on Sept. 26, Kazakh time.</t>
  </si>
  <si>
    <t>PZil9FxJE98</t>
  </si>
  <si>
    <t>2014 09 08</t>
  </si>
  <si>
    <t>https://youtu.be/AOFmungRM4s</t>
  </si>
  <si>
    <t>NASA Hosts Media Briefing to Announce New Earth Observing Role for International Space Station</t>
  </si>
  <si>
    <t>NASA announced a new era in its exploration of our home planet with the launch of the first in a series of Earth science instruments to the International Space Station. The first Earth-observing instrument to be mounted on the exterior of the space station will launch from Cape Canaveral Air Force Station, Florida, on the next SpaceX Commercial Resupply Services flight. ISS-RapidScat will monitor ocean winds for climate research, weather predictions and hurricane monitoring from the space station's unique vantage point.
The second instrument is the Cloud-Aerosol Transport System (CATS), a laser instrument that will measure clouds and the location and distribution of pollution, dust, smoke, and other particulates in the atmosphere. CATS will follow ISS-RapidScat on the fifth SpaceX space station resupply flight.</t>
  </si>
  <si>
    <t>AOFmungRM4s</t>
  </si>
  <si>
    <t>https://youtu.be/-WgKSmKiLyI</t>
  </si>
  <si>
    <t>Expedition 41 42 Crew Conducts News Conference and Traditional Ceremonies in Russia</t>
  </si>
  <si>
    <t>Expedition 41/42 Soyuz Commander Alexander Samokutyaev of the Russian Federal Space Agency (Roscosmos), NASA Flight Engineer Barry Wilmore and Flight Engineer Elena Serova of Roscosmos and their backups, Gennady Padalka of Roscosmos, Scott Kelly of NASA and Mikhail Kornienko of Roscosmos, conducted a pre-launch news conference at the Gagarin Cosmonaut Training Center in Star City, Russia, Sept. 5, then toured Red Square and the Kremlin in Moscow where they laid flowers at the Kremlin Wall where Russian space icons are interred. Samokutyaev, Wilmore and Serova are scheduled for a Sept. 26 launch, Kazakh time, in the Soyuz TMA-14M spacecraft to begin a six-month mission on the International Space Station. Serova will become only the fourth Russian female cosmonaut to fly in space. Kelly and Kornienko are scheduled to launch in March 2015 on a one-year mission on the space station.</t>
  </si>
  <si>
    <t>-WgKSmKiLyI</t>
  </si>
  <si>
    <t>2014 09 05</t>
  </si>
  <si>
    <t>https://youtu.be/na-jdsUWAGE</t>
  </si>
  <si>
    <t>Global Precipitation Measurement mission data released on This Week @NASA - September 5, 2014</t>
  </si>
  <si>
    <t>Precipitation information from the first six months of the Global Precipitation Measurement Core Observatory mission now is fully available to the public. Launched from Japan in February, the joint NASA and Japan Aerospace Exploration Agency mission works with international partner satellites to produce precise and standardized data sets on worldwide rainfall, snowfall and other precipitation. The data can be used to improve forecasts of extreme weather events like floods and help decision makers worldwide better manage water resources. Also, Earthquake data from the air, Next ISS crew trains, Talking STEM with students and OSIRIS-REx time capsule!</t>
  </si>
  <si>
    <t>na-jdsUWAGE</t>
  </si>
  <si>
    <t>2014 09 04</t>
  </si>
  <si>
    <t>https://youtu.be/eOzbd1DO5pw</t>
  </si>
  <si>
    <t>Space Station Crew Member Pays Tribute to His Hometown from Orbit</t>
  </si>
  <si>
    <t>Aboard the International Space Station, Expedition 40 Flight Engineer Alexander Gerst of the European Space Agency participated in a hometown reunion from orbit as he discussed his flight with dignitaries and residents of Kunzelsau, Germany, during an in-flight event Sept. 4. Gerst, who arrived on the complex in late May, is in the midst of a 5 1Ž2 mission that will culminate in a landing in Kazakhstan in his Russian Soyuz TMA-13M spacecraft in early November.</t>
  </si>
  <si>
    <t>eOzbd1DO5pw</t>
  </si>
  <si>
    <t>https://youtu.be/Ys9ciDf2WXU</t>
  </si>
  <si>
    <t>Expedition 41 42 Crew Undergoes Final Training Outside Moscow</t>
  </si>
  <si>
    <t>Expedition 41/42 Soyuz Commander Alexander Samokutyaev and Flight Engineer Elena Serova of the Russian Federal Space Agency (Roscosmos), NASA Flight Engineer Barry Wilmore, and their backups, Gennady Padalka and Mikhail Kornienko of Roscosmos and Scott Kelly of NASA, conducted final qualification training at the Gagarin Cosmonaut Training Center in Star City, Russia, Sept 3. Samokutyaev, Wilmore and Serova are scheduled for a Sept. 26 launch, Kazakh time, in the Soyuz TMA-14M spacecraft to begin a six-month mission on the International Space Station. Serova will become only the fourth Russian female cosmonaut to fly in space. Kelly and Kornienko are scheduled to launch in March 2015 for a one-year mission on the space station.</t>
  </si>
  <si>
    <t>Ys9ciDf2WXU</t>
  </si>
  <si>
    <t>2014 09 02</t>
  </si>
  <si>
    <t>https://youtu.be/4AV6ju3IyEQ</t>
  </si>
  <si>
    <t>Space Station Crew Discusses Life in Space with Mississippi Students</t>
  </si>
  <si>
    <t>Aboard the International Space Station, Expedition 40 Commander Steve Swanson and his crewmate Flight Engineer Reid Wiseman of NASA fielded questions Sept. 2 about life in orbit from students gathered at the INFINITY Science Center --- the complex that serves as the visitor’s center at NASA's Stennis Space Center in Mississippi. Swanson will return to Earth next week to wrap up a 5 1/2 month mission on the station, while Wiseman will remain in orbit until early November.</t>
  </si>
  <si>
    <t>4AV6ju3IyEQ</t>
  </si>
  <si>
    <t>https://youtu.be/7fubA64JzlM</t>
  </si>
  <si>
    <t>Space Station Crew Member Discusses Life In Space With German Media</t>
  </si>
  <si>
    <t>Aboard the International Space Station, Expedition 40 Flight Engineer Alexander Gerst of the European Space Agency discussed life and research on the orbital laboratory with RTL-TV in Cologne, Germany, during an in-flight interview on Sept.2. Gerst, who is a native of Germany, arrived at the station in late May and will remain in orbit until he returns to Earth in early November.</t>
  </si>
  <si>
    <t>7fubA64JzlM</t>
  </si>
  <si>
    <t>2014 08 29</t>
  </si>
  <si>
    <t>https://youtu.be/V4J822SfkSI</t>
  </si>
  <si>
    <t>Space Launch System milestone on This Week @NASA - August 29, 2014</t>
  </si>
  <si>
    <t>On August 27, NASA announced a milestone in development of the Space Launch System heavy-lift rocket. The completion of a rigorous review known as Key Decision Point C, or KDP-C, means NASA can transition from formulation to development of the rocket that will send humans beyond Earth orbit and to Mars. KDP-C outlines a conservative development cost baseline and a launch readiness schedule based on an initial SLS flight no later than November 2018. This marks the country's first commitment to building an exploration class launch vehicle since the Space Shuttle Program. Also, 3-D printed rocket injector test, SLS scale model test, Composite fuel tank tests, Crossing Neptune’s orbit, New Horizons: Continuing Voyager’s legacy and more!</t>
  </si>
  <si>
    <t>V4J822SfkSI</t>
  </si>
  <si>
    <t>2014 08 27</t>
  </si>
  <si>
    <t>https://youtu.be/0o37HWuVJvM</t>
  </si>
  <si>
    <t>ISS Benefits for Humanity  Found at Sea</t>
  </si>
  <si>
    <t>The Vessel-ID System investigation on the International Space Station demonstrated the ability for a space-based radio receiver to track a ship’s Automatic Identification System (AIS) signal, the marine equivalent of the air traffic control system. Since being turned on in 2010, Vessel-ID has been able to relay more than 400,000 ship position reports from more than 22,000 ships in a single day, proving a quantum leap in the ship tracking ability of coast guards around the world. This ability, coupled with multiple AIS tracking satellites launched since, is already making travel among the waves safer for thousands of ships around the globe.</t>
  </si>
  <si>
    <t>0o37HWuVJvM</t>
  </si>
  <si>
    <t>https://youtu.be/pCXstv8R1rc</t>
  </si>
  <si>
    <t>During a NASA in-flight educational event on August 27, International Space Station, Expedition 40 Commander Steve Swanson and Flight Engineer Reid Wiseman talked about their day-to-day activities with students at the Elliot Ranch Elementary School in Elk Grove, California. Swanson, who launched to the station in late March, will return to Earth on Sept. 10, U.S. time, while Wiseman, who arrived on the station in late May, will remain in orbit until November.</t>
  </si>
  <si>
    <t>pCXstv8R1rc</t>
  </si>
  <si>
    <t>2014 08 26</t>
  </si>
  <si>
    <t>https://youtu.be/DaUhaVUN3Yc</t>
  </si>
  <si>
    <t>The Connection Between the New Horizons and Voyager Missions</t>
  </si>
  <si>
    <t>NASA’s Mission to Pluto was a two part televised science event at NASA headquarters on August 25 – the same date that the agency’s New Horizons spacecraft passed the orbit of Neptune on its way to Pluto and exactly 25 years after the Voyager spacecraft’s encounter with Neptune in 1989. During the second event, entitled New Horizons-Voyager Connections: Memories from the Team, several New Horizons science team members gave personal accounts of their work during the Voyager Neptune encounter and discussed their new assignments on the Pluto mission.</t>
  </si>
  <si>
    <t>DaUhaVUN3Yc</t>
  </si>
  <si>
    <t>2014 08 25</t>
  </si>
  <si>
    <t>https://youtu.be/z3ekr2CXlK0</t>
  </si>
  <si>
    <t>NASA's New Horizons Mission Continuing Voyager's Legacy of Exploration</t>
  </si>
  <si>
    <t>NASA’s Mission to Pluto was a two part televised science event at NASA headquarters on August 25 – the same date that the agency’s New Horizons spacecraft passed the orbit of Neptune on its way to Pluto and exactly 25 years after the Voyager spacecraft’s encounter with Neptune in 1989. During the first event, entitled NASA’s New Horizons Pluto Mission: Continuing Voyager’s Legacy of Exploration, NASA scientists and officials discussed the two missions.</t>
  </si>
  <si>
    <t>z3ekr2CXlK0</t>
  </si>
  <si>
    <t>https://youtu.be/KuZpBHT-nxo</t>
  </si>
  <si>
    <t>Orion’s protective backshell installed on This Week @NASA - August 25, 2014</t>
  </si>
  <si>
    <t>Engineers at Kennedy Space Center have finished installing the Orion spacecraft’s backshell – the black protective tiles on the cone-shaped sides of NASA’s new deep space capsule. The backshell tiles are the same type that protected the underside of space shuttles -- and will not only provide protection from debris while in space but from extreme temperatures in that area of the spacecraft as it returns from space – which could exceed 31-hundred degrees Fahrenheit. Also, SLS anti-geyser testing, Webb’s replica backplane, Arctic Sea ice loss, Ancient Earth, Alien Earths and more!</t>
  </si>
  <si>
    <t>KuZpBHT-nxo</t>
  </si>
  <si>
    <t>2014 08 22</t>
  </si>
  <si>
    <t>https://youtu.be/GmcPePyFUsc</t>
  </si>
  <si>
    <t>Orion’s protective backshell installed on This Week @NASA</t>
  </si>
  <si>
    <t>GmcPePyFUsc</t>
  </si>
  <si>
    <t>https://youtu.be/ohEouaSMm5g</t>
  </si>
  <si>
    <t>Space Station Astronaut Takes Social Media Questions</t>
  </si>
  <si>
    <t>Aboard the International Space Station, Expedition 40 Flight Engineer Alexander Gerst of the European Space Agency (ESA) answered questions about life and work on the orbital laboratory during an in-flight event for ESA at the European Astronaut Center in Cologne, Germany, on Aug. 22. The questions for Gerst were compiled by ESA from Facebook and Twitter and covered a range of topics from the view of Earth from orbit, to food preparation to the value of social media in communicating the experience of human spaceflight.</t>
  </si>
  <si>
    <t>ohEouaSMm5g</t>
  </si>
  <si>
    <t>2014 08 20</t>
  </si>
  <si>
    <t>https://youtu.be/jwvj9SUUVlo</t>
  </si>
  <si>
    <t>Ancient Earth, Alien Earths</t>
  </si>
  <si>
    <t>During an August 20 event at NASA headquarters, called Ancient Earth, Alien Earths, a panel of scientists from NASA and other organizations discussed how vastly different and inhospitable we all would find ancient Earth, if we could go back in time. Despite the conditions, though, it was an environment in which life began and evolved – and understanding how that was possible could help us recognize habitable planets around other stars.</t>
  </si>
  <si>
    <t>jwvj9SUUVlo</t>
  </si>
  <si>
    <t>2014 08 19</t>
  </si>
  <si>
    <t>https://youtu.be/ntZgIBLkGWA</t>
  </si>
  <si>
    <t>Space Station Astronaut Talks with Maryland Media</t>
  </si>
  <si>
    <t>Aboard the International Space Station, Expedition 40 Flight Engineer Reid Wiseman of NASA, a native of Baltimore, discussed his mission on the orbital laboratory with WJZ-TV in Baltimore during an in-flight interview Aug. 19. Wiseman arrived on the complex in late May and is scheduled to return to Earth on Nov. 10.</t>
  </si>
  <si>
    <t>ntZgIBLkGWA</t>
  </si>
  <si>
    <t>2014 08 18</t>
  </si>
  <si>
    <t>https://youtu.be/JZRrvEJqSM8</t>
  </si>
  <si>
    <t>Space Station Crew Conducts Spacewalk</t>
  </si>
  <si>
    <t>During a 5- hour, 11-minute spacewalk outside the International Space Station on August 18, Expedition 40 Flight Engineers Alexander Skvortsov and Oleg Artemyev of the Russian Federal Space Agency deployed a nanosatellite and completed work on other science hardware and experiments on the Russian segment of the ISS. It was the 181st spacewalk in support of space station assembly and maintenance.</t>
  </si>
  <si>
    <t>JZRrvEJqSM8</t>
  </si>
  <si>
    <t>2014 08 15</t>
  </si>
  <si>
    <t>https://youtu.be/zvafM0N-zXE</t>
  </si>
  <si>
    <t>Carbon Observatory’s First Data on This Week @NASA - August 15, 2014</t>
  </si>
  <si>
    <t>A month after its launch, the Orbiting Carbon Observatory-2, NASA’s first spacecraft dedicated to studying atmospheric carbon dioxide – has reached its final operating orbit and returned its first science data. “First light” test data were collected on August 6 as OCO-2 flew over central New Guinea, confirming the health of the spacecraft’s science instrument’s. Also, ATV-5 Delivers Cargo, Cygnus Departs Station, Super Celestial Show, Black Hole Blurs X-ray Light,
Million Pound Move and more!</t>
  </si>
  <si>
    <t>zvafM0N-zXE</t>
  </si>
  <si>
    <t>2014 08 14</t>
  </si>
  <si>
    <t>https://youtu.be/aYy_I3gNm6c</t>
  </si>
  <si>
    <t>NASA Honors Employees Efforts with Agency's Highest Award</t>
  </si>
  <si>
    <t>The NASA Agency Honor Awards Ceremony is an opportunity for the Administrator to recognize the BEST of the BEST at NASA, by awarding them NASA’s highest honors – the Distinguished Service &amp; Public Service Medals. This year’s ceremony took place August 14 at NASA headquarters.</t>
  </si>
  <si>
    <t>aYy_I3gNm6c</t>
  </si>
  <si>
    <t>2014 08 12</t>
  </si>
  <si>
    <t>https://youtu.be/D0pjgbjTJ8o</t>
  </si>
  <si>
    <t>European Cargo Craft Makes Final visit to the ISS</t>
  </si>
  <si>
    <t>The European Space Agency’s (ESA) “Georges Lemaitre” Automated Transfer Vehicle cargo ship completed a two-week journey to the International Space Station Aug. 12, automatically docking to the aft port of the Zvezda Service Module. The ATV is packed with some 7 tons of food, fuel and supplies for the Expedition 40 crew aboard the orbital laboratory. This fifth and final ATV produced by ESA will remain at the ISS until January 2015.</t>
  </si>
  <si>
    <t>D0pjgbjTJ8o</t>
  </si>
  <si>
    <t>2014 08 11</t>
  </si>
  <si>
    <t>https://youtu.be/dZ95-pE5XvY</t>
  </si>
  <si>
    <t>Space station astronaut talks with DC media</t>
  </si>
  <si>
    <t>Aboard the International Space Station, Expedition 40 Flight Engineer Reid Wiseman of NASA talked about his mission on the orbital laboratory with WJLA-TV in Washington during an in-flight interview Aug. 11. Wiseman is a native of Baltimore, Maryland.</t>
  </si>
  <si>
    <t>dZ95-pE5XvY</t>
  </si>
  <si>
    <t>2014 08 08</t>
  </si>
  <si>
    <t>https://youtu.be/d3TxllHkNWk</t>
  </si>
  <si>
    <t>NASA Press Briefing Includes Early Test Results for New Planetary Landing Technology</t>
  </si>
  <si>
    <t>During an August 8 news briefing at the Jet Propulsion Laboratory in Pasadena, California, NASA released new video from last month’s Low-Density Supersonic Decelerator test in Hawaii and discussed early results of the test. The successful cross-cutting demonstration of the LDSD project’s saucer-shaped test vehicle was designed to evaluate technologies for safely landing larger and heavier payloads on the surface of Mars and other planets with atmospheres.</t>
  </si>
  <si>
    <t>d3TxllHkNWk</t>
  </si>
  <si>
    <t>https://youtu.be/bLzYYbB64Vc</t>
  </si>
  <si>
    <t>Orion recovery test update on This Week @NASA - August 8, 2014</t>
  </si>
  <si>
    <t>NASA wrapped up its second Underway Recovery Test Aug. 4 with the Orion spacecraft, off the coast of San Diego, California. The agency teamed with Lockheed Martin, the U.S. Navy and the Department of Defense's Human Space Flight Support Detachment 3 to evaluate primary and alternative methods to recover Orion after the spacecraft safely splashes down in the ocean at the conclusion of future deep space missions. Orion’s first spaceflight test with a splashdown in the Pacific Ocean is targeted for December. Also, Low-Density Supersonic Decelerator update, 2nd anniversary: 7 Minutes of Terror, Bolden visits MMS at Naval Research Lab, Scanning for algal blooms, Earth science showcase, and more!</t>
  </si>
  <si>
    <t>bLzYYbB64Vc</t>
  </si>
  <si>
    <t>https://youtu.be/iNonPahJlK8</t>
  </si>
  <si>
    <t>NASA Flying Laboratories Study Our World</t>
  </si>
  <si>
    <t>Throughout the remainder of 2014, NASA is flying a series of airborne research campaigns – from the North Pole to the South Pole and many points in between – to take a closer look at U.S. air quality, hurricanes in the Atlantic and Gulf of Mexico, and the impact of climate change on Earth’s polar regions. NASA’s airborne campaigns complement observations from Earth-observing satellites to improve our understanding of how our planet is changing.
For more about NASA's Earth science activities in 2014, visit:
http://www.nasa.gov/earthrightnow
For more information on NASA's Airborne Science Program, visit:
http://airbornescience.nasa.gov</t>
  </si>
  <si>
    <t>iNonPahJlK8</t>
  </si>
  <si>
    <t>2014 08 07</t>
  </si>
  <si>
    <t>https://youtu.be/zXjj32yknWg</t>
  </si>
  <si>
    <t>NASA Glenn and Partners studying Lake Erie algal bloom</t>
  </si>
  <si>
    <t>Engineers at NASA's Glenn Research Center in Cleveland are using NASA Glenn remote-sensing technology to learn more about the Lake Erie algal bloom that contaminated water supplies in northwestern Ohio and southeastern Michigan over the weekend. Deploying a hyper-spectral imager and miniature spectrometers aboard Glenn’s S-3 aircraft, which began the flight campaign August 5, researchers from Glenn and its partners are using the high-resolution instruments to capture images that will reveal western Lake Erie’s characteristics across the light spectrum.  Each aquatic component of the lake has a unique spectrographic signature.  By studying these signatures, researchers can improve their ability to remotely identify the biochemical properties of an algal bloom and predict when and where they will form.</t>
  </si>
  <si>
    <t>zXjj32yknWg</t>
  </si>
  <si>
    <t>2014 08 06</t>
  </si>
  <si>
    <t>https://youtu.be/znjNu8Ui7Ls</t>
  </si>
  <si>
    <t>Maryland Astronaut Talks to Home State Media About Life in Space</t>
  </si>
  <si>
    <t>Aboard the International Space Station, Expedition 40 Flight Engineer Reid Wiseman, a Baltimore native, discussed the progress of his mission and life and research on the orbital laboratory in a pair of in-flight interviews Aug. 6 with Maryland Public Radio station WYPR and Maryland Public Television. Wiseman is in the midst of a 5 ½ month flight on the station and is scheduled to return to Earth in early November.</t>
  </si>
  <si>
    <t>znjNu8Ui7Ls</t>
  </si>
  <si>
    <t>2014 08 01</t>
  </si>
  <si>
    <t>https://youtu.be/aKwjcS37Wvw</t>
  </si>
  <si>
    <t>Preparing for Orion Recovery Test on This Week @NASA - August 1, 2014</t>
  </si>
  <si>
    <t>NASA and the U.S. Navy were busy recently – preparing for tests scheduled off the coast of San Diego, California. Crews will run through the procedures to recover NASA's Orion spacecraft from the ocean, following its water landing from deep space missions. Kennedy Space Center, Johnson Space Center, and Lockheed Martin Space Operations are all involved in the recovery effort. Also, Mars 2020 rover and beyond, Opportunity: 25 miles and counting, Updated K-Rex rover, Automated Transfer Vehicle launch and NASA Technology Days!</t>
  </si>
  <si>
    <t>aKwjcS37Wvw</t>
  </si>
  <si>
    <t>2014 07 31</t>
  </si>
  <si>
    <t>https://youtu.be/1cRhU6bMLis</t>
  </si>
  <si>
    <t>Mars 2020 Rover and Beyond News Teleconference from NASA Headquarters in Washington DC</t>
  </si>
  <si>
    <t>During a July 31 briefing at NASA headquarters, agency officials announced seven science instruments, out of fifty-eight proposed, have been selected to be part of the next rover NASA will send to Mars in 2020. The Mars 2020 rover will be a new version of the Curiosity rover currently operating on Mars – with more sophisticated hardware to conduct unprecedented science and exploration technology investigations, including geological assessments, habitability of the environment and searching for signs of past life on the Red Planet.</t>
  </si>
  <si>
    <t>1cRhU6bMLis</t>
  </si>
  <si>
    <t>https://youtu.be/WD7GVvkDjy0</t>
  </si>
  <si>
    <t xml:space="preserve">NASA Astronaut ISS Crew Member Reid Wiseman Discusses Life in Space with ABC's  Nightline </t>
  </si>
  <si>
    <t>Aboard the International Space Station, Expedition 40 Flight Engineer Reid Wiseman of NASA discussed the status of his five and a half month mission on the orbital laboratory with the ABC News “Nightline” program during an in-flight interview July 31. Wiseman, who has garnered international attention for his enthusiastic involvement in social media, arrived on the station in late May and will remain in orbit until November, when he returns to Earth in a Russian Soyuz spacecraft.</t>
  </si>
  <si>
    <t>WD7GVvkDjy0</t>
  </si>
  <si>
    <t>2014 07 30</t>
  </si>
  <si>
    <t>https://youtu.be/iZDoZnyPwNs</t>
  </si>
  <si>
    <t>Final European Resupply Cargo Ship Begins Its Journey To The Space Station</t>
  </si>
  <si>
    <t>The European Space Agency’s (ESA) 13-ton Automated Transfer Vehicle (ATV) cargo craft launched from ESA’s Arianespace launch site in Kourou, French Guiana, July 29, beginning a two-week journey to the International Space Station to deliver some 7 tons of food, fuel and supplies for the Expedition 40 crew. Dubbed the “Georges Lemaitre” after the 20th century Belgian astronomer credited with proposing the theory of the expansion of the universe, the resupply vehicle is scheduled to dock automatically to the aft port of the Zvezda Service Module on Aug. 12. This is the fifth and final European ATV to service the station. The first flight of an ATV took place in March 2008. The “Georges Lemaitre” will remain docked to the station until late January 2015 when it will depart and be deorbited to burn up in the Earth’s atmosphere.</t>
  </si>
  <si>
    <t>iZDoZnyPwNs</t>
  </si>
  <si>
    <t>2014 07 29</t>
  </si>
  <si>
    <t>https://youtu.be/KtbLnLsNeTU</t>
  </si>
  <si>
    <t>International Space Station Inflight Discussion with ESA Astronaut Alexander Gerst and German Media</t>
  </si>
  <si>
    <t>Aboard the International Space Station, Expedition 40 Flight Engineer Alexander Gerst of Germany discussed life and research on the orbital outpost during a series of in-flight interviews July 29 with members of the German media. Gerst, who represents the European Space Agency, arrived on the station in late May and will remain in orbit until November when he returns to Earth in a Russian Soyuz spacecraft.</t>
  </si>
  <si>
    <t>KtbLnLsNeTU</t>
  </si>
  <si>
    <t>2014 07 25</t>
  </si>
  <si>
    <t>https://youtu.be/esPBHUIw91Q</t>
  </si>
  <si>
    <t>Apollo 11 celebration, Next Giant Leap anticipation on This Week @NASA</t>
  </si>
  <si>
    <t>There was more celebration of Apollo 11’s 45th anniversary at several events around the country – and more opportunity for the agency to highlight its “next giant leap” to send humans to Mars. Those events included a ceremony during which Kennedy Space Center’s Operations and Checkout Building was renamed on July 21, in honor of Apollo 11 Commander Neil Armstrong, who passed away in 2012. The facility, which was used to process and test Apollo spacecraft, is now being used to assemble NASA’s Orion spacecraft. Also, ISS astronauts appear in the House, Space station cargo ships, Extreme underwater mission underway, RS-25 Engine installed for testing, and more!</t>
  </si>
  <si>
    <t>esPBHUIw91Q</t>
  </si>
  <si>
    <t>https://youtu.be/SVYGhsBter8</t>
  </si>
  <si>
    <t>Apollo 11 Mission Audio - Day 9</t>
  </si>
  <si>
    <t>Audio highlights from the ninth day of the Apollo 11 mission.</t>
  </si>
  <si>
    <t>SVYGhsBter8</t>
  </si>
  <si>
    <t>https://youtu.be/xwhnXJdJEk8</t>
  </si>
  <si>
    <t>NASA's Next Giant Leap</t>
  </si>
  <si>
    <t>It was 45 years ago that Neil Armstrong took the small step onto the surface of the moon that changed the course of history. The Apollo missions blazed a path for human exploration to the moon and today NASA is taking its Next Giant Leap to near-Earth asteroids, Mars and beyond. As we develop and test the new tools of 21st century spaceflight on the human path to Mars, we once again will change the course of history.</t>
  </si>
  <si>
    <t>xwhnXJdJEk8</t>
  </si>
  <si>
    <t>2014 07 24</t>
  </si>
  <si>
    <t>https://youtu.be/mS0Ykvj4P1I</t>
  </si>
  <si>
    <t>ISS Astronauts Appear in the House</t>
  </si>
  <si>
    <t>Aboard the International Space Station, NASA’s Steve Swanson and Reid Wiseman made a special appearance from space before the U.S. House Committee on Science, Space and Technology on July 24. During the satellite downlink, Swanson and Wiseman talked about research on the station and how it applies to future long-duration missions away from the Earth as well as the benefits for people back on Earth.</t>
  </si>
  <si>
    <t>mS0Ykvj4P1I</t>
  </si>
  <si>
    <t>https://youtu.be/UMFolzWdnWw</t>
  </si>
  <si>
    <t>Apollo 11 Mission Audio - Day 8</t>
  </si>
  <si>
    <t>Audio highlights from the eighth day of the Apollo 11 mission.</t>
  </si>
  <si>
    <t>UMFolzWdnWw</t>
  </si>
  <si>
    <t>https://youtu.be/6MAVU9EkMWE</t>
  </si>
  <si>
    <t>Apollo 11 Mission Audio - Day 7</t>
  </si>
  <si>
    <t>Audio highlights from the seventh day of the Apollo 11 mission.</t>
  </si>
  <si>
    <t>6MAVU9EkMWE</t>
  </si>
  <si>
    <t>https://youtu.be/TZuOBSgTJGs</t>
  </si>
  <si>
    <t>Apollo 11 Mission Audio - Day 6</t>
  </si>
  <si>
    <t>Audio highlights from the sixth day of the Apollo 11 mission.</t>
  </si>
  <si>
    <t>TZuOBSgTJGs</t>
  </si>
  <si>
    <t>https://youtu.be/fktWJ0M80QE</t>
  </si>
  <si>
    <t>Apollo 11 Mission Audio - Day 5</t>
  </si>
  <si>
    <t>Audio highlights from the fifth day of the Apollo 11 mission.</t>
  </si>
  <si>
    <t>fktWJ0M80QE</t>
  </si>
  <si>
    <t>https://youtu.be/fCp0SDEJsp8</t>
  </si>
  <si>
    <t>Apollo 11 Mission Audio - Day 4</t>
  </si>
  <si>
    <t>Audio highlights from the fourth day of the Apollo 11 mission.</t>
  </si>
  <si>
    <t>fCp0SDEJsp8</t>
  </si>
  <si>
    <t>https://youtu.be/ywNx2-u1HMM</t>
  </si>
  <si>
    <t>Apollo 11 Mission Audio - Day 3</t>
  </si>
  <si>
    <t>Audio highlights from the third day of the Apollo 11 mission.</t>
  </si>
  <si>
    <t>ywNx2-u1HMM</t>
  </si>
  <si>
    <t>https://youtu.be/p7oOPjwnDow</t>
  </si>
  <si>
    <t>New Russian Supply Ship Arrives at the ISS</t>
  </si>
  <si>
    <t>Just six hours after its launch from the Baikonur Cosmodrome in Kazakhstan, the unpiloted Russian ISS Progress 56 cargo craft automatically docked to the International Space Station July 23, delivering almost three tons of food, fuel and supplies for the Expedition 40 crew on board. The Progress will remain docked to Pirs until late October.</t>
  </si>
  <si>
    <t>p7oOPjwnDow</t>
  </si>
  <si>
    <t>2014 07 23</t>
  </si>
  <si>
    <t>https://youtu.be/_WXyZLVXcKg</t>
  </si>
  <si>
    <t>New Russian Supply Ship Heads to the ISS</t>
  </si>
  <si>
    <t>The unpiloted Russian ISS Progress 56 cargo ship lifted off on July 23, U.S. time, from the Baikonur Cosmodrome in Kazakhstan for a six-hour trip to deliver almost three tons of food, fuel and supplies for the Expedition 40 crew aboard the International Space Station. The new Progress 56 craft will remain docked to the station’s Pirs Docking Compartment until late October.</t>
  </si>
  <si>
    <t>_WXyZLVXcKg</t>
  </si>
  <si>
    <t>https://youtu.be/keZZ5444sK0</t>
  </si>
  <si>
    <t>Apollo 11 Mission Audio - Day 2</t>
  </si>
  <si>
    <t>Audio highlights from the second day of the Apollo 11 mission.</t>
  </si>
  <si>
    <t>keZZ5444sK0</t>
  </si>
  <si>
    <t>https://youtu.be/DejhGSEu8wk</t>
  </si>
  <si>
    <t>Apollo 11 Mission Audio - Day 1</t>
  </si>
  <si>
    <t>Audio highlights from the first day of the Apollo 11 mission.</t>
  </si>
  <si>
    <t>DejhGSEu8wk</t>
  </si>
  <si>
    <t>2014 07 22</t>
  </si>
  <si>
    <t>https://youtu.be/evSZKd037BM</t>
  </si>
  <si>
    <t>Russian Cargo Ship Departs the ISS</t>
  </si>
  <si>
    <t>Three months after delivering 2 1/2 tons of food, fuel and supplies for the Expedition 40 crew, the unpiloted Russian ISS Progress 55 cargo ship undocked from the International Space Station July 21. Loaded with trash, the Progress was maneuvered by Russian flight controllers to a safe distance away from the station for 10 days of engineering tests. It will be deorbited on July 31 so it can burn up in the Earth's atmosphere over the Pacific Ocean. The crew is expecting the arrival of a new Progress craft on July 23 loaded with fresh supplies.</t>
  </si>
  <si>
    <t>evSZKd037BM</t>
  </si>
  <si>
    <t>2014 07 21</t>
  </si>
  <si>
    <t>https://youtu.be/foJGr-Re1RM</t>
  </si>
  <si>
    <t>NASA Renames Historic Facility in Honor of Neil Armstrong</t>
  </si>
  <si>
    <t>During a ceremony at Kennedy Space Center on Monday, July 21, NASA renamed the center's Operations and Checkout Building in honor of late astronaut Neil Armstrong, who passed away in 2012. The ceremony included NASA Administrator Charles Bolden, Kennedy Center Director Robert Cabana, Apollo 11's Michael Collins and Buzz Aldrin and astronaut Jim Lovell, who was the mission's back-up commander. International Space Station NASA astronauts Steve Swanson, who is the current station commander, and Reid Wiseman, also took part in the ceremony via satellite downlink from their orbiting laboratory 260 miles above Earth.
Kennedy's Operations and Checkout Building has played a vital role in NASA's spaceflight history. It was used during the Apollo program to process and test the command, service and lunar modules. Today, the facility is being used to process and assemble NASA's Orion spacecraft, which the agency will use to send astronauts to an asteroid in the 2020s and Mars in the 2030s.</t>
  </si>
  <si>
    <t>foJGr-Re1RM</t>
  </si>
  <si>
    <t>2014 07 18</t>
  </si>
  <si>
    <t>https://youtu.be/lXYYuz2oFvQ</t>
  </si>
  <si>
    <t>NASA Celebrates Apollo 11 45th Anniversary and Looks Forward to its Next Giant Leap</t>
  </si>
  <si>
    <t>Animated graphic created by NASA multi-media to commemorate the 45th anniversary of the Apollo 11 Mission.</t>
  </si>
  <si>
    <t>lXYYuz2oFvQ</t>
  </si>
  <si>
    <t>https://youtu.be/QjmjfM7LV0Q</t>
  </si>
  <si>
    <t>A live conversation about the future of space exploration with actor, director and narrator Morgan Freeman. He spoke at NASA's Jet Propulsion Laboratory in Pasadena, California, about his personal vision for space. The event also included NASA astronaut Reid Wiseman and Expedition 40 Commander Steve Swanson participating from the International Space Station.</t>
  </si>
  <si>
    <t>QjmjfM7LV0Q</t>
  </si>
  <si>
    <t>https://youtu.be/3kH3WfpDKW0</t>
  </si>
  <si>
    <t>Apollo 11 yesterday, Next Giant Leap tomorrow on This Week @NASA</t>
  </si>
  <si>
    <t>NASA is celebrating the 45th anniversary of the historic Apollo 11 mission to the moon. On July 20, 1969, Neil Armstrong and Buzz Aldrin, with crewmate Michael Collins manning the command service module from lunar orbit, became the first humans on the moon -- with Armstrong's historic first step onto the lunar surface becoming a symbolic giant leap for humanity. Today, with Apollo 11 as inspiration, NASA is taking the steps needed for America's next giant leap, to send astronauts to Mars. The path to Mars will use a stepping stone approach consisting of key elements, including human health and technology research aboard the International Space Station; development and evolution of NASA's Space Launch System rocket and Orion deep space capsule and development of other game-changing technologies to enable tomorrow's missions. Also, Science instruments for Europa mission?, Cygnus cargo craft arrives at ISS, News conference with next ISS crew, 5th Anniversary of Bolden's Confirmation, The Search for Life in the Universe.</t>
  </si>
  <si>
    <t>3kH3WfpDKW0</t>
  </si>
  <si>
    <t>2014 07 17</t>
  </si>
  <si>
    <t>https://youtu.be/hbgxzA2VQC0</t>
  </si>
  <si>
    <t>Time of Apollo</t>
  </si>
  <si>
    <t>Narrated documentary production retrospective of all Apollo Missions combined.</t>
  </si>
  <si>
    <t>hbgxzA2VQC0</t>
  </si>
  <si>
    <t>https://youtu.be/Z5YQ8azP_Zs</t>
  </si>
  <si>
    <t>300 Feet to the Moon</t>
  </si>
  <si>
    <t>After making the 240,000-mile journey to the moon cruising through open space, the last 300 feet down to landing represented the most difficult and dangerous part of the Apollo missions. The Apollo astronauts needed a way to practice that final descent and landing before Apollo 11 astronauts Neil Armstrong and Edwin "Buzz" Aldrin made the first historic moon landing in their lunar lander named Eagle on July 20, 1969.</t>
  </si>
  <si>
    <t>Z5YQ8azP_Zs</t>
  </si>
  <si>
    <t>https://youtu.be/S9HdPi9Ikhk</t>
  </si>
  <si>
    <t>Restored Apollo 11 Moonwalk - Original NASA EVA Mission Video - Walking on the Moon</t>
  </si>
  <si>
    <t>Original Mission Video as aired in July 1969 depicting the Apollo 11 astronauts conducting several tasks during extravehicular activity (EVA) operations on the surface of the moon.  The EVA lasted approximately 2.5 hours with all scientific activities being completed satisfactorily.  The Apollo 11 (EVA) began at 10:39:33 p.m. EDT on July 20, 1969 when Astronaut Neil Armstrong emerged from the spacecraft first. While descending, he released the Modularized Equipment Stowage Assembly on the Lunar Module's descent stage. A camera on this module provided live television coverage of man's first step on the Moon. On this, their one and only EVA, the astronauts had a great deal to do in a short time. During this first visit to the Moon, the astronauts remained within about 100 meters of the lunar module, collected about 47 pounds of samples, and deployed four experiments. After spending approximately 2 hours and 31 minutes on the surface, the astronauts ended the EVA at 1:11:13 a.m. EDT on July 21.</t>
  </si>
  <si>
    <t>S9HdPi9Ikhk</t>
  </si>
  <si>
    <t>https://youtu.be/DwybgxL0Yag</t>
  </si>
  <si>
    <t>ISS Expedition 41-42 Crew News Conference</t>
  </si>
  <si>
    <t>The next crew to launch to the International Space Station (ISS), including NASA astronaut Barry "Butch" Wilmore, participated in a NASA Television news conference and media interview on Wednesday, July 16, at the agency's Johnson Space Center in Houston.  Wilmore, and cosmonauts Elena Serova and Alexander Samokutyaev of the Russian Federal Space Agency (Roscosmos), will launch to the space station Sept. 25 from the Baikonur Cosmodrome in Kazakhstan aboard a Soyuz TMA-14M spacecraft.</t>
  </si>
  <si>
    <t>DwybgxL0Yag</t>
  </si>
  <si>
    <t>https://youtu.be/KXfxH4FRObY</t>
  </si>
  <si>
    <t>NASA Space Station Commander Discusses Life And Work Floating In Space with Denver Media</t>
  </si>
  <si>
    <t>Aboard the International Space Station, Expedition 40 Commander Steve Swanson of NASA discussed life and research on the orbital outpost during an in-flight interview July 17 with KDVR-TV in Denver. Swanson, who is a native of Steamboat Springs, Colorado, arrived on the station in late March, became station commander in May and will remain in orbit until mid-September when he will return to Earth in a Russian Soyuz spacecraft.</t>
  </si>
  <si>
    <t>KXfxH4FRObY</t>
  </si>
  <si>
    <t>2014 07 16</t>
  </si>
  <si>
    <t>https://youtu.be/GNJpoP642wc</t>
  </si>
  <si>
    <t>The Journeys of Apollo</t>
  </si>
  <si>
    <t>The Journeys of Apollo is a previously produced documentary narrated by Actor Peter Cullen that relives the 40th Apollo Anniversary and mission to explore Earth's neighbor, the Moon.</t>
  </si>
  <si>
    <t>GNJpoP642wc</t>
  </si>
  <si>
    <t>https://youtu.be/HxgoV9IMgCg</t>
  </si>
  <si>
    <t>Apollo 11   For All Mankind</t>
  </si>
  <si>
    <t>A documentary of the Apollo 11 launch, lunar landing and exploration and return to earth which included a stay in quarantine</t>
  </si>
  <si>
    <t>HxgoV9IMgCg</t>
  </si>
  <si>
    <t>https://youtu.be/qUe5IpDBcsM</t>
  </si>
  <si>
    <t>The Flight of Apollo 11</t>
  </si>
  <si>
    <t>The story of the first Moon landing in July 1969. Depicts the principal events of the mission, from the launching through the post recovery activities of astronauts Armstrong, Aldrin, and Collins. Through television, motion pictures, and still photography, the program provides an "eyewitness" perspective of the Apollo 11 mission.</t>
  </si>
  <si>
    <t>qUe5IpDBcsM</t>
  </si>
  <si>
    <t>https://youtu.be/SMA0zbFK5jE</t>
  </si>
  <si>
    <t>Apollo 11 45th Anniversary Resource Reel</t>
  </si>
  <si>
    <t>NASA marks the 45th anniversary of the first moon landing this month while it takes the steps needed for America's next giant leap to send astronauts to Mars. Mission Video shown is as aired in July 1969 depicting the Apollo 11 astronauts conducting several tasks during extravehicular activity (EVA) operations on the surface of the moon as well as pre-lauch preparations and post launch activities and celebrations.</t>
  </si>
  <si>
    <t>SMA0zbFK5jE</t>
  </si>
  <si>
    <t>https://youtu.be/fFRBJ13Zx6I</t>
  </si>
  <si>
    <t>U.S. Cargo Ship Arrives And Grapples With The International Space Station</t>
  </si>
  <si>
    <t>Carrying more than 3,000 pounds of food, supplies, spare parts and experiments, Orbital Sciences Corporation's Cygnus cargo ship arrived at the International Space Station July 16, where it was grappled by Expedition 40 Commander Steve Swanson backed up by European Space Agency Flight Engineer Alexander Gerst. The pair operated the Canadarm2 robotic arm from the station's cupola to snag Cygnus before robotic ground controllers atmission control in Houston initiated its installation onto the Earth-facing port of the Harmony module where it would be bolted in place for a month-long stay. Cygnus was launched July 13 atop Orbital's Antares rocket from the Mid-Atlantic Regional Spaceport's Launch Pad 0A at Wallops Flight Facility, Virginia for the second contracted commercial resupply flight for the U.S. firm.</t>
  </si>
  <si>
    <t>fFRBJ13Zx6I</t>
  </si>
  <si>
    <t>https://youtu.be/oCh5HLyOufw</t>
  </si>
  <si>
    <t>ISS Apollo 11 45th Anniversary Message</t>
  </si>
  <si>
    <t>International Space Station astronauts Steve Swanson and Reid Wiseman salute the Apollo 11 mission on the 45th anniversary of its launch. 
"When Apollo 11 landed on the moon 45 years ago," says Swanson, "this space station that we live on was science fiction. But today it is reality thanks to the legacy of the Apollo astronauts and all the nations that have followed the path to space since then."</t>
  </si>
  <si>
    <t>oCh5HLyOufw</t>
  </si>
  <si>
    <t>2014 07 14</t>
  </si>
  <si>
    <t>https://youtu.be/GNjuz6MO0eU</t>
  </si>
  <si>
    <t>Space Experts Discuss the Search for Life in the Universe at NASA</t>
  </si>
  <si>
    <t>NASA space-based observatories are making unprecedented new discoveries and revealing worlds never before seen. During a televised panel discussion of leading science and engineering experts at NASA Headquarters on Monday, July 14, a scientific and technological roadmap to lead to the discovery of potentially habitable worlds among the stars was addressed.  The agency's next step, the James Webb Space Telescope (Webb telescope), was featured as a new tool that will continue to help scientists rewrite scientific textbooks long after its scheduled launch in 2018.</t>
  </si>
  <si>
    <t>GNjuz6MO0eU</t>
  </si>
  <si>
    <t>https://youtu.be/102ZxBw2-4M</t>
  </si>
  <si>
    <t>Orbital 2 Mission Underway on This Week @NASA</t>
  </si>
  <si>
    <t>Orbital Sciences Corporation's Antares rocket and Cygnus cargo craft launched from Wallops Flight Facility on the Orbital-2 mission -- the company's second operational resupply mission to the International Space Station, under its Commercial Resupply Services contract with NASA. The Cygnus spacecraft, which is delivering almost 33-hundred pounds of cargo, is targeted to rendezvous with the ISS on July 16. Also, Aquarius maps soil moisture, SLS Core Preliminary Design Review, JWST update and Dry ice gullies on Mars.</t>
  </si>
  <si>
    <t>102ZxBw2-4M</t>
  </si>
  <si>
    <t>https://youtu.be/HKz757B7yY8</t>
  </si>
  <si>
    <t>NASA Administrator Charles Bolden Apollo 11 45th Anniversary Message</t>
  </si>
  <si>
    <t>Building on Apollo 11 for the Next Giant Leap
This month, our nation will mark the 45th anniversary of the Apollo 11 landing on the moon – a remarkable American accomplishment and a “giant leap” for humankind.  Today, at NASA, we’re working on the next giant leap – a human mission to Mars, standing on the shoulders of astronauts Neil Armstrong, Buzz Aldrin and Michael Collins.
As I near the end of my fifth year as NASA administrator, I take great pride in the many amazing things our nation's space program continues to accomplish.  From an incredible five Earth science missions heading to space this year, to the first flight test of the Orion spacecraft that will one day carry astronauts to Mars and the continued success of our commercial partners in their missions to the International Space Station (ISS), we're building on the Apollo program's legacy to test and fly transformative, cutting-edge technologies today for tomorrow's missions.
Around this 45th anniversary, we look ahead on our path to Mars and the milestones within our grasp.  We're treading that path with a stepping stone approach that takes the extraordinary work our crews have been doing aboard the Space Station for more than 13 years preparing us to travel farther into our solar system.  Technology drives exploration, and we'll be testing new technologies in the proving ground of deep space on our mission to an asteroid, eventually becoming Earth independent as we reach Mars.
Just this past week we were pleased that one of our private sector partners, Orbital Sciences, once again successfully launched a cargo mission to the ISS from U.S. soil.  Along with another commercial partner, SpaceX, they've demonstrated with their Cygnus and Dragon spacecraft, respectively, that American industry can help us reach low Earth orbit and create good jobs and value for NASA at the same time.  Later this year, we plan to award commercial contracts for transporting our astronauts to space from American soil by 2017, ending our reliance on others to get into space and freeing up scarce resources to focus on our even bolder Mars mission.
Our science missions also continue to turn science fiction into science fact.  Today in Washington, we are hosting a public event, "The Search for Life in the Universe," about our work on one of the most fundamental questions in exploration, "Are we alone?"  Top scientists will share insights on how close we are to answering that question, what we know today from NASA missions and what we may find out soon. 
In September, MAVEN arrives at Mars to study the planet's upper atmosphere even as Curiosity and Opportunity continue to rove the surface and help prepare us for human missions to the Red Planet.  Next year New Horizons arrives at Pluto and the year after, Juno arrives at Jupiter, even as we prepare our next Great Observatory, the James Webb Space Telescope, for launch in 2018 to peer back at the oldest light in the cosmos.
You can see that today's astronauts, scientists and engineers continue to be inspired by the Apollo 11 mission.  I'm proud and privileged to head a space agency that is accomplishing so much today with the legacy of the Apollo 11 crew and the thousands of ground support personnel who facilitated their success.  As the world’s leader in exploration, we have so much to look forward to in the coming years. 
Below is a link to a video I recorded about my personal remembrances of the first moon landing.  I'm sure every one of you who was old enough also remembers exactly where you were at the time.  
In the spirit of this brave crew, we look forward to a new generation of NASA achievements in space.</t>
  </si>
  <si>
    <t>HKz757B7yY8</t>
  </si>
  <si>
    <t>2014 07 13</t>
  </si>
  <si>
    <t>https://youtu.be/zg4DWPGjxTc</t>
  </si>
  <si>
    <t>Post launch status of Orbital 2 Mission updated</t>
  </si>
  <si>
    <t>During a NASA TV press briefing, representatives from NASA and Orbital Sciences Corporation updated the status of the Cygnus cargo craft, which launched from Wallops Flight Facility in Virginia on Sunday, July 13 at 12:52 p.m. ET on the Orbital-2 Mission to the International Space Station.
The Cygnus spacecraft is carrying more than 3,000 pounds of supplies for the station, including science experiments, crew provisions, spare parts and experiment hardware.
This and future commercial cargo resupply flights will ensure a robust national capability to deliver critical science research to orbit, significantly increasing NASA's ability to conduct new science investigations to the only laboratory in microgravity.</t>
  </si>
  <si>
    <t>zg4DWPGjxTc</t>
  </si>
  <si>
    <t>https://youtu.be/KA3RhUsbf20</t>
  </si>
  <si>
    <t>Launch of Orbital-2 Mission to the International Space Station</t>
  </si>
  <si>
    <t>Orbital Sciences Corporation's Antares rocket and Cygnus cargo craft launched from Wallops Flight Facility on the Orbital-2 mission -- the company's second operational resupply mission to the International Space Station, under its Commercial Resupply Services contract with NASA. The Cygnus spacecraft, which is carrying almost 3,300 pounds of supplies -- including a host of experiments, is targeted to rendezvous with the ISS on July 16.</t>
  </si>
  <si>
    <t>KA3RhUsbf20</t>
  </si>
  <si>
    <t>2014 07 12</t>
  </si>
  <si>
    <t>https://youtu.be/oBDhn0aPuqk</t>
  </si>
  <si>
    <t>Orbital 2 Mission to the space station previewed</t>
  </si>
  <si>
    <t>The prelaunch status of the upcoming Orbital-2 Mission to the International Space Station was discussed during a pre-launch briefing seen on NASA Television.
Orbital Sciences Corporation's Cygnus cargo spacecraft is scheduled to launch from the Mid-Atlantic Regional Spaceport at NASA's Wallops Flight Facility in Virginia on Sunday, July 13 at 12:52 p.m. ET, with more than 3,000 pounds of supplies for the station, including science experiments to expand the research capability of the Expedition 40 crew members aboard the orbiting laboratory, crew provisions, spare parts and experiment hardware.
This and future commercial cargo resupply flights will ensure a robust national capability to deliver critical science research to orbit, significantly increasing NASA's ability to conduct new science investigations to the only laboratory in microgravity.</t>
  </si>
  <si>
    <t>oBDhn0aPuqk</t>
  </si>
  <si>
    <t>2014 07 11</t>
  </si>
  <si>
    <t>https://youtu.be/p4WJEOnxnXM</t>
  </si>
  <si>
    <t>Briefing Previews Science and Tech Cargo For the Orbital-2 Mission</t>
  </si>
  <si>
    <t>The science and technology payloads on the upcoming Orbital-2 Mission to the International Space Station were discussed during a pre-launch briefing seen on NASA Television.
Orbital Sciences Corporation's Cygnus cargo spacecraft is scheduled to launch from the Mid-Atlantic Regional Spaceport at NASA's Wallops Flight Facility in Virginia on Sunday, July 13 at 12:52 p.m. ET.
The Cygnus will be filled with more than 3,000 pounds of supplies for the station, including the science experiments, crew provisions, spare parts and experiment hardware.</t>
  </si>
  <si>
    <t>p4WJEOnxnXM</t>
  </si>
  <si>
    <t>https://youtu.be/BlVQs_wcYzA</t>
  </si>
  <si>
    <t>Aquarius maps soil moisture on This Week @NASA</t>
  </si>
  <si>
    <t>Data from NASA's Aquarius instrument has helped researchers create worldwide maps of soil moisture, showing how the wetness of the land fluctuates with the seasons and weather phenomena. Soil moisture, the water contained within soil particles, is an important player in Earth's water cycle. When it launched in June 2011, the primary science objective of the Aquarius mission was to study the salt content of ocean surface waters. But investigators have since developed a method to retrieve soil moisture data from the instrument's microwave radiometer. Also, SLS Core Preliminary Design Review, JWST update and Dry ice gullies on Mars.</t>
  </si>
  <si>
    <t>BlVQs_wcYzA</t>
  </si>
  <si>
    <t>2014 07 10</t>
  </si>
  <si>
    <t>https://youtu.be/qAbni7TDJ_U</t>
  </si>
  <si>
    <t>Pre-launch Activities Complete for Supply Mission to ISS</t>
  </si>
  <si>
    <t>Orbital Sciences Corporation has completed pre-launch processing and rollout of its Antares rocket and Cygnus cargo craft at Wallops Flight Facility. Launch opportunities for the Orbital-2 mission to the International Space Station begin July 12. Orb-2 is the company's second operational resupply mission to the ISS under its Commercial Resupply Services contract with NASA. The Cygnus spacecraft is delivering almost 33-hundred pounds of cargo, including science experiments to expand the research capability of the Expedition 40 crew onboard the station.</t>
  </si>
  <si>
    <t>qAbni7TDJ_U</t>
  </si>
  <si>
    <t>2014 07 09</t>
  </si>
  <si>
    <t>https://youtu.be/2G7_AWAc0AE</t>
  </si>
  <si>
    <t>Space station astronauts talk with the media about life in space</t>
  </si>
  <si>
    <t>Aboard the International Space Station, Expedition 40 Commander Steve Swanson and Flight Engineer Reid Wiseman of NASA and German Flight Engineer Alexander Gerst of the European Space Agency discussed research and their use of social media aboard the orbital outpost with Time.com and the Time Warner Cable Network in Albany, New York during a pair of in-flight interviews July 9. Wiseman graduated from nearby Rensselaer Polytechnic Institute in Troy, New York in 1997.</t>
  </si>
  <si>
    <t>2G7_AWAc0AE</t>
  </si>
  <si>
    <t>2014 07 08</t>
  </si>
  <si>
    <t>https://youtu.be/UPl6hAMokZM</t>
  </si>
  <si>
    <t>NASA Flight Controller talks space with students</t>
  </si>
  <si>
    <t>From NASA's Mission Control in Houston, TX, International Space Station Flight Controller, Brion Au, answered questions from students at the Museum of Flight in Washington who are in the Washington Aerospace Scholars program,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</si>
  <si>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UPl6hAMokZM</t>
  </si>
  <si>
    <t>2014 07 03</t>
  </si>
  <si>
    <t>https://youtu.be/XeIzRqtjYOQ</t>
  </si>
  <si>
    <t>Carbon Observing Mission Launches on This Week @NASA</t>
  </si>
  <si>
    <t>NASA's Orbiting Carbon Observatory-2 mission is underway. Launched from California's Vandenberg Air Force Base, OCO-2 will help track our impact on the amount of carbon dioxide in the atmosphere and help us better understand the various human-made and natural sources of CO-2. This is one of five Earth-observing missions scheduled in 2014 -- the most Earth-focused missions launched in a single year, in more than a decade. Also, Saucer-shaped vehicle tested, Cygnus Orb-2 launch update, Space Launch System model tests and 10 years exploring Saturn.</t>
  </si>
  <si>
    <t>XeIzRqtjYOQ</t>
  </si>
  <si>
    <t>https://youtu.be/Qxu0PXUelM0</t>
  </si>
  <si>
    <t>Space Station Cameras and Crew Capture Views of Tropical Storm Arthur</t>
  </si>
  <si>
    <t>Cameras mounted on the truss of the International Space Station captured a dramatic view of Tropical Storm Arthur at 9:29 a.m. Eastern time July 2 as the station and its six-man crew flew 260 miles overhead. At the time, Arthur was about 100 miles east-northeast of Cape Canaveral, Florida, moving north at about 6 miles an hour. The National Hurricane Center forecasts that Arthur will strengthen into a hurricane as it moves to the northeast and close to the Eastern seaboard during the next several days. The Expedition 40 crew also captured digital still imagery of Arthur as part of its regular acquisition of Earth observation targets and meteorological phenomena.</t>
  </si>
  <si>
    <t>Qxu0PXUelM0</t>
  </si>
  <si>
    <t>2014 07 02</t>
  </si>
  <si>
    <t>https://youtu.be/gLyj8s6CQC0</t>
  </si>
  <si>
    <t>Working @NASA 50 Years After The Civil Rights Act Willis Chapman</t>
  </si>
  <si>
    <t>In recognition of the 50th anniversary of the Civil Rights Act of 1964, this series of short videos features NASA employees discussing their experiences and recollections related to the Civil Rights Movement, the civil rights progress of the last 50 years and the challenges that still confront us. The Civil Rights Act was signed into law July 2, 1964 by President Lyndon Baines Johnson -- the namesake of NASA's Johnson Space Center.</t>
  </si>
  <si>
    <t>gLyj8s6CQC0</t>
  </si>
  <si>
    <t>https://youtu.be/xpWvo2X55n4</t>
  </si>
  <si>
    <t>Working @NASA 50 Years After The Civil Rights Act Tahani Amer</t>
  </si>
  <si>
    <t>xpWvo2X55n4</t>
  </si>
  <si>
    <t>https://youtu.be/8QoIKhK1VQI</t>
  </si>
  <si>
    <t>Working @NASA 50 Years After The Civil Rights Act Reginald Alexander</t>
  </si>
  <si>
    <t>8QoIKhK1VQI</t>
  </si>
  <si>
    <t>https://youtu.be/x8Tt7qlLfIM</t>
  </si>
  <si>
    <t>Working @NASA 50 Years After The Civil Rights Act Pat Cowings</t>
  </si>
  <si>
    <t>x8Tt7qlLfIM</t>
  </si>
  <si>
    <t>https://youtu.be/RqQ3yFyrIM0</t>
  </si>
  <si>
    <t>Working @NASA 50 Years After The Civil Rights Act Amber Straughn</t>
  </si>
  <si>
    <t>RqQ3yFyrIM0</t>
  </si>
  <si>
    <t>https://youtu.be/o3s_uhEr1Cs</t>
  </si>
  <si>
    <t>NASA Administrator Charles Bolden on 50th Anniversary of the Civil Rights Act of 1964</t>
  </si>
  <si>
    <t>NASA celebrates the impact of the Civil Rights Act of 1964 on NASA and the nation.</t>
  </si>
  <si>
    <t>o3s_uhEr1Cs</t>
  </si>
  <si>
    <t>https://youtu.be/8zrP96LQFZI</t>
  </si>
  <si>
    <t>NASA's Orbiting Carbon Observatory-2 (OCO-2) Launch From Vandenberg Air Force Base</t>
  </si>
  <si>
    <t>NASA's first spacecraft dedicated to studying carbon dioxide in Earth's atmosphere was successfully launched from Vandenberg Air Force Base, California.  OCO-2 will be collecting a great number of high-resolution measurements, which will provide a greater spatial distribution of CO2 over the entire globe, in short, a bigger, clearer, more complete picture of global CO2. These measurements will be combined with data from the ground-based network to provide scientists with the information that they need to better understand the processes that regulate atmospheric CO2 and its role in the carbon cycle.</t>
  </si>
  <si>
    <t>8zrP96LQFZI</t>
  </si>
  <si>
    <t>2014 07 01</t>
  </si>
  <si>
    <t>https://youtu.be/8VH2Z6dLRu8</t>
  </si>
  <si>
    <t>NASA Space Station Crewmember Discusses Life In Space And Social Media Mania</t>
  </si>
  <si>
    <t>Aboard the International Space Station, Expedition 40 Flight Engineer Reid Wiseman of NASA, a native of Cockeysville, Maryland, discussed his interest in and contributions to social media in telling the story of his life and work in space as well as the progress of his research activities on the orbital laboratory in a pair of in-flight interviews July 1 with the NBC "Today Show" and WJZ-TV, Baltimore. Wiseman, who arrived on the station in late May, will remain in orbit until mid-November, when he will return to Earth in a Russian Soyuz spacecraft.</t>
  </si>
  <si>
    <t>8VH2Z6dLRu8</t>
  </si>
  <si>
    <t>2014 06 30</t>
  </si>
  <si>
    <t>https://youtu.be/3lntugxjOe0</t>
  </si>
  <si>
    <t>NASA's Orbiting Carbon Observatory-2 (OCO-2) Social from Vandenberg Air Force Base</t>
  </si>
  <si>
    <t>NASA invited social media users from across the country to help cover the launch of the agency's Orbiting Carbon Observatory-2 (OCO-2) -- the second of NASA's five Earth science missions to launch in 2014.  The event took place at the Space Launch Complex 2 at Vandenberg Air Force Base (VAFB) in Lompoc, California with approximately 70 selected social media users in an effort to align the experience of social media representatives with those of traditional media.  Participants were invited to view the launch of the United Launch Alliance Delta II rocket, get a behind-the-scenes tour of Vandenberg Air Force Base and learn about the science and engineering behind the OCO-2 mission.</t>
  </si>
  <si>
    <t>3lntugxjOe0</t>
  </si>
  <si>
    <t>https://youtu.be/kPxEMT-sSX0</t>
  </si>
  <si>
    <t>Space Station Crew Discusses The World Cup And Life In Space With German Network</t>
  </si>
  <si>
    <t>kPxEMT-sSX0</t>
  </si>
  <si>
    <t>https://youtu.be/pzX-ZhCDbrw</t>
  </si>
  <si>
    <t>Women at NASA Monica Bowie</t>
  </si>
  <si>
    <t>Growing up, Monica Bowie dreamed of becoming a lawyer for the Department of Justice. After 23 years of working for NASA, she is delighted that the life she planned for herself was not what actually happened. Ms. Bowie started at NASA as a Clerk Typist and has worked her way up to serving as NASA's Lead for International Guest Operations. She supports international guests attending Shuttle and Expendable Launch Vehicle events at NASA Centers, serving as the international lead coordinator for 22 Shuttle launches and landings. She established a unique process for supporting NASA's international guests and became the recognized expert Agency-wide and around the world. Recently, she supported Office of International and Interagency Relations International Program Specialists in developing international agreements. 
Ms. Bowie assisted in the negotiation and renewal of the NASA-ESA Spacelab Loan Agreement. She renewed the University of British Columbia Loan Agreement. She assisted with the coordination of the Exchange of Notes between the Government of the United States of America and the Government of Australia. She also coordinates Astronauts post-flight international visits. Ms. Bowie realizes that not everyone at NASA has the opportunity to associate with astronauts. Her work with this special group is priceless and creates memories that she will forever cherish.</t>
  </si>
  <si>
    <t>pzX-ZhCDbrw</t>
  </si>
  <si>
    <t>https://youtu.be/uZ20sOS4sNQ</t>
  </si>
  <si>
    <t>Orbiting Carbon Observatory-2 Mission Prelaunch News Conference</t>
  </si>
  <si>
    <t>During a pair of prelaunch briefings from Vandenberg Air Force Base, officials and scientists discussed the upcoming Orbiting Carbon Observatory-2 mission. OCO-2 is NASA's first mission dedicated to studying atmospheric carbon dioxide, the leading human-produced greenhouse gas driving changes in Earth's climate. OCO-2 will provide a new tool for understanding the human and natural sources of carbon dioxide emissions and the natural "sinks" that absorb carbon dioxide and help control its buildup.</t>
  </si>
  <si>
    <t>uZ20sOS4sNQ</t>
  </si>
  <si>
    <t>https://youtu.be/p2zUpaIff8M</t>
  </si>
  <si>
    <t>Orbiting Carbon Observatory 2 Mission Prelaunch Science Briefing</t>
  </si>
  <si>
    <t>p2zUpaIff8M</t>
  </si>
  <si>
    <t>2014 06 27</t>
  </si>
  <si>
    <t>https://youtu.be/55QJoKHkRmY</t>
  </si>
  <si>
    <t>NASA astronauts talk from space with San Diego students</t>
  </si>
  <si>
    <t>55QJoKHkRmY</t>
  </si>
  <si>
    <t>https://youtu.be/Bcqvt8SzPUc</t>
  </si>
  <si>
    <t>50 years after The Civil Rights Act on This Week @NASA</t>
  </si>
  <si>
    <t>A special program at NASA headquarters, helped celebrate the 50th anniversary of the Civil Rights Act of 1964. The program, moderated by CNN's Suzanne Malveaux, featured NASA Administrator Charlie Bolden , members of Congress and others, highlighting the progress of the last 50 years and the civil rights challenges that still confront us. The Civil Rights Act was signed into law July 2, 1964 by President Lyndon Johnson -- the namesake of NASA's Johnson Space Center. Also, Orion Chute Test, Cryogenic fuel tank and 3D printer testing, Carbon --observing mission previewed, Curiosity completes a Martian Year and more!</t>
  </si>
  <si>
    <t>Bcqvt8SzPUc</t>
  </si>
  <si>
    <t>2014 06 25</t>
  </si>
  <si>
    <t>https://youtu.be/TQLPwbcc6XY</t>
  </si>
  <si>
    <t>NASA celebrates 50 years of Civil Rights progress</t>
  </si>
  <si>
    <t>The Civil Rights Act of 1964 was signed into law July 2, 1964 by President Lyndon Baines Johnson,­ the namesake of NASA¹s Johnson Space Center.
NASA employees and retirees from around the Nation join together to share their stories as they remember the past, discuss diversity and look forward to future progress.</t>
  </si>
  <si>
    <t>TQLPwbcc6XY</t>
  </si>
  <si>
    <t>https://youtu.be/HziXy66W344</t>
  </si>
  <si>
    <t>The most complex Orion chute test, yet</t>
  </si>
  <si>
    <t>The most recent test of the Orion spacecraft's parachute system was shown during a NASA Google+ Hangout. An Orion test article was pushed out of a C-17 aircraft 35,000 feet above the Army's Yuma Proving Ground in Arizona. Of the 17 parachute drops planned for the developmental test series, this is the 14th and most complex. Only two previous tests have been conducted from such a high altitude, and this one upped the ante further by waiting through 10 seconds of freefall before Orion's parachutes were deployed, to allow the vehicle to build up more speed and aerodynamic pressure before the first of the parachutes was released, to put the maximum amount of stress on them.</t>
  </si>
  <si>
    <t>HziXy66W344</t>
  </si>
  <si>
    <t>https://youtu.be/O1e--Iuo_dM</t>
  </si>
  <si>
    <t>NASA LGBT Pride Month Profile - Amy Stalker, Glenn Research Center</t>
  </si>
  <si>
    <t>Amy Stalker is a mechanical engineer in the structural mechanics branch at Glenn Research Center.</t>
  </si>
  <si>
    <t>O1e--Iuo_dM</t>
  </si>
  <si>
    <t>2014 06 24</t>
  </si>
  <si>
    <t>https://youtu.be/6jLXXzH1rIk</t>
  </si>
  <si>
    <t>Space station crew talks up World Cup Soccer</t>
  </si>
  <si>
    <t>During a pair of interviews on June 24 with the Univision Network and ESPN's "SportsCenter, astronauts aboard the International Space Station talked about watching World Cup soccer matches while in orbit, and discussed the upcoming June 26 match between the U.S. and Germany. Mission control in Houston is uplinking the televised matches to the crew members through the station's high-data rate Ku-band communications system.</t>
  </si>
  <si>
    <t>6jLXXzH1rIk</t>
  </si>
  <si>
    <t>2014 06 20</t>
  </si>
  <si>
    <t>https://youtu.be/YIZNmxXRUlg</t>
  </si>
  <si>
    <t>Orion Spacecraft Is Taking Shape on This Week @NASA</t>
  </si>
  <si>
    <t>At Kennedy Space Center, NASA Administrator Charlie Bolden, Kennedy Center Director Bob Cabana and other officials invited the media to view prelaunch progress of the Orion spacecraft. Kennedy technicians recently attached Orion's crew module to its service module -- the first step in moving the spacecraft's three primary elements, which includes the launch abort system, into the correct configuration for launch. Orion is being prepared for its first space flight in December - a four-and-a-half-hour uncrewed mission to test systems that will be critical for survival of astronauts on future deep space missions. Also, Hunting for asteroids, Russian spacewalk and Celebrating a Nation of Makers!</t>
  </si>
  <si>
    <t>YIZNmxXRUlg</t>
  </si>
  <si>
    <t>https://youtu.be/2k-N3CD31H8</t>
  </si>
  <si>
    <t>Exploring Europa - Ocean Worlds of the Outer Solar System</t>
  </si>
  <si>
    <t>Where is the best place to find living life beyond Earth? It may be a small, ice-covered moon of Jupiter or Saturn that harbors some of the most habitable real estate in our Solar System.  Life loves liquid water and these moons have lots of it!  Dr.Kevin Hand, Deputy Chief Scientist for Solar System Exploration at NASA's Jet Propulsion Laboratory explains the science behind how these oceans exist and what we know about the conditions on these worlds. Dr. Hand focuses on Jupiter's moon Europa, which is a top priority for future NASA missions and shows how the exploration of Earth's ocean is helping our understanding of the potential habitability of worlds.</t>
  </si>
  <si>
    <t>2k-N3CD31H8</t>
  </si>
  <si>
    <t>https://youtu.be/moCatlSZxGM</t>
  </si>
  <si>
    <t>NASA Announces Latest Progress, Upcoming Milestones in Hunt for Asteroids</t>
  </si>
  <si>
    <t>NASA is on the hunt for an asteroid to capture with a robotic spacecraft, redirect to a stable orbit around the moon, and send astronauts to study in the 2020s -- all on the agency's human Path to Mars. Agency officials announced on Thursday recent progress to identify candidate asteroids for its Asteroid Redirect Mission (ARM), increase public participation in the search for asteroids, and advance the mission's design.
NASA plans to launch the ARM robotic spacecraft in 2019 and will make a final choice of the asteroid for the mission about a year before the spacecraft launches. NASA is working on two concepts for the mission: the first is to fully capture a very small asteroid in open space, and the second is to collect a boulder-sized sample off of a much larger asteroid. The agency will choose between these two concepts in late 2014 and further refine the mission's design.
NASA's Spitzer Space Telescope made recent observations of an asteroid, designated 2011 MD, which bears the characteristics of a good candidate for the full capture concept. While NASA will continue to look for other candidate asteroids during the next few years as the mission develops, astronomers are making progress to find suitable candidate asteroids for humanity's next destination into the solar system.</t>
  </si>
  <si>
    <t>moCatlSZxGM</t>
  </si>
  <si>
    <t>2014 06 19</t>
  </si>
  <si>
    <t>https://youtu.be/AyIgmfYoNDE</t>
  </si>
  <si>
    <t>NASA's Orion Spacecraft is taking shape at Kennedy Space Center in Florida</t>
  </si>
  <si>
    <t>At NASA's Kennedy Space Center in Florida, national media together with NASA Administrator Charles Bolden watched technicians attach the crew module on top of the completed Orion Space Craft service module. This is the first step in moving the three primary Orion elements -- the crew module, service module and launch abort system -- into the correct configuration for launch as early as this December.</t>
  </si>
  <si>
    <t>AyIgmfYoNDE</t>
  </si>
  <si>
    <t>2014 06 17</t>
  </si>
  <si>
    <t>https://youtu.be/PYVV7fr4ZdQ</t>
  </si>
  <si>
    <t>International Space Station Crew Discusses Life In Space With Virginia Students</t>
  </si>
  <si>
    <t>Aboard the International Space Station, Expedition 40 Commander Steve Swanson of NASA and his NASA crewmate, Flight Engineer Reid Wiseman, discussed life and work on the orbital laboratory with students from the Colvin Run Elementary School in Vienna, Virginia, during an in-flight educational event on June 17. Swanson and Wiseman are in the midst of respective 5 1/2 month missions on the station with Swanson scheduled to return to Earth in mid-September and Wiseman remaining in orbit until mid-November.</t>
  </si>
  <si>
    <t>PYVV7fr4ZdQ</t>
  </si>
  <si>
    <t>2014 06 16</t>
  </si>
  <si>
    <t>https://youtu.be/ScorM78_4UA</t>
  </si>
  <si>
    <t>International Space Station Crew Member Astronaut Reid Wiseman Discusses Life In Space</t>
  </si>
  <si>
    <t>In interviews with WBAL Radio in Baltimore and The Weather Channel from aboard the International Space Station, Expedition 40 Flight Engineer Reid Wiseman of NASA discussed life and research on the orbital laboratory and his use of social media to share his experiences during the mission. Wiseman, who is a native of Baltimore, has been aboard the complex since late May and will remain in orbit until mid-November.</t>
  </si>
  <si>
    <t>ScorM78_4UA</t>
  </si>
  <si>
    <t>https://youtu.be/X1m68NSaTYs</t>
  </si>
  <si>
    <t>The James Webb Space Telescope described by Peter Cullen</t>
  </si>
  <si>
    <t>Voice actor Peter Cullen, known for bringing to film and television numerous characters including Optimus Prime of "Transformers", 
Disney's Eeyore and many more, describes NASA's next generation space telescope.</t>
  </si>
  <si>
    <t>X1m68NSaTYs</t>
  </si>
  <si>
    <t>2014 06 13</t>
  </si>
  <si>
    <t>https://youtu.be/XV4wGW0vzps</t>
  </si>
  <si>
    <t>Carbon Observing Mission previewed on This Week @NASA</t>
  </si>
  <si>
    <t>This week, the Orbiting Carbon Observatory-2 mission was discussed during a prelaunch briefing at NASA headquarters. OCO-2, the first NASA spacecraft dedicated to studying carbon dioxide in Earth's atmosphere, will provide a more complete, global picture of CO-2, the leading human-produced greenhouse gas affecting our climate. Launch is scheduled for July 1 from California's Vandenberg Air Force Base. Also, Bolden at National Aeronautic Association, Hopkins visits National Institutes of Health, Cargo ship leaves ISS, Orion's heat shield installed, Sample return robots and Sally Ride: Life Stories!</t>
  </si>
  <si>
    <t>XV4wGW0vzps</t>
  </si>
  <si>
    <t>https://youtu.be/-bj9jo-En6I</t>
  </si>
  <si>
    <t>Astronaut Mike Hopkins Talks Living and Working in Space while visiting Goddard Space Flight Center</t>
  </si>
  <si>
    <t>On Thursday, June 12, NASA Astronaut Michael S. Hopkins, Colonel in the U.S. Air Force, shared his spaceflight experience of living and working in space with the NASA Goddard community. He was selected for the 20th Astronaut Candidate Class in July 2009 and was a flight engineer for Expeditions 37 and 38.  Hopkins traveled to the International Space Station (ISS) on Sept 25, 2013, aboard the Soyuz TMA-10M spacecraft from Kazakhstan. He spent 166 days in space, returning to Earth on March 10, 2014. During his time in space, Hopkins spent almost 13 hours in spacewalk to change out a degraded pump module.</t>
  </si>
  <si>
    <t>-bj9jo-En6I</t>
  </si>
  <si>
    <t>https://youtu.be/j18M3eizNWg</t>
  </si>
  <si>
    <t>International Space Station Crew Discusses Life in Space with C-SPAN and the Public</t>
  </si>
  <si>
    <t>Aboard the International Space Station, Expedition 40 Commander Steve Swanson of NASA discussed life and research aboard the orbital outpost with C-SPAN's "Washington Journal" program during an in-flight interview June 12. During the interview, Swanson fielded questions from the public and queries sent in to C-SPAN through social media. Swanson is in the midst of a 5 1/2 month mission on the station.</t>
  </si>
  <si>
    <t>j18M3eizNWg</t>
  </si>
  <si>
    <t>2014 06 12</t>
  </si>
  <si>
    <t>https://youtu.be/tbk7UG21rEg</t>
  </si>
  <si>
    <t>Sally Ride  Life Stories from the Smithsonian's Air and Space Museum</t>
  </si>
  <si>
    <t>The Smithsonian's National Air and Space Museum in Washington presented a program on Thursday called Sally Ride: Life Stories, about the life and historical impact of America's First Woman in Space and the history of women entering the astronaut corps. On June 18, 1983, Ride became the first U.S. female astronaut in space when she and her four crewmates launched on STS-7.</t>
  </si>
  <si>
    <t>tbk7UG21rEg</t>
  </si>
  <si>
    <t>https://youtu.be/fPPP22j4Hm4</t>
  </si>
  <si>
    <t>New NASA Observatory Set to Take On Carbon Conundrums</t>
  </si>
  <si>
    <t>NASA's first spacecraft dedicated to studying carbon dioxide in Earth's atmosphere is in final preparations for a July launch from Vandenberg Air Force Base, California. Carbon dioxide is a critical component of Earth's carbon cycle and is the leading human-produced greenhouse gas driving changes in Earth's climate. The Orbiting Carbon Observatory-2 mission will provide a more complete, global picture of the human and natural sources of carbon dioxide as well as their "sinks," the places where carbon dioxide is pulled out of Earth's atmosphere and stored. This new tool will map the global geographic distribution of these sources and sinks and study their changes over time.</t>
  </si>
  <si>
    <t>fPPP22j4Hm4</t>
  </si>
  <si>
    <t>2014 06 10</t>
  </si>
  <si>
    <t>https://youtu.be/U1Hrq3L0DxY</t>
  </si>
  <si>
    <t>NASA Spinoff with Seth Green</t>
  </si>
  <si>
    <t>Actor Seth Green discusses products and technology derived from NASA research, often called "spinoffs", that are being used to improve life on Earth.
A spinoff is a commercialized product that incorporates NASA technology or NASA "know how" and benefits the public.
Spinoffs promote commercial activity, encourages economic growth, and stimulates innovation in business and commerce.
www.spinoff.nasa.gov</t>
  </si>
  <si>
    <t>U1Hrq3L0DxY</t>
  </si>
  <si>
    <t>https://youtu.be/9heXliD4qcs</t>
  </si>
  <si>
    <t>International Space Station Crew Discusses Life in Space with CBS News</t>
  </si>
  <si>
    <t>Aboard the International Space Station, Expedition 40 Commander Steve Swanson and Flight Engineer Reid Wiseman of NASA discussed life and research on the orbital laboratory with CBS News during an in-flight interview June 9. Less than two weeks into a planned 5 1Ž2 month mission on the station, Wiseman has already garnered notoriety for his enthusiastic tweets and photos about his early days on the complex. Swanson has been aboard the station since late March.</t>
  </si>
  <si>
    <t>9heXliD4qcs</t>
  </si>
  <si>
    <t>https://youtu.be/9MKBgBJZeag</t>
  </si>
  <si>
    <t>International Space Station Crew Bids Farewell to Russian Resupply Ship</t>
  </si>
  <si>
    <t>The Russian ISS Progress 53 cargo ship, which first arrived at the International Space Station last November, undocked from the aft port of the Zvezda Service Module on June 9, headed for a deorbit and fiery reentry back into the Earth's atmosphere to burn up over the Pacific Ocean. The unpiloted craft delivered almost three tons of supplies to the station last year, then undocked briefly in late April and redocked two days later to test new automated rendezvous equipment. Its departure clears the aft port of Zvezda for the arrival of the last European Space Agency Automated Transfer Vehicle cargo craft in August.</t>
  </si>
  <si>
    <t>9MKBgBJZeag</t>
  </si>
  <si>
    <t>2014 06 05</t>
  </si>
  <si>
    <t>https://youtu.be/gKpr8tQAscg</t>
  </si>
  <si>
    <t>Space Station Astronaut Talks from Space with German Media</t>
  </si>
  <si>
    <t>Aboard the International Space Station, Expedition 40 Flight Engineer Alexander Gerst of the European Space Agency shared his thoughts on the early days of his 5 ½ month mission on the complex with members of the German media during an in-flight event June 5. Gerst was launched to the station on May 29 with Soyuz Commander Max Suraev of the Russian Federal Space Agency (Roscosmos) and NASA Flight Engineer Reid Wiseman.</t>
  </si>
  <si>
    <t>gKpr8tQAscg</t>
  </si>
  <si>
    <t>2014 06 04</t>
  </si>
  <si>
    <t>https://youtu.be/G8zE7jnv8R4</t>
  </si>
  <si>
    <t>News Briefing Previews Test of Saucer Shaped Vehicle</t>
  </si>
  <si>
    <t>NASA held a news conference from the U.S. Navy's Pacific Missile Range Facility in Kauai, Hawaii on June 2 about the upcoming test of the Low-Density Supersonic Decelerator (LDSD) project. During the test, a rocket-powered, saucer-shaped test vehicle will be flown into near-space. LDSD could lead to inflatable spacecraft systems capable of safely landing heavier and larger payloads than ever before on planets with atmospheres. June 3 is the first of six potential launch dates. NASA will issue launch advisories via the mission website, media advisories and on Twitter at: https://twitter.com/NASA_Technology and https://twitter.com/NASA</t>
  </si>
  <si>
    <t>G8zE7jnv8R4</t>
  </si>
  <si>
    <t>2014 05 30</t>
  </si>
  <si>
    <t>https://youtu.be/wAUwcLug5ws</t>
  </si>
  <si>
    <t>2014 Mid Year Report on This Week @NASA</t>
  </si>
  <si>
    <t>The This Week At NASA crew is on a short mid-year hiatus -- but we thought we'd leave you with a quick look back at some of the big and exciting news featured so far in 2014 on This Week at NASA. We're back on June 13 with a fresh, new This Week At NASA! Until then -- follow us on social media and visit www.nasa.gov/twan.</t>
  </si>
  <si>
    <t>wAUwcLug5ws</t>
  </si>
  <si>
    <t>2014 05 29</t>
  </si>
  <si>
    <t>https://youtu.be/nckw-Mh7ZuQ</t>
  </si>
  <si>
    <t>Agency Officials Hail Arrival of New Crew at the International Space Station</t>
  </si>
  <si>
    <t>Following the docking of the Expedition 40/41 crew at the International Space Station May 29, agency officials took a moment to hail the accomplishment and to look forward to future endeavors in a joint appearance in Baikonur, Kazakhstan. Remarks were offered by William Gerstenmaier, NASA's Associate Administrator for Spaceflight Operations, Oleg Ostapenko, the head of the Russian Federal Space Agency (Roscosmos) and Jean-Jacques Dordain, the Director General of the European Space Agency. They appeared together after the docking of the Soyuz TMA-13M spacecraft to the station with Soyuz Commander Max Suraev of Roscosmos, NASA Flight Engineer Reid Wiseman and European Space Agency Flight Engineer Alexander Gerst aboard.</t>
  </si>
  <si>
    <t>nckw-Mh7ZuQ</t>
  </si>
  <si>
    <t>https://youtu.be/qASh_0OlXkA</t>
  </si>
  <si>
    <t>Following a six-hour trip from the Baikonur Cosmodrome in Kazakhstan, Expedition 40/41 Soyuz Commander Max Suraev of the Russian Federal Space Agency, NASA Flight Engineer Reid Wiseman and Flight Engineer Alexander Gerst of the European Space Agency were welcomed aboard the International Space Station on May 29 by Commander Steve Swanson, of NASA and the rest of the crew aboard the station.</t>
  </si>
  <si>
    <t>qASh_0OlXkA</t>
  </si>
  <si>
    <t>https://youtu.be/PPEQhB_EvLs</t>
  </si>
  <si>
    <t>After launching earlier in the day in their Soyuz TMA-13M spacecraft from the Baikonur Cosmodrome in Kazakhstan, Expedition 40/41 Soyuz Commander Max Suraev of the Russian Federal Space Agency (Roscosmos), NASA Flight Engineer Reid Wiseman and Flight Engineer Alexander Gerst of the European Space Agency docked at the International Space Station on May 29 following a six-hour rendezvous.</t>
  </si>
  <si>
    <t>PPEQhB_EvLs</t>
  </si>
  <si>
    <t>https://youtu.be/XLVP8Zi8faw</t>
  </si>
  <si>
    <t>A recap of the pre-launch and launch activities of the Expedition 40/41 crew at the Baikonur Cosmodrome in Kazakhstan, as well as post-launch observations about the crew's mission to the International Space Station. Soyuz Commander Max Suraev of the Russian Federal Space Agency (Roscosmos), NASA Flight Engineer Reid Wiseman and Flight Engineer Alexander Gerst of the European Space Agency will spend 5 ½ months aboard the orbiting laboratory.</t>
  </si>
  <si>
    <t>XLVP8Zi8faw</t>
  </si>
  <si>
    <t>2014 05 28</t>
  </si>
  <si>
    <t>https://youtu.be/n1_TVGT5H7k</t>
  </si>
  <si>
    <t>NASA Television covered the launch of the Expedition 40/41 crew launched to the International Space Station from the Baikonur Cosmodrome in Kazakhstan on May 29, Kazakh time. Soyuz Commander Max Suraev of the Russian Federal Space Agency (Roscosmos), NASA Flight Engineer Reid Wiseman and Flight Engineer Alexander Gerst of the European Space Agency will spend 5 1/2 months aboard the orbiting laboratory.</t>
  </si>
  <si>
    <t>n1_TVGT5H7k</t>
  </si>
  <si>
    <t>https://youtu.be/Q-BNa_0hbYM</t>
  </si>
  <si>
    <t>Expedition 40/41 Soyuz Commander Max Suraev of the Russian Federal Space Agency (Roscosmos), NASA Flight Engineer Reid Wiseman and Flight Engineer Alexander Gerst of the European Space Agency and their backups, appeared before the Russian State Commission on May 27 in Baikonur, Kazakhstan. The commission gave its final approval for the launch of the crew to the International Space Station on May 29, Kazakh time.</t>
  </si>
  <si>
    <t>Q-BNa_0hbYM</t>
  </si>
  <si>
    <t>2014 05 27</t>
  </si>
  <si>
    <t>https://youtu.be/plOUjapKUxI</t>
  </si>
  <si>
    <t>NASA astronaut discusses life in space</t>
  </si>
  <si>
    <t>Aboard the International Space Station, Expedition 40 Commander Steve Swanson of NASA talked with the CBS Radio Network and the ABC Digital Network about the daily activities he's involved in on the orbital laboratory, during a pair of in-flight interviews May 27. Swanson and his two Russian crewmates will welcome three new crew mates on May 29.</t>
  </si>
  <si>
    <t>plOUjapKUxI</t>
  </si>
  <si>
    <t>2014 05 26</t>
  </si>
  <si>
    <t>https://youtu.be/XbjPcofbLnY</t>
  </si>
  <si>
    <t>The Expedition 40 41 crew prepares for launch and their Soyuz rocket comes together and moves to pad</t>
  </si>
  <si>
    <t>At the Baikonur Cosmodrome in Kazakhstan, Expedition 40/41 Soyuz Commander Max Suraev of the Russian Federal Space Agency (Roscosmos), NASA Flight Engineer Reid Wiseman and Flight Engineer Alexander Gerst of the European Space Agency conducted a final "fit check" in their Soyuz TMA-13M spacecraft; conducted traditional ceremonies, and celebrated Suraev's birthday on May 24th. The Soyuz rocket's segments were mated May 25th, and the spacecraft and its booster were moved to the launch pad on a railcar May 26 for final preparations before launch to the International Space Station on May 29, Kazakh time, carrying the trio to the ISS for a 5 ½ month mission. The footage also includes interviews with Bob Behnken, NASA Chief Astronaut; Dan Hartman, ISS Deputy Program Manager; William Gerstenmaier,  NASA Associate Administrator for Spaceflight Operations; and Ulf Merbold, former ESA astronaut.</t>
  </si>
  <si>
    <t>XbjPcofbLnY</t>
  </si>
  <si>
    <t>2014 05 23</t>
  </si>
  <si>
    <t>https://youtu.be/gFXDSw58udU</t>
  </si>
  <si>
    <t>This Week at NASA</t>
  </si>
  <si>
    <t>The Morpheus prototype lander took to the skies above the Kennedy Space Center to test a suite of landing and hazard avoidance technology and self-navigate to a safe landing.  Over in Hawaii, NASA's Low-Density Supersonic Decelerator, a rocket-powered, saucer-shaped test vehicle, has completed final assembly and will be flown in an experimental flight test is planned for June.  And, NASA is moving ahead with construction of the lander for the InSight mission to Mars where it will probe the Martian sub-surface.  An ISS Science Forum took place Wednesday at Johnson Space Center, a Spacex Dragon Cargo craft departed the space station while a new expedition crew trains in Russia and students launch rockets that reach nearly 20,000 feet this week on This Week at NASA!</t>
  </si>
  <si>
    <t>gFXDSw58udU</t>
  </si>
  <si>
    <t>2014 05 21</t>
  </si>
  <si>
    <t>https://youtu.be/QLzRqhlmJ-g</t>
  </si>
  <si>
    <t>Destination Station  ISS Science Briefing</t>
  </si>
  <si>
    <t>NASA's Destination Station: ISS Science Forum is a public program dedicated to science aboard the International Space Station and discusses how venturing farther into the solar system to provide real benefits to life on Earth happens every day.  The forum includes an interactive conversation with NASA International Space Station Expedition 40 crew commander Astronaut Steve Swanson, as he and his fellow crewmembers orbit 260 miles above Earth.
The forum's panelists include:
-- Elizabeth R. Cantwell, co-chair of the National Research Council's decadal study, "Recapturing a Future for Space Exploration"
-- Julie Robinson, chief program scientist for the International Space Station
-- Marshall Porterfield, director of the Space Life and Physical Sciences, NASA Headquarters
-- Duane Ratliff, Chief Operating Officer, Center for the Advancement of Science in Space (CASIS)</t>
  </si>
  <si>
    <t>QLzRqhlmJ-g</t>
  </si>
  <si>
    <t>https://youtu.be/Uc4cKiGahu0</t>
  </si>
  <si>
    <t>ISS Exp Mission Overview Briefing</t>
  </si>
  <si>
    <t>The International Space Station Program Overview Briefing discusses upcoming mission priorities and objectives for Expeditions 40 and 41. The two expeditions will involve increasing research on the orbital laboratory; up to five spacewalks -- three U.S. and two Russian -- arrival of the final European cargo ship; and the flights of two U.S. commercial resupply spacecraft: Orbital Sciences' Cygnus and SpaceX's Dragon. The Expedition 40/41 overview briefing participants are:
-- Dan Hartman, deputy International Space Station Program manager
-- Greg Whitney, Expedition 40 lead flight director</t>
  </si>
  <si>
    <t>Uc4cKiGahu0</t>
  </si>
  <si>
    <t>https://youtu.be/T8xnts7v3o8</t>
  </si>
  <si>
    <t>ISS Expedition Crews 40 and 41 Practice for Space Launch in Baikonur, Kazakhstan</t>
  </si>
  <si>
    <t>At the Baikonur Cosmodrome in Kazakhstan, Expedition 40/41 Soyuz Commander Max Suraev of the Russian Federal Space Agency (Roscosmos), NASA Flight Engineer Reid Wiseman and Flight Engineer Alexander Gerst of the European Space Agency and their backups, Anton Shkaplerov of Roscosmos, Terry Virts of NASA and Samantha Cristoforetti of the European Space Agency participated in a variety of activities from May 15-22 as they prepared for the launch of Suraev, Wiseman and Gerst to the International Space Station on May 29, Kazakh time, in the Soyuz TMA-13M spacecraft. The footage includes the crew's arrival in Baikonur, a dress rehearsal fit check in their Soyuz spacecraft and other crew-related activities.</t>
  </si>
  <si>
    <t>T8xnts7v3o8</t>
  </si>
  <si>
    <t>https://youtu.be/Ep9j4NgcMD0</t>
  </si>
  <si>
    <t>NASA Administrator Charles Bolden Discusses Space Station Science</t>
  </si>
  <si>
    <t>NASA Administrator Bolden discusses the unique science accomplishments of the International Space Station (ISS) and plans for the future.</t>
  </si>
  <si>
    <t>Ep9j4NgcMD0</t>
  </si>
  <si>
    <t>2014 05 20</t>
  </si>
  <si>
    <t>https://youtu.be/qo6zeE4TJSw</t>
  </si>
  <si>
    <t>International Space Station Commander Fields Questions From CNN</t>
  </si>
  <si>
    <t>Aboard the International Space Station, Expedition 40 Commander Steve Swanson of NASA discussed life and research on the orbital laboratory with CNN's Original Video program reporters during a wide-ranging in-flight interview May 20. Swanson took over command of the station on May 12 and will remain on the complex until mid-September.</t>
  </si>
  <si>
    <t>qo6zeE4TJSw</t>
  </si>
  <si>
    <t>2014 05 18</t>
  </si>
  <si>
    <t>https://youtu.be/TlxS4vFTRYI</t>
  </si>
  <si>
    <t>Dragon Heads Home</t>
  </si>
  <si>
    <t>A month after delivering more than 2.5 tons of supplies and experiments to the International Space Station, the SpaceX Dragon cargo craft departed the orbital outpost May 18 and headed for a parachute-assisted splashdown in the Pacific Ocean near Baja, California. Dragon's departure marked the end of the third commercial resupply flight for SpaceX to the station.</t>
  </si>
  <si>
    <t>TlxS4vFTRYI</t>
  </si>
  <si>
    <t>2014 05 16</t>
  </si>
  <si>
    <t>https://youtu.be/XjrgGblM_bk</t>
  </si>
  <si>
    <t>NASA Center Renamed on This Week @NASA</t>
  </si>
  <si>
    <t>Two giants of aerospace history were honored at a May 13 ceremony to celebrate the renaming of Dryden Flight Research Center to Armstrong Flight Research Center, after the late Neil Armstrong and the naming of the center's aeronautical test range after Hugh Dryden. Armstrong was the first person to set foot on the moon and a former research test pilot at the center and Dryden served as NASA's first deputy administrator. Also, Space Station Crews on the Move, Asteroid Mission Gear Tested, Unstoppable Glacier Melt, Exploring Earth's Magnetic Fields, Shrinking Great Red Spot, Helicopter Drop Test, Technology Transfer University and more!</t>
  </si>
  <si>
    <t>XjrgGblM_bk</t>
  </si>
  <si>
    <t>2014 05 15</t>
  </si>
  <si>
    <t>https://youtu.be/ldyLReHn8PY</t>
  </si>
  <si>
    <t>Next ISS crew heads to launch site</t>
  </si>
  <si>
    <t>After participating in traditional ceremonies at the Gagarin Cosmonaut Training Center in Star City, Russia, Expedition 40/41 Soyuz Commander Max Suraev of the Russian Federal Space Agency, NASA Flight Engineer Reid Wiseman and Flight Engineer Alexander Gerst of the European Space Agency departed for the Baikonur Cosmodrome in Kazakhstan to complete training for their May 29 launch to the International Space Station. Also making the trip were backup crew members, Anton Shkaplerov of Roscosmos, Terry Virts of NASA and Samantha Cristoforetti of the European Space Agency.</t>
  </si>
  <si>
    <t>ldyLReHn8PY</t>
  </si>
  <si>
    <t>2014 05 14</t>
  </si>
  <si>
    <t>https://youtu.be/IeYt3wJN4cY</t>
  </si>
  <si>
    <t>What a time onboard the space station!</t>
  </si>
  <si>
    <t>Following the safe return to Earth in a Soyuz spacecraft of Expedition 39 crew members shared thoughts about their time on orbit and safe return to Earth during a series of interviews. The trio spent 188 days in space during their mission.</t>
  </si>
  <si>
    <t>IeYt3wJN4cY</t>
  </si>
  <si>
    <t>https://youtu.be/yywJHU4gwZg</t>
  </si>
  <si>
    <t>Expedition 39 back on solid ground</t>
  </si>
  <si>
    <t>Expedition 39 Commander Koichi Wakata of the Japan Aerospace Exploration Agency, NASA Flight Engineer Rick Mastracchio and Russian cosmonaut Mikhail Tyurin are back on solid ground after bidding farewell to the Expedition 40 crew and safely returning to Earth in a Soyuz spacecraft. The trio spent 188 days in space.</t>
  </si>
  <si>
    <t>yywJHU4gwZg</t>
  </si>
  <si>
    <t>2014 05 13</t>
  </si>
  <si>
    <t>https://youtu.be/WdJA1F2ScuQ</t>
  </si>
  <si>
    <t>Expedition 39 ships off</t>
  </si>
  <si>
    <t>Expedition 39 Commander Koichi Wakata of the Japan Aerospace Exploration Agency, NASA Flight Engineer Rick Mastracchio and Russian cosmonaut Mikhail Tyurin wrapped up their stay on the International Space Station when their Soyuz spacecraft undocked from the orbiting laboratory to begin their journey back to Earth. The undocking was covered by NASA Television.</t>
  </si>
  <si>
    <t>WdJA1F2ScuQ</t>
  </si>
  <si>
    <t>https://youtu.be/ZoGoZRc-YNY</t>
  </si>
  <si>
    <t>Center Naming Ceremony Honors Neil Armstrong, Hugh Dryden</t>
  </si>
  <si>
    <t>Two giants of aerospace history were honored May 13 at a ceremony celebrating the renaming of the former NASA Dryden Flight Research Center for the late Neil A. Armstrong, the first person to set foot on the moon and a former research test pilot at the center. At the same time, the name of Hugh L. Dryden, who served as director of the National Advisory Committee for Aeronautics and was NASA's first deputy administrator, lives on as the namesake of the center's aeronautical test range.</t>
  </si>
  <si>
    <t>ZoGoZRc-YNY</t>
  </si>
  <si>
    <t>https://youtu.be/h7SEl0zt0bM</t>
  </si>
  <si>
    <t>Expedition 39 bids farewell to space station</t>
  </si>
  <si>
    <t>NASA TV captured farewells exchanged on the International Space Station between the departing Expedition 39 crew and the Expedition 40 crew remaining onboard. Koichi Wakata of the Japan Aerospace Exploration Agency, NASA Flight Engineer Rick Mastracchio and Russian cosmonaut Mikhail Tyurin. The three remaining occupants, Steve Swanson of NASA and Russian cosmonauts Alexander Skvortsov and Oleg Artemyev will be joined by fellow Expedition 40 crew mates Max Suraev of Roscosmos, Reid Wiseman of NASA and Alexander Gerst of the European Space Agency later this month.</t>
  </si>
  <si>
    <t>h7SEl0zt0bM</t>
  </si>
  <si>
    <t>2014 05 12</t>
  </si>
  <si>
    <t>https://youtu.be/5vuTfRkiRJU</t>
  </si>
  <si>
    <t>NASA Administrator Celebrates Small Business Week</t>
  </si>
  <si>
    <t>NASA Administrator Charles Bolden discusses the accomplishments and contributions of small businesses to America's space program in recognition of the 2014 Small Business Week.</t>
  </si>
  <si>
    <t>5vuTfRkiRJU</t>
  </si>
  <si>
    <t>2014 05 09</t>
  </si>
  <si>
    <t>https://youtu.be/rBZMxtxcBWw</t>
  </si>
  <si>
    <t>NASA's Fleet of Satellites Help Understand Climate Change on This Week @NASA</t>
  </si>
  <si>
    <t>The third U.S. National Climate Assessment was released which took observations from NASA's fleet of satellites to help understand climate change in the United States.  Also, NASA's Orbiting Carbon Observatory-2 spacecraft arrived at California's Vandenberg Air Force Base to begin final preparations for a scheduled July 1 launch.  In Florida, the remaining flight hardware for the Delta IV rocket that will launch NASA's Orion spacecraft on Exploration Flight Test-1 in December arrived at Port Canaveral.  At the Stennis Space Center, a cold-shock test for the RS-25 engine that will help power NASA's new Space Launch System rocket was completed. The Chandra X-ray Observatory found new stars, simulated space dust was created on earth, a new ISS crew trains in Russia, Shannon Lucid and Jerry Ross are inducted into the Astronaut Hall of Fame and NASA recognizes the small business community for helping the agency work toward achieving its goals!</t>
  </si>
  <si>
    <t>rBZMxtxcBWw</t>
  </si>
  <si>
    <t>2014 05 08</t>
  </si>
  <si>
    <t>https://youtu.be/55flHFC6BKQ</t>
  </si>
  <si>
    <t>Expedition 40 41 Crew Conducts News Conference and Traditional Ceremonies in Russia's Red Square</t>
  </si>
  <si>
    <t>Expedition 40/41 Soyuz Commander Max Suraev of the Russian Federal Space Agency (Roscosmos), NASA Flight Engineer Reid Wiseman and Flight Engineer Alexander Gerst of the European Space Agency and their backups, Anton Shkaplerov of Roscosmos, Terry Virts of NASA and Samantha Cristoforetti of the European Space Agency, conducted a pre-launch news conference at the Gagarin Cosmonaut Training Center in Star City, Russia May 8, then toured Red Square and the Kremlin in Moscow where they laid flowers at the Kremlin Wall where Russian space icons are interred.  Suraev, Wiseman and Gerst are scheduled for a May 29 launch, Kazakh time, in the Soyuz TMA-13M spacecraft to begin a six-month mission on the International Space Station.</t>
  </si>
  <si>
    <t>55flHFC6BKQ</t>
  </si>
  <si>
    <t>https://youtu.be/BnAvALcLwMg</t>
  </si>
  <si>
    <t>NASA Space Station Crew Discusses Life in Space with Fox Business News</t>
  </si>
  <si>
    <t>Aboard the International Space Station, Expedition 39 Flight Engineers Rick Mastracchio and Steve Swanson of NASA discussed life and research on the orbital laboratory with Fox Business News anchor Maria Bartiromo during an in-flight interview May 8. Mastracchio is in the final week of his six-month mission on the station, heading for a landing in his Soyuz return craft in Kazakhstan on May 13, U.S. time. Swanson, who will become station commander on May 12, will remain aboard the complex until mid-September.</t>
  </si>
  <si>
    <t>BnAvALcLwMg</t>
  </si>
  <si>
    <t>2014 05 07</t>
  </si>
  <si>
    <t>https://youtu.be/OV3iyBwWEls</t>
  </si>
  <si>
    <t>Students in Cocoa, FL Speak with NASA Mission Control</t>
  </si>
  <si>
    <t>Teacher Anna Mika with 4th-6th grade students of Endeavour Elementary in Cocoa, Florida spend time video chatting about microgravity and the International Space Station via the Mission Control console station and NASA's Johnson Space Center.</t>
  </si>
  <si>
    <t>OV3iyBwWEls</t>
  </si>
  <si>
    <t>https://youtu.be/xRvsHLkn_10</t>
  </si>
  <si>
    <t>Expedition 40 41 Crew Undergoes Final Training Outside Moscow</t>
  </si>
  <si>
    <t>Expedition 40/41 Soyuz Commander Max Suraev of the Russian Federal Space Agency (Roscosmos), NASA Flight Engineer Reid Wiseman and Flight Engineer Alexander Gerst of the European Space Agency and their backups, Anton Shkaplerov of Roscosmos, Terry Virts of NASA and Samantha Cristoforetti of the European Space Agency, conducted final qualification training at the Gagarin Cosmonaut Training Center in Star City, Russia May 6 and 7.  Suraev, Wiseman and Gerst are scheduled for a May 29 launch, Kazakh time, in the Soyuz TMA-13M spacecraft to begin a six-month mission on the International Space Station.</t>
  </si>
  <si>
    <t>xRvsHLkn_10</t>
  </si>
  <si>
    <t>2014 05 06</t>
  </si>
  <si>
    <t>https://youtu.be/nael3k1LWSc</t>
  </si>
  <si>
    <t>NASA Space Station Crew Discusses Life in Space with Idaho Students and Educators</t>
  </si>
  <si>
    <t>Aboard the International Space Station, Expedition 39 Flight Engineers Rick Mastracchio and Steve Swanson of NASA discussed their daily work and research on the orbital laboratory with students at Boise State University in Idaho and educators, including former educator-astronaut Barbara Morgan, during an in-flight educational event May 6. Mastracchio is in the final week of his six-month mission on the station, heading for a landing in his Soyuz return craft in Kazakhstan on May 13, U.S. time. Swanson, who will become station commander on May 12, will remain aboard the complex until mid-September.</t>
  </si>
  <si>
    <t>nael3k1LWSc</t>
  </si>
  <si>
    <t>2014 05 05</t>
  </si>
  <si>
    <t>https://youtu.be/yWPkRRjlsyo</t>
  </si>
  <si>
    <t>Pennsylvania Middle School Students visit NASA to celebrate the Hubble Telescope Research Project</t>
  </si>
  <si>
    <t>Students and teachers from Pennsylvania's Mapletown Jr/Sr High School and Margaret Bell Middle School were joined by their partner organization "Beating the Odds Quarterbacks of Life® Student Success &amp; Leadership Program" and NASA to learn more about space and the Hubble Space Telescope.  The NASA visitors listened to presentations from NASA Administrator Charles Bolden and Associate Administrator for the Science Mission Directorate John Grunsfeld.  Both are former Astronauts and directly worked on the Hubble Space Telescope.  The Quarterbacks of Life® Student Success &amp; Leadership Program uses a football analogy to promote an advanced innovative, educational program that is integrated into a school's academic curriculum and is designed to support and promote student success in all academic areas and life.</t>
  </si>
  <si>
    <t>yWPkRRjlsyo</t>
  </si>
  <si>
    <t>2014 05 03</t>
  </si>
  <si>
    <t>https://youtu.be/ZoWS1Km8arg</t>
  </si>
  <si>
    <t>A pair of space pioneers, welcomed to the U S  Astronaut Hall of Fame</t>
  </si>
  <si>
    <t>Space shuttle astronauts Shannon Lucid, the only American woman to serve aboard the Russian Space Station Mir, and Jerry Ross, the first human to complete seven space shuttle missions, were officially inducted into the U.S. Astronaut Hall of Fame, May 3 during a ceremony at the Kennedy Space Center Visitor Complex. Lucid and Ross join the ranks of other well-known U.S. Astronaut Hall of Fame inductees, including Alan Shepard, John Glenn, John Young, Neil Armstrong and Sally Ride.</t>
  </si>
  <si>
    <t>ZoWS1Km8arg</t>
  </si>
  <si>
    <t>https://youtu.be/dq9Jwk99VHs</t>
  </si>
  <si>
    <t>A Star Wars Day Message from NASA</t>
  </si>
  <si>
    <t>In celebration of Star Wars Day, NASA flight engineer Rick Mastracchio hopes to deliver a special message from the International Space Station.  Little does he know, however, that the Empire plans to jam his transmissions. Thankfully, R2-D2 is on the case.</t>
  </si>
  <si>
    <t>dq9Jwk99VHs</t>
  </si>
  <si>
    <t>2014 05 02</t>
  </si>
  <si>
    <t>https://youtu.be/NYIBya7JnpM</t>
  </si>
  <si>
    <t>2014 NASA Asian American and Pacific Islander Month Profile, Vikram Shyam, GRC</t>
  </si>
  <si>
    <t>Vikram Shyam is a research aerospace engineer at the NASA Glenn Research Center. His job duties include working on new aero-propulsion concepts involving bio-mimicry, energy harvesting, and flow control. The goal of the technologies he works with is to reduce fuel burn, noise and emissions for aircraft.</t>
  </si>
  <si>
    <t>NYIBya7JnpM</t>
  </si>
  <si>
    <t>https://youtu.be/jvESKWJYCJg</t>
  </si>
  <si>
    <t>A musical moment on the space station</t>
  </si>
  <si>
    <t>During a Digital Learning Network event on May 2, International Space Station Commander Koichi Wakata of the Japan Aerospace Exploration Agency shared a musical moment with students in Japan and the Houston, Texas-area. Wakata and the students discussed life and research on the station and played music for each other as the station soared 260 miles over Earth at a speed of 17,500 miles an hour.</t>
  </si>
  <si>
    <t>jvESKWJYCJg</t>
  </si>
  <si>
    <t>https://youtu.be/inQswWJJ9us</t>
  </si>
  <si>
    <t>The Human Path to Mars on This Week @NASA</t>
  </si>
  <si>
    <t>On Tuesday, April 29, NASA Administrator Charlie Bolden and other agency officials participated in a public exploration forum at headquarters, to showcase the path the agency has laid out to put humans on Mars. The stepping-stone approach will leverage all of NASA's exploration resources to support the agency's bold human missions to an asteroid by 2025 and to Mars in the 2030s. Also, Senate Hearing, Seeking Concepts for Europa Mission, Tornado Outbreak Seen from Space, Spacecraft Stacked, Shuttle Carrier Aircraft Reaches Final Destination, Spinoffs 2013 and NASA Honors Shatner!</t>
  </si>
  <si>
    <t>inQswWJJ9us</t>
  </si>
  <si>
    <t>2014 04 30</t>
  </si>
  <si>
    <t>https://youtu.be/rMkN8j7pv8s</t>
  </si>
  <si>
    <t>Students Create Winning Design NASA's First Flight of Orion</t>
  </si>
  <si>
    <t>NASA, Lockheed Martin and the National Institute of Aerospace have selected Team ARES, from the Governor's School for Science and Technology in Hampton, Va., as the winner of the high school portion of the Exploration Design Challenge (EDC). The announcement on Friday April 25, came during a ceremony at the opening of the 2014 USA Science and Engineering Festival in Washington, DC. Later this year, when NASA's Orion spacecraft launches into orbit during Exploration Flight Test-1 (EFT-1), the students' experimental design will be onboard. Understanding and mitigating radiation exposure during Orion's flight test can help scientists develop protective solutions before the spacecraft's first human mission.</t>
  </si>
  <si>
    <t>rMkN8j7pv8s</t>
  </si>
  <si>
    <t>https://youtu.be/14t5I5wvvQc</t>
  </si>
  <si>
    <t>Exploration forum showcases NASA's Human Path to Mars</t>
  </si>
  <si>
    <t>An April 29 exploration forum aired on NASA Television from NASA headquarters, featured Administrator Charles Bolden and other agency leadership showcasing NASA's human exploration path to Mars. NASA is developing the capabilities needed to send astronauts to an asteroid by 2025 and Mars in the 2030s.</t>
  </si>
  <si>
    <t>14t5I5wvvQc</t>
  </si>
  <si>
    <t>2014 04 29</t>
  </si>
  <si>
    <t>https://youtu.be/yHe4R-kcBMQ</t>
  </si>
  <si>
    <t>Space station astronauts connect with Indianapolis students</t>
  </si>
  <si>
    <t>During a NASA Destination Station event on April 29, astronauts aboard the International Space Station talked with students at the Children's Museum in Indianapolis about life in space and the research they're doing onboard the ISS. Destination Station educates the public about the real and potential impacts of station research on our everyday lives.</t>
  </si>
  <si>
    <t>yHe4R-kcBMQ</t>
  </si>
  <si>
    <t>https://youtu.be/noEod29Tr6c</t>
  </si>
  <si>
    <t>NASA's Path to Mars</t>
  </si>
  <si>
    <t>Get an inside look at NASA's next steps in deep space exploration -- from the space station, to an asteroid and on to the human exploration of Mars.</t>
  </si>
  <si>
    <t>noEod29Tr6c</t>
  </si>
  <si>
    <t>2014 04 28</t>
  </si>
  <si>
    <t>https://youtu.be/xs7dPj9AIXU</t>
  </si>
  <si>
    <t>Spinoff 2013</t>
  </si>
  <si>
    <t>Technology Transfer Program Executive at NASA Headquarters, Daniel Lockney, explains Spinoff 2013.
NASA has a long history of transferring technologies from their original mission applications to secondary uses. For example, Mars continues to be a rich destination for scientific discovery and exploration, and NASA's missions there have inspired a variety of practical, terrestrial benefits. Spinoff 2013 features stories about some of these technologies, including a wind turbine that could one day be used to provide energy for a human exploration mission on the Red Planet, and is being used today in harsh environments here on Earth.</t>
  </si>
  <si>
    <t>xs7dPj9AIXU</t>
  </si>
  <si>
    <t>2014 04 25</t>
  </si>
  <si>
    <t>https://youtu.be/sVrwp4sMK_c</t>
  </si>
  <si>
    <t>Earth Day 2014 on This Week @NASA</t>
  </si>
  <si>
    <t>NASA activities for the celebration of the 44th Earth Day included an event at Washington, DC's Union Station, featuring Hyperwall and Science Gallery exhibits highlighting the agency's Earth science work to understand and protect our home planet. Online, people around the world were encouraged to post a photo of themselves with their local environment as a backdrop -- as part of NASA's global "selfie", to promote environmental awareness. 2014 is the first year in more than a decade that NASA is launching five Earth Science missions into space. Those missions will address critical environment and climate related challenges facing our planet. Also, Humans to Mars, Space station spacewalk, Two-day rendezvous test, Science &amp; Engineering Festival, FIRST Robotics championship and more!</t>
  </si>
  <si>
    <t>sVrwp4sMK_c</t>
  </si>
  <si>
    <t>https://youtu.be/LgXgL7re2B8</t>
  </si>
  <si>
    <t>Space station astronauts visit with Air Force Academy students</t>
  </si>
  <si>
    <t>On April 24, NASA astronauts Rick Mastracchio and Steve Swanson fielded questions about life and research on the International Space Station during an in-flight educational event with students at the U.S. Air Force Academy in Colorado Springs, Colorado.</t>
  </si>
  <si>
    <t>LgXgL7re2B8</t>
  </si>
  <si>
    <t>https://youtu.be/YppP_KdFXus</t>
  </si>
  <si>
    <t>Space station cargo craft completes test of automated rendezvous system</t>
  </si>
  <si>
    <t>An unpiloted Russian Progress cargo ship re-docked the International Space Station's Zvezda Service Module after completing a two-day test of an upgraded automated rendezvous system on the Progress. The Kurs rendezvous hardware will be incorporated into Progress cargo vehicles currently under development.</t>
  </si>
  <si>
    <t>YppP_KdFXus</t>
  </si>
  <si>
    <t>2014 04 23</t>
  </si>
  <si>
    <t>https://youtu.be/iMBsiRzwpIc</t>
  </si>
  <si>
    <t>Astronauts Replace Backup Computer During Spacewalk</t>
  </si>
  <si>
    <t>Outside the International Space Station, Expedition 39 Flight Engineers Rick Mastracchio and Steve Swanson of NASA conducted a spacewalk April 23 to replace a backup computer relay box on the station's S0 (s-zero) truss. The relay box, which failed April 11, is called a multiplexer-demultiplexer, and assists in providing insight and commanding for the station's truss systems and associated hardware.</t>
  </si>
  <si>
    <t>iMBsiRzwpIc</t>
  </si>
  <si>
    <t>https://youtu.be/Q3wW_2D9by8</t>
  </si>
  <si>
    <t>Space station cargo craft undocks to test automated rendezvous system</t>
  </si>
  <si>
    <t>An unpiloted Russian Progress cargo ship left the International Space Station for a two-day test on an upgraded automated rendezvous system. After undocking from the aft port of the Zvezda Service Module April 23, the craft will travel more than 300 miles from the orbital complex. On its return to the station, the Progress will test its Kurs rendezvous hardware, which will be incorporated into Progress cargo vehicles currently under development. The Progress is scheduled to redock to Zvezda on April 25.</t>
  </si>
  <si>
    <t>Q3wW_2D9by8</t>
  </si>
  <si>
    <t>2014 04 22</t>
  </si>
  <si>
    <t>https://youtu.be/U-Rt0ohhXsI</t>
  </si>
  <si>
    <t>NASA Administrator Discusses Getting Humans to Mars</t>
  </si>
  <si>
    <t>Administrator Charles Bolden outlined NASA's human exploration path to Mars during a keynote address at the April 22 Humans to Mars Summit 2014, held at George Washington University in Washington.</t>
  </si>
  <si>
    <t>U-Rt0ohhXsI</t>
  </si>
  <si>
    <t>https://youtu.be/7zZitiBxAD8</t>
  </si>
  <si>
    <t>Earth Day Greetings from the ISS</t>
  </si>
  <si>
    <t>The crew of the International Space Station send their greetings to everyone around the world on Earth Day, April 22, 2014.</t>
  </si>
  <si>
    <t>7zZitiBxAD8</t>
  </si>
  <si>
    <t>2014 04 20</t>
  </si>
  <si>
    <t>https://youtu.be/onD4n1-jIYc</t>
  </si>
  <si>
    <t>U.S. SpaceX Dragon Ship Arrives at the International Space Station with Important cargo</t>
  </si>
  <si>
    <t>The SpaceX Dragon cargo craft arrived at the International Space Station April 20, delivering almost 5,000 pounds of scientific experiments and supplies for the Expedition 39 crew. Dragon was launched atop the commercial company's Falcon 9 rocket April 18 from Space Launch Complex 40 at the Cape Canaveral Air Force Station, Fla., on the third commercial resupply mission to the station for SpaceX. After a two-day rendezvous to catch up to the orbital laboratory, Dragon was grappled by Expedition 39 Commander Koichi Wakata of the Japan Aerospace Exploration Agency and NASA Flight Engineer Rick Mastracchio and berthed to the Earth-facing port of the Harmony module using the station's Canadian-built robot arm, where it will remain until it departs the outpost on May 18 for a parachute-assisted return to Earth and a splashdown in the Pacific west of Baja California.</t>
  </si>
  <si>
    <t>onD4n1-jIYc</t>
  </si>
  <si>
    <t>2014 04 19</t>
  </si>
  <si>
    <t>https://youtu.be/Lnf0GArEDsI</t>
  </si>
  <si>
    <t>New NASA Cargo Launches to Space Station Aboard SpaceX-3 Mission</t>
  </si>
  <si>
    <t>Approximately 2.4 tons of NASA science investigations and cargo were launched to the International Space Station aboard SpaceX's Dragon spacecraft. The launch aboard the company's Falcon 9 rocket took place from Space Launch Complex 40 at Cape Canaveral Air Force Station in Florida on Monday, April 18 at 3:25 p.m. EDT. Dragon's cargo will support more than 150 experiments that will be conducted during space station Expeditions 39 and 40. The spacecraft will be grappled at 7:11 a.m. on Wednesday, April 16 by Expedition 39 Commander Koichi Wakata of the Japan Aerospace Exploration Agency. Dragon is scheduled to depart the space station May 18 for a splashdown in the Pacific Ocean west of Baja California, bringing with it about 3,500 pounds of science and research, hardware, crew supplies and spacewalk tools from the space station.</t>
  </si>
  <si>
    <t>Lnf0GArEDsI</t>
  </si>
  <si>
    <t>2014 04 18</t>
  </si>
  <si>
    <t>https://youtu.be/8G2pRVQ1JhA</t>
  </si>
  <si>
    <t>NASA Hosts SpaceX-3 Post Launch News Conference from Kennedy Space Center</t>
  </si>
  <si>
    <t>A post-launch news conference was held on Friday, April 18 at NASA's Kennedy Space Center in Florida following the launch of the SpaceX-3 mission that will deliver approximately 2.4 tons of cargo to the International Space Station.</t>
  </si>
  <si>
    <t>8G2pRVQ1JhA</t>
  </si>
  <si>
    <t>https://youtu.be/NAsYbYRPan8</t>
  </si>
  <si>
    <t>The Dragon Takes Flight on This Week @NASA</t>
  </si>
  <si>
    <t>SpaceX-3 launches to the International Space Station, Kepler finds a Earth-sized planet and LADEE ends its mission on the lunar surface.  These stories and more on this week's, This Week @NASA</t>
  </si>
  <si>
    <t>NAsYbYRPan8</t>
  </si>
  <si>
    <t>https://youtu.be/RjSQ_Ynhgtk</t>
  </si>
  <si>
    <t>Station Crew Member Discusses Life in Space With Three Alma Maters</t>
  </si>
  <si>
    <t>RjSQ_Ynhgtk</t>
  </si>
  <si>
    <t>https://youtu.be/1Vf5P317x0c</t>
  </si>
  <si>
    <t>NASA Previews Spacewalk to Replace Failed Space Station Backup Computer</t>
  </si>
  <si>
    <t>In a briefing Friday, managers for NASA's International Space Station program previewed a spacewalk to replace a failed backup computer relay system on the space station's truss. NASA astronauts Rick Mastracchio and Steve Swanson are scheduled to venture outside the space station Wednesday, April 23, to replace a backup multiplexer-demultiplexer (MDM) that failed during routine testing April 11. The box is one of the station's two external MDMs that provide commands to some of the space station's systems, including the external cooling system, solar alpha rotary joints and mobile transporter rail car. If Friday's SpaceX cargo launch to the station is postponed, the two Expedition 39 astronauts will conduct the spacewalk Sunday, April 20.</t>
  </si>
  <si>
    <t>1Vf5P317x0c</t>
  </si>
  <si>
    <t>2014 04 16</t>
  </si>
  <si>
    <t>https://youtu.be/GJMt3Y2224Y</t>
  </si>
  <si>
    <t>Earth Day 2014 Promo</t>
  </si>
  <si>
    <t>Enjoy the beautiful scenery on Earth as NASA takes part in a worldwide celebration of Earth Day.
Join us this year with the agency's #GlobalSelfie event.
http://www.nasa.gov/globalselfie</t>
  </si>
  <si>
    <t>GJMt3Y2224Y</t>
  </si>
  <si>
    <t>2014 04 13</t>
  </si>
  <si>
    <t>https://youtu.be/-iBJF4Ayss4</t>
  </si>
  <si>
    <t>NASA News Conference Highlights SpaceX 3 Science and Technology Cargo</t>
  </si>
  <si>
    <t>NASA held a science and technology cargo news conference at 10 a.m. EDT Sunday, April 13 at the agency's Kennedy Space Center in Florida, to preview the array of scientific investigations and technology demonstration cargo set for delivery to the International Space Station by SpaceX. The briefing included Camille Alleyne, International Space Station assistant program scientist; Michael Roberts, senior research pathway manager, CASIS; and Andy Petro, NASA Space Technology Mission Directorate. SpaceX's Falcon 9 rocket, carrying its Dragon cargo capsule, is scheduled to lift off at 4:58 p.m. Monday, April 14 and will deliver about 2.4 tons of cargo to the space station.</t>
  </si>
  <si>
    <t>-iBJF4Ayss4</t>
  </si>
  <si>
    <t>https://youtu.be/Enm-14rQTwY</t>
  </si>
  <si>
    <t>NASA Hosts Status Briefing Ahead of SpaceX 3 Mission</t>
  </si>
  <si>
    <t>A Status Briefing was held at Noon ET Sunday, April 13 at NASA's Kennedy Space Center in Florida to discuss the launch of the SpaceX-3. The presenters were: Mike Suffredini International Space Station Program Manager; Hans Koenigsmann, Vice President of Mission Assuarance, SpaceX, and Mike McAleenan, Launch Weather Officer, 45th Weather Squadron, U.S. Air Force. The company's Falcon 9 rocket, carrying its Dragon cargo capsule, is scheduled to lift off at 4:58 p.m. Monday, April 14.</t>
  </si>
  <si>
    <t>Enm-14rQTwY</t>
  </si>
  <si>
    <t>2014 04 11</t>
  </si>
  <si>
    <t>https://youtu.be/1nXS4TgYHxU</t>
  </si>
  <si>
    <t>A 'Go' To Build OSIRIS-REx on This Week @NASA</t>
  </si>
  <si>
    <t>The team that will conduct NASA's first mission to collect samples from an asteroid was given the go-ahead to start building the OSIRIS-REx spacecraft, flight instruments and ground launch support facilities, thanks to a successful Mission Critical Design Review. OSIRIS-REx (Origins Spectral Interpretation Resource Identification Security Regolith Explorer) is scheduled to launch in 2016 to the asteroid Bennu and return to Earth with a sample of the asteroid in 2023. The mission seeks answers about the organic materials of the early solar system that made life possible here on Earth. Also, Budget and security hearing, From here to Mars, Low Density Supersonic Decelerator, Bolden visits JSC, New supplies for space station and 50 years of "It's a Small World."</t>
  </si>
  <si>
    <t>1nXS4TgYHxU</t>
  </si>
  <si>
    <t>2014 04 10</t>
  </si>
  <si>
    <t>https://youtu.be/Kar-f74bGko</t>
  </si>
  <si>
    <t>ISS Engineer Talks Space With Students</t>
  </si>
  <si>
    <t>International Space Station Senior Robotics Instructor Megan Levins answered questions from 4th and 5th grade students at Corpus Christi Catholic School in Chambersburg, PA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</si>
  <si>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Kar-f74bGko</t>
  </si>
  <si>
    <t>https://youtu.be/uCZMkoK_jCQ</t>
  </si>
  <si>
    <t>Space Station Crew Discusses Life in Space with the Japanese Prime Minister</t>
  </si>
  <si>
    <t>Aboard the International Space Station, Expedition 39 Commander Koichi Wakata of the Japan Aerospace Exploration Agency, NASA Flight Engineer Steve Swanson and Russian cosmonaut Mikhail Tyurin discussed life and research aboard the orbital laboratory during an in-flight event April 10 with Japanese Prime Minister Shinzo Abe and Japanese space officials. The event, which was hosted at the Prime Minister's residence by veteran Japanese astronaut Aki Hoshide, also featured remarks from Caroline Kennedy, the U.S. Ambassador to Japan.</t>
  </si>
  <si>
    <t>uCZMkoK_jCQ</t>
  </si>
  <si>
    <t>https://youtu.be/uV6cgw9ZT7A</t>
  </si>
  <si>
    <t>NASA and the International Space Station Help Show It's a Small World After all</t>
  </si>
  <si>
    <t>On April 10, Disney Parks is celebrating the 50th anniversary of the iconic song "It's a Small World" and its namesake attraction that opened as a tribute to UNICEF's work for children around the world at the 1964 New York World's Fair. NASA is recognizing the anniversary with a video of the International Space Station and crew members that highlights the Earth observations, space exploration, scientific experiments, technology testing and international cooperation that takes place aboard the orbiting laboratory. This unique vantage point 260 miles above Earth shows it really is a small world after all.</t>
  </si>
  <si>
    <t>uV6cgw9ZT7A</t>
  </si>
  <si>
    <t>2014 04 09</t>
  </si>
  <si>
    <t>https://youtu.be/nY4cXYabvRA</t>
  </si>
  <si>
    <t>New Space Station Supply Ship Arrives At The Orbital Outpost</t>
  </si>
  <si>
    <t>Just six hours after its launch from the Baikonur Cosmodrome in Kazakhstan April 9, the unpiloted Russian ISS Progress 55 cargo craft arrived at the International Space Station following a same-day journey to deliver almost three tons of food, fuel and supplies to the six-man Expedition 39 crew. The new Progress linked up to the Pirs Docking Compartment at the station where it will remain until late July, when it will undock and be deorbited to burn up in the Earth's atmosphere.</t>
  </si>
  <si>
    <t>nY4cXYabvRA</t>
  </si>
  <si>
    <t>https://youtu.be/ndy5cS-aoHU</t>
  </si>
  <si>
    <t>New Space Station Supply Ship Launches from Kazakhstan</t>
  </si>
  <si>
    <t>The unpiloted Russian ISS Progress 55 cargo craft launched from the Baikonur Cosmodrome in Kazakhstan April 9 on a four-orbit, six-hour journey to deliver almost three tons of food, fuel and supplies to the six-man Expedition 39 crew aboard the International Space Station. The new Progress will remain mated to the Pirs Docking Compartment at the station until late July, when it will undock and be deorbited to burn up in the Earth's atmosphere.</t>
  </si>
  <si>
    <t>ndy5cS-aoHU</t>
  </si>
  <si>
    <t>2014 04 08</t>
  </si>
  <si>
    <t>https://youtu.be/gGojMYgLukQ</t>
  </si>
  <si>
    <t>Space Station Crew Discusses Life in Space with Students at Sandy Hook Elementary School</t>
  </si>
  <si>
    <t>Aboard the International Space Station, Expedition 39 Flight Engineers Rick Mastracchio and Steve Swanson of NASA fielded questions about life and work in orbit from third and fourth grade students at the Sandy Hook Elementary School in Monroe, Conn. April 8 during an in-flight educational event. Mastracchio, who is a native of Waterbury, Conn., is scheduled to return to Earth in mid-May, while Swanson, who recently arrived at the orbital laboratory, will remain aboard until mid-September.</t>
  </si>
  <si>
    <t>gGojMYgLukQ</t>
  </si>
  <si>
    <t>2014 04 07</t>
  </si>
  <si>
    <t>https://youtu.be/1hpIinRaUNc</t>
  </si>
  <si>
    <t>International Space Station Cargo Ship Departs After a Successful Mission</t>
  </si>
  <si>
    <t>The Russian ISS Progress 54 cargo ship, that delivered 2 1/2 tons of food, fuel and supplies for the residents of the International Space Station in February, departed the Pirs Docking Compartment April 7, undocking from the complex to move to a safe distance away for a series of engineering tests by Russian flight controllers. The departure of this resupply vehicle cleared the Pirs port for the arrival of a new Progress cargo craft April 9 that will carry almost three tons of supplies for the six-man Expedition 39 crew. The ISS Progress 54 vehicle is scheduled to be deorbited on April 18 to burn up in the Earth's atmosphere.</t>
  </si>
  <si>
    <t>1hpIinRaUNc</t>
  </si>
  <si>
    <t>2014 04 04</t>
  </si>
  <si>
    <t>https://youtu.be/g5e0T3iM21U</t>
  </si>
  <si>
    <t>Underground water on Saturn moon on This Week @NASA</t>
  </si>
  <si>
    <t>Thanks to NASA's Cassini spacecraft and the Deep Space Network, we have evidence that a large underground ocean of water exists on Saturn's moon Enceladus -- a theory formulated in 2005. Radio frequency and gravity measurements of Cassini flying by the moon indicate a large ocean about 6 miles deep, below an ice shell about 19 to 25 miles thick. This finding validates the inclusion of Enceladus to the list of possible places in our solar system to contain microbial life. Also, LADEE update, Women in Aerospace, Lightfoot visits Langley, Aeronautics and Space Engineering Board meetings, International students observing climate and New partner at Kennedy!</t>
  </si>
  <si>
    <t>g5e0T3iM21U</t>
  </si>
  <si>
    <t>2014 04 03</t>
  </si>
  <si>
    <t>https://youtu.be/kKTfE03Z49Q</t>
  </si>
  <si>
    <t>International students use eyes in space to focus on climate change</t>
  </si>
  <si>
    <t>During a televised event at NASA Headquarters, students from Africa, Southeast Asia, and the Himalayas discussed their use of satellite data and mapping technologies to address climate change issues in their regions.
The students are part of a global fellowship program sponsored by NASA, the U.S. Agency for International Development (USAID) and the Association of American Geographers. The My Community, Our Earth/SERVIR program supports long-term training of young, emerging scholars in the use of Earth observations, geography, and geospatial technologies to address climate change issues in developing regions.
SERVIR, an acronym meaning "to serve" in Spanish, is a joint venture between NASA and USAID.</t>
  </si>
  <si>
    <t>kKTfE03Z49Q</t>
  </si>
  <si>
    <t>2014 04 01</t>
  </si>
  <si>
    <t>https://youtu.be/8Vf8PVtbCpg</t>
  </si>
  <si>
    <t>A Social celebration of the Deep Space Network</t>
  </si>
  <si>
    <t>NASA's social media followers on Twitter, Facebook, Google+ and other social networks were given a unique experience during a two day NASA Social to celebrate the 50th anniversary of NASA's Deep Space Network.
During a portion of the April 1 session, broadcast on NASA Television, attendees were at the agency's Jet Propulsion Laboratory for an inside look at the Space Flights Operations Facility, which is the mission control center of the Deep Space Network. The celebration wrapped up on April 2, at the Goldstone Deep Space Communications Complex in California's Mojave Desert.</t>
  </si>
  <si>
    <t>8Vf8PVtbCpg</t>
  </si>
  <si>
    <t>2014 03 28</t>
  </si>
  <si>
    <t>https://youtu.be/-g7dw2xUG0k</t>
  </si>
  <si>
    <t>Bolden Testifies About the Budget on This Week @NASA</t>
  </si>
  <si>
    <t>NASA Administrator Charlie Bolden responded to questions at a Congressional hearing about the agency's $17.5 billion FY2015 budget proposal, which affirms the bi-partisan plan agreed to by Congress and the President for NASA to carry out an ambitious deep space exploration program. One that includes sending humans to an asteroid and Mars, extending use of the International Space Station to at least 2024, developing the Orion spacecraft and Space Launch System rocket and fostering commercial partnerships. Also, Asteroid Initiative Opportunities Forum, Nyberg and Parmitano in DC, Welcome to space! GPM's first light, Exploration Design Challenge, Composite cryo tank delivered and Angry Nerd robot!</t>
  </si>
  <si>
    <t>-g7dw2xUG0k</t>
  </si>
  <si>
    <t>https://youtu.be/rZvpZBC3n_8</t>
  </si>
  <si>
    <t>Expedition 39 40 Crew Opens Hatch to the International Space Station</t>
  </si>
  <si>
    <t>A few hours after docking their Soyuz TMA-12M, Skvortsov, Expedition 39/40 Soyuz Commander Alexander Skvortsov of the Russian Federal Space Agency (Roscosmos), Flight Engineer Steve Swanson of NASA and Flight Engineer Oleg Artemyev of Roscosmos opened the hatches and were greeted by station Commander Koichi Wakata of the Japan Aerospace Exploration Agency, NASA Flight Engineer Rick Mastracchio and Flight Engineer Mikhail Tyurin of Roscosmos. As the hatches were opened, the families of the newly arrived crew and American and Russian space officials viewed the activities from the Russian Mission Control Center.</t>
  </si>
  <si>
    <t>rZvpZBC3n_8</t>
  </si>
  <si>
    <t>https://youtu.be/BMNLsQCy-Nc</t>
  </si>
  <si>
    <t>Expedition 39 40 Crew Docks to the Space Station</t>
  </si>
  <si>
    <t>After launching in their Soyuz TMA-12M spacecraft from the Baikonur Cosmodrome in Kazakhstan, Expedition 39/40 Soyuz Commander Alexander Skvortsov of the Russian Federal Space Agency (Roscosmos), Flight Engineer Steve Swanson of NASA and Flight Engineer Oleg Artemyev of Roscosmos arrived at the International Space Station on March 27. They docked their craft to the Poisk module on the Russian segment of the complex.</t>
  </si>
  <si>
    <t>BMNLsQCy-Nc</t>
  </si>
  <si>
    <t>2014 03 27</t>
  </si>
  <si>
    <t>https://youtu.be/dOGL9H1ELN4</t>
  </si>
  <si>
    <t>2014 NASA African-American History Month Profile  Darryl Smith, NSSC</t>
  </si>
  <si>
    <t>Doctor Darryl Smith is the Enterprise License Management Team Strategist in the office of Procurement at the NASA Shared Services Center.</t>
  </si>
  <si>
    <t>dOGL9H1ELN4</t>
  </si>
  <si>
    <t>2014 03 26</t>
  </si>
  <si>
    <t>https://youtu.be/EsWepKXJsNc</t>
  </si>
  <si>
    <t>NASA Asteroid Initiative Opportunities Forum</t>
  </si>
  <si>
    <t>The Asteroid Initiative Opportunities Forum at NASA Headquarters provided status updates from the ongoing Asteroid Redirect Mission concept and extensibility refinement to expand on the Broad Agency Announcement (BAA), which is a follow-on step from the 2013 Request for Information in mission planning activities. The event also highlighted opportunities for public engagement in the mission and activities associated with the agency's Asteroid Grand Challenge.</t>
  </si>
  <si>
    <t>EsWepKXJsNc</t>
  </si>
  <si>
    <t>https://youtu.be/6Nsi3H3bHK0</t>
  </si>
  <si>
    <t>NASA Announces Exploration Design Challenge</t>
  </si>
  <si>
    <t>NASA Astronaut Rex Walheim and Lockheed-Martin Orion engineer Heather McKay announce the five semi-finalist high school teams in the Exploration Design Challenge from the Johnson Space Center.  Student participants learned about space radiation and proposed an engineering solution to protect humans and hardware on long-duration missions.  The teams' designs will undergo further engineering review at Langley Research Center and a winner will be announced in April.  The winning team will have its design flown on Orion's maiden voyage, Exploration Flight Test-1, in December 2014.</t>
  </si>
  <si>
    <t>6Nsi3H3bHK0</t>
  </si>
  <si>
    <t>2014 03 25</t>
  </si>
  <si>
    <t>https://youtu.be/j2901CMGOhg</t>
  </si>
  <si>
    <t>Expedition 39 40 Launches to the International Space Station</t>
  </si>
  <si>
    <t>Expedition 39/40 Soyuz Commander Alexander Skvortsov of the Russian Federal Space Agency (Roscosmos), Flight Engineer Steve Swanson of NASA and Flight Engineer Oleg Artemyev of Roscosmos launched on the Russian Soyuz TMA-12M spacecraft on March 25, Kazakh time from the Baikonur Cosmodrome in Kazakhstan to begin a six-hour journey to the International Space Station. Once aboard the orbital outpost, the trio will start a six-month mission.</t>
  </si>
  <si>
    <t>j2901CMGOhg</t>
  </si>
  <si>
    <t>https://youtu.be/amD4qm8ndRI</t>
  </si>
  <si>
    <t>Space Station Commander Koichi Wakata  Discusses Life in Space with Japanese Media</t>
  </si>
  <si>
    <t>Aboard the International Space Station, Expedition 39 Commander Koichi Wakata of the Japan Aerospace Exploration Agency fielded questions about life and work on the orbital laboratory and his role as the first Japanese commander of the complex during an in-flight question and answer session March 25 with the Mainichi Newspapers of Japan. Wakata, who launched to the station last November in a Russian Soyuz spacecraft, will return to Earth in mid-May.</t>
  </si>
  <si>
    <t>amD4qm8ndRI</t>
  </si>
  <si>
    <t>https://youtu.be/zSNRqQ4IDWA</t>
  </si>
  <si>
    <t>Country Music Star Kellie Pickler Sings Praises About NASA</t>
  </si>
  <si>
    <t>Country music artist Kellie Pickler promotes NASA's Orion capsule and Space Launch System, the next-generation spacecraft and rocket that will send American astronauts to deep space destinations.</t>
  </si>
  <si>
    <t>zSNRqQ4IDWA</t>
  </si>
  <si>
    <t>https://youtu.be/z9u_qafj3UQ</t>
  </si>
  <si>
    <t>Actor Luke Wilson On How NASA Helps Make Life Better on Earth</t>
  </si>
  <si>
    <t>Actor Luke Wilson promotes notable NASA Spinoff technologies -- technologies used in everyday products and services derived from investments, innovations and research in spacecraft as well as experiments conducted aboard the International Space Station.</t>
  </si>
  <si>
    <t>z9u_qafj3UQ</t>
  </si>
  <si>
    <t>2014 03 24</t>
  </si>
  <si>
    <t>https://youtu.be/pNwgKReXTWo</t>
  </si>
  <si>
    <t>NASA Social with NASA Astronaut Karen Nyberg</t>
  </si>
  <si>
    <t>NASA Astronaut Karen Nyberg spoke with  social media followers and their guests at NASA Headquarters after recently returning from a 5.5-month stay aboard the International Space Station. Participants learned how Karen lived and worked from space, and as an artist, quilting and drawing http://www.nasa.gov/mission_pages/station/expeditions/expedition36/nyberg_profile.html#.UyMrRPldWSo  during her off time; how she managed the unique aspects and challenges of parenting off the planet http://women.nasa.gov/karen-nyberg/ ; how as an astronaut and fitness lover, she exercised while on orbit http://www.youtube.com/watch?v=_ikouWcXhd0 ; current scientific experiments underway aboard the space station; how researchers study the effects of a weightless environment on the human body to help protect astronauts for long-duration spaceflight missions in the future; and how the space station is being used to test groundbreaking, new technologies that will help astronauts safely reach new deep space destinations, including an asteroid and eventually Mars.</t>
  </si>
  <si>
    <t>pNwgKReXTWo</t>
  </si>
  <si>
    <t>https://youtu.be/yYWBWSTkV6I</t>
  </si>
  <si>
    <t>Expedition 39 40 Crew Meets Officials and Reporters as Launch Approaches</t>
  </si>
  <si>
    <t>Expedition 39/40 Soyuz Commander Alexander Skvortsov of the Russian Federal Space Agency (Roscosmos), NASA Flight Engineer Steve Swanson of NASA and Flight Engineer Oleg Artemyev of Roscosmos and backup crew members Alexander Samokutyaev of Roscosmos, Barry Wilmore of NASA and Elena Serova of Roscosmos appeared before the Russian State Commission on March 24 in Baikonur, Kazakhstan. The commission gave its final approval for the launch of Skvortsov, Swanson and Artemyev to the International Space Station on March 26, Kazakh time in their Soyuz TMA-12M spacecraft. The crew members also conducted a final prelaunch news conference at the Cosmonaut Hotel.</t>
  </si>
  <si>
    <t>yYWBWSTkV6I</t>
  </si>
  <si>
    <t>2014 03 23</t>
  </si>
  <si>
    <t>https://youtu.be/nLgdMtutuec</t>
  </si>
  <si>
    <t>Ready to Go</t>
  </si>
  <si>
    <t>With the move of its Soyuz spacecraft and booster to the launch pad at the Baikonur Cosmodrome in Kazakhstan on March 23, the Expedition 39/40 crew is a step closer to a March 25 Eastern Daylight Time (March 26, Kazakhstan time) launch to The International Space Station. NASA Astronaut Steve Swanson and Russian cosmonauts Alexander Skvortsov and Oleg Artemyev are headed to the space station for a six month mission.</t>
  </si>
  <si>
    <t>nLgdMtutuec</t>
  </si>
  <si>
    <t>2014 03 21</t>
  </si>
  <si>
    <t>https://youtu.be/g6CEykcz3FE</t>
  </si>
  <si>
    <t>NASA Observes World Water Day</t>
  </si>
  <si>
    <t>On March 22, NASA will observe World Water Day. While our home planet is about 71 percent water, only 3 percent of that is available as fresh water. And many people do not have access to safe and clean water sources. On a water planet like Earth, "following the water" is a massive undertaking but one that is essential to predicting the future of our climate and the availability of water resources around the globe</t>
  </si>
  <si>
    <t>g6CEykcz3FE</t>
  </si>
  <si>
    <t>https://youtu.be/sg5l-L3n0lg</t>
  </si>
  <si>
    <t>Next Space Station Crew Gets Comfy Prior to Launch</t>
  </si>
  <si>
    <t>Among the activities scheduled for the Expedition 39/40 crew as closes in on its launch to the International Space Station is a final "fit check" in the Soyuz spacecraft that will take them to the ISS. NASA Flight Engineer Steve Swanson and Russian cosmonauts Alexander Skvortsov and Flight Engineer Oleg Artemyev of Russian Federal Space Agency launch to the ISS on March 25 Eastern Daylight Time (March 26, Kazakhstan time).</t>
  </si>
  <si>
    <t>sg5l-L3n0lg</t>
  </si>
  <si>
    <t>https://youtu.be/xHJ1uO2bJEY</t>
  </si>
  <si>
    <t>Administrator Visits Aeronautics and Space Research Facilities on This Week @NASA</t>
  </si>
  <si>
    <t>NASA Administrator Charlie Bolden visited aeronautics and space research facilities at Ames Research Center on March 17, including the laboratory for the volleyball-sized satellites called SPHERES, which are used onboard the International Space Station for space robotics and spacecraft navigation experiments. He also saw the high-fidelity airport control tower simulator called, "Future Flight Central", used by NASA, the Federal Aviation Administration and other industry partners for joint research on next-generation air traffic management. Also, Rocket for Orion's flight test highlighted, Future explorer celebrated at KSC, NASA's new Chief Technologist, Coastal Flooding Challenge, Next space station crews , Hubble 24th anniversary image and more!</t>
  </si>
  <si>
    <t>xHJ1uO2bJEY</t>
  </si>
  <si>
    <t>2014 03 20</t>
  </si>
  <si>
    <t>https://youtu.be/uqSQPoaw3mk</t>
  </si>
  <si>
    <t>NASA Women's History Month Profile, Karin Bozak - Glenn Research Center</t>
  </si>
  <si>
    <t>Karin Bozak is an electrical engineer in the power systems branch at the NASA Glenn Research Center. In her current job she supports the design, integration, and test of a power-processing unit for NASA's solar electric propulsion project.</t>
  </si>
  <si>
    <t>uqSQPoaw3mk</t>
  </si>
  <si>
    <t>2014 03 19</t>
  </si>
  <si>
    <t>https://youtu.be/24qcEdhHYd0</t>
  </si>
  <si>
    <t>Next Space Station crew closing in on launch</t>
  </si>
  <si>
    <t>As it winds down to a late March launch to the International Space Station, the Expedition 39/40 crew, including NASA astronaut Steve Swanson, continues to train at the Baikonur Cosmodrome in Kazakhstan for the six-hour trip to orbit.</t>
  </si>
  <si>
    <t>24qcEdhHYd0</t>
  </si>
  <si>
    <t>https://youtu.be/C_DNw2OWOBI</t>
  </si>
  <si>
    <t>Future Space Station Crew meets the media</t>
  </si>
  <si>
    <t>During a March 18 news conference seen on NASA Television the Expedition 40/41 crew, including NASA astronaut Reid Wiseman, fielded questions from the media about their upcoming mission onboard the International Space Station. Launch is scheduled for late May.</t>
  </si>
  <si>
    <t>C_DNw2OWOBI</t>
  </si>
  <si>
    <t>2014 03 14</t>
  </si>
  <si>
    <t>https://youtu.be/llpvsJXeXZo</t>
  </si>
  <si>
    <t>NASA Administrator Checks Out SLS Flight Avionics on This Week @NASA</t>
  </si>
  <si>
    <t>NASA Administrator Charlie Bolden visited Marshall Space Flight Center to see work being done on the avionics and flight software for NASA's Space Launch System rocket. Marshall's System Integration Lab conducts flight simulations of the avionics system -- including hardware, software and operating systems -- that will guide the launch vehicle, to see how the SLS will perform during launch. Also, Dream Chaser agreement expanded, ISS crew returns safely, Senate Youth Program, More high marks for Morpheus, Asteroid Data Hunter challenge, SXSW Interactive and more!</t>
  </si>
  <si>
    <t>llpvsJXeXZo</t>
  </si>
  <si>
    <t>2014 03 13</t>
  </si>
  <si>
    <t>https://youtu.be/u-ceOd3mwuc</t>
  </si>
  <si>
    <t>New Commander's Historic Role</t>
  </si>
  <si>
    <t>Expedition 39 Commander Koichi Wakata of the Japan Aerospace Exploration Agency fielded questions from Japanese reporters during a NASA Television In-flight event March 13, just days after becoming the first Japanese commander of the International Space Station. Wakata will remain in orbit until mid-May with NASA Flight Engineer Rick Mastracchio and Russian crewmate and Soyuz commander Mikhail Tyurin.</t>
  </si>
  <si>
    <t>u-ceOd3mwuc</t>
  </si>
  <si>
    <t>https://youtu.be/M6XcbnITouM</t>
  </si>
  <si>
    <t>A Discussion About Space Exploration</t>
  </si>
  <si>
    <t>Expedition 39 Flight Engineer Rick Mastracchio of NASA and the International Space Station Commander, Koichi Wakata of the Japan Aerospace Exploration Agency, fielded questions March 13 about life and research on the orbital laboratory from NASA Administrator Charles Bolden and students participating in the U.S. Senate Youth Program.</t>
  </si>
  <si>
    <t>M6XcbnITouM</t>
  </si>
  <si>
    <t>https://youtu.be/nP8skIEd8M8</t>
  </si>
  <si>
    <t>Next ISS Crew Heads to Launch Site</t>
  </si>
  <si>
    <t>After participating in traditional ceremonies at the Gagarin Cosmonaut Training Center in Star City, Russia on March 13, Expedition 39/40 Soyuz Commander Alexander Skvortsov of the Russian Federal Space Agency, Flight Engineer Steve Swanson of NASA and Flight Engineer Oleg Artemyev of Roscosmos departed for the Baikonur Cosmodrome in Kazakhstan to complete training for their March 26, Kazakhstan time launch to the International Space Station. Also making the trip were backup crew members Alexander Samokutyaev of Roscosmos, Barry Wilmore of NASA and Elena Serova of Roscosmos.</t>
  </si>
  <si>
    <t>nP8skIEd8M8</t>
  </si>
  <si>
    <t>2014 03 12</t>
  </si>
  <si>
    <t>https://youtu.be/yAD0TEzQ5Hk</t>
  </si>
  <si>
    <t>Involving Everyone in the Conversation</t>
  </si>
  <si>
    <t>A Women's History Month program at NASA headquarters titled, "Involving Everyone in the Conversation." featured presentations by Administrator Bolden and former astronaut Sandy Magnus -- now executive director at the American Institute of Aeronautics and Astronautics. The program also included panel discussions about the relationships and challenges of workforce diversity and encouraging students to pursue careers in science, technology, engineering and math, or STEM.</t>
  </si>
  <si>
    <t>yAD0TEzQ5Hk</t>
  </si>
  <si>
    <t>2014 03 11</t>
  </si>
  <si>
    <t>https://youtu.be/8TTGTQZzk_s</t>
  </si>
  <si>
    <t>Expedition 38 Discusses Experience in Space</t>
  </si>
  <si>
    <t>Following the safe return to Earth in a Soyuz spacecraft of Expedition 38 Commander Oleg Kotov of the Russian Federal Space Agency, NASA Flight Engineer Michael Hopkins and Flight Engineer Sergey Ryazanskiy of Roscosmos, thoughts were shared about their time on orbit and safe return to Earth during a series of interviews. The trio spent 166 days in space during their mission.</t>
  </si>
  <si>
    <t>8TTGTQZzk_s</t>
  </si>
  <si>
    <t>https://youtu.be/qNENSsfKvMo</t>
  </si>
  <si>
    <t>2014 NASA Women's History Month Profile, Teresa Vanhooser, MSFC</t>
  </si>
  <si>
    <t>While growing up in Johnson City, Tenn., Teresa Vanhooser wanted to follow her passion for mathematics. Now she's the deputy director of one of NASA's largest field centers — the Marshall Space Flight Center in Huntsville, Ala. Learn more about her story, how she was the lone female engineer in her branch when she started at NASA and how she wants to help young people develop their careers.</t>
  </si>
  <si>
    <t>qNENSsfKvMo</t>
  </si>
  <si>
    <t>https://youtu.be/oIZH-HVJnUg</t>
  </si>
  <si>
    <t>A Warm Welcome for the Crew</t>
  </si>
  <si>
    <t>Expedition 38 Commander Oleg Kotov of the Russian Federal Space Agency, NASA Flight Engineer Michael Hopkins and Flight Engineer Sergey Ryazanskiy of Roscosmos were greeted in a traditional ceremony at the airport in Karaganda, Kazakhstan, on March 11, a few hours after landing in their Soyuz spacecraft in Kazakhstan. The trio completed 166 days in space following their launch in September.</t>
  </si>
  <si>
    <t>oIZH-HVJnUg</t>
  </si>
  <si>
    <t>https://youtu.be/tJBY2OBqIWM</t>
  </si>
  <si>
    <t>Expedition 38 Back Home Safely!</t>
  </si>
  <si>
    <t>Expedition 38 Commander Oleg Kotov of the Russian Federal Space Agency, NASA Flight Engineer Michael Hopkins and Flight Engineer Sergey Ryazanskiy of Roscosmos landed safely in Kazakhstan on March 11, local time, after bidding farewell to the Expedition 39 crew members and returning to Earth in their Soyuz spacecraft. The trio completed 166 days in space since launching in September.</t>
  </si>
  <si>
    <t>tJBY2OBqIWM</t>
  </si>
  <si>
    <t>https://youtu.be/ZtxIWh-N9mM</t>
  </si>
  <si>
    <t>Expedition 38 Ships Off</t>
  </si>
  <si>
    <t>Expedition 38 Commander Oleg Kotov, Michael Hopkins of NASA and Russian cosmonaut Sergey Ryazanskiy wrapped up a 166 day stay on the International Space Station when their Soyuz spacecraft undocked from the orbiting laboratory to begin their journey back to Earth. The undocking was covered by NASA Television.</t>
  </si>
  <si>
    <t>ZtxIWh-N9mM</t>
  </si>
  <si>
    <t>2014 03 10</t>
  </si>
  <si>
    <t>https://youtu.be/tAVw16kfS5Y</t>
  </si>
  <si>
    <t>Expedition 38   Ready for Return</t>
  </si>
  <si>
    <t>NASA TV captured farewells exchanged on the International Space Station between the departing Expedition 38 crew and the Expedition 39 crew remaining onboard. Michael Hopkins of NASA and Russian cosmonauts Oleg Kotov and Sergey Ryazanskiy wrapped up a 166 day stay on the ISS. The three remaining occupants, Commander Koichi Wakata of the Japan Aerospace Exploration Agency, NASA Flight Engineer Rick Mastracchio and Russian cosmonaut Mikhail Tyurin will be joined by fellow Expedition 39 crew mates, Steve Swanson of NASA and cosmonauts Alexander Samokutyaev and Oleg Artemyev on March 26.</t>
  </si>
  <si>
    <t>tAVw16kfS5Y</t>
  </si>
  <si>
    <t>2014 03 09</t>
  </si>
  <si>
    <t>https://youtu.be/kumP_g_zfyI</t>
  </si>
  <si>
    <t>New Commander on the Space Station</t>
  </si>
  <si>
    <t>Command of the International Space Station was passed from cosmonaut Oleg Kotov to Koichi Wakata of the Japan Aerospace Exploration Agency on March 9. The change of command makes Wakata, who will oversee Expedition 39, the first Japanese commander of the complex. He, NASA Flight Engineer Rick Mastracchio and Russian cosmonaut Mikhail Tyurin will be joined on March 26 by NASA's Steve Swanson and cosmonauts Alexander Samokutyaev and Oleg Artemyev.</t>
  </si>
  <si>
    <t>kumP_g_zfyI</t>
  </si>
  <si>
    <t>2014 03 08</t>
  </si>
  <si>
    <t>https://youtu.be/AI0FDcsK5Qs</t>
  </si>
  <si>
    <t>Space Station Crew Discusses Hi Tech Life in Space at South by Southwest Conference</t>
  </si>
  <si>
    <t>Aboard the International Space Station, Expedition 38 Flight Engineers Michael Hopkins and Rick Mastracchio of NASA and Koichi Wakata of the Japan Aerospace Exploration Agency discussed life and research aboard the complex with technology experts and enthusiasts gathered in Austin, Texas, March 8 for the annual South by Southwest technology conference. Hopkins, who has spent almost six months on the station, is scheduled to return to Earth March 10, U.S. time with two Russian crewmates, while Mastracchio and Wakata will return to Earth in mid-May.</t>
  </si>
  <si>
    <t>AI0FDcsK5Qs</t>
  </si>
  <si>
    <t>2014 03 07</t>
  </si>
  <si>
    <t>https://youtu.be/F9Z8sPmduI4</t>
  </si>
  <si>
    <t>FY 2015 Budget briefed on This Week @NASA</t>
  </si>
  <si>
    <t>NASA's Fiscal Year 2015 budget proposal was announced March 4. The $17.5 billion budget supports NASA's new strategic plan to drive advances in science, technology, aeronautics and space exploration. The budget enables NASA to continue fostering growth of a vibrant American commercial space industry, stay on target to launch American astronauts from U.S. soil by 2017, keep utilizing the International Space Station until at least 2024 and carry out even more ambitious missions beyond low-Earth orbit. Also, Budget highlighted at Capitol Hill luncheon, Next ISS crew trains in Russia, Flight test boosters arrive at KSC, Goddard Memorial Symposium and 5 year anniversary of Kepler launch!</t>
  </si>
  <si>
    <t>F9Z8sPmduI4</t>
  </si>
  <si>
    <t>2014 03 06</t>
  </si>
  <si>
    <t>https://youtu.be/M0dZysIsEsA</t>
  </si>
  <si>
    <t>Video File of Expedition 39 and 40 Crew News Conference and Visit to Red Square</t>
  </si>
  <si>
    <t>Expedition 39/40 Soyuz Commander Alexander Skvortsov of the Russian Federal Space Agency (Roscosmos), NASA Flight Engineer Steve Swanson and Flight Engineer Oleg Artemyev of Roscosmos and their backups, Alexander Samokutyaev of Roscosmos, Barry Wilmore of NASA and Elena Serova of Roscosmos, fielded questions at their training base at the Gagarin Cosmonaut Training Center in Star City, Russia, outside Moscow on March 6 as part of traditional pre-launch activities before their departure March 13 for their launch site in Kazakhstan. After the news conference, they participated in traditional ceremonies at Red Square in Moscow, laying flowers at the Kremlin Wall and touring the Kremlin as they paid tribute to iconic Russian space heroes. Skvortsov, Swanson and Artemyev are scheduled to launch to the International Space Station on March 26, Kazakh time.</t>
  </si>
  <si>
    <t>M0dZysIsEsA</t>
  </si>
  <si>
    <t>2014 03 05</t>
  </si>
  <si>
    <t>https://youtu.be/kqdV0Td6M8A</t>
  </si>
  <si>
    <t>Video File of Expedition 39 and 40 Crew Undergoes Final Training Outside Moscow</t>
  </si>
  <si>
    <t>Expedition 39/40 Soyuz Commander Alexander Skvortsov of the Russian Federal Space Agency (Roscosmos), NASA Flight Engineer Steve Swanson and Flight Engineer Oleg Artemyev of Roscosmos and their backups, Alexander Samokutyaev of Roscosmos, Barry Wilmore of NASA and Elena Serova of Roscosmos, conducted final qualification training at the Gagarin Cosmonaut Training Center in Star City, Russia March 4 and 5. Skvortsov, Swanson and Artemyev are scheduled for a March 26 launch, Kazakh time, in the Soyuz TMA-12M spacecraft to begin a six-month mission on the International Space Station.</t>
  </si>
  <si>
    <t>kqdV0Td6M8A</t>
  </si>
  <si>
    <t>2014 03 04</t>
  </si>
  <si>
    <t>https://youtu.be/gJhGUHli3BE</t>
  </si>
  <si>
    <t>Reaching for New Heights</t>
  </si>
  <si>
    <t>NASA's budget supports our new Strategic Plan to drive advances in science, technology, aeronautics and space exploration to enhance knowledge, education, innovation, economic vitality and stewardship of Earth. To send humans to
an asteroid by 2025, NASA is formulating the first-ever mission to identify and redirect an asteroid. The budget also supports the extension of the International Space Station (ISS) to at least 2024, which is essential to sending humans to deep space destinations and returning benefits to humanity through research and development. The budget proposes an additional $886 million for NASA as part of the Opportunity, Growth, and Security Initiative, including additional funding for Science, Space Launch System/Orion, Technology, ISS, and Commercial Crew.</t>
  </si>
  <si>
    <t>gJhGUHli3BE</t>
  </si>
  <si>
    <t>2014 03 03</t>
  </si>
  <si>
    <t>https://youtu.be/_3ZhJP8q-Ts</t>
  </si>
  <si>
    <t>NASA and JAXA ISS Astronauts Congratulate 'Gravity' on Academy Awards</t>
  </si>
  <si>
    <t>Aboard the International Space Station, NASA Astronauts Mike Hopkins and Rick Mastracchio and JAXA Astronaut Koichi Wakata congratulate the filmmakers and actors of the Academy Award-winning film "Gravity" on their achievement.</t>
  </si>
  <si>
    <t>_3ZhJP8q-Ts</t>
  </si>
  <si>
    <t>https://youtu.be/rxOZUBDBo3I</t>
  </si>
  <si>
    <t>NASA Astronaut Mike Massimino on  Gravity  Award Win</t>
  </si>
  <si>
    <t>NASA Astronaut Mike Massimino congratulates the filmmakers and actors of the Academy Award-winning film "Gravity" on their achievement.</t>
  </si>
  <si>
    <t>rxOZUBDBo3I</t>
  </si>
  <si>
    <t>https://youtu.be/i9LIV5vHRqM</t>
  </si>
  <si>
    <t>NASA Astronaut Cady Coleman on 'Gravity' Oscar Win</t>
  </si>
  <si>
    <t>NASA Astronaut Cady Coleman congratulates the cast and crew of the Academy Award-winning film "Gravity" on their achievement. Coleman lived aboard the International Space Station during Expedition 27, while "Gravity" was being filmed, and spoke with the film's star, Sandra Bullock, from space. Coleman thanks the filmmakers for "sharing that world and that view with everyone."</t>
  </si>
  <si>
    <t>i9LIV5vHRqM</t>
  </si>
  <si>
    <t>2014 02 28</t>
  </si>
  <si>
    <t>https://youtu.be/wIHmBqNgLWE</t>
  </si>
  <si>
    <t>NASA JAXA Global Precipitation Measurement Mission Launches from Japan with Post Launch Comments</t>
  </si>
  <si>
    <t>The Global Precipitation Measurement launched on Feb. 27, 2014 at 1:37 pm EST, from Tanegashima Space Center in Japan on a mission that will set a new standard for precipitation measurements from space.  With post launch Excerpts from Caroline Kennedy, U.S. Ambassador Extraordinary and Plenipotentiary to Japan, Michael Freilich, Director, NASA's Earth Science Division, Headquarters and Art Azarbarzin, GPM Project Manager, NASA Goddard Space Flight Center.</t>
  </si>
  <si>
    <t>wIHmBqNgLWE</t>
  </si>
  <si>
    <t>https://youtu.be/ZG17eAAUwDQ</t>
  </si>
  <si>
    <t>2014 NASA African-American History Month Profile  Kelvin Manning, Kennedy Space Center</t>
  </si>
  <si>
    <t>Kelvin Manning serves as associate director of NASA's Kennedy Space Center in Florida. Manning is responsible for the oversight of Kennedy's institutional business and technical support functions, planning, directing and coordinating center policies on a day-to-day basis.</t>
  </si>
  <si>
    <t>ZG17eAAUwDQ</t>
  </si>
  <si>
    <t>https://youtu.be/0owqQm_LqXQ</t>
  </si>
  <si>
    <t>Global Precipitation Satellite Launched on This Week @NASA</t>
  </si>
  <si>
    <t>The Global Precipitation Measurement (GPM) mission's Core Observatory launched from Japan's Tanegashima Space Center on February 27, Eastern Standard Time. The joint NASA and Japan Aerospace Exploration Agency effort uses the Core Observatory as the anchor of a network of international satellites designed to provide next-generation observations of rain and snow worldwide every three hours. Data from the mission will help study climate change, freshwater resources, and natural hazards such as floods, droughts, and hurricanes. Also, Monitoring California's drought, Spacewalk mishap report, Orion test article at Langley, More Kepler planets and Hubble supernova photo!</t>
  </si>
  <si>
    <t>0owqQm_LqXQ</t>
  </si>
  <si>
    <t>https://youtu.be/VxcCDaJV_Bw</t>
  </si>
  <si>
    <t>International Space Station Crew Discusses Life in Space with Missouri Students</t>
  </si>
  <si>
    <t>Aboard the International Space Station, Expedition 38 Flight Engineers Mike Hopkins and Rick Mastracchio discussed life and research aboard the orbital laboratory with secondary school students at the School of the Osage in Osage Beach, Missouri during an in-flight educational event on Feb. 28. Hopkins, who is a Missouri native and a 1987 graduate of the School of the Osage, is in the final weeks of his six-month mission, while Mastracchio will remain in orbit until he returns to Earth in mid-May.</t>
  </si>
  <si>
    <t>VxcCDaJV_Bw</t>
  </si>
  <si>
    <t>https://youtu.be/T59o2XbNr0A</t>
  </si>
  <si>
    <t>NASA and the Japanese Aerospace Agency Launch GPM Satellite</t>
  </si>
  <si>
    <t>From the Tanegashima Space Center near the southernmost tip of Japan, NASA and the Japanese Aerospace Exploration Agency (JAXA) launched a joint mission to study global measurements of rainfall and snowfall abroad JAXA's H-IIA rocket.  The Global Precipitation Measurement (GPM) Core Observatory is a new NASA built science satellite that will link data from a constellation of current and planned satellites and produce the most precise observations of rain and snow every three hours from anywhere on the globe.  The GPM Core Observatory will fly 253 miles (407 kilometers) above Earth in an orbit inclined at 65-degrees to the equator and will begin normal operations in about 60 days after launch.  Data will be downlinked through NASA's Tracking and Data Relay Satellite System to the agency's Goddard Space Flight Center's Precipitation Processing Center in Greenbelt, Md., where it will be processed and distributed over the Internet.</t>
  </si>
  <si>
    <t>T59o2XbNr0A</t>
  </si>
  <si>
    <t>2014 02 27</t>
  </si>
  <si>
    <t>https://youtu.be/520rGlmh2X4</t>
  </si>
  <si>
    <t>International Space Station Crew Discusses Life in Space with Temple University</t>
  </si>
  <si>
    <t>Aboard the International Space Station, Expedition 38 Flight Engineers Mike Hopkins and Rick Mastracchio of NASA and Koichi Wakata of the Japan Aerospace Exploration Agency discussed life and research aboard the orbital outpost with engineering students at Temple University in Philadelphia during an in-flight educational event Feb. 27. Hopkins is in the final weeks of his six-month mission, while Mastracchio and Wakata will remain in orbit until they return to Earth in mid-May.</t>
  </si>
  <si>
    <t>520rGlmh2X4</t>
  </si>
  <si>
    <t>2014 02 26</t>
  </si>
  <si>
    <t>https://youtu.be/WtoReFMPAfU</t>
  </si>
  <si>
    <t>2014 NASA African-American History Month Profile  Adrianne Ragan, Stennis Space Center</t>
  </si>
  <si>
    <t>Adrianne Ragan is a Contract Specialist with the NASA Office of Procurement at NASA's John C. Stennis Space Center. She has been recognized by NASA's Space Flight Awareness Program for her dedication to the space program, her outstanding contracting support to Stennis and its rocket propulsion testing and overall work to advance human space flight.</t>
  </si>
  <si>
    <t>WtoReFMPAfU</t>
  </si>
  <si>
    <t>https://youtu.be/d2KP767-Reo</t>
  </si>
  <si>
    <t>International Space Station Crew Discusses Life in Space with Chicago Media</t>
  </si>
  <si>
    <t>Aboard the International Space Station, Expedition 38 Flight Engineers Mike Hopkins and Rick Mastracchio discussed life and research on the orbital laboratory with Chicago radio station WLS-AM and its talk show hosts Roe and Roeper during an in-flight interview Feb. 25. Hopkins is in the final weeks of his six-month mission on the station, while Mastracchio will remain in orbit until he returns to Earth in mid-May.</t>
  </si>
  <si>
    <t>d2KP767-Reo</t>
  </si>
  <si>
    <t>2014 02 24</t>
  </si>
  <si>
    <t>https://youtu.be/20Ic-f4ab6k</t>
  </si>
  <si>
    <t>Space Station astronauts  %23LetsMove</t>
  </si>
  <si>
    <t>We asked International Space Station astronauts Mike Hopkins and Rick Mastracchio to "Show Us How You Move" in space! 
Four years ago, First Lady Michelle Obama launched Let's Move!, a nationwide initiative to create a healthier future for our kids and families. Today on orbit, astronauts work out every day to stay in shape and stay healthy. You can learn more about this effort at LetsMove.gov. 
You can learn how to "Train Like Mike" Hopkins by checking out his workout videos from space and fitness tips from astronaut trainers here: http://www.facebook.com/trainastronaut</t>
  </si>
  <si>
    <t>20Ic-f4ab6k</t>
  </si>
  <si>
    <t>2014 02 21</t>
  </si>
  <si>
    <t>https://youtu.be/wqTTjOw2Ba0</t>
  </si>
  <si>
    <t>Cygnus Released on This Week @NASA</t>
  </si>
  <si>
    <t>With delivery of more than a ton of supplies and experiments completed, Orbital Sciences Corporation's Cygnus cargo craft was detached and released from the International Space Station February 18 -- wrapping up the first of at least eight NASA contracted supply missions to the space station for Orbital through 2016. Also, Orion recovery tests, NuSTAR findings, Stofan visits Stennis, Virginia Aerospace Days and Friendship 7 anniversary!</t>
  </si>
  <si>
    <t>wqTTjOw2Ba0</t>
  </si>
  <si>
    <t>2014 02 20</t>
  </si>
  <si>
    <t>https://youtu.be/4z1waG80X8E</t>
  </si>
  <si>
    <t>L A  students get glimpse of life in space from Space Station crew</t>
  </si>
  <si>
    <t>International Space Station crew members Mike Hopkins and Rick Mastracchio of NASA and Koichi Wakata of the Japan Aerospace Exploration Agency talked with students at California State University, Los Angeles, about life in space Feb. 20, as part of NASA's national awareness campaign called "Destination Station." Destination Station promotes research opportunities, educates communities about activities performed on the International Space Station and communicates the real and potential impacts of the station on our everyday lives.</t>
  </si>
  <si>
    <t>4z1waG80X8E</t>
  </si>
  <si>
    <t>2014 02 19</t>
  </si>
  <si>
    <t>https://youtu.be/bm5OrnXQk4U</t>
  </si>
  <si>
    <t>Space Station astronauts talk with ABC News</t>
  </si>
  <si>
    <t>International Space Station astronauts Mike Hopkins and Rick Mastracchio of NASA talked with the ABC News Digital On-Line Network about life and research in space during an in-flight interview Feb. 19. Hopkins is in the home stretch of his six-month mission, preparing to return to Earth in mid-March, while Mastracchio will remain aboard the outpost until mid-May.</t>
  </si>
  <si>
    <t>bm5OrnXQk4U</t>
  </si>
  <si>
    <t>2014 02 18</t>
  </si>
  <si>
    <t>https://youtu.be/JFWKe-7XNL4</t>
  </si>
  <si>
    <t>U.S. resupply ship released from ISS</t>
  </si>
  <si>
    <t>Orbital Sciences' Cygnus cargo craft was detached and released from the International Space Station Feb. 18, more than a month after delivering a ton of supplies and experiments to the Expedition 38 crew. Cygnus will be commanded by Orbital Sciences' flight controllers to fire its engines Feb. 19, which will send it into a destructive reentry into the Earth's atmosphere.</t>
  </si>
  <si>
    <t>JFWKe-7XNL4</t>
  </si>
  <si>
    <t>https://youtu.be/ju1JWM0O2sY</t>
  </si>
  <si>
    <t>New Agreement Signed on This Week @NASA</t>
  </si>
  <si>
    <t>NASA Administrator Charles Bolden and Jean-Yves Le Gall, President of France's National Center of Space Studies or CNES, signed an agreement for cooperation on the lander for NASA's future InSight mission to Mars. InSight will probe deep into the subsurface of Mars to understand the evolutionary formation of rocky planets, including Earth. A CNES instrument onboard the lander is designed to measure seismic waves -- which provide clues about the earliest stages of the planet's formation. Also, Congressional hearing at KSC, Senator sees Langley tech, Future ISS crew announced, Project Morpheus test and Tech transfer awards.</t>
  </si>
  <si>
    <t>ju1JWM0O2sY</t>
  </si>
  <si>
    <t>2014 02 14</t>
  </si>
  <si>
    <t>https://youtu.be/eiTgn5f7-CY</t>
  </si>
  <si>
    <t>NASA Mars Curiosity Rover Report -- February 14, 2014</t>
  </si>
  <si>
    <t>A NASA Mars Curiosity rover team member gives an update on developments and status of the planetary exploration mission. The Mars Science Laboratory spacecraft delivered Curiosity to its target area on Mars at 1:31:45 a.m. EDT on Aug. 6, 2012 which includes the 13.8 minutes needed for confirmation of the touchdown to be radioed to Earth at the speed of light. The rover will conduct a nearly two-year prime mission to investigate whether the Gale Crater region of Mars ever offered conditions favorable for microbial life.
Curiosity carries 10 science instruments with a total mass 15 times as large as the science payloads on NASA's Mars rovers Spirit and Opportunity. Some of the tools, such as a laser-firing instrument for checking rocks' elemental composition from a distance, are the first of their kind on Mars. Curiosity will use a drill and scoop, which are located at the end of its robotic arm, to gather soil and powdered samples of rock interiors, then sieve and parcel out these samples into the rover's analytical laboratory instruments.</t>
  </si>
  <si>
    <t>eiTgn5f7-CY</t>
  </si>
  <si>
    <t>https://youtu.be/YqTDc_aNfII</t>
  </si>
  <si>
    <t>2014 NASA African-American History Month Profile  Charles Doxley, Glenn Research Center</t>
  </si>
  <si>
    <t>Charles Doxley is an electronics engineer at the NASA Glenn Research Center. His work for the avionics division includes working on a project that tests future space radios to make sure they are compatible with NASA's spacecraft tracking and data relay satellite system. Doxley earned his Bachelor's Degree in Mathematics from Albany State University in Albany, Georgia and a Master's Degree from Tuskegee University in Tuskegee, Alabama.</t>
  </si>
  <si>
    <t>YqTDc_aNfII</t>
  </si>
  <si>
    <t>https://youtu.be/vSa_zRCxfnA</t>
  </si>
  <si>
    <t>ISS Mission Control Console Interviews Space Station Manger Ginger Kerrick</t>
  </si>
  <si>
    <t>NASA Mission Operations Directorate's Space Station Manager Ginger Kerrick is the special guest for this week's ISS MCC Digital Learning Network Special Educational Event.  Ms. Kerrick was selected as a Flight Director in February of 2005 and completed her International Space Station (ISS) certification in September 2005.   She has worked console as an ISS Flight Director for Expeditions 12 -- 29, which included serving as the Lead Flight Director for Expedition 14 and lead for US EVA #13 (spacewalk).  She supported three docked Shuttle missions from the ISS Flight Control Room (FCR-1) -- STS-118/13A.1, STS-123-1JA, and served as the Lead ISS Flight Director for STS-126/ULF2 in November 2008 and served as Chair of the Generic Joint Operations Panel (GJOP).  In January of 2011 Ms. Kerrick completed a nine-month rotational assignment serving as the Deputy Manager of the Extravehicular Activity (EVA) Office at Johnson Space Center.  In October of 2011, she returned to the Flight Director Office in the role of Assistant to the Chief for ISS.  She held that role until December of 2012 when she was promoted to her current role of Mission Operations Directorate ISS Manager.</t>
  </si>
  <si>
    <t>vSa_zRCxfnA</t>
  </si>
  <si>
    <t>https://youtu.be/Y-Z0iqR-yQQ</t>
  </si>
  <si>
    <t>NASA's Space Station Crew Discusses Life in Space with Homestate Media</t>
  </si>
  <si>
    <t>Aboard the International Space Station, Expedition 38 Flight Engineers Mike Hopkins and Rick Mastracchio discussed their mission activities, including scientific research on the orbital laboratory with WATR Radio in Waterbury, Conn. And KSPR-TV, Springfield, Mo. during a pair of in-flight interviews Feb. 13. Mastracchio is a native of Waterbury who will remain in orbit until mid-May, while Hopkins, who was born in Lebanon, Mo. and grew up on a farm outside Richland, Mo., will be returning to Earth in mid-March.</t>
  </si>
  <si>
    <t>Y-Z0iqR-yQQ</t>
  </si>
  <si>
    <t>2014 02 10</t>
  </si>
  <si>
    <t>https://youtu.be/bGjfvtVQFSs</t>
  </si>
  <si>
    <t>Astronaut Mike Hopkins' %23Selfie is up for a Shorty Award</t>
  </si>
  <si>
    <t>NASA's efforts on social media over the past year have been nominated for a "Shorty Award," which honor the best people and organizations on social media. These unique awards are for the social media community, by the social media community. Online nominating for the Shorty Awards is now open for social media users to nominate users for excellence over the past year. We're excited to have Astronaut Mike Hopkins #Selfie from Space nominated for #Selfie of the Year. 
Help nominate us today at http://go.nasa.gov/SelfieShorty 
Learn more about NASA &amp; the Shorty Awards at: http://www.nasa.gov/connect/2014_ShortyAwards.html</t>
  </si>
  <si>
    <t>bGjfvtVQFSs</t>
  </si>
  <si>
    <t>https://youtu.be/tSe_OmdCGLI</t>
  </si>
  <si>
    <t>@NASA is up for a Shorty Award in %23Science</t>
  </si>
  <si>
    <t>NASA's efforts on social media over the past year have been nominated for a "Shorty Award," which honor the best people and organizations on social media. These unique awards are for the social media community, by the social media community. Online nominating for the Shorty Awards is now open for social media users to nominate users for excellence over the past year. We're excited to have @NASA nominated for a Shorty Award in #Science. 
Help nominate us today at http://go.nasa.gov/ScienceShorty 
Learn more about NASA &amp; the Shorty Awards at: http://www.nasa.gov/connect/2014_ShortyAwards.html</t>
  </si>
  <si>
    <t>tSe_OmdCGLI</t>
  </si>
  <si>
    <t>2014 02 07</t>
  </si>
  <si>
    <t>https://youtu.be/JCRv34_hNUs</t>
  </si>
  <si>
    <t>Webb Telescope's progress on This Week @NASA</t>
  </si>
  <si>
    <t>NASA Administrator Charlie Bolden, Senator Barbara Mikulski of Maryland and Goddard Center Director Chris Scolese congratulated the Goddard team recently for progress in development of the James Webb Space Telescope. The telescope's flight instruments and primary mirrors are being integrated at Goddard. JWST is the agency's flagship science project and the most powerful space telescope ever built. Scheduled to launch in 2018, it will study every phase in the history of our universe, including the first luminous glows after the big bang and the evolution of our own solar system. Also, Crawler-Transporter test drive, Adapter ring complete, Engine test, Progress up, Progress down and more!</t>
  </si>
  <si>
    <t>JCRv34_hNUs</t>
  </si>
  <si>
    <t>2014 02 06</t>
  </si>
  <si>
    <t>https://youtu.be/lvjFxU0ncgo</t>
  </si>
  <si>
    <t>Olympic Torch Completes Longest Relay in History</t>
  </si>
  <si>
    <t>As the XXII Winter Olympic Games begin in Sochi, Russia, the athletes who compete must turn their eyes to the sky to see how far the torch that is lighting the Olympic flame has traveled. The symbol of peace, friendship, hope and understanding among the nations participating in the Olympic Games traveled by car, plane, reindeer, train and by a Russian Soyuz rocket that ferried it to the International Space Station, itself a symbol of peaceful international cooperation.</t>
  </si>
  <si>
    <t>lvjFxU0ncgo</t>
  </si>
  <si>
    <t>2014 02 05</t>
  </si>
  <si>
    <t>https://youtu.be/o1ict2T43Kw</t>
  </si>
  <si>
    <t>New Space Station Cargo Ship Flies a Fast Track to Deliver Supplies</t>
  </si>
  <si>
    <t>Just six hours after its launch from the Baikonur Cosmodrome in Kazakhstan, the unpiloted ISS Progress 54 cargo craft docked to the International Space Station Feb. 5 to deliver almost three tons of food, fuel, supplies and experiment hardware for the Expedition 38 crew. The new Progress lifted off on time from Baikonur at 11:23 a.m. EST (10:23 p.m. Baikonur time), reaching its preliminary orbit less than nine minutes later. A series of carefully choreographed engine firings enabled the resupply vehicle to reach the station just four orbits, or six hours later, as it linked up to the Pirs Docking Compartment. The Pirs port was vacated on Feb. 3 with the undocking of the old ISS Progress 52 cargo ship that will be deorbited on Feb. 11 to burn up in the Earth's atmosphere.</t>
  </si>
  <si>
    <t>o1ict2T43Kw</t>
  </si>
  <si>
    <t>https://youtu.be/I7yLavo8vWk</t>
  </si>
  <si>
    <t>New Space Station Cargo Ship Launches from Kazakhstan</t>
  </si>
  <si>
    <t>The unpiloted ISS Progress 54 cargo craft launched from the Baikonur Cosmodrome in Kazakhstan on Feb. 5, bound for the International Space Station to deliver almost three tons of food, fuel, supplies and experiment hardware for the Expedition 38 crew. The new Progress lifted off on time from Baikonur at 11:23 a.m. EST (10:23 p.m. Baikonur time), reaching its preliminary orbit less than nine minutes later. A series of carefully choreographed engine firings were planned to enable the resupply vehicle to reach the station just four orbits, or six hours later for a linkup to the Pirs Docking Compartment. The Pirs port was vacated on Feb. 3 with the undocking of the old ISS Progress 52 cargo ship that will be deorbited on Feb. 11 to burn up in the Earth's atmosphere.</t>
  </si>
  <si>
    <t>I7yLavo8vWk</t>
  </si>
  <si>
    <t>2014 02 04</t>
  </si>
  <si>
    <t>https://youtu.be/bDpeOnxstyI</t>
  </si>
  <si>
    <t>Space Station Astronaut talks with his Alma Mater</t>
  </si>
  <si>
    <t>Aboard the International Space Station, Expedition 38 Flight Engineer Koichi Wakata of the Japan Aerospace Exploration Agency relived old memories with students and instructors from his alma mater, Kyushu University in Japan and officials from the Fukuoka Prefecture during an in-flight event Feb. 4. Wakata received a doctorate degree in aeronautical engineering from Kyushu in 2004. The veteran astronaut, who arrived at the station in early November, will become the first Japanese commander of the complex in March for two months during the Expedition 39 increment. Wakata is scheduled to return to Earth in mid-May on a Russian Soyuz spacecraft.</t>
  </si>
  <si>
    <t>bDpeOnxstyI</t>
  </si>
  <si>
    <t>2014 02 03</t>
  </si>
  <si>
    <t>https://youtu.be/7ZYKsNs8KvY</t>
  </si>
  <si>
    <t>Russian Cargo Ship Leaves Space Station, Another on the Way</t>
  </si>
  <si>
    <t>The Russian ISS Progress 52 cargo craft that arrived at the International Space Station last July undocked Feb. 3 from the Pirs Docking Compartment to clear the port for the arrival of a new Progress resupply vehicle on Feb. 5. Loaded with trash, the unpiloted Progress undocked from Pirs at 11:21 a.m. EST and moved to a safe distance away from the station for several days of tests by Russian flight controllers on the effects of the extremes of heat and cold on the spacecraft. The Progress will be deorbited on Feb. 11 to burn up in Earth's atmosphere over the Pacific Ocean.</t>
  </si>
  <si>
    <t>7ZYKsNs8KvY</t>
  </si>
  <si>
    <t>https://youtu.be/k6ve3E7O1Dk</t>
  </si>
  <si>
    <t>NASA Highlights James Webb Space Telescope Progress</t>
  </si>
  <si>
    <t>NASA Administrator Charles Bolden and Senator Barbara Mikulski of Maryland participated in a news conference Feb. 3 at NASA's Goddard Space Flight Center in Greenbelt, Md., to discuss the status of the agency's flagship science project, the James Webb Space Telescope (JWST). Bolden and Mikulski congratulated the JWST team for the integration at Goddard of all the telescope's flight instruments and primary mirrors.
The most powerful space telescope ever built, Webb will be the premiere observatory of the next decade, serving thousands of astronomers worldwide. It will study every phase in the history of our universe, including the first luminous glows after the big bang, the formation of solar systems capable of supporting life on planets similar to Earth, and the evolution of our own solar system.</t>
  </si>
  <si>
    <t>k6ve3E7O1Dk</t>
  </si>
  <si>
    <t>2014 01 31</t>
  </si>
  <si>
    <t>https://youtu.be/3qxIg88qx_Y</t>
  </si>
  <si>
    <t>Astronaut Class in DC on This Week @NASA</t>
  </si>
  <si>
    <t>NASA's newest astronaut class was in Washington, DC recently, discussing the future of human exploration and STEM education at the annual White House State of Science, Technology, Engineering, and Math address hosted by Presidential Science Advisor John Holdren. The astronaut candidates shared advice and insight with some students at that event and with more students at a Smithsonian National Air and Space Museum event that included a live conversation with the International Space Station crew. Also, Russian spacewalk, SLS sound test, LADEE mission extended, GPM briefing, and Day of Remembrance.</t>
  </si>
  <si>
    <t>3qxIg88qx_Y</t>
  </si>
  <si>
    <t>https://youtu.be/7ZeHTkNjIxk</t>
  </si>
  <si>
    <t>2014 NASA African-American History Month Profile  Bill Allen, JPL</t>
  </si>
  <si>
    <t>William C. Allen Jr. is a Senior Mechanical Design Engineer at NASA's Jet Propulsion Laboratory in Pasadena, California. Allen, who has worked at JPL for thirty years, served as the Mechanical Systems Design Lead for the Mars Science Laboratory (MSL) and the Mars Exploration Rover (MER) programs. He and his colleagues are currently working on NASA's next Mars rover.</t>
  </si>
  <si>
    <t>7ZeHTkNjIxk</t>
  </si>
  <si>
    <t>https://youtu.be/GXv91UY4qJc</t>
  </si>
  <si>
    <t>Space Station Crewmember Discusses Life in Space with the Media</t>
  </si>
  <si>
    <t>Aboard the International Space Station, Expedition 38 Flight Engineer Rick Mastracchio of NASA discussed life and research aboard the orbital laboratory with the internet-based space website Space.com during an in-flight conversation on Jan. 31. Mastracchio, who arrived at the station in November, will remain aboard the outpost until he returns to Earth in a Soyuz spacecraft in mid-May.</t>
  </si>
  <si>
    <t>GXv91UY4qJc</t>
  </si>
  <si>
    <t>2014 01 30</t>
  </si>
  <si>
    <t>https://youtu.be/VcIl_XZxPPk</t>
  </si>
  <si>
    <t>Space Station Crew Discusses Life in Space with Astronaut Candidates, Students at Smithsonian</t>
  </si>
  <si>
    <t>Aboard the International Space Station, Expedition 38 Flight Engineers Mike Hopkins and Rick Mastracchio of NASA fielded questions about life and research aboard the orbital laboratory with former astronaut Leland Melvin, members of the 2013 Astronaut Candidate class and students from the Washington, D.C. area at the Smithsonian National Air and Space Museum during an in-flight conversation Jan. 30. Hopkins, who arrived at the station back in September, is scheduled to return to Earth in his Soyuz spacecraft in mid-March, while Mastracchio, who entered the station in November, will remain aboard the outpost until he returns to Earth in another Soyuz craft in mid-May.</t>
  </si>
  <si>
    <t>VcIl_XZxPPk</t>
  </si>
  <si>
    <t>https://youtu.be/7-iCm9S53Jo</t>
  </si>
  <si>
    <t>2013 Astronaut Class Talks STEM at Smithsonian Air and Space Museum</t>
  </si>
  <si>
    <t>NASA's 2013 astronaut candidate class joined Washington-area students and the public on Jan. 30 for an educational event at the Smithsonian's National Air and Space Museum in Washington.
The eight astronaut candidates talked with about the value of education in science, technology, engineering and mathematics (STEM). During the program, attending students also had the opportunity to interact live with NASA astronauts Mike Hopkins and Rick Mastracchio, who currently are aboard the International Space Station.
NASA's 2013 astronaut candidates are: Josh A. Cassada and Victor J. Glover, lieutenant commanders in the U.S. Navy; Tyler N. "Nick" Hague, a lieutenant colonel in the U.S. Air Force; Christina M. Hammock, who holds a Master of Science in electrical engineering; Nicole Aunapu Mann, a major in the U.S. Marine Corps; Anne C. McClain a major in the U.S. Army; Jessica U. Meir, who holds a Ph.D. in marine biology and Andrew R. Morgan a lieutenant colonel in the U.S. Army.
The candidate are in a two-year training process, which includes technical activities at space centers and remote locations around the globe. The training is designed to prepare them for missions that will help the agency push the boundaries of exploration and travel to new destinations in the solar system, including an asteroid and Mars.</t>
  </si>
  <si>
    <t>7-iCm9S53Jo</t>
  </si>
  <si>
    <t>2014 01 29</t>
  </si>
  <si>
    <t>https://youtu.be/txveqTAtmN8</t>
  </si>
  <si>
    <t>NASA's 2013 Astronaut Class Attends White House STEM Event</t>
  </si>
  <si>
    <t>NASA's 2013 astronaut candidate class joined the Director of the White House Office of Science and Technology Policy, John P. Holdren, and more than 100 students from Washington area schools for the annual White House State of Science, Technology, Engineering, and Math (SoSTEM) address on Jan. 29.
This event celebrates President Obama's commitment to lifting America's game in STEM education as articulated in past State of the Union addresses and was held the day after this year's address. Included in the event was a panel moderated by NASA astronaut Joe Acaba and a video from the crew aboard the International Space Station.
NASA's 2013 astronaut candidates are: Josh A. Cassada and Victor J. Glover, lieutenant commanders in the U.S. Navy; Tyler N. "Nick" Hague, a lieutenant colonel in the U.S. Air Force; Christina M. Hammock, who holds a Master of Science in electrical engineering; Nicole Aunapu Mann, a major in the U.S. Marine Corps; Anne C. McClain a major in the U.S. Army; Jessica U. Meir, who holds a Ph.D. in marine biology and Andrew R. Morgan a lieutenant colonel in the U.S. Army.
The candidate are in a two-year training process, which includes technical activities at space centers and remote locations around the globe. The training is designed to prepare them for missions that will help the agency push the boundaries of exploration and travel to new destinations in the solar system, including an asteroid and Mars.</t>
  </si>
  <si>
    <t>txveqTAtmN8</t>
  </si>
  <si>
    <t>2014 01 27</t>
  </si>
  <si>
    <t>https://youtu.be/zcT3rhGOjU0</t>
  </si>
  <si>
    <t>GPM Science Briefing</t>
  </si>
  <si>
    <t>The Global Precipitation Measurement (GPM) is an international satellite mission that will set a new standard for precipitation measurements from space, providing the next-generation observations of rain and snow worldwide every three hours. The GPM mission data will advance our  understanding of the water and energy cycles and extend the use of precipitation data to directly benefit society.  The GPM Core Observatory will fly 253 miles (407 kilometers) above Earth in an orbit inclined 65-degrees to the equator. This orbit allows the Core Observatory to observe precipitation from the Arctic Circle to the Antarctic Circle at different times of day so it is able to observe changing storm and weather systems that behave differently during day and night. Normal operations will begin about 60 days after launch.  Data will be downlinked through NASA's Tracking and Data Relay Satellite System to the agency's Goddard Space Flight Center's Precipitation Processing Center in Greenbelt, Md., where it will be processed and distributed over the Internet. The GPM Core Observatory, built by NASA Goddard, will launch on an H-IIA rocket provided by JAXA. Mitsubishi Heavy Industries Ltd. is managing the launch.  Speaking at the event were:
Ramesh Kakar, GPM program scientist, Headquarters (NASA)
Gail Skofronick-Jackson, GPM project scientist, Goddard (NASA)
Riko Oki, GPM project scientist, JAXA</t>
  </si>
  <si>
    <t>zcT3rhGOjU0</t>
  </si>
  <si>
    <t>https://youtu.be/hiTyKTHt4GY</t>
  </si>
  <si>
    <t>GPM Mission Briefing</t>
  </si>
  <si>
    <t>The Global Precipitation Measurement (GPM) is an international satellite mission that will set a new standard for precipitation measurements from space, providing the next-generation observations of rain and snow worldwide every three hours. The GPM mission data will advance our understanding of the water and energy cycles and extend the use of precipitation data to directly benefit society.  The GPM Core Observatory will fly 253 miles (407 kilometers) above Earth in an orbit inclined 65-degrees to the equator. This orbit allows the Core Observatory to observe precipitation from the Arctic Circle to the Antarctic Circle at different times of day so it is able to observe changing storm and weather systems that behave differently during day and night. Normal operations will begin about 60 days after launch.  Data will be downlinked through NASA's Tracking and Data Relay Satellite System to the agency's Goddard Space Flight Center's Precipitation Processing Center in Greenbelt, Md., where it will be processed and distributed over the Internet. The GPM Core Observatory, built by NASA Goddard, will launch on an H-IIA rocket provided by JAXA. Mitsubishi Heavy Industries Ltd. is managing the launch.  Speaking at the event were:
Steven Neeck, deputy associate director, flight program, Earth Science, NASA Headquarters, Washington
Kinji Furukawa, deputy project manager JAXA GPM/DPR project
Art Azarbarzin, GPM project manager, Goddard (NASA)</t>
  </si>
  <si>
    <t>hiTyKTHt4GY</t>
  </si>
  <si>
    <t>https://youtu.be/MvjloNdraDc</t>
  </si>
  <si>
    <t>ISS Expedition 38 Russian Cosmonauts Install Cameras on EVA</t>
  </si>
  <si>
    <t>Outside the International Space Station, Expedition 38 Commander Oleg Kotov and Flight Engineer Sergey Ryazanskiy conducted a spacewalk Jan. 27 to reinstall a pair of cameras designed to downlink views of the Earth for internet-based subscribers as part of a commercial agreement between a Canadian firm and the Russian Federal Space Agency. An initial attempt to install and activate the cameras during a previous spacewalk Dec. 27 was unsuccessful, but the second time proved to be the charm as data was finally received at the Russian Mission Control Center following the reinstallation of the cameras. The spacewalk was the sixth in Kotov's career and the third for Ryazanskiy.</t>
  </si>
  <si>
    <t>MvjloNdraDc</t>
  </si>
  <si>
    <t>2014 01 24</t>
  </si>
  <si>
    <t>https://youtu.be/r8T00NbNqTs</t>
  </si>
  <si>
    <t>TDRS-L launch on This Week @NASA</t>
  </si>
  <si>
    <t>NASA's TDRS-L satellite launched aboard a United Launch Alliance Atlas rocket January 23, from Cape Canaveral Air Force Station in Florida. TDRS-L, the second of three next-generation Tracking and Data Relay Satellites, provides tracking, telemetry; command and data return services for NASA science and human exploration missions. Also, KSC transformation continues, Center renamed for Armstrong, Next space station crew, SLS Thrust Frame Adapter, Orion chute test, 5 Earth Science missions for 2014 and more!</t>
  </si>
  <si>
    <t>r8T00NbNqTs</t>
  </si>
  <si>
    <t>https://youtu.be/KQNe6NoFYp4</t>
  </si>
  <si>
    <t>Media gets prelaunch status of NASA next Tracking and Data Relay Satellite</t>
  </si>
  <si>
    <t>During a briefing at NASA's Kennedy Space Center the prelaunch status was discussed of the agency's Tracking and Data Relay Satellite L (TDRS-L), scheduled to launch January 23 from Cape Canaveral Air Force Station.
The TDRS-L spacecraft is the second of three new satellites designed to ensure vital operational continuity for NASA by expanding the lifespan of the Tracking and Data Relay Satellite System (TDRSS) fleet, which consists of eight satellites in geosynchronous orbit. The spacecraft provide tracking, telemetry, command and high bandwidth data return services for numerous science and human exploration missions orbiting Earth.</t>
  </si>
  <si>
    <t>KQNe6NoFYp4</t>
  </si>
  <si>
    <t>https://youtu.be/KJ0uE5ozt0U</t>
  </si>
  <si>
    <t>Next ISS Crew Meets the Media</t>
  </si>
  <si>
    <t>The next International Space Station crew met the media during a news conference televised January 22 on NASA TV. Expedition 39/40 -- NASA astronaut Steve Swanson and Russian and cosmonauts Alexander Skvortsov and Oleg Artemyev are scheduled for launch March 25 from the Baikonur Cosmodrome in Kazakhstan. The crew will be the first to share their final weeks of mission preparations and their flight experiences on Instagram.</t>
  </si>
  <si>
    <t>KJ0uE5ozt0U</t>
  </si>
  <si>
    <t>https://youtu.be/8JpxTZrog64</t>
  </si>
  <si>
    <t>Next Generation Satellite Launches</t>
  </si>
  <si>
    <t>The United Launch Alliance Atlas V rocket with NASA's TDRS-L satellite on board launched from Cape Canaveral Air Force Station, Fla., on Jan. 23. Once operational in orbit 22,300 miles above Earth, TDRS-L will work with NASA's Tracking and Data Relay Satellite System constellation to provide vital communications between ground stations and spacecraft including the International Space Station, NASA's Hubble Space Telescope and the agency's fleet of scientific observatories orbiting Earth.</t>
  </si>
  <si>
    <t>8JpxTZrog64</t>
  </si>
  <si>
    <t>2014 01 23</t>
  </si>
  <si>
    <t>https://youtu.be/mHeL2Ng1WYM</t>
  </si>
  <si>
    <t>NASA Multiuser Spaceport Update Update</t>
  </si>
  <si>
    <t>mHeL2Ng1WYM</t>
  </si>
  <si>
    <t>https://youtu.be/CpS919WF--8</t>
  </si>
  <si>
    <t>NASA Event Reflects on Accomplishments of Mars Rover</t>
  </si>
  <si>
    <t>NASA will reflected on the work of Mars rover Opportunity during a news conference on Jan. 23.
Opportunity landed on the Red Planet Jan. 24, 2004, three weeks behind a twin rover named Spirit. Both rovers made important discoveries about wet environments that could have supported microbial life on ancient Mars. Spirit stopped communicating with Earth in 2010, but Opportunity is continuing to provide scientific results, and currently is investigating the rim of a crater 14 miles (22 kilometers) wide.</t>
  </si>
  <si>
    <t>CpS919WF--8</t>
  </si>
  <si>
    <t>https://youtu.be/DeazFK2ayzA</t>
  </si>
  <si>
    <t>Station astronauts talk long distance with Texas students</t>
  </si>
  <si>
    <t>Aboard the International Space Station, Expedition 38 Flight Engineers Michael Hopkins and Rick Mastracchio of NASA discussed their mission and research aboard the orbital laboratory with students at the Alamo Heights High School in San Antonio, Texas during an in-flight educational event on Jan. 23. Participating in the discussion was Rep. Lamar Smith (R-Texas), who is the chairman of the House Science, Space and Technology Committee, and whose district includes portions of San Antonio, Austin and the Texas hill country.</t>
  </si>
  <si>
    <t>DeazFK2ayzA</t>
  </si>
  <si>
    <t>2014 01 22</t>
  </si>
  <si>
    <t>https://youtu.be/DBjU8ZiuqCc</t>
  </si>
  <si>
    <t>NASA Set for a Big Year in Earth Science</t>
  </si>
  <si>
    <t>For the first time in more than a decade, five NASA Earth science missions will be launched into space in the same year, opening new and improved remote eyes to monitor our changing planet. The five launches, including two to the International Space Station, are part of a very busy year for NASA Earth science researchers, who also will conduct airborne campaigns to the poles and hurricanes, develop advanced sensor technologies, and use satellite data and analytical tools to improve natural hazard and climate change preparedness.
For more information about NASA's Earth science activities in 2014, visit:
http://www.nasa.gov/earthrightnow</t>
  </si>
  <si>
    <t>DBjU8ZiuqCc</t>
  </si>
  <si>
    <t>2014 01 21</t>
  </si>
  <si>
    <t>https://youtu.be/qzN7cyKRNDc</t>
  </si>
  <si>
    <t>Space Station Crewmember Discusses Space Medicine with Japanese Students</t>
  </si>
  <si>
    <t>Aboard the International Space Station, Expedition 38 Flight Engineer Koichi Wakata of the Japan Aerospace Exploration Agency discussed the maintenance of crewmembers' health in orbit and space medicine with students from various Japanese schools during an in-flight event on Jan. 21. Wakata, who has been aboard the complex since early November, will become the first Japanese commander of the station in March for the final two months of his six-month mission on the orbital laboratory.</t>
  </si>
  <si>
    <t>qzN7cyKRNDc</t>
  </si>
  <si>
    <t>2014 01 17</t>
  </si>
  <si>
    <t>https://youtu.be/zzNleViGirY</t>
  </si>
  <si>
    <t>Cygnus arrives at ISS on This Week @NASA</t>
  </si>
  <si>
    <t>Orbital Sciences' Cygnus spacecraft has made the company's first contracted resupply flight to the International Space Station -- delivering more than twenty-seven hundred pounds of cargo -- including dozens of new science experiments. Orbital Sciences becomes NASA's second commercial ISS resupply partner. Also, Bolden visits Michoud, SLS sees first light, Propulsion technology tour, TDRS-L Update and Remembering MLK.</t>
  </si>
  <si>
    <t>zzNleViGirY</t>
  </si>
  <si>
    <t>https://youtu.be/Ki72_p17EnA</t>
  </si>
  <si>
    <t>NASA Crew Members on the International Space Station Discuss Life in Space with the Media</t>
  </si>
  <si>
    <t>Aboard the International Space Station, Expedition 38 Flight Engineers Michael Hopkins and Rick Mastracchio of NASA fielded questions from the Houston Chronicle and Sirius XM Radio about life and research on the orbital laboratory during a pair of in-flight interviews Jan. 16. Hopkins, who has been aboard the station since September, is scheduled to return to Earth in a Russian Soyuz spacecraft in mid-March, while Mastracchio, who has been in orbit on the complex since November, will return home two months later in a separate Soyuz vehicle.</t>
  </si>
  <si>
    <t>Ki72_p17EnA</t>
  </si>
  <si>
    <t>2014 01 14</t>
  </si>
  <si>
    <t>https://youtu.be/YdNYQfc6A28</t>
  </si>
  <si>
    <t>Aboard the International Space Station, Expedition 38 Flight Engineer Koichi Wakata of the Japan Aerospace Exploration Agency (JAXA) conducted a question 
and answer session during an in-flight event Jan. 14 with students belonging to the agency's Young Astronaut Club who gathered at the Japanese flight control center in Tsukuba, Japan. Wakata, who has been aboard the station since early November, will become the first Japanese commander of the station in March. He is scheduled to return to Earth aboard a Russian Soyuz spacecraft in May.</t>
  </si>
  <si>
    <t>YdNYQfc6A28</t>
  </si>
  <si>
    <t>2014 01 13</t>
  </si>
  <si>
    <t>https://youtu.be/PumF6V7GesY</t>
  </si>
  <si>
    <t>NASA Administrator Bolden Calls Orbital Sciences and ISS Crew on Success of Cygnus Arrival</t>
  </si>
  <si>
    <t>NASA Administrator Charles Bolden, speaking from NASA's Michoud Assembly Facility in New Orleans on Monday, Jan. 13, congratulated teams from NASA, Orbital Sciences Corp. and the Expedition 38 crew members aboard the International Space Station on the successful Orbital-1 cargo resupply mission, which arrived at the space station Sunday. Astronauts aboard the space station used a robotic arm to capture and attach Orbital's Cygnus supply spacecraft, which carried 2,780 pounds of supplies to the orbiting laboratory, including dozens of new science experiments from across the country and around the world. The arrival capped the first successful contracted cargo delivery by Orbital Sciences for NASA. Participating in the event were NASA's Mission Control Center at the Johnson Space Center in Houston, Orbital Science's Mission Control Center in Dulles, Va., and astronauts Michael Hopkins and Rick Mastracchio of NASA and Koichi Wakata of the Japan Aerospace Exploration Agency aboard the International Space Station.</t>
  </si>
  <si>
    <t>PumF6V7GesY</t>
  </si>
  <si>
    <t>2014 01 12</t>
  </si>
  <si>
    <t>https://youtu.be/4zSxDgu9Uv0</t>
  </si>
  <si>
    <t>Cygnus Berthed to ISS</t>
  </si>
  <si>
    <t>A few hours after it was grappled by the crew onboard the International Space Station with the Canadarm2 robotic arm, Orbital Sciences' Cygnus cargo craft was installed on the Earth-facing port of the Harmony module, where it will remain for more than a month while the crew transfers the 1.5 tons of provisions and experiments delivered to the station by Cygnus.</t>
  </si>
  <si>
    <t>4zSxDgu9Uv0</t>
  </si>
  <si>
    <t>https://youtu.be/jMCvyN_hSv4</t>
  </si>
  <si>
    <t>Cygnus Arrives at ISS</t>
  </si>
  <si>
    <t>Following its launch aboard an Antares rocket from Pad 0A at NASA's Wallops Flight Facility, Orbital Sciences Corporation's Cygnus spacecraft arrived at the International Space Station and was captured by the crew onboard with the Canadarm2 robotic arm. On its maiden resupply mission, Cygnus is delivering 1.5 tons of provisions and experiments to the Expedition 38 crew living aboard the orbital laboratory. Cygnus is scheduled to be installed on the Earth-facing port of the Harmony module, where it will remain for more than a month.</t>
  </si>
  <si>
    <t>jMCvyN_hSv4</t>
  </si>
  <si>
    <t>2014 01 10</t>
  </si>
  <si>
    <t>https://youtu.be/pbbUwqX0Aus</t>
  </si>
  <si>
    <t>ISS Extended to 2024 on This Week @NASA</t>
  </si>
  <si>
    <t>NASA Administrator Charlie Bolden and White House Science Advisor John Holdren, announced that the Obama administration is extending usage of the International Space Station to at least the year 2024. In his blog, Bolden noted that NASA is hopeful and optimistic that our ISS partners will join this extension effort and enable continuation of the groundbreaking research being conducted on the unique orbiting laboratory. Also, International Space Exploration Forum, Cygnus' resupply flight, Super Bowl of Astronomy, 10 years roving Mars, TDRS-L Update and more!</t>
  </si>
  <si>
    <t>pbbUwqX0Aus</t>
  </si>
  <si>
    <t>2014 01 09</t>
  </si>
  <si>
    <t>https://youtu.be/m7yjUYy8pws</t>
  </si>
  <si>
    <t>NASA Television Airs Post Launch Status Briefing for Resupply Mission to Space Station</t>
  </si>
  <si>
    <t>NASA TV aired a post-launch news briefings from Wallops Flight Facility to update the status of Orbital Sciences' Cygnus spacecraft and Orbital's mission to resupply the International Space Station . Cygnus is carrying 2,780 pounds of supplies to the space station, including vital science experiments that will expand the research capabilities of the Expedition 38 crew members aboard the orbiting laboratory. Upon its arrival at the station, Cygnus will be captured with the station's Canadarm2 robotic arm and berthed to the Earth-facing port of the Harmony module, where it will remain for more than a month.</t>
  </si>
  <si>
    <t>m7yjUYy8pws</t>
  </si>
  <si>
    <t>https://youtu.be/_ksLbFhO-jc</t>
  </si>
  <si>
    <t>U.S. Cargo Ship Launches to ISS on First Resupply Mission</t>
  </si>
  <si>
    <t>Orbital Sciences Corporation's Antares rocket launched from Pad 0A at the Wallops Flight Facility, Va. to send the company's Cygnus cargo ship on a its first supply mission to the International Space Station. Cygnus is delivering 1.5 tons of provisions and experiments to the Expedition 38 crewmembers living on the ISS. Upon its arrival at the station, Cygnus will be captured with the station's Canadarm2 robotic arm and berthed to the Earth-facing port of the Harmony module, where it will remain for more than a month.</t>
  </si>
  <si>
    <t>_ksLbFhO-jc</t>
  </si>
  <si>
    <t>https://youtu.be/GVkJWSHGlAg</t>
  </si>
  <si>
    <t>Obama Administration Extends International Space Station Until at Least 2024</t>
  </si>
  <si>
    <t>During the International Space Exploration Forum (ISEF) January 9 at the U.S. State Department in Washington DC, White House Science and Technology Director John Holdren discussed the announcement by the Obama Administration that it has approved an extension of the International Space Station  http://www.nasa.gov/station (ISS) until at least 2024. NASA and the White House are hopeful and optimistic that other International Space Station partners will join this extension effort and enable the continuation of groundbreaking research in this unique orbiting laboratory. The ISEF included 30 heads of space agencies from around the world, including NASA Administrator Charles Bolden.</t>
  </si>
  <si>
    <t>GVkJWSHGlAg</t>
  </si>
  <si>
    <t>2014 01 08</t>
  </si>
  <si>
    <t>https://youtu.be/yrjhGxU8W5Y</t>
  </si>
  <si>
    <t>NASA Television Airs Pre Launch Status Briefing for Resupply Mission to Space Station</t>
  </si>
  <si>
    <t>NASA TV aired a pre-launch news briefings from Wallops Flight Facility to update the status of Orbital Sciences' Cygnus spacecraft and Orbital's mission to resupply the International Space Station . Cygnus will carry 2,780 pounds of supplies to the space station, including vital science experiments that will expand the research capabilities of the Expedition 38 crew members aboard the orbiting laboratory. The launch of Cygnus atop an Antares rocket from Pad 0A at Wallops Flight Facility, is currently scheduled for Jan. 8 at 1:32 p.m. EST. NASA TV will carry the launch live.</t>
  </si>
  <si>
    <t>yrjhGxU8W5Y</t>
  </si>
  <si>
    <t>2014 01 07</t>
  </si>
  <si>
    <t>https://youtu.be/js-AfIbeuW4</t>
  </si>
  <si>
    <t>NASA Television Briefing Previews Science Cargo Being Launched to Space Station</t>
  </si>
  <si>
    <t>NASA TV aired a news briefings from Wallops Flight Facility to preview the science cargo that Orbital Sciences' Cygnus spacecraft is scheduled to transport on its mission to resupply the International Space Station . Cygnus will carry 2,780 pounds of supplies to the space station, including vital science experiments that will expand the research capabilities of the Expedition 38 crew members aboard the orbiting laboratory. The launch of Cygnus atop an Antares rocket from Pad 0A at Wallops Flight Facility, is currently scheduled for Jan. 8 at 1:32 p.m. EST. NASA TV will carry the launch live.</t>
  </si>
  <si>
    <t>js-AfIbeuW4</t>
  </si>
  <si>
    <t>https://youtu.be/IMl7Q0KHcQ4</t>
  </si>
  <si>
    <t>NASA and Smithsonian Host 10 Year Anniversary Events for Mars Rovers</t>
  </si>
  <si>
    <t>NASA and the Smithsonian's National Air and Space Museum Media held public events at the museum to commemorate 10 years of roving across Mars. Activities highlighted the images and achievements of Mars Exploration Rovers Spirit and Opportunity and how Mars robotic exploration and discovery will aid plans for a future human mission to Mars. NASA landed the rovers on Mars in January 2004 and both completed three-month prime missions in April 2004. Although Spirit stopped communicating with Earth in March 2010, Opportunity continues to explore. The rovers have made important discoveries about wet environments on ancient Mars that may have been favorable for supporting microbial life.</t>
  </si>
  <si>
    <t>IMl7Q0KHcQ4</t>
  </si>
  <si>
    <t>https://youtu.be/BQTKORP84MM</t>
  </si>
  <si>
    <t>Space Station Crew Discusses Life in Space with Virginia Students</t>
  </si>
  <si>
    <t>Aboard the International Space Station, Expedition 38 Flight Engineers Rick Mastracchio and Mike Hopkins of NASA discussed life in orbit and the research work they are conducting aboard the orbital laboratory during an in-flight educational event with students at the Denbigh (pron: DEN'bee) High School and Aviation Academy in Newport News, Va. Jan. 7. Hopkins launched to the station in a Russian Soyuz vehicle in late September and will return to Earth in late March. Mastracchio launched on a Soyuz Nov. 7 and will remain in orbit until his return to Earth in mid-May.</t>
  </si>
  <si>
    <t>BQTKORP84MM</t>
  </si>
  <si>
    <t>https://youtu.be/bjCo9fAVVCE</t>
  </si>
  <si>
    <t>Bolden Mars Rover Anniversary Message</t>
  </si>
  <si>
    <t>NASA Administrator Charles Bolden discusses the 10th anniversary of the Mars rovers Spirit and Opportunity and the agency's upcoming plans for Mars.</t>
  </si>
  <si>
    <t>bjCo9fAVVCE</t>
  </si>
  <si>
    <t>2014 01 06</t>
  </si>
  <si>
    <t>https://youtu.be/Ir8HLCGc2X8</t>
  </si>
  <si>
    <t>Space Station Crew Discusses Life in Space With NBC News</t>
  </si>
  <si>
    <t>Aboard the International Space Station, Expedition 38 Flight Engineers Mike Hopkins and Rick Mastracchio of NASA discussed their recent spacewalks in December to replace a cooling pump, their thoughts on being in orbit over the holidays and their research and exercise regimes with NBC Nightly News anchor Brian Williams during an in-flight interview Jan. 6. Hopkins and Mastracchio are gearing up for the arrival of the Orbital Sciences Corporation's Cygnus cargo ship that will deliver 1.5 tons of provisions and experiments to the station crewmembers in its first commercial resupply mission.</t>
  </si>
  <si>
    <t>Ir8HLCGc2X8</t>
  </si>
  <si>
    <t>2014 01 02</t>
  </si>
  <si>
    <t>https://youtu.be/x4s4X15qIUQ</t>
  </si>
  <si>
    <t>Happy New Year 2014</t>
  </si>
  <si>
    <t>The Year in Review</t>
  </si>
  <si>
    <t>x4s4X15qIUQ</t>
  </si>
  <si>
    <t>2014 01 01</t>
  </si>
  <si>
    <t>https://youtu.be/JkbT6hBhWKE</t>
  </si>
  <si>
    <t>NASA Sends Out of This World New Year's Greeting in Times Square</t>
  </si>
  <si>
    <t>A New Year's video greeting from Expedition 36 flight engineer Karen Nyberg, who returned from the International Space Station in November, and from three of the astronauts currently on board the space station: NASA's Rick Mastracchio and Mike Hopkins, and Koichi Wakata of the Japan Aerospace Exploration Agency.</t>
  </si>
  <si>
    <t>JkbT6hBhWKE</t>
  </si>
  <si>
    <t>2013 12 27</t>
  </si>
  <si>
    <t>https://youtu.be/ieb_i7WjH9A</t>
  </si>
  <si>
    <t>ISS Russian Spacewalkers Run Into Snag With Camera Installation</t>
  </si>
  <si>
    <t>Two Russian cosmonauts in Orlan spacesuits wrapped up a 8-hour, 7-minute spacewalk to attempt the installation of photographic equipment on the exterior of the International Space Station at 4:07 p.m. EST Friday.  
Commander Oleg Kotov and Flight Engineer Sergey Ryazanskiy promptly completed the main objective of Friday's spacewalk - the installation of a pair of high-fidelity cameras as part of a Canadian commercial endeavor designed to downlink Earth observation imagery -- but had to remove them later due to an unspecified problem that prevented telemetry from being received on the ground by Russian flight controllers.
Because of the issue in activating the cameras, Kotov and Ryazanskiy did not have time to complete the all of their planned tasks, which included the jettisoning of a frame that once held three Micro-Particles Capturer and Space Environment Exposure Device (MPAC &amp; SEED) units for a Japanese space exposure study and the installation of a payload boom.
Friday's spacewalk eclipsed the record for the longest Russian spacewalk set by Expedition 36 Flight Engineers Fyodor Yurchikhin and Alexander Misurkin, who conducted a 7-hour, 29 minute excursion on Aug. 16.</t>
  </si>
  <si>
    <t>ieb_i7WjH9A</t>
  </si>
  <si>
    <t>2013 12 24</t>
  </si>
  <si>
    <t>https://youtu.be/lRGSG6qaLqk</t>
  </si>
  <si>
    <t>From Earth to Deep Space  NASA 2013 Highlights</t>
  </si>
  <si>
    <t>NASA highlights its accomplishments in air and space for 2013.</t>
  </si>
  <si>
    <t>lRGSG6qaLqk</t>
  </si>
  <si>
    <t>https://youtu.be/rOrzKtEW0xg</t>
  </si>
  <si>
    <t>NASA Conducts Second Spacewalk to Fix Coolant Pump on ISS</t>
  </si>
  <si>
    <t>Expedition 38 astronauts Rick Mastracchio and Mike Hopkins ventured outside the space station on Dec. 24, for the second in a series of spacewalks to remove and replace a faulty coolant pump module. The pump is associated with one of the station's two external cooling loops, which circulate ammonia outside the station to keep both internal and external equipment cool.
The previously planned mission of Orbital Sciences' Cygnus spacecraft has been moved to no earlier than mid-January. The postponement will allow ample time for the station crew to focus on repairing the pump module, which stopped working properly on Dec. 11.</t>
  </si>
  <si>
    <t>rOrzKtEW0xg</t>
  </si>
  <si>
    <t>https://youtu.be/BiRJBLT44-o</t>
  </si>
  <si>
    <t>12 Days of Astronaut Fitness</t>
  </si>
  <si>
    <t>During this busy holiday season, even astronauts find a way to squeeze in fitness activities during their busy days while also making them fun! 
The NASA Train Like An Astronaut team created this special holiday-themed video for space and fitness fans everywhere! 
Remember you can "Train Like An Astronaut!" Find astronaut workouts, videos and more at Facebook.com/TrainAstronaut or follow on Twitter @TrainAstronaut</t>
  </si>
  <si>
    <t>BiRJBLT44-o</t>
  </si>
  <si>
    <t>2013 12 23</t>
  </si>
  <si>
    <t>https://youtu.be/GYfwY1HzQF8</t>
  </si>
  <si>
    <t>Season's Greetings from NASA Television 2013</t>
  </si>
  <si>
    <t>The theme of this year's holiday greeting is "Children's Imagination".
Inspired by Brian Basset's Red and Rover comic strip, this year's NASA Season's Greeting takes us into the imagination of a ten-year-old who loves all things NASA.
When you are home on a snowy day, with your trusty canine companion, and only the contents of your yard, shed, and garage - how can you build all your favorite NASA stuff?
Look carefully, in this piece you will find a beach ball, shutters, shoe box, trashcans, plastic food containers, round snow sled, welding gloves, water cooler bottles, paint can, fishing pole, tuna cans, holiday ribbon, rocks, sports drink bottle, soup can, pet's water dish, barrel, ruler, 2x4, storm windows, ladder, shovel, lattice fencing, recycle bin, and a wagon.
Season's Greetings.</t>
  </si>
  <si>
    <t>GYfwY1HzQF8</t>
  </si>
  <si>
    <t>2013 12 21</t>
  </si>
  <si>
    <t>https://youtu.be/Qx2WDr-lmJc</t>
  </si>
  <si>
    <t>NASA Begins Series of Spacewalks to Fix Coolant Pump on ISS</t>
  </si>
  <si>
    <t>Expedition 38 astronauts Rick Mastracchio and Mike Hopkins ventured outside the space station on Dec. 21, for the first in a series of spacewalks to remove and replace a faulty coolant pump module. The pump is associated with one of the station's two external cooling loops, which circulate ammonia outside the station to keep both internal and external equipment cool.
The previously planned mission of Orbital Sciences' Cygnus spacecraft has been moved to no earlier than mid-January. The postponement will allow ample time for the station crew to focus on repairing the pump module, which stopped working properly on Dec. 11.</t>
  </si>
  <si>
    <t>Qx2WDr-lmJc</t>
  </si>
  <si>
    <t>2013 12 20</t>
  </si>
  <si>
    <t>https://youtu.be/NdpuSuJZ4eg</t>
  </si>
  <si>
    <t>2013 What Happened This Year @NASA</t>
  </si>
  <si>
    <t>In 2013, NASA helped transform access to low Earth orbit ... even as one of our venerable spacecraft reached the boundaries of the solar system ... and we moved ahead on technologies -- that will help us carry out an ambitious asteroid mission we announced ... and, eventually, move on to Mars.
Here's a quick trip back through 2013 for those and some of the other big things that happened This Year at NASA.</t>
  </si>
  <si>
    <t>NdpuSuJZ4eg</t>
  </si>
  <si>
    <t>2013 12 18</t>
  </si>
  <si>
    <t>https://youtu.be/8nmJ-yuUfco</t>
  </si>
  <si>
    <t>NASA Previews Spacewalks to Replace ISS Coolant Pump</t>
  </si>
  <si>
    <t>During NASA Television press briefing from Johnson Space Center, agency managers discussed a series of planned spacewalks, Dec. 21, 23 and 25 by NASA astronauts Rick Mastracchio and Mike Hopkins to replace a faulty coolant pump on the International Space Station.
The pump is associated with one of the station's two external cooling loops, which circulate ammonia outside the station to keep both internal and external equipment cool.
The previously planned Orbital Sciences commercial cargo resupply mission to the International Space Station has been postponed until no earlier than mid-January. The postponement will allow ample time for the station crew to focus on repairing the pump module, which stopped working properly on Dec. 11.</t>
  </si>
  <si>
    <t>8nmJ-yuUfco</t>
  </si>
  <si>
    <t>2013 12 13</t>
  </si>
  <si>
    <t>https://youtu.be/Asurzyiz3GY</t>
  </si>
  <si>
    <t>Science News at AGU Fall meeting on This Week @NASA</t>
  </si>
  <si>
    <t>Over twenty-two thousand Earth and space scientists, educators, students and leaders from around the world connected with each other and NASA at the American Geophysical Union's 46th annual fall meeting in San Francisco. Among the news from the event, NASA's Mars rover Curiosity has determined the age of a rock on Mars, the Mars Reconnaissance Orbiter has detected additional liquid streaking down mountain slopes near the Martian equator and the Cassini space probe has photographed actual seas and lakes on Saturn's moon Titan. Also, New Juno Video, Energy Meeting at NASA Glenn, Morpheus Lander Tests, Too Cold to Breath and Cygnus Prepares for Launch.</t>
  </si>
  <si>
    <t>Asurzyiz3GY</t>
  </si>
  <si>
    <t>https://youtu.be/auiQTn9qZwo</t>
  </si>
  <si>
    <t>Space Station Crewmember Discusses Life in Space with News Media</t>
  </si>
  <si>
    <t>Aboard the International Space Station, Expedition 38 Flight Engineer Rick Mastracchio of NASA discussed the progress of his mission, research aboard the orbital laboratory and his thoughts at the holiday season in a pair of in-flight interviews Dec. 13 with the Associated Press and space.com. Mastracchio arrived at the station in early November and will remain in orbit until mid-May of next year.</t>
  </si>
  <si>
    <t>auiQTn9qZwo</t>
  </si>
  <si>
    <t>2013 12 12</t>
  </si>
  <si>
    <t>https://youtu.be/s76r-LwIqgY</t>
  </si>
  <si>
    <t>High School Students Talk Space with NASA During Special Educational Event</t>
  </si>
  <si>
    <t>Joe Pascucci, ISS Trajectory Operations Officer at NASA's Johnson Space Center, answers questions from 11th and 12th grade students from East Stroudsburg High School in East Stroudsburg, PA.  These students are studying AP Calculus and other forms of math that are used to understand forces of motion and projectile motion.  NASA DLN broadcasts are connecting students around the country with the live mission operations being conducted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</si>
  <si>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s76r-LwIqgY</t>
  </si>
  <si>
    <t>2013 12 06</t>
  </si>
  <si>
    <t>https://youtu.be/hOCEHhGHcvo</t>
  </si>
  <si>
    <t>ISON update on This Week @NASA</t>
  </si>
  <si>
    <t>With a more than ninety percent probability that Comet ISON broke apart from a major heating event on its approach to the sun Thanksgiving Day, the search is on for what's left of it. NASA will use a variety of space and Earth based telescopes to monitor the comet over the next several weeks, before the fate of ISON can be confirmed. Also, Orion's heat shield, Blue Origin milestone, Rover Challenge, Stone awarded medal and Celebrating Centaur.</t>
  </si>
  <si>
    <t>hOCEHhGHcvo</t>
  </si>
  <si>
    <t>2013 12 04</t>
  </si>
  <si>
    <t>https://youtu.be/CB0ylKvVnNw</t>
  </si>
  <si>
    <t>Google+ Hangout with NASA's Cassini Solstice Mission to Saturn</t>
  </si>
  <si>
    <t>NASA hosted a Google+ Hangout to discuss extraordinary new images of Saturn taken by the Cassini spacecraft.  Participants in the hangout learned what's ahead in the next few years of the Cassini mission from panelists Kunio Sayanagi, Cassini imaging team associate, Hampton University, VA., Carolyn Porco, Cassini imaging team lead, Space Science Institute, Boulder, CO., Linda Spilker, Cassini project scientist, NASA's Jet Propulsion Laboratory, Pasadena, CA., and Earl Maize, Cassini program manager, NASA's Jet Propulsion Laboratory, Pasadena, CA.</t>
  </si>
  <si>
    <t>CB0ylKvVnNw</t>
  </si>
  <si>
    <t>2013 12 03</t>
  </si>
  <si>
    <t>https://youtu.be/nl6laW4FqQQ</t>
  </si>
  <si>
    <t>International Space Station Crew Chats About Life in Space with the Media</t>
  </si>
  <si>
    <t>Aboard the International Space Station, Expedition 38 Flight Engineers Michael Hopkins and Rick Mastracchio of NASA and Koichi Wakata of the Japan Aerospace Exploration Agency (JAXA)
fielded questions from the CBS News Radio Network and Columbia Missouri's KOMU-TV,  during a pair of in-flight interviews on Dec. 3.  Hopkins is nearing the mid-way mark of his six-month mission on the orbital outpost while Mastracchio and Wakata are entering their second month in orbit.</t>
  </si>
  <si>
    <t>nl6laW4FqQQ</t>
  </si>
  <si>
    <t>2013 11 29</t>
  </si>
  <si>
    <t>https://youtu.be/U7laeQu99Uo</t>
  </si>
  <si>
    <t>Russian resupply ship makes holiday arrival at space station</t>
  </si>
  <si>
    <t>The unpiloted Russian Progress 53 cargo craft docked to the International Space Station's Zvezda Service Module Nov. 29, delivering almost 3 tons of food, fuel, supplies and holiday gifts to the Expedition 38 crew. The Progress linked up to the aft port of the Zvezda Service Module four days after its launch from the Baikonur Cosmodrome in Kazakhstan. During its transit to the station, the Progress tested upgraded automated rendezvous equipment that will be employed on future Progress and piloted Soyuz spacecraft.</t>
  </si>
  <si>
    <t>U7laeQu99Uo</t>
  </si>
  <si>
    <t>https://youtu.be/Fzxcx_kB_nI</t>
  </si>
  <si>
    <t>ISON and the sun on This Week @NASA</t>
  </si>
  <si>
    <t>On Thanksgiving Day, Comet ISON passed about 685-thousand miles above the surface of the sun -- the comet's closest approach on a projected path around our solar system's star. Data from this close encounter is providing clues about the comet and its interaction with the solar atmosphere -- which can help us understand more about the sun itself. Also, Holiday delivery, Satellite to Japan, 
Chief Scientist's visits, High tech agreement, Bug off and more!</t>
  </si>
  <si>
    <t>Fzxcx_kB_nI</t>
  </si>
  <si>
    <t>https://youtu.be/uKPfcHhvAzI</t>
  </si>
  <si>
    <t>Deflections Demonstrations - Part 1</t>
  </si>
  <si>
    <t>Nov. 21, 2013: "Deflections Demonstrations" session at the Asteroid Initiative Idea Synthesis workshop             - Captured Live on Ustream at http://www.ustream.tv/channel/asteroid-initiative-idea-synthesis---3</t>
  </si>
  <si>
    <t>uKPfcHhvAzI</t>
  </si>
  <si>
    <t>https://youtu.be/vF8dIH2Jg_0</t>
  </si>
  <si>
    <t>Redirection Systems - Part 1</t>
  </si>
  <si>
    <t>Sept. 30, 2013: "Asteroid Redirection Systems" session of the Asteroid Initiative Idea Synthesis workshop            - Captured Live on Ustream at http://www.ustream.tv/channel/asteroid-initiative-idea-synthesis--2</t>
  </si>
  <si>
    <t>vF8dIH2Jg_0</t>
  </si>
  <si>
    <t>https://youtu.be/-o-8hReJGV8</t>
  </si>
  <si>
    <t>Deflections Demonstrations - Part 2</t>
  </si>
  <si>
    <t>Nov. 21, 2013: "Deflection Demonstrations" session at the Asteroid Initiative Idea Synthesis workshop.                    - Captured Live on Ustream at http://www.ustream.tv/channel/asteroid-initiative-idea-synthesis---3</t>
  </si>
  <si>
    <t>-o-8hReJGV8</t>
  </si>
  <si>
    <t>https://youtu.be/a0CWMpysAgM</t>
  </si>
  <si>
    <t>Redirection Systems - Part 2</t>
  </si>
  <si>
    <t>Sept. 30, 2013: "Redirection Systems" session of the Asteroid Initiative Idea Synthesis  - Captured Live on Ustream at http://www.ustream.tv/channel/asteroid-initiative-idea-synthesis--2</t>
  </si>
  <si>
    <t>a0CWMpysAgM</t>
  </si>
  <si>
    <t>https://youtu.be/gaQs08VhF1Q</t>
  </si>
  <si>
    <t>Crowd Sourcing - Part 1</t>
  </si>
  <si>
    <t>Nov. 21, 2013 "Crowd Sourcing &amp; Citizen Science" session of the Asteroid Initiative Idea Synthesis workshop.             - Captured Live on Ustream at http://www.ustream.tv/channel/asteroid-initiative-idea-synthesis--2</t>
  </si>
  <si>
    <t>gaQs08VhF1Q</t>
  </si>
  <si>
    <t>https://youtu.be/u9VR0iZBkaU</t>
  </si>
  <si>
    <t>Capture Systems - Part 1</t>
  </si>
  <si>
    <t>Nov 21, 2013 "Asteroid Capture Systems" session of the Asteroid Initiative Idea Synthesis Workshop.                  - Captured Live on Ustream at http://www.ustream.tv/channel/asteroid-initiative-idea-synthesis--2</t>
  </si>
  <si>
    <t>u9VR0iZBkaU</t>
  </si>
  <si>
    <t>https://youtu.be/I1H3ZYq6v3s</t>
  </si>
  <si>
    <t>Deflections Discussion - Part 2</t>
  </si>
  <si>
    <t>Nov. 22, 2013: Open discussion on Asteroid Deflection Demonstrations.          - Captured Live on Ustream at http://www.ustream.tv/channel/asteroid-initiative-idea-synthesis--2</t>
  </si>
  <si>
    <t>I1H3ZYq6v3s</t>
  </si>
  <si>
    <t>https://youtu.be/y-GswRJV1Bg</t>
  </si>
  <si>
    <t>Deflections Discussion - Part 1</t>
  </si>
  <si>
    <t>Nov. 22, 2013: Open discussion on Asteroid Deflection Demonstrations.       - Captured Live on Ustream at http://www.ustream.tv/channel/asteroid-initiative-idea-synthesis--2</t>
  </si>
  <si>
    <t>y-GswRJV1Bg</t>
  </si>
  <si>
    <t>https://youtu.be/0JK_PJxcTiM</t>
  </si>
  <si>
    <t>Capture Systems - Part 2</t>
  </si>
  <si>
    <t>Nov 21, 2013 "Asteroid Capture Systems" session of the Asteroid Initiative Idea Synthesis Workshop.        - Captured Live on Ustream at http://www.ustream.tv/channel/asteroid-initiative-idea-synthesis--2</t>
  </si>
  <si>
    <t>0JK_PJxcTiM</t>
  </si>
  <si>
    <t>2013 11 28</t>
  </si>
  <si>
    <t>https://youtu.be/3NB3j1SqG-I</t>
  </si>
  <si>
    <t>NASA Comet ISON Google+ Hangout</t>
  </si>
  <si>
    <t>The ultimate battle of fire and ice! Who will win, the sun or Comet #ISON? Join #NASA as we follow the journey of Comet ISON as it slingshots around the sun. Will the awesome gravity and energy of the sun break up this cosmic ball of ice and rock? Will it break up? Or will it pass the sun intact to put on a dazzling show in the December sky? Watch as NASA solar physicists track the comet LIVE from the mission control for NASA's Solar Dynamics Observatory,@NASA_SDO, during #ISON's closest approach to the sun. We'll also be joined by comet scientists joining from Kitt Peak Observatory in Arizona, where the solar telescope will be observing ISON and by science writer Phil Plait.</t>
  </si>
  <si>
    <t>3NB3j1SqG-I</t>
  </si>
  <si>
    <t>2013 11 27</t>
  </si>
  <si>
    <t>https://youtu.be/3Vojbd4Lhc4</t>
  </si>
  <si>
    <t>An out of this world Thanksgiving greeting, from NASA!</t>
  </si>
  <si>
    <t>In the spirit of the season and space exploration, NASA sends heart felt wishes for a safe, happy and out of this world Thanksgiving from our family to yours!</t>
  </si>
  <si>
    <t>3Vojbd4Lhc4</t>
  </si>
  <si>
    <t>2013 11 26</t>
  </si>
  <si>
    <t>https://youtu.be/LMlPcuI0Uaw</t>
  </si>
  <si>
    <t>Asteroid Initiative Workshop - Summary Plenary Session</t>
  </si>
  <si>
    <t>LMlPcuI0Uaw</t>
  </si>
  <si>
    <t>https://youtu.be/h4j8b_ru8pg</t>
  </si>
  <si>
    <t>Thanksgiving Message From Station's Expedition 38 Crew</t>
  </si>
  <si>
    <t>Aboard the Earth-orbiting International Space Station, NASA astronauts Rick Mastracchio and Mike Hopkins, both Expedition 38 flight engineers, send down their best wishes for a happy Thanksgiving.</t>
  </si>
  <si>
    <t>h4j8b_ru8pg</t>
  </si>
  <si>
    <t>2013 11 25</t>
  </si>
  <si>
    <t>https://youtu.be/kBNnoJbR98I</t>
  </si>
  <si>
    <t>NASA Hispanic Heritage Month Profile -- Marile Colon Robles</t>
  </si>
  <si>
    <t>Marilé Colón Robles is a NASA Education Specialist at NASA Langley Research Center. She creates and teaches professional development workshops for pre-service and in-service teachers as well as informal educators all over the country, delivering these opportunities in both English and Spanish. Marilé began her career with NASA in 2010 as an Informal Educator where she curated and developed content for the Hispanic Education Initiative's bilingual website, organized and hosted teacher professional development workshops, museum events, and STEM summer camps. She has also developed interactive STEM games and taught virtual lessons in Spanish to K-12 classrooms all over the country through NASA's Digital Learning Network. Prior to joining NASA, Marilé was a graduate research assistant examining interactions between clouds and aerosols and their impact on Earth's energy balance while earning her graduate degree in Atmospheric Sciences at the University of Illinois at Urbana-Champaign.</t>
  </si>
  <si>
    <t>kBNnoJbR98I</t>
  </si>
  <si>
    <t>https://youtu.be/oVu316zwyUs</t>
  </si>
  <si>
    <t>Russian Cargo Spacecraft Heads to Space Station with Holiday Goodies</t>
  </si>
  <si>
    <t>The Russian Progress 53 cargo craft blasted off from the Baikonur Cosmodrome in Kazakhstan on Nov. 25, hauling almost three tons of food, fuel, supplies and holiday gifts to the International Space Station's Expedition 38 crew. The unpiloted spacecraft will test upgraded automated rendezvous equipment at a distance of a mile from the complex on Nov. 27 before docking to the aft port of the Zvezda Service Module on Nov. 29.</t>
  </si>
  <si>
    <t>oVu316zwyUs</t>
  </si>
  <si>
    <t>https://youtu.be/6np0bwQyWog</t>
  </si>
  <si>
    <t>MAVEN is on the way on This Week @NASA</t>
  </si>
  <si>
    <t>The Mars Atmosphere and Volatile EvolutioN, or MAVEN spacecraft launched from Cape Canaveral Air Force Station in Florida on a 10-month journey to Mars. MAVEN will take critical measurements of the Martian upper atmosphere to investigate how loss of the atmosphere to space impacted the history of water on the planet's surface. Also, Happy anniversary, ISS!, Asteroid Ideas, LADEE in science orbit, Orion progress, Rocket autopilot test, Commercial crew, and more!</t>
  </si>
  <si>
    <t>6np0bwQyWog</t>
  </si>
  <si>
    <t>2013 11 22</t>
  </si>
  <si>
    <t>https://youtu.be/J_oY7yqr0s0</t>
  </si>
  <si>
    <t>J_oY7yqr0s0</t>
  </si>
  <si>
    <t>https://youtu.be/hSrAB9a3TTA</t>
  </si>
  <si>
    <t>Asteroid Initiative Workshop - Grand Challenge Panel Part 2</t>
  </si>
  <si>
    <t>NASA TV coverage of the Grand Challenge panel session of the NASA-hosted public workshop at the Lunar and Planetary Institute in Houston to examine 96 of the ideas submitted to the recent Request For Information on ways to accomplish the agency's asteroid initiative.</t>
  </si>
  <si>
    <t>hSrAB9a3TTA</t>
  </si>
  <si>
    <t>https://youtu.be/fbrE_vBTeXo</t>
  </si>
  <si>
    <t>Asteroid Initiative Workshop - Grand Challenge Panel Part 1</t>
  </si>
  <si>
    <t>fbrE_vBTeXo</t>
  </si>
  <si>
    <t>https://youtu.be/dgN7lTw6blw</t>
  </si>
  <si>
    <t>Asteroid Initiative Workshop   Partnerships and Participatory Engagement Part 3</t>
  </si>
  <si>
    <t>dgN7lTw6blw</t>
  </si>
  <si>
    <t>https://youtu.be/BNkS1uHUbq8</t>
  </si>
  <si>
    <t>Asteroid Initiative Workshop   Cosmic Explorations Speakers Session</t>
  </si>
  <si>
    <t>BNkS1uHUbq8</t>
  </si>
  <si>
    <t>https://youtu.be/GV2ehDT_Tgg</t>
  </si>
  <si>
    <t>Asteroid Initiative Workshop   Asteroid Crew Systems Part 1</t>
  </si>
  <si>
    <t>GV2ehDT_Tgg</t>
  </si>
  <si>
    <t>https://youtu.be/ZSIcnXVzowE</t>
  </si>
  <si>
    <t>Asteroid Initiative Workshop   Partnerships and Participatory Engagement Part 2</t>
  </si>
  <si>
    <t>NASA TV coverage of the partnerships &amp; participatory engagement session of the NASA-hosted public workshop at the Lunar and Planetary Institute in Houston to examine 96 of the ideas submitted to the recent Request For Information on ways to accomplish the agency's asteroid initiative. The workshop features discussions by NASA experts, its international partners, private industry and the public on how best to identify, capture and relocate near-Earth asteroids for closer study and how to respond to asteroid threats. Workshop results will be considered as NASA refines future plans of the mission.</t>
  </si>
  <si>
    <t>ZSIcnXVzowE</t>
  </si>
  <si>
    <t>https://youtu.be/AoyPwadQXqw</t>
  </si>
  <si>
    <t>Asteroid Initiative Workshop   Asteroid Crew Systems Part 2</t>
  </si>
  <si>
    <t>AoyPwadQXqw</t>
  </si>
  <si>
    <t>https://youtu.be/X3I5f5ibBUU</t>
  </si>
  <si>
    <t>Asteroid Initiative Workshop   Partnerships and Participatory Engagement Part 1</t>
  </si>
  <si>
    <t>X3I5f5ibBUU</t>
  </si>
  <si>
    <t>2013 11 21</t>
  </si>
  <si>
    <t>https://youtu.be/aWq_nPuLZig</t>
  </si>
  <si>
    <t>Asteroid Initiative Workshop Plenary Session</t>
  </si>
  <si>
    <t>NASA TV coverage of the plenary session of the NASA-hosted public workshop at the Lunar and Planetary Institute in Houston to examine 96 of the ideas submitted to the recent Request For Information on ways to accomplish the agency's asteroid initiative.</t>
  </si>
  <si>
    <t>aWq_nPuLZig</t>
  </si>
  <si>
    <t>2013 11 20</t>
  </si>
  <si>
    <t>https://youtu.be/bYETLtk5BrM</t>
  </si>
  <si>
    <t>NASA Administrator Salutes International Space Station's 15th Anniversary</t>
  </si>
  <si>
    <t>bYETLtk5BrM</t>
  </si>
  <si>
    <t>https://youtu.be/bYzzY9HbBmo</t>
  </si>
  <si>
    <t>ORS 3 Mission Launches from Wallops</t>
  </si>
  <si>
    <t>A Minotaur I rocket launched Nov. 19 from NASA's Wallops Flight Facility on the U. S. Air Force's Operationally Responsive Space Office's ORS-3 mission. The ORS-3 Mission, also known as an enabler mission, will demonstrate and validate launch and range improvements for NASA and the military. Aside from the primary payload -- the Space Test Program Satellite-3 (STPSat-3), ORS-3 transported about 28 small cubesat satellites to space. Among the cubesats were NASA's PhoneSat2 and the first cubesat built by high school students.</t>
  </si>
  <si>
    <t>bYzzY9HbBmo</t>
  </si>
  <si>
    <t>2013 11 19</t>
  </si>
  <si>
    <t>https://youtu.be/JzmlsAietqA</t>
  </si>
  <si>
    <t>Space Station Crew Member Discusses Life in Space With the Media</t>
  </si>
  <si>
    <t>Aboard the International Space Station, Expedition 38 Flight Engineer Rick Mastracchio discussed the early days of his six-month mission on the orbital laboratory with WPKN Radio in Bridgeport, CT and WRGB-TV in Schenectady, N.Y. during a pair of in-flight interviews Nov. 19. Mastracchio, who is in his fourth flight to the station, but his first long-duration mission, arrived on the outpost Nov. 7 and will remain in orbit until next May.</t>
  </si>
  <si>
    <t>JzmlsAietqA</t>
  </si>
  <si>
    <t>2013 11 18</t>
  </si>
  <si>
    <t>https://youtu.be/C9j_btv6Mv0</t>
  </si>
  <si>
    <t>NASA TV Press Briefing Recaps Launch of Latest Mars Mission</t>
  </si>
  <si>
    <t>C9j_btv6Mv0</t>
  </si>
  <si>
    <t>https://youtu.be/fxGGc-mCwYg</t>
  </si>
  <si>
    <t>Mars Bound MAVEN Probe Launches</t>
  </si>
  <si>
    <t>NASA's Mars Atmosphere and Volatile Evolution (MAVEN), spacecraft launched from Cape Canaveral Air Force Station aboard a United Launch Alliance Atlas V 401 rocket Monday, Nov. 18.
MAVEN, the first spacecraft devoted to exploring and understanding the Martian upper atmosphere, will take critical measurements to help scientists understand climate change over the Red Planet's history and how the loss of Mars' atmosphere to space determined the history of water on the surface.</t>
  </si>
  <si>
    <t>fxGGc-mCwYg</t>
  </si>
  <si>
    <t>2013 11 17</t>
  </si>
  <si>
    <t>https://youtu.be/0F8ndihXCO4</t>
  </si>
  <si>
    <t>The Path Toward Humans to Mars</t>
  </si>
  <si>
    <t>Ahead of the launch of the agency's Mars Atmosphere and Volatile Evolution (MAVEN) spacecraft, NASA's associate administrators for the agency's Science Mission Directorate, Human Exploration and Operations Mission Directorate and Space Technology Mission Directorate, along with NASA's chief scientist, discuss the progress NASA is making to send humans to Mars.</t>
  </si>
  <si>
    <t>0F8ndihXCO4</t>
  </si>
  <si>
    <t>https://youtu.be/bLKaHh0KP3M</t>
  </si>
  <si>
    <t>The Science Behind NASA's Next Mars Mission</t>
  </si>
  <si>
    <t>Segment:  On Sunday, Nov. 17, a mission science briefing was broadcasted on NASA TV to discuss the Mars-bound spacecraft, the Mars Atmosphere and Volatile EvolutionN, or MAVEN, set to launch aboard a United Launch Alliance Atlas V 401 rocket Nov. 18. MAVEN is the second mission for NASA's Mars Scout Program and will obtain critical measurements of the Martian upper atmosphere to help understand the climate change over the Red Planet's history and is the first spacecraft devoted to exploring and understanding the Martian upper atmosphere.  It will orbit the planet in an elliptical orbit that allows it to pass through and sample the entire upper atmosphere on every orbit.  The spacecraft will investigate how the loss of Mars' atmosphere to space determined the history of water on the surface.
The participants in the mission science briefing were:
-Michael Meyer, lead Mars scientist NASA Headquarters, Washington
-Bruce Jakosky, MAVEN principal investigator Laboratory for Atmospheric and Space Physics, University of Colorado at Boulder
-Janet Luhmann, MAVEN deputy principal investigator University of California at Berkeley
-Nick Schneider, MAVEN IUVS instrument lead Laboratory for Atmospheric and Space Physics, University of Colorado at Boulder
-Paul Mahaffy, MAVEN NGIMS instrument lead NASA Goddard Space Flight Center, Greenbelt, Md.
-David L. Mitchell, MAVEN SWEA instrument lead, University of California at Berkeley</t>
  </si>
  <si>
    <t>bLKaHh0KP3M</t>
  </si>
  <si>
    <t>2013 11 16</t>
  </si>
  <si>
    <t>https://youtu.be/wxIqYjI1Xhg</t>
  </si>
  <si>
    <t>MAVEN Launch %23NASASocial</t>
  </si>
  <si>
    <t>Segment:  150 of NASA's social media followers were given an insider's look at America's space program and the opportunity to learn about the upcoming launch of NASA's Mars Atmosphere and Volatile EvolutioN (MAVEN) from Kennedy Space Center in Florida. Participants heard first-hand accounts of the mission development and research goals from the MAVEN science and engineering teams from NASA Kennedy, Goddard and other organizations.</t>
  </si>
  <si>
    <t>wxIqYjI1Xhg</t>
  </si>
  <si>
    <t>2013 11 15</t>
  </si>
  <si>
    <t>https://youtu.be/77QWPT6iRyg</t>
  </si>
  <si>
    <t>MAVEN Prelaunch News Conference from Kennedy Space Center</t>
  </si>
  <si>
    <t>A NASA Television news conference from Kennedy Space Center's Press Site was held to learn about America's space program and the upcoming launch of NASA's Mars Atmosphere and Volatile EvolutioN (MAVEN) from Kennedy Space Center in Florida.  Participants heard first-hand accounts of the mission development and research goals from the MAVEN science and engineering teams from NASA Kennedy, Goddard and other organizations.
Briefing participants were:
-John Grunsfeld, NASA associate administrator Science Mission Directorate, Washington
-Omar Baez, NASA launch director Kennedy Space Center, Fla.
-Vernon Thorp, program manager, NASA Missions United Launch Alliance, Centennial, Colo.
-David Mitchell, NASA MAVEN project manager Goddard Space Flight Center, Greenbelt, Md.
-Guy Beutelschies, Lockheed Martin MAVEN project manager Lockheed Martin Space Systems Company, Littleton, Colo.
-Clay Flinn, launch weather officer, 45th Weather Squadron Cape Canaveral Air Force Station, Fla.</t>
  </si>
  <si>
    <t>77QWPT6iRyg</t>
  </si>
  <si>
    <t>https://youtu.be/R5gCDTBE0IQ</t>
  </si>
  <si>
    <t>MAVEN Spanish Media Briefing from Kennedy Space Center</t>
  </si>
  <si>
    <t>R5gCDTBE0IQ</t>
  </si>
  <si>
    <t>https://youtu.be/FLKmu9gzjZM</t>
  </si>
  <si>
    <t>MAVEN Update on This Week @NASA</t>
  </si>
  <si>
    <t>The MAVEN spacecraft is the latest NASA probe designed to help piece together a complete picture of The Red Planet's past. MAVEN's piece of the puzzle -- to understand what happened to Mars' upper atmosphere. Following its launch from Cape Canaveral Air Force Station -- MAVEN is scheduled to reach Mars in September 2014. Also, Getting to deep space, A stunning new view of Saturn, Commercial success, Earth science satellite, Antarctica campaign, Tail wing technology and more!</t>
  </si>
  <si>
    <t>FLKmu9gzjZM</t>
  </si>
  <si>
    <t>2013 11 14</t>
  </si>
  <si>
    <t>https://youtu.be/ijAO0FFExx0</t>
  </si>
  <si>
    <t>Actor LeVar Burton Shares MAVEN's Story</t>
  </si>
  <si>
    <t>NASA is returning to Mars!
LeVar Burton  shares the story about NASA's Mars Atmosphere and Volatile Evolution mission—or MAVEN—and how it will explore Mars' climate history and gather clues about the question scientists have been asking for decades.</t>
  </si>
  <si>
    <t>ijAO0FFExx0</t>
  </si>
  <si>
    <t>https://youtu.be/0g3UEfen4ew</t>
  </si>
  <si>
    <t>Google+ Hangout   NASA's Mars Atmosphere Volatile EvolutioN MAVEN</t>
  </si>
  <si>
    <t>NASA's social media followers were given an insider's look at America's space program and the opportunity to learn about the upcoming launch of NASA's Mars Atmosphere and Volatile EvolutioN (MAVEN) from Kennedy Space Center in Florida. Participants heard first-hand accounts of the mission development and research goals from the MAVEN science and engineering teams from NASA Goddard and other organizations.  MAVEN will examine the upper atmosphere of Mars in unprecedented detail. It's scheduled to launch no earlier than 1:28 p.m. EST Monday, Nov. 18, from Cape Canaveral Air Force Station in Florida. 
Panelists for this media briefing are:
-- Jim Morrissey, Instrument System Manager, NASA's Goddard Space Flight Center, Greenbelt, Md.
-- Mehdi Benna, Instrument Scientist for the Neutral Gas and Ion Mass Spectrometer, NASA's Goddard Space Flight Center, Greenbelt, Md.
-- David Brain, MAVEN Co-Investigator, Laboratory for Atmospheric and Space Physics, University of Colorado, Boulder
-- Jasper Halekas, Instrument Lead for the Solar Wind Ion Analyzer, University of California, Berkeley</t>
  </si>
  <si>
    <t>0g3UEfen4ew</t>
  </si>
  <si>
    <t>2013 11 13</t>
  </si>
  <si>
    <t>https://youtu.be/OjpIv4B1W-g</t>
  </si>
  <si>
    <t>NASA News Conference on Completion of COTS Program</t>
  </si>
  <si>
    <t>NASA Administrator Charles Bolden discusses the success of the agency's Commercial Orbital Transportation Services (COTS) initiative during a televised news briefing at NASA Headquarters.  Through COTS, NASA's partners Space Exploration Technologies Corp. (SpaceX) and Orbital Sciences Corp., developed new U.S. rockets and spacecraft, launched from U.S. soil, capable of transporting cargo to low-Earth orbit and the International Space Station.  A successful Orbital Sciences demonstration mission to the space station was completed in October, signifying the end of COTS development. SpaceX made its first trip to the space station in May 2012 and completed its COTS partnership with NASA the same year. The agency now contracts space station cargo resupply missions with both companies. 
The briefing participants were:
-- Charles Bolden, NASA Administrator
-- Alan Lindenmoyer, Manager of Commercial Crew and Cargo Program, NASA
-- Gwynne Shotwell, President, SpaceX
-- Frank Culbertson, Executive Vice President and General Manager, Orbital Sciences Advanced Programs Group
-- Frank Slazer, Vice President of Space Systems, Aerospace Industries Association
-- Phil McAlister, Director of Commercial Spaceflight Development, NASA</t>
  </si>
  <si>
    <t>OjpIv4B1W-g</t>
  </si>
  <si>
    <t>https://youtu.be/yafvBBH44nU</t>
  </si>
  <si>
    <t>Commercial Space Program Success</t>
  </si>
  <si>
    <t>A little more than two years after the end of the Space Shuttle Program, the United States now has two space transportation systems -- SpaceX's Falcon rocket and Dragon spacecraft and Orbital's Antares rocket and Cygnus spacecraft -- capable of delivering science experiments and supplies from U.S. soil to the International Space Station. 
NASA and its Commercial Crew Program partners also are working to develop the next generation of U.S. spacecraft and rockets capable of transporting humans to and from low-Earth orbit from American soil. NASA intends to use new commercial capabilities to fly U.S. astronauts to and from the International Space Station within the next four years.</t>
  </si>
  <si>
    <t>yafvBBH44nU</t>
  </si>
  <si>
    <t>2013 11 12</t>
  </si>
  <si>
    <t>https://youtu.be/w6p9KbVK97w</t>
  </si>
  <si>
    <t>Super-Typhoon Haiyan Seen From International Space Station</t>
  </si>
  <si>
    <t>On Friday Nov. 8, external cameras on the International Space Station captured views of Super-Typhoon Haiyan which struck the central Philippines municipality of Guiuan at the southern tip of the province of Eastern Samar with a force equivalent to a Category 5 hurricane.</t>
  </si>
  <si>
    <t>w6p9KbVK97w</t>
  </si>
  <si>
    <t>https://youtu.be/Un1AbTvUbQs</t>
  </si>
  <si>
    <t>Removing the Barriers to Deep Space Exploration</t>
  </si>
  <si>
    <t>Beyond Earth: Removing the Barriers to Deep Space Exploration is a presentation by NASA's Associate Administrator for Human Exploration and Operations Bill Gerstenmaier in which he convenes a panel discussion to consider the challenges facing the U.S. space exploration program.  NASA's future Orion crewed spacecraft and the Space Launch System which will carry it into orbit will provide the United States an entirely new human space exploration capability, a flexible system that can extend human presence beyond low-Earth orbit and enable new missions of exploration in our solar system. The NASA and prime contractors panelists were:
-- William Gerstenmaier, associate administrator for human exploration and operations, NASA
-- Julie Van Kleek, vice president, advanced space and launch programs, Aerojet Rocketdyne
-- Charlie Precourt, vice president and general manager, ATK Space Launch Division
-- John Elbon, vice president and general manager, Boeing Space Exploration
-- Jim Crocker, vice president and general manager, civil space, Lockheed Martin Space Systems</t>
  </si>
  <si>
    <t>Un1AbTvUbQs</t>
  </si>
  <si>
    <t>https://youtu.be/WkkC8X29vBE</t>
  </si>
  <si>
    <t>Space Station Crew Members Discuss Life in Space with University of Illinois Alumni and Media</t>
  </si>
  <si>
    <t>Aboard the International Space Station, Expedition 38 Flight Engineer Michael Hopkins and Rick Mastracchio of NASA discussed life and research aboard the orbital laboratory with WCIA-TV in Champaign, IL during an in-flight interview Nov. 12. Hopkins, who graduated from the University of Illinois in Champaign in 1991, was a captain on the Fighting Illini Football Team. He arrived on the station in September for the start of a five and a half month mission.</t>
  </si>
  <si>
    <t>WkkC8X29vBE</t>
  </si>
  <si>
    <t>2013 11 11</t>
  </si>
  <si>
    <t>https://youtu.be/14d1HxNMyCQ</t>
  </si>
  <si>
    <t>Expedition 37 Discusses Mission</t>
  </si>
  <si>
    <t>Following the safe return to Earth in a Soyuz spacecraft of Expedition 37 Commander Fyodor Yurchikhin, NASA Flight Engineer Karen Nyberg and European Space Agency Flight Engineer Luca Parmitano, thoughts were shared about their mission and return to Earth during a series of interviews. The trio completed 166 days in space following their launch in late May.</t>
  </si>
  <si>
    <t>14d1HxNMyCQ</t>
  </si>
  <si>
    <t>https://youtu.be/7kNKjUtwpYI</t>
  </si>
  <si>
    <t>Expedition 37 Commander Fyodor Yurchikhin, NASA Flight Engineer Karen Nyberg and European Space Agency Flight Engineer Luca Parmitano were greeted in a traditional ceremony at the airport in Karaganda, Kazakhstan, on Nov. 11, hours after landing in their Soyuz TMA-09M spacecraft in Kazakhstan. The trio completed 166 days in space following their launch in late May.</t>
  </si>
  <si>
    <t>7kNKjUtwpYI</t>
  </si>
  <si>
    <t>https://youtu.be/0nKwj_B5Qb4</t>
  </si>
  <si>
    <t>Expedition 37 Crew Back on Earth</t>
  </si>
  <si>
    <t>Expedition 37 Commander Fyodor Yurchikhin, NASA Flight Engineer Karen Nyberg and European Space Agency Flight Engineer Luca Parmitano landed safely on the steppe of Kazakhstan on Nov. 11, local time. The trio completed 166 days in space since launching in late May. Returning to Earth with the crew was the Olympic torch for the 2014 Winter Olympics in Sochi, Russia. The torch was delivered to the station Nov. 7 for its brief stay by Mikhail Tyurin of the Russian Federal Space Agency (Roscosmos), Flight Engineer Rick Mastracchio of NASA and Flight Engineer Koichi Wakata of the Japan Aerospace Exploration Agency.</t>
  </si>
  <si>
    <t>0nKwj_B5Qb4</t>
  </si>
  <si>
    <t>https://youtu.be/UZonoIlKQKg</t>
  </si>
  <si>
    <t>Expedition 37 Heads Home</t>
  </si>
  <si>
    <t>Expedition 37 Commander Fyodor Yurchikhin, NASA Flight Engineer Karen Nyberg and European Space Agency Flight Engineer Luca Parmitano undocked from the International Space Station to begin their journey back to Earth. The trio completed 166 days in space since launching in late May.</t>
  </si>
  <si>
    <t>UZonoIlKQKg</t>
  </si>
  <si>
    <t>2013 11 10</t>
  </si>
  <si>
    <t>https://youtu.be/tQmRlXyV3Fw</t>
  </si>
  <si>
    <t>Change and Transition on the Station</t>
  </si>
  <si>
    <t>The reins of the International Space Station were passed from Fyodor Yurchikhin to fellow Russian cosmonaut Oleg Kotov during a ceremony on the orbital outpost on Nov. 8. Kotov will become commander of Expedition 38 when Expedition 37 officially ends with the departure of Yurchikhin, NASA Flight Engineer Karen Nyberg and European Space Agency Flight Engineer Luca Parmitano on Nov. 11, Kazakh time, in their Soyuz spacecraft. Kotov, NASA Flight Engineer Michael Hopkins and Russian cosmonaut Sergey Ryazanskiy were joined on Nov. 7 by Russian flight engineer Mikhail Tyurin, NASA Flight Engineer Rick Mastracchio and Flight Engineer Koichi Wakata of the Japan Aerospace Exploration Agency.</t>
  </si>
  <si>
    <t>tQmRlXyV3Fw</t>
  </si>
  <si>
    <t>2013 11 09</t>
  </si>
  <si>
    <t>https://youtu.be/4MrnqEf3i-U</t>
  </si>
  <si>
    <t>An Olympic Moment in Space</t>
  </si>
  <si>
    <t>Russian Cosmonauts Oleg Kotov and Sergey Ryazanskiy conducted a spacewalk outside the International Space Station Nov. 9, installing and replacing experiments and hardware and displaying the Olympic torch that will light the Olympic flame in Sochi, Russia, on Feb. 7, 2014, during the opening ceremonies of the Winter Olympics. The torch was delivered to the station Nov. 7 by three new residents of the station and will return to Earth Nov. 11 with three departing crew members to resume its role in the Olympic torch relay that began in Olympia, Greece, last month.</t>
  </si>
  <si>
    <t>4MrnqEf3i-U</t>
  </si>
  <si>
    <t>2013 11 08</t>
  </si>
  <si>
    <t>https://youtu.be/Qy_1DfQpB4A</t>
  </si>
  <si>
    <t>Kepler Conference on This Week @NASA</t>
  </si>
  <si>
    <t>During the Kepler Science Conference at Ames Research Center, the science community discussed the latest news from the Kepler mission's hunt for exo-planets.... which are planets outside our solar system Among the findings -- 833 newly discovered candidate planets -- 10 of those orbiting in their sun's habitable zone -- a distance at which their surface temperature may be suitable for liquid water. Also, Full house on ISS, The New Chief &amp; MAVEN, Russia Meteor Study and High School Satellite.</t>
  </si>
  <si>
    <t>Qy_1DfQpB4A</t>
  </si>
  <si>
    <t>https://youtu.be/BbiGqW07ER8</t>
  </si>
  <si>
    <t>News Conference from the ISS</t>
  </si>
  <si>
    <t>Expedition Commander Fyodor Yurchikhin, Oleg Kotov, Sergey Ryazanskiy and Mikhail Tyurin of the Russian Federal Space Agency; Karen Nyberg, Michael Hopkins and Rick Mastracchio of NASA; Luca Parmitano of the European Space Agency and Koichi Wakata of the Japan Aerospace Exploration Agency held a news conference aboard the International Space Station Nov. 8 to discuss their unique handover time; the delivery of the Olympic torch for the 2014 Winter Olympics in Sochi, Russia, to the orbital outpost; and other work and research on the complex.</t>
  </si>
  <si>
    <t>BbiGqW07ER8</t>
  </si>
  <si>
    <t>2013 11 07</t>
  </si>
  <si>
    <t>https://youtu.be/9_frC79kTC0</t>
  </si>
  <si>
    <t>Welcome to the Station!</t>
  </si>
  <si>
    <t>A few hours after docking their Soyuz spacecraft to the International Space Station, Expedition 38/39 Soyuz Commander Mikhail Tyurin of the Russian Federal Space Agency (Roscosmos), Flight Engineer Rick Mastracchio of NASA and Flight Engineer Koichi Wakata of the Japan Aerospace Exploration Agency opened the hatches and were greeted by station Commander Fyodor Yurchikhin, Oleg Kotov and Sergey Ryazanskiy of Roscosmos; Karen Nyberg and Michael Hopkins of NASA; and Luca Parmitano of the European Space Agency. It marked only the second time that nine crew members occupied the space station at one time and only the second time three Soyuz crew vehicles have been docked to the complex at the same time.</t>
  </si>
  <si>
    <t>9_frC79kTC0</t>
  </si>
  <si>
    <t>https://youtu.be/lFPblwNe11M</t>
  </si>
  <si>
    <t>Soyuz hooks up to the station</t>
  </si>
  <si>
    <t>After launching earlier in the day in their Soyuz spacecraft from the Baikonur Cosmodrome in Kazakhstan, Expedition 38/39 Soyuz Commander Mikhail Tyurin of the Russian Federal Space Agency (Roscosmos), Flight Engineer Rick Mastracchio of NASA and Flight Engineer Koichi Wakata of the Japan Aerospace Exploration Agency arrived at the International Space Station on Nov. 7; docking their craft to the Rassvet module on the Russian segment of the complex.</t>
  </si>
  <si>
    <t>lFPblwNe11M</t>
  </si>
  <si>
    <t>https://youtu.be/WMC6UPNyDp0</t>
  </si>
  <si>
    <t>Headed Uphill!</t>
  </si>
  <si>
    <t>Expedition 38/39 Soyuz Commander Mikhail Tyurin of the Russian Federal Space Agency, Flight Engineer Rick Mastracchio of NASA and Flight Engineer Koichi Wakata of the Japan Aerospace Exploration Agency launched on the Russian Soyuz TMA-11M spacecraft on Nov. 7, Kazakh time (Nov. 6, U.S. time) from the Baikonur Cosmodrome in Kazakhstan to begin a six-hour journey to the International Space Station. Stowed in the Soyuz was the Olympic torch for the 2014 Winter Olympics in Sochi, Russia, that will spend four days on the station.</t>
  </si>
  <si>
    <t>WMC6UPNyDp0</t>
  </si>
  <si>
    <t>2013 11 05</t>
  </si>
  <si>
    <t>https://youtu.be/EFeoYHZcUpw</t>
  </si>
  <si>
    <t>Administrator Bolden on Kepler Mission Findings</t>
  </si>
  <si>
    <t>Scientists working on this mission both inside and outside government will continue to explore potential planets outside our solar system for years to come, based on the spacecraft's groundbreaking work. 
Among the amazing findings, a stunning result that found that there may be many more Earth-like planets than previously thought in the Milky Way.</t>
  </si>
  <si>
    <t>EFeoYHZcUpw</t>
  </si>
  <si>
    <t>https://youtu.be/r2iRGBSMvsg</t>
  </si>
  <si>
    <t>Soyuz and rocket rolled</t>
  </si>
  <si>
    <t>The Soyuz spacecraft and its booster were moved to the launch pad at the Baikonur Cosmodrome in Kazakhstan on a railcar Nov. 5 for final preparations before launch to the International Space Station on Nov. 7, Kazakh time. The Soyuz TMA-11M will carry Expedition 38/39 Soyuz Commander Mikhail Tyurin of the Russian Federal Space Agency, NASA Flight Engineer Rick Mastracchio and Flight Engineer Koichi Wakata of the Japan Aerospace Exploration Agency to the space station.</t>
  </si>
  <si>
    <t>r2iRGBSMvsg</t>
  </si>
  <si>
    <t>https://youtu.be/dkdj7T3Cxvk</t>
  </si>
  <si>
    <t>Astronauts share thoughts on living and working in space</t>
  </si>
  <si>
    <t>Aboard the International Space Station, Expedition 37 Flight Engineers Karen Nyberg and Michael Hopkins of NASA discussed their missions on the orbital laboratory with the Weather Channel and KSDK-TV, St. Louis during a pair of in-flight interviews Nov. 5.</t>
  </si>
  <si>
    <t>dkdj7T3Cxvk</t>
  </si>
  <si>
    <t>2013 11 04</t>
  </si>
  <si>
    <t>https://youtu.be/MGGHwTQ-c9U</t>
  </si>
  <si>
    <t>Social Previews Earth Science Missions</t>
  </si>
  <si>
    <t>A two-day NASA Social for 100 of its social media followers on Monday, Nov. 4, and Tuesday, Nov. 5, at the agency's Jet Propulsion Laboratory in Pasadena, Calif. highlights NASA and JPL's role in studying Earth and its climate and previews three missions JPL is preparing for launch in 2014 to study our home planet.</t>
  </si>
  <si>
    <t>MGGHwTQ-c9U</t>
  </si>
  <si>
    <t>https://youtu.be/EYuvXxOVB1s</t>
  </si>
  <si>
    <t>Nice Rocket, Mate!</t>
  </si>
  <si>
    <t>The Soyuz spacecraft was encapsulated in the third stage of its booster and the rocket's segments were mated Nov. 2 and Nov. 4 at the Baikonur Cosmodrome in Kazakhstan. Preparations continued for the launch of Expedition 38/39 Soyuz Commander Mikhail Tyurin of the Russian Federal Space Agency, NASA Flight Engineer Rick Mastracchio and Flight Engineer Koichi Wakata of the Japan Aerospace Exploration Agency on Nov. 7, Kazakh time.</t>
  </si>
  <si>
    <t>EYuvXxOVB1s</t>
  </si>
  <si>
    <t>2013 11 01</t>
  </si>
  <si>
    <t>https://youtu.be/8Hgw084eUHc</t>
  </si>
  <si>
    <t>Mars Mission Briefed on This Week @NASA</t>
  </si>
  <si>
    <t>During a news briefing at NASA headquarters officials and scientists discussed MAVEN, the agency's next mission to Mars. Scheduled to launch November 18 from Cape Canaveral Air Force Station in Florida, MAVEN will study the history and change of Mars' atmosphere, climate, and planetary habitability. Also, Bolden visits Langley, Power Up, Solar Flares, A busy time!, Free flight and Ice Flight!</t>
  </si>
  <si>
    <t>8Hgw084eUHc</t>
  </si>
  <si>
    <t>https://youtu.be/DmgIBhvDcrg</t>
  </si>
  <si>
    <t>Expedition 38 39 Crew Prepares for Launch in Kazakhstan</t>
  </si>
  <si>
    <t>At the Baikonur Cosmodrome in Kazakhstan, Expedition 38/39 Soyuz Commander Mikhail Tyurin of the Russian Federal Space Agency (Roscosmos), Flight Engineer Rick Mastracchio of NASA and Flight Engineer Koichi Wakata of the Japan Aerospace Exploration Agency and backup crew members Max Suraev of Roscosmos, Reid Wiseman of NASA and Alexander Gerst of the European Space Agency participated in a variety of activities from Oct. 26-Nov. 1 as they prepared for the launch of Tyurin, Mastracchio and Wakata to the International Space Station on Nov. 7, Kazakh time, in the Soyuz TMA-11M spacecraft. The footage includes the crew's arrival in Baikonur, a dress rehearsal fit check in their Soyuz spacecraft and other crew-related activities.</t>
  </si>
  <si>
    <t>DmgIBhvDcrg</t>
  </si>
  <si>
    <t>https://youtu.be/LTflOstC1Ec</t>
  </si>
  <si>
    <t>Russian Soyuz Vehicle Relocates at the International Space Station</t>
  </si>
  <si>
    <t>The Russian Soyuz TMA-09M spacecraft, with Commander Fyodor Yurchikhin of the Russian Federal Space Agency, NASA Flight Engineer Karen Nyberg and European Space Agency Flight Engineer Luca Parmitano aboard, changed parking spaces at the International Space Station Nov. 1. The crew undocked the vehicle from the Rassvet module on the Earth-facing side of the Russian segment of the complex and redocked it 20 minutes later at the aft port of the Zvezda Service Module. The maneuver opened the Rassvet port for the Nov. 7 arrival of three new crew members for station operations. Yurchikhin, Nyberg and Parmitano will depart the station in the Soyuz TMA-09M on Nov. 10, for a landing on Nov. 11 on the steppe of Kazakhstan.</t>
  </si>
  <si>
    <t>LTflOstC1Ec</t>
  </si>
  <si>
    <t>2013 10 29</t>
  </si>
  <si>
    <t>https://youtu.be/FuUBDtN3v_0</t>
  </si>
  <si>
    <t>NASA Google+ Hangout Briefing on Antarctic Ice Campaign</t>
  </si>
  <si>
    <t>NASA hosted a Google+ Hangout news conference on Tuesday, Oct. 29 to share information about Operation IceBridge's upcoming airborne field campaign in Antarctica.
IceBridge is a multi-year NASA science mission to study ice conditions at both poles. The mission's survey flights gather data on changes in ice elevation and thickness and measure the shape of bedrock and water cavities beneath ice using a suite of scientific instruments. The mission provides critical measurements that bridge the gap between observations supplied by NASA's Ice, Cloud and Land Elevation Satellite, or ICESat, and the upcoming ICESat-2. This is the first year IceBridge will operate directly from Antarctica, flying from McMurdo Station starting in mid-November instead of from southern Chile. This change will allow IceBridge researchers to survey parts of Antarctica previously unavailable to them since the mission began in 2009.
Panelists for the briefing were:
-- Michael Studinger, IceBridge project scientist, NASA Goddard Space Flight Center, Greenbelt, Md.
-- Christy Hansen, IceBridge project manager, NASA Goddard Space Flight Center, Greenbelt, Md.
-- Chad Naughton, project manager, National Science Foundation's U.S. Antarctic Program, Centennial, Colo.</t>
  </si>
  <si>
    <t>FuUBDtN3v_0</t>
  </si>
  <si>
    <t>https://youtu.be/ZNiC-cpXd-8</t>
  </si>
  <si>
    <t>Space Station Crewmember Discusses Life in Space With Illini Students</t>
  </si>
  <si>
    <t>Aboard the International Space Station, Expedition 37 Flight Engineer Michael Hopkins discussed life and work aboard the orbital laboratory with engineering students at the University of Illinois during an in-flight conversation October 29. Hopkins graduated from the University of Illinois in 1991, where he also served as a defensive back and team captain of the Illini football team. Hopkins arrived at the space station in late September for the start of a 5 1Ž2 month mission.</t>
  </si>
  <si>
    <t>ZNiC-cpXd-8</t>
  </si>
  <si>
    <t>2013 10 28</t>
  </si>
  <si>
    <t>https://youtu.be/o5bi32hZ7bw</t>
  </si>
  <si>
    <t>NASA's Next Mission to Mars</t>
  </si>
  <si>
    <t>NASA hosted a news briefing at 2 p.m. EDT Monday, Oct. 28, to discuss the upcoming launch of the agency's next mission to Mars and the first devoted to understanding the upper atmosphere of the Red Planet.
MAVEN is scheduled to launch at 1:28 p.m. EST Nov. 18 from Cape Canaveral Air Force Station in Florida. MAVEN's data will be used to study the history and change of Mars' atmosphere, climate, and planetary habitability.
Briefing participants were:
- John Grunsfeld, associate administrator for the Science Mission Directorate, NASA Headquarters, Washington
- Jim Green, director, Planetary Science Division, Headquarters
- Lisa May, MAVEN program executive, Headquarters
- Kelly Fast, MAVEN program scientist, Headquarters
- Bruce Jakosky, MAVEN principal investigator, University of Colorado Boulder Laboratory for Atmospheric and Space Physics
- David Mitchell, MAVEN project manager, NASA's Goddard Space Flight Center, Greenbelt, Md.</t>
  </si>
  <si>
    <t>o5bi32hZ7bw</t>
  </si>
  <si>
    <t>https://youtu.be/cBWLWL5-x9E</t>
  </si>
  <si>
    <t>Expedition 38 39 Crew Departs for Kazakh Launch Site</t>
  </si>
  <si>
    <t>Expedition 38/39 Soyuz Commander Mikhail Tyurin of the Russian Federal Space Agency (Roscosmos), Flight Engineer Rick Mastracchio of NASA and Flight Engineer Koichi Wakata of the Japan Aerospace Exploration Agency and backup crew members Max Suraev of Roscosmos, Reid Wiseman of NASA and Alexander Gerst of the European Space Agency participated in traditional ceremonies at the Gagarin Cosmonaut Training Center in Star City, Russia, outside Moscow on Oct. 26. Afterward, they departed for the Baikonur Cosmodrome in Kazakhstan to complete their training for the launch of Tyurin, Mastracchio and Wakata to the International Space Station in the Soyuz TMA-11M spacecraft on Nov. 7, Kazakh time. The footage also features scenes of Valentina Tereshkova, the first woman to fly in space, and Alexei Leonov, the first human to walk in space.</t>
  </si>
  <si>
    <t>cBWLWL5-x9E</t>
  </si>
  <si>
    <t>https://youtu.be/GnYJhz0GigU</t>
  </si>
  <si>
    <t>Goodbye Einstein</t>
  </si>
  <si>
    <t>The Expedition 37 crew onboard the station closed the hatch and said goodbye to ATV-4 "Albert Einstein"  cargo ship on Oct. 28. The ATV-4 resupply vehicle arrived at the station in mid-June, delivering more than 7 tons of food, fuel and supplies for the space station crew and . It will undock from the complex on Oct. 28 and will be deorbited Nov. 2 for a destructive entry back into the Earth's atmosphere over the Pacific Ocean.</t>
  </si>
  <si>
    <t>GnYJhz0GigU</t>
  </si>
  <si>
    <t>2013 10 25</t>
  </si>
  <si>
    <t>https://youtu.be/NP8wP-QwbrI</t>
  </si>
  <si>
    <t>Back to Mission on This Week @NASA</t>
  </si>
  <si>
    <t>With the government shutdown over, Administrator Charlie Bolden welcomed employees back to the work of NASA's mission. Bolden visited Goddard Space Flight Center with Maryland Senator Barbara Mikulski for an update on several projects, including the Global Precipitation Measurement mission, the Magnetospheric Multiscale spacecraft and the James Webb Space Telescope. Bolden also visited Mississippi to thank employees at Stennis Space Center for their critical engineering and testing work on the agency's next generation rocket engines and the staff of the NASA Shared Services Center for their support of the agency during the shutdown. Also, While we were away, Cygnus Completes!, MAVEN in Waiting, SLS Tests, and More Arctic Sea Ice!</t>
  </si>
  <si>
    <t>NP8wP-QwbrI</t>
  </si>
  <si>
    <t>2013 10 24</t>
  </si>
  <si>
    <t>https://youtu.be/eCUXk9WsUAY</t>
  </si>
  <si>
    <t>A Tribute to Einstein</t>
  </si>
  <si>
    <t>Aboard the International Space Station, Expedition 37 Flight Engineer Luca Parmitano of the European Space Agency paid tribute to the European "Albert Einstein" Automated Transfer Vehicle-4 cargo ship during an in-flight event Oct. 24 involving officials and students in Italy, Germany and Israel. The ATV-4 resupply vehicle arrived at the station in mid-June, delivering more than 7 tons of food, fuel and supplies for the space station crew. It will undock on Oct. 28 and will be deorbited for a destructive entry back into the Earth's atmosphere over the Pacific Ocean.</t>
  </si>
  <si>
    <t>eCUXk9WsUAY</t>
  </si>
  <si>
    <t>2013 10 23</t>
  </si>
  <si>
    <t>https://youtu.be/4uuju628wyw</t>
  </si>
  <si>
    <t>Astronaut Educates Home-State Students from Space</t>
  </si>
  <si>
    <t>Aboard the International Space Station, Expedition 37 Flight Engineer Karen Nyberg of NASA discussed her research aboard the orbital laboratory and life in space with students from the Henning, Minn., school district during an in-flight educational event Oct. 23.</t>
  </si>
  <si>
    <t>4uuju628wyw</t>
  </si>
  <si>
    <t>2013 10 22</t>
  </si>
  <si>
    <t>https://youtu.be/mr08NzICcwU</t>
  </si>
  <si>
    <t>NASA Administrator Tours Goddard Testing Facilities</t>
  </si>
  <si>
    <t>NASA Administrator Charles Bolden visited the agency's Goddard Space Flight Center in Greenbelt, Md., Oct. 22 on his first post-government shutdown field center visit. He was joined by Sen. Barbara Mikulski of Maryland, who is Chairwoman of the Senate Appropriations Committee, and NASA's Associate Administrator for the Science Mission Directorate John Grunsfeld for a tour of the integration and testing facilities for two of NASA's upcoming missions: the Global Precipitation Measurement (GPM) mission and Magnetospheric Multiscale (MMS) mission. Bolden also took questions from the media.</t>
  </si>
  <si>
    <t>mr08NzICcwU</t>
  </si>
  <si>
    <t>https://youtu.be/ZANWCwAWY_0</t>
  </si>
  <si>
    <t>ISS-Bound Crew Meets the Media</t>
  </si>
  <si>
    <t>Expedition 38/39 Soyuz Commander Mikhail Tyurin of the Russian Federal Space Agency, NASA Flight Engineer Rick Mastracchio and Flight Engineer Koichi Wakata of the Japan Aerospace Exploration Agency fielded questions from the news media at their training base at the Gagarin Cosmonaut Training Center in Star City, Russia, outside Moscow on Oct. 22. On Oct. 26 the trio will depart for their launch site in Kazakhstan, where they are scheduled to launch to the International Space Station on Nov. 7, Kazakh time, in their Soyuz TMA-11M spacecraft.</t>
  </si>
  <si>
    <t>ZANWCwAWY_0</t>
  </si>
  <si>
    <t>https://youtu.be/eCNevvKevd8</t>
  </si>
  <si>
    <t>Cygnus Completes Mission!</t>
  </si>
  <si>
    <t>After a month's stay at the International Space Station, the Orbital Sciences' Cygnus cargo craft was un-berthed from the Harmony module Oct. 22 by members of the Expedition 37 crew onboard the station. Cygnus will be commanded to de-orbit to a destructive entry back into Earth's atmosphere on Oct. 23. The second U.S. commercial resupply ship to service the station, Cygnus arrived at the outpost on Sept. 29 in a demonstration flight that was the forerunner for its first full commercial delivery mission later this year of food and supplies to the residents of the orbital complex.</t>
  </si>
  <si>
    <t>eCNevvKevd8</t>
  </si>
  <si>
    <t>2013 10 21</t>
  </si>
  <si>
    <t>https://youtu.be/6ZSQIFMQTKY</t>
  </si>
  <si>
    <t>Announcing the NEW This Week @ NASA   Promo 2</t>
  </si>
  <si>
    <t>New promotional video teases a whole new look and style for This Week at NASA.  You've got time for the new This Week At NASA, daily on NASA Television or at www.nasa.gov/twan-- Premieres this Friday on NASA Television.</t>
  </si>
  <si>
    <t>6ZSQIFMQTKY</t>
  </si>
  <si>
    <t>https://youtu.be/zeyakanQGYA</t>
  </si>
  <si>
    <t>Announcing the NEW This Week @ NASA   Promo 3</t>
  </si>
  <si>
    <t>New promotional video teases a whole new look and style for This Week at NASA.  You've got time for the new This Week At NASA, daily on NASA Television or at www.nasa.gov/twan.</t>
  </si>
  <si>
    <t>zeyakanQGYA</t>
  </si>
  <si>
    <t>https://youtu.be/Qy1Ru9bJHI8</t>
  </si>
  <si>
    <t>Announcing the NEW This Week @ NASA   Promo 1</t>
  </si>
  <si>
    <t>New promotional video teases a whole new look and style for This Week at NASA.  Desktop ... Laptop ... Bus Stop ... with the new This Week At NASA, you've got time for the New This Week at NASA on NASA Television or at www.nasa.gov/twan -- on your device when and where you want!</t>
  </si>
  <si>
    <t>Qy1Ru9bJHI8</t>
  </si>
  <si>
    <t>2013 10 18</t>
  </si>
  <si>
    <t>https://youtu.be/dNhzcMM6j3E</t>
  </si>
  <si>
    <t>Expedition 38 39 Crew Undergoes Final Training Outside Moscow</t>
  </si>
  <si>
    <t>Expedition 38/39 Soyuz Commander Mikhail Tyurin of the Russian Federal Space Agency (Roscosmos), NASA Flight Engineer Rick Mastracchio and Flight Engineer Koichi Wakata of the Japan Aerospace Exploration Agency and their backups, Max Suraev of Roscosmos, Reid Wiseman of NASA and Alexander Gerst of the European Space Agency, conducted final qualification training at the Gagarin Cosmonaut Training Center in Star City, Russia, from Oct. 15-18.  Tyurin, Mastracchio and Wakata are scheduled for a Nov. 7 liftoff, Kazakh time,  in the Soyuz TMA-11M spacecraft to the International Space Station.  Included is an interview with NASA astronaut Suni Williams.</t>
  </si>
  <si>
    <t>dNhzcMM6j3E</t>
  </si>
  <si>
    <t>https://youtu.be/_40duqRlVko</t>
  </si>
  <si>
    <t>Space Station Crew Members Discuss Life in Space with KSTP-TV and the Big Ten Network</t>
  </si>
  <si>
    <t>Aboard the International Space Station, Expedition 37 Flight Engineers Karen Nyberg and Michael Hopkins of NASA provided an update of current events on the orbital laboratory during an interview Oct. 18 with the Minneapolis TV station KSTP and the national sports television network BTN (Big Ten Network). Nyberg and Hopkins are working together on the ISS with  European Space Agency Flight Engineer Luca Parmitano and fellow residents Fyodor Yurchikhin, Oleg Kotov and Sergey Ryazanskiy of the Russian Federal Space Agency.</t>
  </si>
  <si>
    <t>_40duqRlVko</t>
  </si>
  <si>
    <t>2013 10 01</t>
  </si>
  <si>
    <t>https://youtu.be/Xoqesv4Cm68</t>
  </si>
  <si>
    <t>Asteroid Initiative Workshop -- Asteroid Redirection Systems (Part 3 of 3)</t>
  </si>
  <si>
    <t>NASA TV coverage of the asteroid redirection systems session of the NASA-hosted public workshop at the Lunar and Planetary Institute in Houston to examine 96 of the ideas submitted to the recent Request For Information on ways to accomplish the agency's asteroid initiative.</t>
  </si>
  <si>
    <t>Xoqesv4Cm68</t>
  </si>
  <si>
    <t>2013 09 30</t>
  </si>
  <si>
    <t>https://youtu.be/tGhXcGztpI8</t>
  </si>
  <si>
    <t>Asteroid Initiative Workshop -- Asteroid Redirection Systems (Part 2 of 3)</t>
  </si>
  <si>
    <t>tGhXcGztpI8</t>
  </si>
  <si>
    <t>https://youtu.be/INBt1iLJk_Q</t>
  </si>
  <si>
    <t>Asteroid Initiative Workshop -- Asteroid Redirection Systems (Part 1 of 3)</t>
  </si>
  <si>
    <t>INBt1iLJk_Q</t>
  </si>
  <si>
    <t>https://youtu.be/UJRJyljzwTA</t>
  </si>
  <si>
    <t>Asteroid Initiative Workshop -- Plenary Session</t>
  </si>
  <si>
    <t>UJRJyljzwTA</t>
  </si>
  <si>
    <t>2013 09 29</t>
  </si>
  <si>
    <t>https://youtu.be/Hslr5jkR568</t>
  </si>
  <si>
    <t>Recapping the Flight of Cygnus</t>
  </si>
  <si>
    <t>During a news briefing Sunday, Sept. 29 on NASA television and the agency's website, managers from NASA and Orbital Sciences Corporation discussed the arrival at the ISS of Orbital's Cygnus spacecraft -- America's newest space faring resupply ship. Following its 11-day journey to the ISS, Cygnus was grappled and berthed to the orbiting laboratory by astronauts onboard ISS. The Cygnus demonstration mission sets the stage for the start of regular cargo runs to the complex beginning later this year.</t>
  </si>
  <si>
    <t>Hslr5jkR568</t>
  </si>
  <si>
    <t>https://youtu.be/bn3z0MBEUd4</t>
  </si>
  <si>
    <t>Welcome Cygnus!</t>
  </si>
  <si>
    <t>The Orbital Sciences Cygnus spacecraft arrived at the International Space Station Sunday, Sept. 29, after an 11-day journey following its launch atop an Antares rocket Sept. 18 from NASA's Wallops Flight Facility in Virginia. The Cygnus completed a series of validation tests on the demonstration mission that sets the stage for the start of regular cargo runs to the complex beginning later this year.</t>
  </si>
  <si>
    <t>bn3z0MBEUd4</t>
  </si>
  <si>
    <t>2013 09 27</t>
  </si>
  <si>
    <t>https://youtu.be/rZSlwW4eKaA</t>
  </si>
  <si>
    <t>NASA Hispanic Heritage Month Profile -- Jose Lopez , NASA Shared Services Center</t>
  </si>
  <si>
    <t>Jose Lopez is an IT Support Specialist with the Enterprise Service Desk at the NASA Shared Services Center.</t>
  </si>
  <si>
    <t>rZSlwW4eKaA</t>
  </si>
  <si>
    <t>https://youtu.be/E8RMkEmRNlg</t>
  </si>
  <si>
    <t>NASA Hispanic Heritage Month Profile -- Diana Santiago-DeJesus, Glenn Research Center</t>
  </si>
  <si>
    <t>Diana Santiago-DeJesus works as a research materials engineer at NASA Glenn Research Center. The solid oxide fuel cells and nano-materials she works with could be used for airplanes and for space applications because of its lightweight properties.</t>
  </si>
  <si>
    <t>E8RMkEmRNlg</t>
  </si>
  <si>
    <t>https://youtu.be/-DWVgJA7DHs</t>
  </si>
  <si>
    <t>NASA Hispanic Heritage Month Profile -- Fernando Abilleira, Jet Propulsion Laboratory</t>
  </si>
  <si>
    <t>Fernando Abilleira works at NASA's Jet Propulsion Laboratory located in Pasadena, CA where he works as a Trajectory Analyst and Mission Design Engineer for the Mars Exploration Program Office. He has supported multiple flight projects and studies such as the Mars Telecommunications Orbiter, Mars Science Orbiter, Mars Netlanders, Mars Sample Return, and preliminary manned mission to Mars studies among others.</t>
  </si>
  <si>
    <t>-DWVgJA7DHs</t>
  </si>
  <si>
    <t>https://youtu.be/89tYp7O38zs</t>
  </si>
  <si>
    <t>An Out-of-This-World Role</t>
  </si>
  <si>
    <t>When NASA Astronaut Cady Coleman was onboard the International Space Station in 2010-2011, she gave actress Sandra Bullock, who was researching her role as an astronaut for the new movie, "Gravity", some insight about life in space. During a September 16 interview, the two shared some of what they talked about during their long distance chats.</t>
  </si>
  <si>
    <t>89tYp7O38zs</t>
  </si>
  <si>
    <t>2013 09 26</t>
  </si>
  <si>
    <t>https://youtu.be/5Bj8EedBEXQ</t>
  </si>
  <si>
    <t>NASA Astronaut Talks about Space and Science with Students</t>
  </si>
  <si>
    <t>NASA DLN broadcasts are connecting students around the country with the live mission operations being conducted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</si>
  <si>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5Bj8EedBEXQ</t>
  </si>
  <si>
    <t>https://youtu.be/1Bi8-lrg0j4</t>
  </si>
  <si>
    <t>Expedition 37 38 Crew Docks to the Space Station and Talks to Family Back on Earth</t>
  </si>
  <si>
    <t>After launching earlier in the day in their Soyuz TMA-10M spacecraft from the Baikonur Cosmodrome in Kazakhstan, Expedition 37/38 Soyuz Commander Oleg Kotov and Flight Engineer Sergey Ryazanskiy of the Russian Federal Space Agency (Roscosmos), NASA Flight Engineer Michael Hopkins arrived at the International Space Station Sept. 26 after a six-hour rendezvous, docking their craft to the Poisk module on the Russian segment of the complex. A few hours after docking, Kotov, Hopkins and Ryazanskiy opened hatches and were greeted by station Commander Fyodor Yurchikhin of Roscosmos, NASA Flight Engineer Karen Nyberg and Flight Engineer Luca Parmitano of the European Space Agency. As the hatches were opened, the families of the newly arrived crew and American and Russian space officials viewed the activities from Baikonur near the launch site.</t>
  </si>
  <si>
    <t>1Bi8-lrg0j4</t>
  </si>
  <si>
    <t>https://youtu.be/83hBchXALZo</t>
  </si>
  <si>
    <t>Expedition 37 38 Crew Welcomed into the Space Station</t>
  </si>
  <si>
    <t>83hBchXALZo</t>
  </si>
  <si>
    <t>https://youtu.be/AyQMOm1uBVQ</t>
  </si>
  <si>
    <t>Expedition 37 38 Crew Docks to the Space Station</t>
  </si>
  <si>
    <t>After launching earlier in the day in their Soyuz TMA-10M spacecraft from the Baikonur Cosmodrome in Kazakhstan, Expedition 37/38 Soyuz Commander 
Oleg Kotov and Flight Engineer Sergey Ryazanskiy of the Russian Federal Space Agency (Roscosmos), NASA Flight Engineer Michael Hopkins arrived at the International Space Station Sept. 26 after a six-hour rendezvous, docking their craft to the Poisk module on the Russian segment of the complex.</t>
  </si>
  <si>
    <t>AyQMOm1uBVQ</t>
  </si>
  <si>
    <t>2013 09 25</t>
  </si>
  <si>
    <t>https://youtu.be/lCwuqloOpgM</t>
  </si>
  <si>
    <t>ISS Expedition 37 38 Soyuz TMA-10M Pre-Launch, Launch Video and Post-Launch Interviews</t>
  </si>
  <si>
    <t>Expedition 37/38 Soyuz Commander Oleg Kotov and Flight Engineer Sergey Ryazanskiy of the Russian Federal Space Agency (Roscosmos) and NASA Flight Engineer Michael Hopkins launched on the Russian Soyuz TMA-10M spacecraft on Sept. 26, Kazakh time (Sept. 25, U.S. time) from the Baikonur Cosmodrome in Kazakhstan to begin a six-hour journey to the International Space Station. Once aboard, the trio will start a five-and-a-half-month mission, joining station Commander Fyodor Yurchikhin of Roscosmos, NASA Flight Engineer Karen Nyberg and Flight Engineer Luca Parmitano of the European Space Agency, who have been on the station since late May.</t>
  </si>
  <si>
    <t>lCwuqloOpgM</t>
  </si>
  <si>
    <t>https://youtu.be/_Co-YKi5PdY</t>
  </si>
  <si>
    <t>Expedition 37 38 Launches to the International Space Station</t>
  </si>
  <si>
    <t>_Co-YKi5PdY</t>
  </si>
  <si>
    <t>2013 09 24</t>
  </si>
  <si>
    <t>https://youtu.be/o3tOFSHmjVo</t>
  </si>
  <si>
    <t>Expedition 37 38 Crew Meets Officials and Reporters as Launch Approaches</t>
  </si>
  <si>
    <t>Expedition 37/38 Soyuz Commander Oleg Kotov, NASA Flight Engineer Michael Hopkins, Flight Engineer Sergey Ryazanskiy and backup crew members Alexander Skvortsov, Oleg Artemyev and Steve Swanson of NASA appeared before the Russian State Commission on September 24 in Baikonur, Kazakhstan. The commission gave its final approval for the launch of Kotov, Hopkins and Ryazanskiy on September 26, Kazakh time, to the International Space Station. The crew members also conducted a final prelaunch news conference at their Cosmonaut Hotel crew quarters.</t>
  </si>
  <si>
    <t>o3tOFSHmjVo</t>
  </si>
  <si>
    <t>https://youtu.be/lrU_za2T1UI</t>
  </si>
  <si>
    <t>ISS Astronaut Luca Parmitano discusses life in space on BBC's World News</t>
  </si>
  <si>
    <t>Aboard the International Space Station, Expedition 37 Flight Engineer Luca Parmitano of the European Space Agency provided an update on life and research aboard the orbital laboratory during an interview Sept. 24 with the British Broadcasting Corporation's (BBC) "World News" program. Parmitano, who arrived at the station in late May, is in the final two months of his mission, heading for a return to Earth in mid-November</t>
  </si>
  <si>
    <t>lrU_za2T1UI</t>
  </si>
  <si>
    <t>2013 09 23</t>
  </si>
  <si>
    <t>https://youtu.be/B85Zmo5ql-Q</t>
  </si>
  <si>
    <t>NASA Astronaut and Fellow Crew Members Prepare for Soyuz Rocket Launch</t>
  </si>
  <si>
    <t>At the Baikonur Cosmodrome in Kazakhstan, Expedition 37/38 Soyuz Commander Oleg Kotov and Flight Engineer Sergey Ryazanskiy of the Russian Federal Space Agency (Roscosmos) and NASA Flight Engineer Michael  Hopkins conducted their final fit check "dress rehearsal" in their Soyuz TMA-10M spacecraft and conducted other ceremonial activities Sept. 20. The Soyuz spacecraft was mated to its booster rocket on Sept. 22, and moved to the launch  pad on a railcar Sept. 23 for final preparations before launch to the International Space Station on Sept. 26, Kazakh time. The trio will spend five and a half months onboard ISS, joining station Commander Fyodor Yurchikhin of Roscosmos, Flight Engineer Karen Nyberg of NASA and Flight Engineer Luca Parmitano of the European Space Agency. The footage also includes interviews at the launch pad Sept. 23 with Joel Montalbano, Deputy ISS Program Manager, and Ellen Ochoa, Director of the Johnson Space Center.</t>
  </si>
  <si>
    <t>B85Zmo5ql-Q</t>
  </si>
  <si>
    <t>2013 09 20</t>
  </si>
  <si>
    <t>https://youtu.be/-A9lNVCgb3w</t>
  </si>
  <si>
    <t>NASA Curiosity Rover Report -- September 19, 2013</t>
  </si>
  <si>
    <t>-A9lNVCgb3w</t>
  </si>
  <si>
    <t>https://youtu.be/uLM-SrSu2jI</t>
  </si>
  <si>
    <t>Cygnus Launched! On This Week @NASA</t>
  </si>
  <si>
    <t>Orbital Sciences Corporation's Cygnus cargo craft launched aboard the company's Antares rocket from Wallops Flight Facility on a demonstration mission to the International Space Station. The Cygnus demo mission is part of NASA's Commercial Orbital Transportation Services program to develop viable partnerships to resupply the space station. Also, Closing In On Launch, Curiosity Rover Update, Innovation &amp; Tech Day, National Aerospace Week, A New Partner, Business to Business, Hip Hop Physics and more!</t>
  </si>
  <si>
    <t>uLM-SrSu2jI</t>
  </si>
  <si>
    <t>2013 09 19</t>
  </si>
  <si>
    <t>https://youtu.be/8BkaVdSWbHI</t>
  </si>
  <si>
    <t>ISS Crew Closing in on Launch</t>
  </si>
  <si>
    <t>At the Baikonur Cosmodrome in Kazakhstan, Expedition 37/38 Soyuz Commander Oleg Kotov and Flight Engineer Sergey Ryazanskiy of the Russian Federal Space Agency and NASA Flight Engineer Michael Hopkins participated in a variety of activities as they prepared for their launch to the International Space Station on Sept. 26, Kazakh time, in the Soyuz TMA-10M spacecraft.</t>
  </si>
  <si>
    <t>8BkaVdSWbHI</t>
  </si>
  <si>
    <t>https://youtu.be/KbGa9nuE0-0</t>
  </si>
  <si>
    <t>NASA Engineer Talks Space with Students</t>
  </si>
  <si>
    <t>NASA Crew and Thermal Systems Division engineer Heather Paul answers questions from 6th grade students at East Paulding Middle School in Dallas, Georgia during a NASA Digital Learning Network (DLN) interactive broadcast.
NASA DLN broadcasts are connecting students around the country with the live mission operations being conducted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</si>
  <si>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KbGa9nuE0-0</t>
  </si>
  <si>
    <t>2013 09 18</t>
  </si>
  <si>
    <t>https://youtu.be/ZFhL1T5noDc</t>
  </si>
  <si>
    <t>Cygnus Post-launch Briefing</t>
  </si>
  <si>
    <t>During a post-launch news conference, officials from NASA and Orbital Sciences Corporation discussed the launch and mission of Orbital's Antares rocket and Cygnus spacecraft from NASA's Wallops Flight Facility in eastern Virginia. The Cygnus cargo craft is conducting a resupply demonstration mission to the International Space Station.</t>
  </si>
  <si>
    <t>ZFhL1T5noDc</t>
  </si>
  <si>
    <t>https://youtu.be/-s9jXCnL1ig</t>
  </si>
  <si>
    <t>The Launch of Cygnus!</t>
  </si>
  <si>
    <t>Orbital Sciences Corporation's Cygnus cargo craft launched aboard the company's Antares rocket from Wallops Flight Facility on a demonstration mission to the International Space Station. Cygnus is scheduled for a September 22 arrival at the station. The mission is part of NASA's Commercial Orbital Transportation Services program to develop viable partnerships to resupply the space station.</t>
  </si>
  <si>
    <t>-s9jXCnL1ig</t>
  </si>
  <si>
    <t>2013 09 17</t>
  </si>
  <si>
    <t>https://youtu.be/vtJ9PYkAbII</t>
  </si>
  <si>
    <t>Cygnus Mission Previewed</t>
  </si>
  <si>
    <t>During a news conference from Wallops Flight Facility NASA previewed the launch and mission of Orbital Sciences Corporation's Antares rocket and Cygnus spacecraft on a demonstration mission to the International Space Station. The launch is targeted for Wednesday, Sept. 18 between 10:50 to 11:05 a.m. EDT from the Mid-Atlantic Regional Spaceport Pad-0A at NASA's Wallops Flight Facility in eastern Virginia.</t>
  </si>
  <si>
    <t>vtJ9PYkAbII</t>
  </si>
  <si>
    <t>2013 09 13</t>
  </si>
  <si>
    <t>https://youtu.be/prYDgWDXmlQ</t>
  </si>
  <si>
    <t>Voyager in Interstellar Space! On This Week @NASA</t>
  </si>
  <si>
    <t>During a press briefing at NASA headquarters, scientists announced that the Voyager 1 spacecraft has officially left our solar bubble and has reached interstellar space. The Voyager Interstellar Mission (VIM) seeks to extend NASA's exploration of the solar system beyond the outer planets -- to the outer limits of the Sun's sphere of influence, and possibly beyond. Voyager 1 and its twin Voyager 2 were launched 16 days apart in 1977. Also, Off the Earth, For the Earth, Comings and Goings, Flight Of Cygnus, Rockets 2 Racecars, InSight Landing Sites and more!</t>
  </si>
  <si>
    <t>prYDgWDXmlQ</t>
  </si>
  <si>
    <t>https://youtu.be/Lbfjb49skQA</t>
  </si>
  <si>
    <t>Expedition 37 38 Crew Departs for Kazakh Launch Site</t>
  </si>
  <si>
    <t>Expedition 37/38 Soyuz Commander Oleg Kotov and Flight Engineer Sergey Ryazanskiy of the Russian Federal Space Agency (Roscosmos), NASA Flight Engineer Michael Hopkins and their backups, Alexander Skvortsov and Oleg Artemyev of Roscosmos and Steve Swanson of NASA participated in traditional ceremonies at the Gagarin Cosmonaut Training Center in Star City, Russia, outside Moscow on Sept. 13. Afterward, they departed for the Baikonur Cosmodrome in Kazakhstan to complete their training for the launch of Kotov, Hopkins and Ryazanskiy to the International Space Station in the Soyuz TMA-10M spacecraft on Sept. 26, Kazakh time. After arriving in Baikonur, they are scheduled to conduct a series of prelaunch activities over the next two weeks as they prepare for liftoff to the orbital outpost.</t>
  </si>
  <si>
    <t>Lbfjb49skQA</t>
  </si>
  <si>
    <t>2013 09 12</t>
  </si>
  <si>
    <t>https://youtu.be/8Ddt8xnnGGA</t>
  </si>
  <si>
    <t>NASA's Voyager 1 is in Interstellar Space</t>
  </si>
  <si>
    <t>NASA's Voyager 1 spacecraft has traveled beyond our solar bubble and has entered interstellar space.  During a NASA Headquarters briefing, the Voyager team assessing the data determined the craft is in a transitional region immediately outside the solar bubble where some effects from our sun are still evident. New, unexpected data indicate that Voyager 1 has been traveling through the plasma, or ionized gas, that originates in the space between the stars. The spacecraft is now bathed in interstellar plasma, the material ejected from the death of nearby stars millions of years ago.  Speakers on the occasion were - Ed Stone- Voyager project scientist, California Institute of Technology; Don Gurnett - Voyager plasma wave investigation principal investigator, University of Iowa; Suzanne Dodd - Voyager project manager, Jet Propulsion Laboratory; and Gary Zank, physics department chair, University of Alabama in Huntsville.</t>
  </si>
  <si>
    <t>8Ddt8xnnGGA</t>
  </si>
  <si>
    <t>2013 09 11</t>
  </si>
  <si>
    <t>https://youtu.be/OqXOUycHQ08</t>
  </si>
  <si>
    <t>Expedition 36 Returns Safely</t>
  </si>
  <si>
    <t>Expedition 36 Commander Pavel Vinogradov and Flight Engineer Alexander Misurkin of the Russian Federal Space Agency and NASA Flight Engineer Chris Cassidy were  treated to a traditional ceremony at the airport in Karaganda, Kazakhstan, on Sept. 11, hours after landing in their Soyuz TMA-08M spacecraft in Kazakhstan..</t>
  </si>
  <si>
    <t>OqXOUycHQ08</t>
  </si>
  <si>
    <t>https://youtu.be/5yRb0XS3BU4</t>
  </si>
  <si>
    <t>Welcome Home Expedition 36!</t>
  </si>
  <si>
    <t>Expedition 36 Commander Pavel Vinogradov and Flight Engineer Alexander Misurkin of the Russian Federal Space Agency and NASA Flight Engineer Chris Cassidy landed safely on the steppe of Kazakhstan on Sept. 11, local time, after bidding farewell to the Expedition 37 crew and undocking their Soyuz TMA-08M spacecraft from the Poisk module on the International Space Station. The trio completed 166 days in space since launching in late March. They are shown being assisted into reclining chairs by Russian personnel and beginning their adaptation to gravity after they were extracted from their capsule in Kazakhstan.</t>
  </si>
  <si>
    <t>5yRb0XS3BU4</t>
  </si>
  <si>
    <t>https://youtu.be/4we7eUdxoUs</t>
  </si>
  <si>
    <t>Last leg of the Journey</t>
  </si>
  <si>
    <t>After rentering Earth's atmosphere, Expedition 36 Commander Pavel Vinogradov and Flight Engineer Alexander Misurkin of the Russian Federal Space Agency and NASA Flight Engineer Chris Cassidy landed safely on the steppe of Kazakhstan on Sept. 11.  The trio completed 166 days in space.</t>
  </si>
  <si>
    <t>4we7eUdxoUs</t>
  </si>
  <si>
    <t>https://youtu.be/m-MXhNJN9pw</t>
  </si>
  <si>
    <t>The Journey Back Home!</t>
  </si>
  <si>
    <t>During NASA TV Coverage of the Journey Back Home for Expedition 36, The three crew members undocked and departed the International Space Station, ending more than five months in space. The Crew consisted of Commander Pavel Vinogradov and Flight Engineer Alexander Misurkin of the Russian Federal Space Agency (Roscosmos) with NASA Flight Engineer Chris Cassidy</t>
  </si>
  <si>
    <t>m-MXhNJN9pw</t>
  </si>
  <si>
    <t>2013 09 10</t>
  </si>
  <si>
    <t>https://youtu.be/iZE_YzBj2a4</t>
  </si>
  <si>
    <t>Expedition 36  Farewell ISS!</t>
  </si>
  <si>
    <t>Prior to their return to Earth from the International Space Station, Expedition 36 Commander Pavel Vinogradov of the Russian Federal Space Agency, Chris Cassidy of NASA and cosmonaut Alexander Misurkin said goodbye to Expedition 37 Commander Fyodor Yurchikhin, Flight Engineer Karen Nyberg of NASA and Flight Engineer Luca Parmitano of the European Space Agency. Vinogradov, Cassidy and Misurkin spent 166 days aboard the station -- Yurchkikin, Nyberg and Parmitano will be joined later in September by Expedition 37/38 crew members Michael Hopkins of NASA and Oleg Kotov and Sergey Ryazanskiy of Roscosmos.</t>
  </si>
  <si>
    <t>iZE_YzBj2a4</t>
  </si>
  <si>
    <t>2013 09 09</t>
  </si>
  <si>
    <t>https://youtu.be/jhdf5XNfYGs</t>
  </si>
  <si>
    <t>Expedition 36 Hands of the Space Station to Expedition 37</t>
  </si>
  <si>
    <t>The reins of the International Space Station were passed from Expedition 36 Commander Pavel Vinogradov to fellow Russian Federal Space Agency (Roscosmos) cosmonaut and Expedition 37 Commander Fyodor Yurchikhin during a ceremony on the orbital outpost on Sept. 9. Vinogradov and crewmates Chris Cassidy of NASA and Alexander Misurkin of Rosocosmos arrived at the station on March 29 and will land on the steppe of Kazakhstan on Sept. 11 in their Soyuz TMA-08M spacecraft. Yurchikhin, Flight Engineer Karen Nyberg of NASA and Flight Engineer Luca Parmitano of the European Space Agency will be joined on Sept. 26 by Expedition 37/38 crew members Michael Hopkins of NASA and Oleg Kotov and Sergey Ryazanskiy of Roscosmos.</t>
  </si>
  <si>
    <t>jhdf5XNfYGs</t>
  </si>
  <si>
    <t>2013 09 07</t>
  </si>
  <si>
    <t>https://youtu.be/WpLLVxfmpOQ</t>
  </si>
  <si>
    <t>LADEE Launches! On This Week @NASA</t>
  </si>
  <si>
    <t>LADEE, the Lunar Atmosphere and Dust Environment Explorer robotic probe launched Friday night atop an Orbital Sciences Corporation Minotaur V rocket. The first deep space mission from Wallops Flight Facility, LADEE will orbit the moon to collect information about its atmosphere and environmental influences on lunar dust. Data from LADEE will help scientists better understand other planetary bodies in our solar system. Also, Antares Update, Asteroid Ideas Selected, MAVEN's Wings, Next ISS Crew, Testing, Testing!, Lori Garver Farewell, Be Prepared! and more!</t>
  </si>
  <si>
    <t>WpLLVxfmpOQ</t>
  </si>
  <si>
    <t>https://youtu.be/hf0SIRxXvRo</t>
  </si>
  <si>
    <t>LADEE Launches!</t>
  </si>
  <si>
    <t>LADEE, the Lunar Atmosphere and Dust Environment Explorer robotic probe launched Friday night atop an Orbital Sciences Corporation Minotaur V rocket. The first deep space mission from Wallops Flight Facility, LADEE will orbit the moon to collect information about its atmosphere and environmental influences on lunar dust.
Data from LADEE will help scientists better understand other planetary bodies in our solar system.</t>
  </si>
  <si>
    <t>hf0SIRxXvRo</t>
  </si>
  <si>
    <t>2013 09 06</t>
  </si>
  <si>
    <t>https://youtu.be/vrM9rdQyKfw</t>
  </si>
  <si>
    <t>Expedition 37 38 Crew Meets the Media</t>
  </si>
  <si>
    <t>Expedition 37/38 Soyuz Commander Oleg Kotov and Flight Engineer Sergey Ryazanskiy of the Russian Federal Space Agency (Roscosmos), NASA Flight Engineer Michael Hopkins and their backups, Alexander Skvortsov and Oleg Artemyev of Roscosmos and Steve Swanson of NASA, fielded questions from the news media at their training base at the Gagarin Cosmonaut Training Center in Star City, Russia, outside Moscow on Sept. 6 as part of traditional pre-launch activities before their departure Sept. 13 for their launch site in Kazakhstan. Kotov, Hopkins and Ryazanskiy are scheduled to launch to the International Space Station on Sept. 26, Kazakh time.</t>
  </si>
  <si>
    <t>vrM9rdQyKfw</t>
  </si>
  <si>
    <t>https://youtu.be/AEOFoZibesM</t>
  </si>
  <si>
    <t>NASA Administrator message to employees about LADEE launch.</t>
  </si>
  <si>
    <t>NASA Administrator Charles Bolden explains the agency's latest mission to the moon, the Lunar Atmosphere and Dust Environment Explorer (LADEE).</t>
  </si>
  <si>
    <t>AEOFoZibesM</t>
  </si>
  <si>
    <t>2013 09 05</t>
  </si>
  <si>
    <t>https://youtu.be/j0b9DxMSQxw</t>
  </si>
  <si>
    <t>Talking LADEE Science</t>
  </si>
  <si>
    <t>A NASA press briefing broadcast on NASA TV included discussions about the scientific aspects of LADEE, the agency's next lunar mission. The Lunar Atmosphere and Dust Environment Explorer spacecraft will launch from the Mid-Atlantic Regional Spaceport's Pad 0B at NASA's Wallops Flight Facility on September 6 on a mission to orbit our moon and gather detailed information about the structure and composition of the lunar atmosphere and determine if dust is being lofted into the lunar sky. This research will help us better understand other bodies in the solar system.</t>
  </si>
  <si>
    <t>j0b9DxMSQxw</t>
  </si>
  <si>
    <t>https://youtu.be/wpTCa85V22U</t>
  </si>
  <si>
    <t>Closing in on LADEE Launch</t>
  </si>
  <si>
    <t>During a news conference at the Wallops Visitor Center Thursday September 5 and televised on NASA TV, scientists and managers with the LADEE (Lunar Atmosphere and Dust Environment Explorer) mission provided a final pre-launch status of the mission.
LADEE is a robotic mission that will orbit our moon to gather detailed information about the structure and composition of the lunar atmosphere and determine if dust is being lofted into the lunar sky.
This research will help us better understand other bodies in the solar system.</t>
  </si>
  <si>
    <t>wpTCa85V22U</t>
  </si>
  <si>
    <t>https://youtu.be/9dXheNicK4s</t>
  </si>
  <si>
    <t>LADEE Launch Social</t>
  </si>
  <si>
    <t>NASA hosted 50 of it's social media followers on September 5 and 6 for a behind the scenes look at activities leading up to the launch of the agency's Lunar Atmosphere and Dust Environment Explorer (LADEE) mission.
LADEE is a robotic mission that will orbit our moon to gather detailed information about the structure and composition of the thin lunar atmosphere and determine if dust is being lofted into the lunar sky.
A thorough understanding of these characteristics of our nearest celestial neighbor will help researchers understand other bodies in the solar system.</t>
  </si>
  <si>
    <t>9dXheNicK4s</t>
  </si>
  <si>
    <t>https://youtu.be/7TwyPoa18Do</t>
  </si>
  <si>
    <t>Cassidy Recounts His Experiences on ISS</t>
  </si>
  <si>
    <t>Aboard the International Space Station, Expedition 36 Flight Engineer Chris Cassidy of NASA, a native of York, Maine, reminisced about his 5 1/2-month mission on the orbiting laboratory during a pair of in-flight interviews Sept. 5 with WGME-TV, Portland, Maine, and the CBS Radio Network. Cassidy is preparing for his return to Earth on Sept. 11 (Sept. 10, U.S. time) with Expedition 36 Commander Pavel Vinogradov and Flight Engineer Alexander Misurkin, both of the Russian Federal Space Agency, in their Soyuz TMA-08M spacecraft and a parachute-assisted landing on the steppe of south-central Kazakhstan.</t>
  </si>
  <si>
    <t>7TwyPoa18Do</t>
  </si>
  <si>
    <t>2013 09 04</t>
  </si>
  <si>
    <t>https://youtu.be/UKXZlcnUY7A</t>
  </si>
  <si>
    <t>Antares Update</t>
  </si>
  <si>
    <t>A news briefing at Johnson Space Center focused on the upcoming Antares rocket launch from Wallops -- and test flight to the International Space Station of Orbital's Cygnus cargo craft. Launch is scheduled for Tuesday, Sept. 17. The flight is part of NASA' Commercial Orbital Transportation Services Program to develop private and public partnerships for resupply of the ISS.</t>
  </si>
  <si>
    <t>UKXZlcnUY7A</t>
  </si>
  <si>
    <t>https://youtu.be/hIbIKDWQjjw</t>
  </si>
  <si>
    <t>Next ISS Crew Trains</t>
  </si>
  <si>
    <t>Expedition 37/38 Soyuz Commander Oleg Kotov and Flight Engineer Sergey Ryazanskiy of the Russian Federal Space Agency, NASA Flight Engineer Michael Hopkins and their backups, Alexander Skvortsov and Oleg Artemyev of Roscosmos and Steve Swanson of NASA, conducted final Soyuz spacecraft and ISS Russian Segment qualification training at the Gagarin Cosmonaut Training Center in Star City, Russia, on Sept. 3 and 4. The crew members are scheduled to fly to the Baikonur Cosmodrome in Kazakhstan on Sept. 13 to prepare for a Sept. 26 liftoff, Kazakh time, of Kotov, Ryazanskiy and Hopkins.</t>
  </si>
  <si>
    <t>hIbIKDWQjjw</t>
  </si>
  <si>
    <t>https://youtu.be/lYflPJbrys8</t>
  </si>
  <si>
    <t>Bye-Bye HTV!</t>
  </si>
  <si>
    <t>International Space Station astronaut Karen Nyberg of NASA used the Canadarm2 robotic arm to release the Japanese HTV-4 cargo ship on Sept. 4, after its month stay at the orbital outpost. The cargo craft, dubbed "Kounotori" --- the Japanese word for "white stork" --- by the Japan Aerospace Exploration Agency (JAXA), arrived at the station Aug. 9 filled with more than 3 ∏ tons of supplies and spare parts for the crew. It will be commanded to deorbit on Sept. 7, headed for a destructive entry into the Pacific Ocean.</t>
  </si>
  <si>
    <t>lYflPJbrys8</t>
  </si>
  <si>
    <t>2013 08 30</t>
  </si>
  <si>
    <t>https://youtu.be/png7yuYjBRQ</t>
  </si>
  <si>
    <t>LADEE To The Moon and Remembering Gordon Fullerton on This Week @NASA</t>
  </si>
  <si>
    <t>NASA prepares for the launch of the Lunar Atmosphere and Dust Environment Explorer or LADEE probe to the moon.  Also, a new crew of ISS Astronauts meet the Media, and the Spitzer and WISE Telescopes get ready to help in the search for asteroids.  These stories and more on This Week @NASA</t>
  </si>
  <si>
    <t>png7yuYjBRQ</t>
  </si>
  <si>
    <t>2013 08 29</t>
  </si>
  <si>
    <t>https://youtu.be/pQO7CscbpyI</t>
  </si>
  <si>
    <t>NASA Talks Space with Students from McWhirter Elementary School</t>
  </si>
  <si>
    <t>Students from McWhirter Elementary School in Webster Texas will speak with guest NASA Astronaut Nicole Stott while she answers questions from Johnson Space Center during a NASA Digital Learning Network (DLN) interactive broadcast.
NASA DLN broadcasts are connecting students around the country with the live mission operations being conducted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</si>
  <si>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pQO7CscbpyI</t>
  </si>
  <si>
    <t>https://youtu.be/gl8xj_CosKA</t>
  </si>
  <si>
    <t>Headed Back to Space for Expedition 38 Crew Members</t>
  </si>
  <si>
    <t>NASA astronaut Rick Mastracchio and fellow crewmates who are scheduled to travel to the International Space Station in November conduct a news conference from NASA's Johnson Space Center in Houston.
Mastracchio, Koichi Wakata of the Japan Aerospace Exploration Agency, and veteran cosmonaut Mikhail Tyurin of the Russian Federal Space Agency, make up the space station Expedition 38 crew.  This mission will be Koichi Wakata's fourth flight into space and second long-duration mission on the station and in March 2014, he will also become the first Japanese commander of the space station. The mission marks Mikhail Tyurin's third long-duration stay on the space station.
The trio will launch in their Soyuz TMA-11M spacecraft from the Baikonur Cosmodrome in Kazakhstan on Nov. 6. They are scheduled to return to Earth in May 2014.</t>
  </si>
  <si>
    <t>gl8xj_CosKA</t>
  </si>
  <si>
    <t>2013 08 26</t>
  </si>
  <si>
    <t>https://youtu.be/0bjmVGiPlls</t>
  </si>
  <si>
    <t>New Explorers, New Roadmap on This Week @NASA</t>
  </si>
  <si>
    <t>A big week for NASA's newest astronaut candidates ... chosen from more 6-thousand applicants, the group of eight arrived at Johnson Space Center to begin training for future missions and were introduced to the media during a news conference with Administrator Charlie Bolden. The candidates could be some of the first explorers to help NASA and its international partners blaze the trail outlined in the recently announced Global Exploration Roadmap. The roadmap makes clear the U.S. and its international space partners share an interest in pursuing ambitious exploration goals. Also, Commercial Capsule Visit , Captive Carry Test, ISS Spacewalk, Lunar Mission Previewed, Webb Backplane Arrives, Climate Mission Media Day, NASA 905 to Houston and more!</t>
  </si>
  <si>
    <t>0bjmVGiPlls</t>
  </si>
  <si>
    <t>https://youtu.be/RKAxPD9cuQA</t>
  </si>
  <si>
    <t>New Explorers, New Roadmap on This_Week @NASA</t>
  </si>
  <si>
    <t>A big week for NASA's newest astronaut candidates ... chosen from more 6-thousand applicants, the group of eight arrived at Johnson Space Center to begin training for future missions and were introduced to the media during a news conference with Administrator Charlie Bolden. The candidates could be some of the first explorers to help NASA and its international partners blaze the trail outlined in the recently announced Global Exploration Roadmap. The roadmap makes clear the U.S. and its international space partners share an interest in pursuing ambitious exploration goals. Also, Commercial Capsule Visit, ISS Spacewalk, Lunar Mission Previewed, Webb Backplane Arrives, Climate Mission Media Day, NASA 905 to Houston and more!</t>
  </si>
  <si>
    <t>RKAxPD9cuQA</t>
  </si>
  <si>
    <t>2013 08 23</t>
  </si>
  <si>
    <t>https://youtu.be/GS32pRTURdI</t>
  </si>
  <si>
    <t>NASA Remembers Neil Armstrong</t>
  </si>
  <si>
    <t>One year after his death, NASA is remembering Apollo 11 commander Neil Armstrong, the first man to set foot on another world.
As part of the tribute, Grammy-nominated artist Eric Brace, with some video assistance from NASA, honors Armstrong with an original composition, "Tranquility Base."</t>
  </si>
  <si>
    <t>GS32pRTURdI</t>
  </si>
  <si>
    <t>2013 08 22</t>
  </si>
  <si>
    <t>https://youtu.be/hTzo0Lq1-T4</t>
  </si>
  <si>
    <t>NASA Briefing Previews Lunar Mission</t>
  </si>
  <si>
    <t>During a televised news briefing from NASA Headquarters on Thursday, Aug. 22, panelists discussed the agency's next mission to the moon, and the first lunar mission launching from the Virginia coast. NASA's Lunar Atmosphere and Dust Environment Explorer (LADEE) mission is scheduled to launch at 11:27 p.m. Friday, Sept. 6, from NASA's Wallops Flight Facility on Wallops Island, Va. Data from the mission will provide unprecedented information about the environment around the moon and give scientists a better understanding of other planetary bodies in our solar system and beyond.</t>
  </si>
  <si>
    <t>hTzo0Lq1-T4</t>
  </si>
  <si>
    <t>https://youtu.be/-geMqibg1bI</t>
  </si>
  <si>
    <t>Another Walk in Space for Russian Cosmonauts</t>
  </si>
  <si>
    <t>Clad in Russian Orlan spacesuits, Expedition 36 Flight Engineers Fyodor Yurchikhin and Alexander Misurkin conducted their second spacewalk in six days outside the International Space Station to replace a laser communications experiment for a platform upon which a small optical telescope will be mounted in the future and to remove a visual alignment target on the docking port of the Pirs Docking Compartment.</t>
  </si>
  <si>
    <t>-geMqibg1bI</t>
  </si>
  <si>
    <t>2013 08 20</t>
  </si>
  <si>
    <t>https://youtu.be/K9o888As61E</t>
  </si>
  <si>
    <t>NASA Introduces Media to New Astronaut Candidates</t>
  </si>
  <si>
    <t>Eight astronaut candidates who arrived at NASA's Johnson Space Center in Houston this week to begin training participated in a news conference with NASA Administrator Charles Bolden on Tuesday, Aug. 20. The candidates were selected come from the second largest pool of applicants NASA has ever received -- more than 6,000. During the next two years, the group will participate in a variety of technical training activities at space centers and remote locations around the globe to prepare for missions that will help the agency push the boundaries of exploration and travel to new destinations in the solar system.</t>
  </si>
  <si>
    <t>K9o888As61E</t>
  </si>
  <si>
    <t>https://youtu.be/yuJJbx-KcQg</t>
  </si>
  <si>
    <t>Cassidy Shares Experiences in Space with Reporters</t>
  </si>
  <si>
    <t>Aboard the International Space Station, Expedition 36 Flight Engineer Chris Cassidy of NASA discussed his daily activities and research on the orbital laboratory with reporters from the Military Times and NPR affiliate WBUR-FM in Boston during a pair of in-flight interviews Aug. 20. Cassidy, who is a commander in the U.S. Navy, has been aboard the complex since late March.</t>
  </si>
  <si>
    <t>yuJJbx-KcQg</t>
  </si>
  <si>
    <t>2013 08 16</t>
  </si>
  <si>
    <t>https://youtu.be/i2mqGBDQPSQ</t>
  </si>
  <si>
    <t>Space Station Crew Members Take a Walk in Space</t>
  </si>
  <si>
    <t>SPACE STATION CREWMEMBERS TAKE A WALK IN SPACE
Outside the International Space Station, Expedition 36 Flight Engineers Fyodor Yurchikhin and Alexander Misurkin conducted a spacewalk in Russian Orlan spacesuits August 16 to install a panel of experiments on the Poisk module of the Russian segment of the complex and to install cables in advance of the launch of a new Russian laboratory module to the orbital outpost. It was the 172nd spacewalk in support of space station assembly and maintenance, the seventh in Yurchikhin's career and the second for Misurkin. The two cosmonauts, who performed a spacewalk together back in June, will venture outside the Pirs Docking Compartment airlock again on August 22 to install a platform for the future mounting of an optical telescope and to remove an experimental laser-based communications system.</t>
  </si>
  <si>
    <t>i2mqGBDQPSQ</t>
  </si>
  <si>
    <t>https://youtu.be/eIp0zNAXJOY</t>
  </si>
  <si>
    <t>Something New in the Air On This Week @NASA</t>
  </si>
  <si>
    <t>In his keynote address at the Aviation 2013 conference in Los Angeles, NASA Administrator Charlie Bolden shared a new strategic vision for the agency's Aeronautics Research Mission Directorate designed to help address looming challenges in global air transportation. The same day of Bolden's speech ... the Federal Aviation Administration announced a new computer software tool developed by NASA may soon help controllers better manage airline departures. Also, Bolden Briefed on Earth Missions, Martian Moons Eclipse Each Other, Airborne Mission Begins, Russian Spacewalk, Learning for the GLOBAL Environment, ADEPT Heat Protection, Stationary Orion Recovery Test, Dream Chaser Tow Test, Small Sat Conference and more!</t>
  </si>
  <si>
    <t>eIp0zNAXJOY</t>
  </si>
  <si>
    <t>2013 08 14</t>
  </si>
  <si>
    <t>https://youtu.be/4NGyP5j2AJs</t>
  </si>
  <si>
    <t>Space Station Crew Member Discusses Life in Space with the NBC  Today  Show</t>
  </si>
  <si>
    <t>Aboard the International Space Station, Expedition 36 Flight Engineer Karen Nyberg of NASA discussed life and research on the orbital laboratory with the NBC "Today" Show during an in-flight interview on August 14. Nyberg arrived aboard the station in late May and will remain in orbit until her return to Earth aboard a Russian Soyuz spacecraft in mid-November.</t>
  </si>
  <si>
    <t>4NGyP5j2AJs</t>
  </si>
  <si>
    <t>2013 08 12</t>
  </si>
  <si>
    <t>https://youtu.be/hyImXg9iqZU</t>
  </si>
  <si>
    <t>NASA Hangout Focuses on Wildfires and Climate Change</t>
  </si>
  <si>
    <t>Wildfires follow a simple but dangerous equation: Hotter, dryer conditions + more people in the world = a greater likelihood that there will be more ferocious wildfires threatening lives and property. During a Google+ Hangout on Friday, August 9, NASA scientists and other experts discussed changes expected in the coming decades in the trends of wildfires and climate change as temperatures rise, seasons gradually shift and precipitation patterns vary. Rising global temperatures could mean that even areas not accustomed to seeing wildfires could be at risk in the future.</t>
  </si>
  <si>
    <t>hyImXg9iqZU</t>
  </si>
  <si>
    <t>2013 08 09</t>
  </si>
  <si>
    <t>https://youtu.be/VrCeKTPQqts</t>
  </si>
  <si>
    <t>One Year on Mars! On This Week @NASA</t>
  </si>
  <si>
    <t>So what can a planetary rover do with a year on Mars? All NASA's Curiosity rover did was beam back over 190 gigabits of data, more than 36-thousand images and zap 75-thousand-plus laser shots at science targets ... and oh by the way, it also completed the mission's main science goal by finding evidence that life was possible on Mars in the past. The agency celebrated the one year anniversary of Curiosity's landing on Mars with live events from the Jet Propulsion Laboratory -- featuring rover team members. And at NASA Headquarters -- a discussion about how Curiosity and other robotic projects are benefitting future human space exploration. Also, Maven Arrives, Garver Leaving NASA, Great Ball of Fire, Supply Ship Arrives Safely, Carbon Copy, The First Barrel Segment and more!</t>
  </si>
  <si>
    <t>VrCeKTPQqts</t>
  </si>
  <si>
    <t>https://youtu.be/b02_UAo6nGw</t>
  </si>
  <si>
    <t>Japanese Cargo Ship Attached to ISS</t>
  </si>
  <si>
    <t>After being captured with the International Space Station's Canadarm2 robotic arm, controlled by the Expedition 36 crew aboard the ISS, the unpiloted Japanese Kounotori4 H-II Transfer Vehicle, or HTV-4, was installed on the Earth-facing port of the station's Harmony module. It will remain there for about a month while the more than 3 ∏ tons of cargo and experiments it delivered are transferred to the orbital laboratory.</t>
  </si>
  <si>
    <t>b02_UAo6nGw</t>
  </si>
  <si>
    <t>https://youtu.be/bAWo0HjUyOc</t>
  </si>
  <si>
    <t>Japanese Cargo Ship Arrives at ISS</t>
  </si>
  <si>
    <t>Six days after launching from the Tanegashima Space Center in southern Japan, the unpiloted Japanese Kounotori4 H-II Transfer Vehicle, or HTV-4, met up with The International Space Station and was captured by the Expedition 36 crew aboard the ISS, using the station's Canadarm2 robotic arm. The HTV-4 was launched with more than 3 1/2 tons of cargo and experiments for delivery to the ISS.</t>
  </si>
  <si>
    <t>bAWo0HjUyOc</t>
  </si>
  <si>
    <t>2013 08 08</t>
  </si>
  <si>
    <t>https://youtu.be/yLapSXvNbI8</t>
  </si>
  <si>
    <t>NASA Spacesuit Engineer Talks Space with Students</t>
  </si>
  <si>
    <t>NASA Spacesuit Engineer Heather Paul answers questions from 4th and 5th  grade campers at the Durango Discovery Museum in Durango, Colorado during a NASA Digital Learning Network (DLN) interactive broadcast.
NASA DLN broadcasts are connecting students around the country with the live mission operations being conducted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</si>
  <si>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yLapSXvNbI8</t>
  </si>
  <si>
    <t>2013 08 06</t>
  </si>
  <si>
    <t>https://youtu.be/dOG1O-XqA9A</t>
  </si>
  <si>
    <t>Robots, Humans and Future Exploration</t>
  </si>
  <si>
    <t>During a public event at NASA Headquarters, televised on NASA TV, agency officials and crew members aboard the International Space Station celebrated the one year anniversary of The Mars Curiosity Rover's landing on Mars and discussed how its activities and other robotic projects are helping prepare for a human mission to Mars and an asteroid.</t>
  </si>
  <si>
    <t>dOG1O-XqA9A</t>
  </si>
  <si>
    <t>https://youtu.be/CP3cud3QIaM</t>
  </si>
  <si>
    <t>A Year of Curiosity on Mars</t>
  </si>
  <si>
    <t>Curiosity Rover team members at NASA's Jet Propulsion Laboratory (JPL) in Pasadena, Calif., re-live the dramatic Aug. 6, 2012 landing and the mission's achievements to date in an event aired on NASA Television and the agency's website. In the year since inspiring millions of people worldwide with its one-of-a-kind landing in a crater on the Red Planet, Curiosity has achieved its primary scientific objective; finding evidence that ancient Mars could have sustained microbial life and has returned invaluable scientific data and images.</t>
  </si>
  <si>
    <t>CP3cud3QIaM</t>
  </si>
  <si>
    <t>2013 08 05</t>
  </si>
  <si>
    <t>https://youtu.be/3_MjqizDNec</t>
  </si>
  <si>
    <t>Parmitano Discusses Life in Space With Italian Journalists</t>
  </si>
  <si>
    <t>Aboard the International Space Station, Expedition 36 Flight Engineer Luca Parmitano of the European Space Agency discussed life and research on the orbital laboratory and his recent spacewalks with members of the Italian media during an in-flight question and answer session Aug. 5. Parmitano arrived to the station in late May and will remain in orbit until mid-November.</t>
  </si>
  <si>
    <t>3_MjqizDNec</t>
  </si>
  <si>
    <t>https://youtu.be/QqwtV9k3zOc</t>
  </si>
  <si>
    <t>NASA's Curiosity Rover Marks One Year on Mars  Tuesday on NASA TV</t>
  </si>
  <si>
    <t>Curiosity team members at NASA's Jet Propulsion Laboratory (JPL) in Pasadena, Calif., will share remembrances about the dramatic landing and the never-before-tried mission details. The event will air on NASA Television and the agency's website from 10:45 a.m. to noon EDT (7:45 to 9 a.m. PDT) on Tuesday, Aug. 6.
Immediately following that program, from noon to 1:30 p.m., NASA TV will carry a live public event from NASA Headquarters in Washington and will feature NASA officials and crew members aboard the International Space Station as they observe and discuss the rover anniversary and how its activities and other robotic projects are helping prepare for a human mission to Mars and an asteroid.
Social media followers may submit questions on Twitter and Google+ in advance and during the event using the hashtag #askNASA.</t>
  </si>
  <si>
    <t>QqwtV9k3zOc</t>
  </si>
  <si>
    <t>2013 08 03</t>
  </si>
  <si>
    <t>https://youtu.be/VP7izZhhE9A</t>
  </si>
  <si>
    <t>A new visitor launches for the International Space Station</t>
  </si>
  <si>
    <t>The Japan Aerospace Exploration Agency's (JAXA) HTV-4 Transfer Vehicle launched from the Tanegashima Space Center in Japan for a rendezvous with the International Space Station.  Once there, the HTV-4 will deliver 3.6 tons of dry cargo, water, experiments and spare parts to the International Space Station. Unlike a Russian Progress vehicle which docks automatically, the HTV-4 will be captured by the Canadarm2 and berthed to the Harmony module.  The cargo spacecraft will be commanded to fly within about 40 feet and then hold where Flight Engineer Karen Nyberg will operate the Canadarm2 during the approach and rendezvous of the space stations latest visitor.</t>
  </si>
  <si>
    <t>VP7izZhhE9A</t>
  </si>
  <si>
    <t>2013 08 02</t>
  </si>
  <si>
    <t>https://youtu.be/IXZccFhshZs</t>
  </si>
  <si>
    <t>DC Celebrates Curiosity on This Week @NASA</t>
  </si>
  <si>
    <t>Celebration, when the Curiosity Rover safely found the surface of Mars on August 6, 2012 ... and celebration this week on Capitol Hill as NASA and members of Congress mark the one year anniversary of the Martian landing and showcase the ways the rover is helping us get to know Mars. During another event to celebrate Curiosity at the Eisenhower Executive Office Building, members of the Curiosity team presented White House officials with a replica of the plaque flown on the mission and signed by the President. Curiosity's landing ignited a new generation of excitement which grew even more when the rover found evidence that Mars could've sustained life in the past. NASA and the rest of Earth looks forward to future finds on Mars from Curiosity and other missions. Also, Bolden Visits Wallops, Asteroid Mission Formulation Review, Following The Water, Preparing For Tomorrow, SLS Design Gets "OK", NASA Gets New Chief Scientist, X-Ray Eclipse, Commercial Crew Industry Day, Train Like An Astronaut, Promoting Stem &amp; Safety and more!</t>
  </si>
  <si>
    <t>IXZccFhshZs</t>
  </si>
  <si>
    <t>https://youtu.be/Z85H-vnvh0o</t>
  </si>
  <si>
    <t>Space Station Crew Discusses Life in Space with Minnesota Media and the Navy</t>
  </si>
  <si>
    <t>Aboard the International Space Station, Expedition 36 Flight Engineers Karen Nyberg and Chris Cassidy of NASA discussed their work aboard the orbiting laboratory during a series of in-flight interviews Aug. 2 with Minnesota Public Radio and the U.S. Navy's Emerging Media Division. Nyberg, who is a native of Vining, Minn., arrived on the station in late May and will remain in orbit until her return to Earth in mid-November. Cassidy, who is a Navy Commander and a Navy SEAL, arrived on the complex in late March and will return home in mid-September.</t>
  </si>
  <si>
    <t>Z85H-vnvh0o</t>
  </si>
  <si>
    <t>2013 07 31</t>
  </si>
  <si>
    <t>https://youtu.be/vyeL_Yx-zcM</t>
  </si>
  <si>
    <t>Space Station Crew Member Discusses Life in Space and Scientific Research</t>
  </si>
  <si>
    <t>Aboard the International Space Station, Expedition 36 Flight Engineer Luca Parmitano of the European Space Agency (ESA) discussed the progress of his mission and his recent spacewalks with Italian television network TG1 during an in-flight interview July 31, then provided his thoughts on space station-based research during a question and answer session with ESA representatives. Parmitano arrived at the orbiting laboratory in late May and will remain in orbit until his return to Earth in mid-November.</t>
  </si>
  <si>
    <t>vyeL_Yx-zcM</t>
  </si>
  <si>
    <t>2013 07 28</t>
  </si>
  <si>
    <t>https://youtu.be/yxpfBqp0fKw</t>
  </si>
  <si>
    <t>New Cargo Ship, New Supplies for ISS</t>
  </si>
  <si>
    <t>The Russian ISS Progress 52 cargo ship, loaded with almost three tons of food, fuel and supplies for the Expedition 36 crew members, docked to the Pirs Docking Compartment at the International Space Station just six hours after its launch from the Baikonur Cosmodrome in Kazakhstan. The Progress craft is expected to remain docked to Pirs for at least the next five months.</t>
  </si>
  <si>
    <t>yxpfBqp0fKw</t>
  </si>
  <si>
    <t>2013 07 27</t>
  </si>
  <si>
    <t>https://youtu.be/LX9mspttL-c</t>
  </si>
  <si>
    <t>New Cargo Ship Heads to the ISS</t>
  </si>
  <si>
    <t>The Russian ISS Progress 52 cargo ship, loaded with almost three tons of food, fuel and supplies for the six Expedition 36 crew members, launched from the Baikonur Cosmodrome in Kazakhstan on July 27 EDT for a planned six-hour trip to the International Space Station. The unpiloted Progress will spend at least five months linked to the orbital outpost.</t>
  </si>
  <si>
    <t>LX9mspttL-c</t>
  </si>
  <si>
    <t>2013 07 26</t>
  </si>
  <si>
    <t>https://youtu.be/eC9gfgB6Ft4</t>
  </si>
  <si>
    <t>A Remote Possibility on This Week @NASA</t>
  </si>
  <si>
    <t>During a test of NASA's Human Exploration Telerobotics Project, astronaut Luca Parmitano, aboard the International Space Station remotely controlled a robotic planetary rover, called K-10 across the terrain at Ames Research Center's Roverscape. The project is a demonstration of how astronauts in space can control robots on the ground for future exploration missions. Also,  Wave at Saturn ,Making Tracks on Mars!, IRIS Open, A Box Office Hit!, Tech on the Hill, The Ring Fits, Only Two Chutes?, Spacecraft Fit Check, Newspace 2013, N.E.X.T. for Space Travel, Let's Talk S.T.E.M., Celebrating Sally , and more!</t>
  </si>
  <si>
    <t>eC9gfgB6Ft4</t>
  </si>
  <si>
    <t>https://youtu.be/lOtuK7qTGrg</t>
  </si>
  <si>
    <t>The N.E.X.T. Thing for Space Travel</t>
  </si>
  <si>
    <t>The NASA Evolutionary Xenon Thruster or NEXT is an advanced Ion propulsion system developed at Glenn Research Center. Its unmatched fuel efficiency could give a real boost to future deep space exploration missions -- extending the reach of NASA science missions and yielding a higher return on scientific research.</t>
  </si>
  <si>
    <t>lOtuK7qTGrg</t>
  </si>
  <si>
    <t>2013 07 25</t>
  </si>
  <si>
    <t>https://youtu.be/RaBeeZJI6c8</t>
  </si>
  <si>
    <t>Cargo Ship Leaves ISS</t>
  </si>
  <si>
    <t>The Russian ISS Progress 50 cargo ship, which arrived at the International Space Station in February, undocked from the complex July 25. The cargo craft, which delivered almost three tons of food, fuel and supplies for the station crew members, departed the station and later burned up in Earth's atmosphere over the Pacific Ocean.</t>
  </si>
  <si>
    <t>RaBeeZJI6c8</t>
  </si>
  <si>
    <t>https://youtu.be/dT26heNtCL8</t>
  </si>
  <si>
    <t>ISS Astronauts Discuss Mission with the Media</t>
  </si>
  <si>
    <t>Expedition 36 Flight Engineers Chris Cassidy and Karen Nyberg of NASA discussed their life and research aboard the International Space Station with the Washington Post's "On Background" online program and with the Portland Press Herald from Cassidy's home state of Maine during a pair of in-flight interviews on July 25. The two astronauts are part of a six-person crew orbiting Earth at an altitude of almost 260 statute miles. Cassidy is due to return to Earth in mid-September while Nyberg will remain aloft until mid-November.</t>
  </si>
  <si>
    <t>dT26heNtCL8</t>
  </si>
  <si>
    <t>2013 07 23</t>
  </si>
  <si>
    <t>https://youtu.be/BQ2E_cUvoIo</t>
  </si>
  <si>
    <t>Hangout to Celebrate Sally Ride</t>
  </si>
  <si>
    <t>NASA, Sally Ride Science and Google in Education celebrated role model and space pioneer Sally Ride during a Google+ Hangout. The event on July 23 marked one year since Sally Ride's passing. Ride impacted millions as the first female American astronaut in space and as an advocate of STEM education.</t>
  </si>
  <si>
    <t>BQ2E_cUvoIo</t>
  </si>
  <si>
    <t>https://youtu.be/JPM0hAxlR5s</t>
  </si>
  <si>
    <t>Hangout for Hurricane Research</t>
  </si>
  <si>
    <t>Several NASA Centers teamed up to host a Google+ Hangout andrap about the flight of the agency's next Hurricane and Severe Storm Sentinel, or HS3 mission. The five-year project first took to the field in 2012 from NASA's Wallops Flight Facility in Virginia. HS3 uses two NASA Global Hawk aircraft to study hurricanes in the Atlantic basin.</t>
  </si>
  <si>
    <t>JPM0hAxlR5s</t>
  </si>
  <si>
    <t>https://youtu.be/0aAvVZKSGr8</t>
  </si>
  <si>
    <t>Luca Talks with European Engineers from Space</t>
  </si>
  <si>
    <t>Expedition 36 Flight Engineer Luca Parmitano of the European Space Agency discussed the progress of research aboard the International Space Station during an in-flight conversation with European industry leaders gathered for a conference July 23 at the Advanced Logistics Technical Engineering Center in Turin, Italy. Parmitano arrived at the complex in late May and is scheduled to remain in orbit until he returns to Earth in mid-November.</t>
  </si>
  <si>
    <t>0aAvVZKSGr8</t>
  </si>
  <si>
    <t>2013 07 19</t>
  </si>
  <si>
    <t>https://youtu.be/NY6gn-RCtA0</t>
  </si>
  <si>
    <t>A Leaky Spacewalk on This Week @NASA</t>
  </si>
  <si>
    <t>A spacewalk on July 16 that was supposed to be about a six-and-a-half hour affair for Chris Cassidy and Luca Parmitano ended -- just an hour-32 minutes in, after Luca's helmet began to fill with water. Parmitano's OK and a re-do of the spacewalk, to prep the ISS for a new Russian module, is being evaluated. Also, Spacewalk Show and Tell, Future Space 2013, Neptune's New Moon, A Fit Hangout, Virtual Aviation Solutions, Tech, Up There and more!</t>
  </si>
  <si>
    <t>NY6gn-RCtA0</t>
  </si>
  <si>
    <t>https://youtu.be/MJwzpfbS5OU</t>
  </si>
  <si>
    <t>Space Station Crew Member Discusses Life in Space With Italy's Prime Minister</t>
  </si>
  <si>
    <t>Orbiting the Earth at 230 Miles or 370 Kilometers is the International Space Station, where Expedition 36 Flight Engineer Luca Parmitano of the European Space Agency, discussed life and research on the orbital laboratory with Italian Prime Minister Enrico Letta during an in-flight call on July 19. Parmitano, who became the first Italian astronaut to conduct a spacewalk this month, arrived on the complex in late May and is due to return to Earth in mid-November.</t>
  </si>
  <si>
    <t>MJwzpfbS5OU</t>
  </si>
  <si>
    <t>2013 07 18</t>
  </si>
  <si>
    <t>https://youtu.be/o9nVJqD0rHM</t>
  </si>
  <si>
    <t>Space Station Crew Discusses Life in Space with News Media Representatives</t>
  </si>
  <si>
    <t>Aboard the International Space Station, Expedition 36 Flight Engineers Chris Cassidy and Karen Nyberg of NASA and Luca Parmitano of the European Space Agency fielded questions about life and research on the orbital laboratory with reporters from KGO-TV in San Francisco and WDAY-TV in Fargo, N.D., during a pair of in-flight interviews July 18. Cassidy has been aboard the outpost since late March and is due to return to Earth in mid-September while Nyberg and Parmitano arrived on the station in late May and will remain in orbit until mid-November.</t>
  </si>
  <si>
    <t>o9nVJqD0rHM</t>
  </si>
  <si>
    <t>https://youtu.be/wMEGXAvO4kw</t>
  </si>
  <si>
    <t>NASA Agency Honor Awards</t>
  </si>
  <si>
    <t>wMEGXAvO4kw</t>
  </si>
  <si>
    <t>https://youtu.be/K735zeXfd2U</t>
  </si>
  <si>
    <t>Astronaut Mike Hopkins, Next Station Crew Meet Media</t>
  </si>
  <si>
    <t>The next International Space Station crew, NASA astronaut Mike Hopkins and Russian cosmonauts Oleg Kotov and Sergey Ryazanskiy, at the agency's Johnson Space Center in Houston.</t>
  </si>
  <si>
    <t>K735zeXfd2U</t>
  </si>
  <si>
    <t>2013 07 17</t>
  </si>
  <si>
    <t>https://youtu.be/cl1l76SSK90</t>
  </si>
  <si>
    <t>Students visiting Seattle's Museum of Flight chat with International Space Station Controller</t>
  </si>
  <si>
    <t>Future Aerospace students had the opportunity to speak live with an International Space Station Mission Controller at the Johnson Space Center via satellite with Seattle Washington's Museum of Flight.  During the collaborative event between Destination Station, a traveling exhibit and the Aerospace Camp Experience and NASA, the students of various elementary, middle school and high schools had the opportunity to ask questions about living and working in space.
NASA DLN broadcasts are connecting students around the country with the live mission operations being conducted by the International Space Station Flight Control Team. Typically, ISS flight controllers, astronauts and scientists answer student's questions about living and working in space including experiments  and science related projects, how the Houston mission control center operates, and a wealth of other topics related to Technology, Engineering, and Mathematics.</t>
  </si>
  <si>
    <t>cl1l76SSK90</t>
  </si>
  <si>
    <t>2013 07 16</t>
  </si>
  <si>
    <t>https://youtu.be/7YpCXpkn4Vo</t>
  </si>
  <si>
    <t>NASA Managers Brief Media on Spacewalk Leak</t>
  </si>
  <si>
    <t>During a news conference carried live on NASA Television, NASA managers at Johnson Space Center discussed the water leak that occurred inside the helmet of European Space Agency astronaut Luca Parmitano during the July 16 spacewalk outside the International Space Station. 
Parmitano and NASA astronaut Chris Cassidy were more than an hour into the spacewalk when Parmitano reported a buildup of water inside his helmet. Flight Director David Korth ended the spacewalk early at the 1-hour, 32-minute mark into the planned 6 1/2 hour excursion.</t>
  </si>
  <si>
    <t>7YpCXpkn4Vo</t>
  </si>
  <si>
    <t>https://youtu.be/QJfTjoR_22g</t>
  </si>
  <si>
    <t>Space Station Spacewalk Ended Early for Malfunction</t>
  </si>
  <si>
    <t>Outside the International Space Station, a spacewalk by Expedition 36 Flight Engineers Chris Cassidy of NASA and Luca Parmitano of the European Space Agency was cut short July 16 after Parmitano reported a buildup of water in the helmet of his U.S. spacesuit. The spacewalk, which lasted only 1 hour and 32 minutes, was the second by the duo in as many weeks, designed to continue rigging cables for the future arrival of a Russian laboratory module and to conduct other maintenance work. The two spacewalkers completed only one task each before the excursion was ordered to end early. Parmitano was never in any danger and none of the tasks scheduled on the spacewalk were considered urgent or time-critical. It was the sixth spacewalk in Cassidy's career and the second for Parmitano.</t>
  </si>
  <si>
    <t>QJfTjoR_22g</t>
  </si>
  <si>
    <t>https://youtu.be/_LbX8wRTWvc</t>
  </si>
  <si>
    <t>Astronaut Tom Marshburn Takes Questions From Kids at the Newseum</t>
  </si>
  <si>
    <t>The Newseum hosted NASA astronaut Tom Marshburn for a Q&amp;A event with children while Expedition 36 Flight Engineers Chris Cassidy of NASA and Luca Parmitano of the European Space Agency venture outside the International Space Station for a six and a half hour space walk to prepare for the new Russian Nauka module. .  Marshburn is the most recent astronaut to perform a spacewalk and return back to Earth and was able to answer questions during the actual EVA and drew upon his more than 24 hours of spacewalks, including his successful efforts to repair an ammonia leak outside the space station.  In the audience were school age children including high school students, aspiring to careers in journalism, attending the Al Neuharth Free Spirit and Journalism Conference at the Newseum.</t>
  </si>
  <si>
    <t>_LbX8wRTWvc</t>
  </si>
  <si>
    <t>2013 07 12</t>
  </si>
  <si>
    <t>https://youtu.be/ataNExfunPw</t>
  </si>
  <si>
    <t>NASA Mars Curiosity Rover Report -- July 11, 2013</t>
  </si>
  <si>
    <t>ataNExfunPw</t>
  </si>
  <si>
    <t>https://youtu.be/LWMoaT0nRXM</t>
  </si>
  <si>
    <t>Station Spacewalk on This Week @NASA</t>
  </si>
  <si>
    <t>Outside the International Space Station, Expedition 36 Flight Engineers Chris Cassidy of NASA and Luca Parmitano of the European Space Agency conducted a 6-hour, 7-minute spacewalk July 9 to replace a communications receiver, relocate grapple bars for future spacewalks and install cables for a future Russian laboratory module. The spacewalk was the fifth for Cassidy and the first for Parmitano, who became the first Italian astronaut to walk in space. Also, Curiosity Rover Update, Mars 2020 Report, Target NEO 2 Workshop, Green Propellant, Bolden at Goddard, Rocket Engine Injector Tested, Game Changing Cryo Fuel Tank, The Solar System's Tail and more!</t>
  </si>
  <si>
    <t>LWMoaT0nRXM</t>
  </si>
  <si>
    <t>https://youtu.be/spKVThL6pRg</t>
  </si>
  <si>
    <t>Space Station Crewmember Discusses His First Spacewalk with Italian Reporters</t>
  </si>
  <si>
    <t>Aboard the International Space Station, Expedition 36 Flight Engineer Luca Parmitano of the European Space Agency fielded questions from Italian reporters during an in-flight media conference July 12. The questions focused on his work during a spacewalk outside the orbital laboratory with Flight Engineer Chris Cassidy of NASA on July 9. Parmitano became the first Italian astronaut to walk in space during the 6 hour, 7 minute excursion in which he and Cassidy replaced a failed KU-band communications controller, rigged cables for the future arrival of a Russian laboratory module and retrieved a pair of materials science experiments from the station's truss. It was the first spacewalk for Parmitano, who will venture outside the station with Cassidy again on July 16 for a second excursion aimed at assembly and maintenance tasks.</t>
  </si>
  <si>
    <t>spKVThL6pRg</t>
  </si>
  <si>
    <t>2013 07 11</t>
  </si>
  <si>
    <t>https://youtu.be/lozXsrvgfTY</t>
  </si>
  <si>
    <t>NASA Astronaut Talks Space with Students</t>
  </si>
  <si>
    <t>NASA Astronaut Dottie Metcalf-Lindenburger answers questions from 11th grade student participants of the NASA Women in STEM High School Aerospace Scholars program at Johnson Space Center during a NASA Digital Learning Network (DLN) interactive broadcast.
NASA DLN broadcasts are connecting students around the country with the live mission operations being conducted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</si>
  <si>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lozXsrvgfTY</t>
  </si>
  <si>
    <t>2013 07 09</t>
  </si>
  <si>
    <t>https://youtu.be/t9Q4E1oILqs</t>
  </si>
  <si>
    <t xml:space="preserve"> Grab Bag  of Tasks Performed During ISS Spacewalk</t>
  </si>
  <si>
    <t>Outside the International Space Station, Expedition 36 Flight Engineers Chris Cassidy of NASA and Luca Parmitano of the European Space Agency conducted a spacewalk July 9 to replace a failed communications receiver, relocate grapple bars for future spacewalks and string cables for the future arrival of a Russian laboratory module. The spacewalk was the first of two in as many weeks for Cassidy and Parmitano, who became the first Italian astronaut to walk in space and the 170th spacewalk in support of space station assembly and maintenance. Cassidy now has conducted five spacewalks in his career. They will venture outside the Quest airlock again on July 16 for another series of tasks associated with the upgrade of station hardware.</t>
  </si>
  <si>
    <t>t9Q4E1oILqs</t>
  </si>
  <si>
    <t>2013 07 05</t>
  </si>
  <si>
    <t>https://youtu.be/MMwe7P05_DE</t>
  </si>
  <si>
    <t>July Spacewalks Previewed on This Week @NASA</t>
  </si>
  <si>
    <t>Expedition 36 Flight Engineers Chris Cassidy of NASA and Luca Parmitano of the European Space Agency will venture outside the International Space Station twice in July on spacewalks to prepare for a new Russian module and perform additional installations on the station's backbone. The EVA's, scheduled for July 9 and July 16, were previewed for the media during a briefing at the Johnson Space Center. NASA TV coverage of the spacewalks will begin at 7 a.m. on both days. Also, Cosmic Fireworks,
Planetary Probe Workshop, Student Spaceflight Experiments, Supersonic Airfoil, Pluto's New Moons Named and more!</t>
  </si>
  <si>
    <t>MMwe7P05_DE</t>
  </si>
  <si>
    <t>2013 07 03</t>
  </si>
  <si>
    <t>https://youtu.be/k6XjtPs1SX8</t>
  </si>
  <si>
    <t>NASA Astronaut Chats from Space with Home State Media</t>
  </si>
  <si>
    <t>Aboard the International Space Station, Expedition 36 Flight Engineer Karen Nyberg, a native of Vining, Minn., discussed life and research on the orbital laboratory with KMSP-TV in Minneapolis during an in-flight interview on July 3. Nyberg arrived on the station in late May and will remain in orbit until mid-November.</t>
  </si>
  <si>
    <t>k6XjtPs1SX8</t>
  </si>
  <si>
    <t>2013 07 02</t>
  </si>
  <si>
    <t>https://youtu.be/S2xIo9CVzg4</t>
  </si>
  <si>
    <t>New Spacewalk Brief for ISS Expedition 36</t>
  </si>
  <si>
    <t>Space Station Flight Director David Korth and Spacewalk Leads Ernie Bell and Karina Eversley discuss upcoming Expedition 36 EVA's or Extra Vehicular Activities to occur on July 9 and July 16 and perform a number of different servicing tasks on the US Segment and route cables for the future Nauka MLM Module.  Some of the topics covered will be the tasks and difficulty of each Spacewalk and what is generally needed to conduct each one safely.  International Space Station Expedition 36 is a four-month ISS mission dedicated to science operations with a particular focus on Earth and Space Science, Physical Science, Technology, Biology and Biotechnology, Human Research and Educational and Cultural Activities.</t>
  </si>
  <si>
    <t>S2xIo9CVzg4</t>
  </si>
  <si>
    <t>2013 07 01</t>
  </si>
  <si>
    <t>https://youtu.be/R74jUezvfAI</t>
  </si>
  <si>
    <t>IRIS Mission Underway on This Week @NASA</t>
  </si>
  <si>
    <t>NASA's Interface Region Imaging Spectrograph or IRIS mission is underway. IRIS was air-launched on an Orbital Sciences Corporation Pegasus rocket 39,000 feet above the Pacific Ocean near Vandenberg Air Force Base in California. The NASA Small Explorer Mission will observe how solar material moves, gathers energy and heats up as it travels through a little-understood region in the sun's lower atmosphere. Also, Atlantis Unveiled, 10,00th Near Earth Object, SLS Vertical Weld Center, Human Spaceflight Update, Spacewalk Prepares ISS for New Module, Accelerating ISS Science, A HUNCH for STEM, Rocket Week 2013 and more!</t>
  </si>
  <si>
    <t>R74jUezvfAI</t>
  </si>
  <si>
    <t>2013 06 29</t>
  </si>
  <si>
    <t>https://youtu.be/FdKWe9_OPTs</t>
  </si>
  <si>
    <t>New Space Shuttle Atlantis Exhibit Unveiled at Kennedy Space Center Visitor Center</t>
  </si>
  <si>
    <t>A massive 184 foot replica orange fuel tank with twin solid boosters stands over a newly unvieled Space Shuttle Atlantis exhibit just miles from where it was launched thirty-three times into orbit.  With Cargo bay doors opened and on a forty-three degree slant to allow visitors to peer where only astronauts ans engineers once could, the $100 million dollar exhibition gives on lookers a near 360 viewing experience as never before.  Accompaniong Space Shutttle Atlantis is a life-size model of the Hubble Telescope, mock shuttle interiors, an EVA suit and other exhibits that tell the story of NASA's Atlantis and how it helped shape space history.   In attendance was NASA Administrator Charlie Bolden and KSC Director Bob Cabana, both previous shuttle astronauts, and other community leaders and guests.</t>
  </si>
  <si>
    <t>FdKWe9_OPTs</t>
  </si>
  <si>
    <t>2013 06 28</t>
  </si>
  <si>
    <t>https://youtu.be/xhP6AeBm2rg</t>
  </si>
  <si>
    <t>Astronaut Discusses Spaceflight and Family with Media</t>
  </si>
  <si>
    <t>From onboard the International Space Station, Expedition 36 Flight Engineer Karen Nyberg of NASA discussed her work, what inspired her to become an astronaut and her family during in-flight media events with the CBS "This Morning" news program and CNN.com's "Leading Women" website on June 28. Nyberg, a native of Vining, Minn., arrived at the orbital laboratory in late May and will return to Earth in mid-November.</t>
  </si>
  <si>
    <t>xhP6AeBm2rg</t>
  </si>
  <si>
    <t>https://youtu.be/G5MmTI3Qr8o</t>
  </si>
  <si>
    <t>Latest Solar Mission Launched on NASA TV</t>
  </si>
  <si>
    <t>NASA Television provided live launch coverage of the Interface Region Imaging Spectrograph, or IRIS mission on June 26, from Vandenberg Air Force Base in California.
IRIS is a NASA Small Explorer Mission to observe the characteristics of solar material as it moves through the little-understood interface region between the sun's photosphere and corona that powers the sun's million-degree atmosphere and drives the solar wind.
IRIS was air-launched on an Orbital Sciences Corporation Pegasus rocket.</t>
  </si>
  <si>
    <t>G5MmTI3Qr8o</t>
  </si>
  <si>
    <t>2013 06 27</t>
  </si>
  <si>
    <t>https://youtu.be/wRn_8bGvvMM</t>
  </si>
  <si>
    <t>NASA Observes LGBT Month with Randy Herrera</t>
  </si>
  <si>
    <t>JPL Project Systems Engineer Randy Herrera speaks about his personal experiences and pride in his contribution to NASA. Herrera focuses partially on his work at the Cold Atom Laboratory as well as his personal side as being a member of the LGBT community and membership within JPL's Spectrum organization recognizing fellow LGBT associates. 
NASA supports and encourages an inclusive, diverse workforce in our workplace.</t>
  </si>
  <si>
    <t>wRn_8bGvvMM</t>
  </si>
  <si>
    <t>https://youtu.be/x2Yxwg15gz8</t>
  </si>
  <si>
    <t>NASA Observes LGBT Month with Robert Hurt</t>
  </si>
  <si>
    <t>Visualization Scientist for the Spitzer Mission, Robert Hurt, reflects on how his title means more than working on the visual science of communication but also on how his own orientation within NASA and the LGBT community.
NASA supports and encourages an inclusive, diverse workforce in our workplace.</t>
  </si>
  <si>
    <t>x2Yxwg15gz8</t>
  </si>
  <si>
    <t>https://youtu.be/G3kQbvDD9jY</t>
  </si>
  <si>
    <t>ISS Mission Control Interview for Digital Learning Network</t>
  </si>
  <si>
    <t>NASA Science Officer Talks Space with Students
NASA Johnson Space Center (JSC) Scientific Communications Analyst Amelia Rai answers questions from 11th grade student participants of the NASA Women in STEM High School Aerospace Scholars program at JSC during a NASA Digital Learning Network (DLN) interactive broadcast.
NASA DLN broadcasts are connecting students around the country with the live mission operations being conducted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</si>
  <si>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G3kQbvDD9jY</t>
  </si>
  <si>
    <t>2013 06 25</t>
  </si>
  <si>
    <t>https://youtu.be/e4C08j5FP-E</t>
  </si>
  <si>
    <t>Mission Scientist Give Details on IRIS Mission</t>
  </si>
  <si>
    <t>Mission Scientist brief reporters on NASA's Interface Region Imaging Spectrograph (IRIS) mission, scheduled to launch at 7:27 p.m. PDT (10:27 p.m. EDT) Thursday, June 27. 
IRIS is a NASA Small Explorer Mission to observe how solar material moves, gathers energy and heats up as it travels through a little-understood region in the sun's lower atmosphere. This interface region between the sun's photosphere and corona powers its dynamic million-degree atmosphere and drives the solar wind. 
IRIS is targeted to launch in the middle of a five-minute launch window on Thursday. The drop of the air-launched Pegasus from Orbital's L-1011 carrier aircraft will occur over the Pacific Ocean at an altitude of 39,000 feet, about 100 miles northwest of Vandenberg off the central coast of California, south of Big Sur. 
Live NASA Television coverage of the launch begins at 6 p.m. PDT (9 p.m. EDT).</t>
  </si>
  <si>
    <t>e4C08j5FP-E</t>
  </si>
  <si>
    <t>https://youtu.be/NsPxjFDqHOQ</t>
  </si>
  <si>
    <t>Mission Managers Give Updates on Latest IRIS Launch</t>
  </si>
  <si>
    <t>Mission managers of NASA's Interface Region Imaging Spectrograph (IRIS) mission answered questions about the upcoming launch of IRIS. IRIS is a NASA Small Explorer Mission to observe how solar material moves, gathers energy and heats up as it travels through a little-understood region in the sun's lower atmosphere. 
NASA's Interface Region Imaging Spectrograph (IRIS) mission is scheduled to launch at 7:27 p.m. PDT (10:27 p.m. EDT) Thursday, June 27, from Vandenberg Air Force Base in California. 
Launch on an Orbital Sciences Corporation Pegasus XL rocket is targeted for the middle of a five-minute launch window. Live NASA Television coverage of the launch begins at 6 p.m. PDT (9 p.m. EDT).</t>
  </si>
  <si>
    <t>NsPxjFDqHOQ</t>
  </si>
  <si>
    <t>2013 06 24</t>
  </si>
  <si>
    <t>https://youtu.be/37CNj6zy7w4</t>
  </si>
  <si>
    <t>Station Crew Members Take a Walk in Space</t>
  </si>
  <si>
    <t>Outside the International Space Station, Expedition 36 Flight Engineers Fyodor Yurchikhin and Alexander Misurkin conducted a spacewalk in Russian Orlan suits outside the Pirs Docking Compartment June 24 to replace a fluid flow control panel on the Zarya module, installed clamps for power cables for the arrival of a future Russian laboratory module and retrieved several experiments from the hull of the Zvezda Service Module. The spacewalk was the third at the orbital outpost so far this year, the second of up to six Russian spacewalks planned this year, the 169th in support of station assembly and maintenance, the sixth of Yurchikhin's career and the first for Misurkin. The duo will conduct another pair of spacewalks in August, following two spacewalks planned next month by crewmates Chris Cassidy of NASA and Luca Parmitano of the European Space Agency in U.S. spacesuits out of the Quest airlock.</t>
  </si>
  <si>
    <t>37CNj6zy7w4</t>
  </si>
  <si>
    <t>2013 06 21</t>
  </si>
  <si>
    <t>https://youtu.be/ABougk7p6gI</t>
  </si>
  <si>
    <t>ScienceCasts  Arctic Permafrost</t>
  </si>
  <si>
    <t>Arctic permafrost soils contain more accumulated carbon than all the human fossil-fuel emissions since 1850 combined. Warming Arctic permafrost, poised to release its own gases into the atmosphere, could be the "sleeping giant" of climate change.</t>
  </si>
  <si>
    <t>ABougk7p6gI</t>
  </si>
  <si>
    <t>https://youtu.be/Ke9Ms7Ob6vc</t>
  </si>
  <si>
    <t>Asteroid Grand Challenge on This Week @NASA</t>
  </si>
  <si>
    <t>During an asteroid initiative industry and partner day at NASA Headquarters, Deputy Administrator Lori Garver announced a Grand Challenge focused on finding and mitigating all asteroid threats to human populations. Grand Challenges, an important element of the President's Strategy for American Innovation, are ambitious goals on a national or global scale that capture the imagination and demand advances in innovation, science and technology. Also, J-2X Engine Gimbal Test, Countdown to IRIS Mission, Armstrong Ceremony, Advancing Liquid Air Technology, GPM's Solar Wings, 2013 W.E.S.T. Summit and more!</t>
  </si>
  <si>
    <t>Ke9Ms7Ob6vc</t>
  </si>
  <si>
    <t>2013 06 19</t>
  </si>
  <si>
    <t>https://youtu.be/10dqCcZJ95Q</t>
  </si>
  <si>
    <t>Aerospace Adventures Students Talk Space Technology with NASA</t>
  </si>
  <si>
    <t>Ken Neiss, Communication Radio Frequency Onboard Network Utilization Specialist (CRONUS) ISS Flight Controller from Johnson Space Center in Houston Texas hosts Cloverdale Aerospace Technology Middle School from Little Rock Arkansas.  NASA DLN broadcasts are connecting students around the country with the live mission operations being done by the International Space Station Flight Control Team. ISS flight controllers, astronauts and scientists often answer student's questions about living and working in space, how the Houston mission control center operates, and a wealth of other topics related to Science, Technology, Engineering, and Mathematics.</t>
  </si>
  <si>
    <t>10dqCcZJ95Q</t>
  </si>
  <si>
    <t>https://youtu.be/-QYqTe__3TU</t>
  </si>
  <si>
    <t>Kansas Students Speak Live with Space Station NASA Astronauts</t>
  </si>
  <si>
    <t>Expedition 36 crew members and NASA astronauts Chris Cassidy and Karen Nyberg, currently orbiting aboard the International Space Station, spoke with students gathered at the Kansas Cosmosphere and Space Center on Wednesday, June 19.  Students were able to ask the astronauts questions about life, work and research aboard the orbiting space station.  NASA activities have been incorporated into Cosmosphere summer programs and local Boys and Girls Club in preparation for the conversation with the space station astronauts. Linking students directly to the astronauts aboard the space station provides them with an authentic, live experience of space exploration, space study, the scientific components of space travel and possibilities of life in space.</t>
  </si>
  <si>
    <t>-QYqTe__3TU</t>
  </si>
  <si>
    <t>2013 06 18</t>
  </si>
  <si>
    <t>https://youtu.be/f5rsJwsyni4</t>
  </si>
  <si>
    <t>NASA Announces Asteroid Grand Challenge</t>
  </si>
  <si>
    <t>NASA announced Tuesday a Grand Challenge focused on finding all asteroid threats to human populations and knowing what to do about them.  
The challenge, which was announced at an asteroid initiative industry and partner day at NASA Headquarters in Washington, is a large-scale effort that will use multi-disciplinary collaborations and a variety of partnerships with other government agencies, international partners, industry, academia, and citizen scientists. It complements NASA's recently announced mission to redirect an asteroid and send humans to study it.</t>
  </si>
  <si>
    <t>f5rsJwsyni4</t>
  </si>
  <si>
    <t>https://youtu.be/SHgfmzhtrE0</t>
  </si>
  <si>
    <t>Expedition 36 Space Station Crew Talks with Euronews</t>
  </si>
  <si>
    <t>Aboard the International Space Station, Expedition 36 Flight Engineers Chris Cassidy of NASA and Luca Parmitano of the European Space Agency described the daily activities that happen aboard the orbiting laboratory with Euronews  during an in-flight event on June 18.</t>
  </si>
  <si>
    <t>SHgfmzhtrE0</t>
  </si>
  <si>
    <t>https://youtu.be/szMpTiCMh98</t>
  </si>
  <si>
    <t>2013 Astronaut Class on This Week @NASA</t>
  </si>
  <si>
    <t>During a Google+ Hangout NASA announced its newest class of astronaut trainees. The eight candidates selected to the 2013 astronaut class were chosen from a pool of 63-hundred applications -- the second largest NASA has ever received. In August, the group will begin a wide array of technical training at Johnson Space Center, other NASA centers and space agencies around the world. 
 Also, Science Day on The Hill, Technology Day, Dry Ice Movement on Mars, Sample Return Robot Challenge, Engineering Leaders Graduate, I'm an Engineer! and more!</t>
  </si>
  <si>
    <t>szMpTiCMh98</t>
  </si>
  <si>
    <t>https://youtu.be/OXRF95iuLvg</t>
  </si>
  <si>
    <t>ScienceCasts  Strange Flames on the International Space Station</t>
  </si>
  <si>
    <t>Researchers experimenting with flames onboard the International Space Station have produced a strange, cool-burning form of fire that could help improve the efficiency of auto engines.</t>
  </si>
  <si>
    <t>OXRF95iuLvg</t>
  </si>
  <si>
    <t>2013 06 17</t>
  </si>
  <si>
    <t>https://youtu.be/OxXi1xfdhr4</t>
  </si>
  <si>
    <t>Astronaut Class of 2013</t>
  </si>
  <si>
    <t>After an extensive year-and-a-half search, NASA has a new group of potential astronauts who will help the agency push the boundaries of exploration and travel to new destinations in the solar system, including an asteroid and Mars. Eight candidates have been selected to be NASA's newest astronaut trainees, hoping to be among those who are the first to launch from U.S. soil on commercial American spacecraft since the retirement of the space shuttle.
The 2013 astronaut candidate class comes from the second largest number of applications NASA has received -- more than 6,000. Half of the selectees are women, making this the highest percentage of female astronaut candidates ever selected for a class. The group will receive a wide array of technical training at space centers and remote locations around the globe to prepare for missions to low-Earth orbit, an asteroid and Mars.</t>
  </si>
  <si>
    <t>OxXi1xfdhr4</t>
  </si>
  <si>
    <t>2013 06 15</t>
  </si>
  <si>
    <t>https://youtu.be/4xjm0D9mYYE</t>
  </si>
  <si>
    <t>NASA Small Business Week -- Doing Incredible Things</t>
  </si>
  <si>
    <t>NASA Recognizes 2013 National Small Business Week
Every year since 1963, the President of the United States has issued a proclamation announcing National Small Business Week (NSBW) which recognizes the critical contributions of America's entrepreneurs and small business owners.  At the 50th anniversary of NSBW, June 17 -- 21st, the U.S. Small Business Administration (SBA) is recognizing this milestone in Seattle, Washington; Dallas, Texas; St. Louis, Missouri; Pittsburgh, Pennsylvania; and Washington, District of Columbia.
NASA joins the U.S. SBA in saluting the entrepreneurial spirit and is pleased to present the Fiscal Year 2012 NASA Small Business Industry Awards (SBIA) publication.  The publication highlights current Agency- and Center-level as well as past winners of these awards; and offers a glimpse of the companies' capabilities and their integral contribution towards NASA's success in achieving its mission.  The complete inaugural edition of the booklet is available online at the NASA Office of Small Business Programs web site, www.osbp.nasa.gov.
NASA -- Where small business makes a big difference!</t>
  </si>
  <si>
    <t>4xjm0D9mYYE</t>
  </si>
  <si>
    <t>https://youtu.be/swmajJIZxtc</t>
  </si>
  <si>
    <t>Cargo Craft Makes a  Relatively  Large Delivery to The International Space Station</t>
  </si>
  <si>
    <t>The European Space Agency's "Albert Einstein" Automated Transfer Vehicle (ATV) arrived at the International Space Station June 15, automatically docking to the aft port of the Zvezda Service Module to complete a ten-day journey following its launch June 5 on an Ariane 5 rocket from Kourou, French Guiana. "Albert Einstein" is the fourth of five ATVs developed by ESA to help resupply the orbital outpost, delivering more than 7 tons of fuel and supplies for the Expedition 36 crew. "Albert Einstein" will remain attached to the aft port of Zvezda until late October, available to help reboost the station or conduct debris avoidance maneuvers, if required.</t>
  </si>
  <si>
    <t>swmajJIZxtc</t>
  </si>
  <si>
    <t>2013 06 14</t>
  </si>
  <si>
    <t>https://youtu.be/q87Xc7Z-agU</t>
  </si>
  <si>
    <t>Science Day on The Hill on This Week @NASA</t>
  </si>
  <si>
    <t>The NASA Science Day on Capitol Hill provided an opportunity to showcase, for members of Congress and the public, the work and accomplishments of the agency's Science programs. Associate Administrator for Science John Grunsfeld was among NASA officials at the event, which included exhibits and presentations about the agency's work with asteroids and other Near Earth Objects, space observatories like the Hubble and James Webb Space Telescopes, and planetary missions, space weather and a host of other Science programs conducted by NASA for the benefit of all humankind. Also, Technology Day, Dry Ice Movement on Mars, Sample Return Robot Challenge, Engineering Leaders Graduate, I'm an Engineer!, Summer Interns Arrive, and the 30th Anniversary of Sally Ride's First Spaceflight.</t>
  </si>
  <si>
    <t>q87Xc7Z-agU</t>
  </si>
  <si>
    <t>2013 06 13</t>
  </si>
  <si>
    <t>https://youtu.be/MJ5ltPwk5vc</t>
  </si>
  <si>
    <t>Space Station Crew Talks with Seattle Area Students About Life On-Orbit</t>
  </si>
  <si>
    <t>Aboard the International Space Station, Expedition 36 Flight Engineers Chris Cassidy of NASA and Luca Parmitano of the European Space Agency described the daily activities that happen aboard the orbiting laboratory with students at the Cascade Community School in the Seattle suburb of Shoreline, Wash. during an in-flight event on June 13. The question and answer session was part of NASA's "Destination Station" road tour visiting the Seattle area for the summer to bring the experience of the International Space Station to residents throughout the U.S.</t>
  </si>
  <si>
    <t>MJ5ltPwk5vc</t>
  </si>
  <si>
    <t>https://youtu.be/68BQxfKc8-Q</t>
  </si>
  <si>
    <t>NASA Project Manager Julie Mitchell Talks Space With Students</t>
  </si>
  <si>
    <t>NASA/Johnson Space Center Project Manager Julie Mitchell answers questions during a NASA Digital Learning Network (DLN) interactive broadcast, from 11th Grade Students and future Educators participating in the JSC High School Aerospace Scholars (HAS) and JSC Pre-Service Teacher Institute (PSTI) programs.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</si>
  <si>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68BQxfKc8-Q</t>
  </si>
  <si>
    <t>2013 06 11</t>
  </si>
  <si>
    <t>https://youtu.be/mTUay3cqIAo</t>
  </si>
  <si>
    <t>Space Station Cargo Craft Makes Way for Another</t>
  </si>
  <si>
    <t>The Russian ISS Progress 51 cargo ship undocked from the International Space Station's Zvezda Service Module June 11, clearing the way for the scheduled arrival of the European Space Agency's "Albert Einstein" Automated Transfer Vehicle to link up to the same port June 15. The Progress 51 craft was launched on April 24 from the Baikonur Cosmodrome in Kazakhstan, and docked to Zvezda on April 26. The Progress will remain in orbit for several days well away from the station to enable Russian ground controllers to conduct engineering tests with the vehicle before it is deorbited to burn up in the Earth's atmosphere.</t>
  </si>
  <si>
    <t>mTUay3cqIAo</t>
  </si>
  <si>
    <t>2013 06 10</t>
  </si>
  <si>
    <t>https://youtu.be/4AdaREcAJxc</t>
  </si>
  <si>
    <t>It Gets Better</t>
  </si>
  <si>
    <t>The NASA It Gets Better video is a video project created by the "Out &amp; Allied @ JSC Employee Resource Group" of NASA's Johnson Space Center. It was created as an outreach tool primarily directed at high school and college-aged lesbian, gay, bisexual, transgender, queer and questioning (LGBTQ) individuals who are victims of bullying and/or have been affected by bullying. This video sends the message to current and future NASA employees that it is OK to be LGBTQ, and that NASA supports and encourages an inclusive, diverse workforce in our workplace.</t>
  </si>
  <si>
    <t>4AdaREcAJxc</t>
  </si>
  <si>
    <t>https://youtu.be/qm9ZeWjYfu8</t>
  </si>
  <si>
    <t>Space Station Astronauts Connect with Massachusetts Students</t>
  </si>
  <si>
    <t>Expedition 36 Flight Engineers Chris Cassidy and Karen Nyberg of NASA and Flight Engineer Luca Parmitano of the European Space Agency discussed science and life in orbit during an in-flight educational event June 10 with students at the Douglas Intermediate School in Douglas, Mass. Cassidy arrived at the station in late March and will return to Earth in September. Nyberg and Parmitano entered the complex in late May for the start of a five and a half month mission.</t>
  </si>
  <si>
    <t>qm9ZeWjYfu8</t>
  </si>
  <si>
    <t>https://youtu.be/5EhsIN6BMyk</t>
  </si>
  <si>
    <t>ScienceCasts  An Early Start for Noctilucent Clouds</t>
  </si>
  <si>
    <t>Glowing electric-blue at the edge of space, noctilucent clouds have surprised researchers by appearing early this year. The unexpected apparition hints at a change in the "teleconnections" of Earth's atmosphere.</t>
  </si>
  <si>
    <t>5EhsIN6BMyk</t>
  </si>
  <si>
    <t>2013 06 07</t>
  </si>
  <si>
    <t>https://youtu.be/QysRsOuwyAo</t>
  </si>
  <si>
    <t>NASA Mars Curiosity Rover Report -- June 7, 2013</t>
  </si>
  <si>
    <t>QysRsOuwyAo</t>
  </si>
  <si>
    <t>https://youtu.be/o7c3dEuKc18</t>
  </si>
  <si>
    <t>Space Weather Enterprise Forum on This Week @NASA</t>
  </si>
  <si>
    <t>NASA Administrator Charlie Bolden delivered the keynote address for this year's Space Weather Enterprise Forum at the National Oceanic and Atmospheric Administration's Auditorium and Science Center in Silver Spring, Maryland. The annual forum includes researchers, policymakers and forecasters discussing space weather and how to mitigate its effects on communications, navigation and national security. Space weather involves conditions and events on the sun and in near-Earth space that can affect critical systems, such as electric power grids and communications and navigation systems. Also, Upcoming Solar Mission Briefed, Orion Update, New Adapter for Engine Test , Opportunity on The Move, Astronomical Announcements, "Einstein" Launched to ISS, Imagine and Build and more!</t>
  </si>
  <si>
    <t>o7c3dEuKc18</t>
  </si>
  <si>
    <t>https://youtu.be/XRXD52L_EAE</t>
  </si>
  <si>
    <t>Latest Update of Expedition 36 ESA Astronaut Luca Parmitano</t>
  </si>
  <si>
    <t>Live from the orbiting International Space Station, Italian ESA Astronaut Luca Parmitano, speaks directly with his native Italian news networks and social media about his new life aboard the ISS as a member of the Expedition 36 crew.  During the brief question and answer session, Luca demonstrates and comments on his experiences during launch, arrival and daily life routines orbiting the Earth at 17,500 miles per hour.</t>
  </si>
  <si>
    <t>XRXD52L_EAE</t>
  </si>
  <si>
    <t>2013 06 06</t>
  </si>
  <si>
    <t>https://youtu.be/z5_0hfU6b1s</t>
  </si>
  <si>
    <t>NASA Flight Controller Talks Space with Students</t>
  </si>
  <si>
    <t>ISS CapCom Hal Getzelman answers questions from 5th and 6th grade students at Colvin Run Elementary School in Virginia during a NASA Digital Learning Network (DLN) interactive broadcast.
NASA DLN broadcasts connect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</si>
  <si>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z5_0hfU6b1s</t>
  </si>
  <si>
    <t>2013 06 05</t>
  </si>
  <si>
    <t>https://youtu.be/ZnN0vJj5Z9U</t>
  </si>
  <si>
    <t>ATV-4 Albert Einstein Heads to Space</t>
  </si>
  <si>
    <t>Lifting off from the European Space Agencies' Kourou French Guiana, launch facility, the next space resupply vehicle Albert Einstein, or better known as ATV-4, heads for a rendezvous with the International Space Station.  The Automated Transfer Vehicle fitted atop the Ariane 5 ES rocket weighed in atover forty four thousand pounds, making it the heaviest payload ever launched from the ESA.  Within its hold is a very diverse cargo of over 1,400 different items ranging from food, spare parts,crew supplies and scientific experiments.
After a brief time of on orbit checks, the ATV Einstein is expected to dock with the ISS on June 15.</t>
  </si>
  <si>
    <t>ZnN0vJj5Z9U</t>
  </si>
  <si>
    <t>https://youtu.be/HCg3MkL93rY</t>
  </si>
  <si>
    <t>NASA's Newest View of the Sun</t>
  </si>
  <si>
    <t>NASA hosts a news update about the June 26 launch of the Interface Region Imaging Spectrograph (IRIS) mission from Vandenberg Air Force Base in California.
IRIS is a NASA Small Explorer Mission to observe how solar material moves in a dynamic million-degree atmosphere that drives the solar wind around the Sun's atmosphere. The region is the origin of most of the ultraviolet solar emission that impacts the near-Earth space environment and Earth's climate.</t>
  </si>
  <si>
    <t>HCg3MkL93rY</t>
  </si>
  <si>
    <t>2013 06 04</t>
  </si>
  <si>
    <t>https://youtu.be/mgBhgKBxhus</t>
  </si>
  <si>
    <t>Minneapolis Talks Space with the ISS</t>
  </si>
  <si>
    <t>NASA Astronauts Chris Cassidy and Karen Nyberg discuss life, experiments and thefuture while aboard the International Space Station with Minneapolis TV station WCCO-TV.</t>
  </si>
  <si>
    <t>mgBhgKBxhus</t>
  </si>
  <si>
    <t>2013 05 31</t>
  </si>
  <si>
    <t>https://youtu.be/SL_1DGv2XxQ</t>
  </si>
  <si>
    <t>QE2's Flyby on This Week @NASA</t>
  </si>
  <si>
    <t>As the 1.7-mile-long asteroid 1998 QE2 began its relatively close flyby of Earth, telescope images were provided during a live broadcast from the Jet Propulsion Laboratory, seen on NASA Television and nasa.gov. Among the insight provided from asteroid experts at JPL and the Goldstone Deep Space Communications Complex, which used radar to track and image the asteroid -- a discovery that QE2 has an orbiting moon about 600 meters wide. The program also featured NASA Administrator Charlie Bolden, who discussed the agency's role in keeping the planet safe from asteroids and other Near Earth Objects. The May 31 QE2 fly-by -- some 3-point-6 million miles from Earth is asteroid's the closest approach to our planet for at least the next two centuries. Also, Garver at Asteroid "Hang Out", MSL's RAD (iation) Measurements, Lightfoot visits Centers, Space Tech Town Hall, IceBridge completes 2013 mission, Grunsfeld visit to Ames and more!</t>
  </si>
  <si>
    <t>SL_1DGv2XxQ</t>
  </si>
  <si>
    <t>https://youtu.be/MW_NsN0Ilro</t>
  </si>
  <si>
    <t>Launch Aboard NASA's Summer of Innovation</t>
  </si>
  <si>
    <t>What is it? NASA's Summer of Innovation initiative is a national program that provides educators with activities and resources designed to improve education in science, technology, engineering and mathematics (STEM) over the summer. Each of the 10 NASA centers participates in the Summer of Innovation through various programs and approaches. The aim is to target underserved and underrepresented students in grades 4-9 throughout the summer months.</t>
  </si>
  <si>
    <t>MW_NsN0Ilro</t>
  </si>
  <si>
    <t>2013 05 30</t>
  </si>
  <si>
    <t>https://youtu.be/b_dx5G89DzY</t>
  </si>
  <si>
    <t>ScienceCasts  Big Asteroid Flyby</t>
  </si>
  <si>
    <t>NASA is tracking a large near-Earth asteroid as it passes by the Earth-Moon system on May 31st. Amateur astronomers in the northern hemisphere may be able to see the space rock for themselves during the 1st week of June.</t>
  </si>
  <si>
    <t>b_dx5G89DzY</t>
  </si>
  <si>
    <t>https://youtu.be/o-vPMsArqm0</t>
  </si>
  <si>
    <t>NASA Covers Asteroid's Flyby of Earth</t>
  </si>
  <si>
    <t>During early live coverage on NASA Television and nasa.gov of asteroid 1998 QE2's flyby of Earth, NASA's Jet Propulsion Laboratory (JPL) in Pasadena, Calif., showed live telescope images of the asteroid and hosted a discussion with NASA Administrator Charles Bolden and experts from JPL and the Goldstone Deep Space Communications Complex. Goldstone will be using radar to track and image the asteroid. At 4:59 p.m. EDT, Friday, May 31, the pass by Earth of 1998 QE2, at a safe distance of about 3.6 million miles -- is the asteroid's closest scheduled encounter with the planet for at least the next two centuries. The asteroid was discovered Aug. 19, 1998 by the Massachusetts Institute of Technology's Lincoln Near Earth Asteroid Research Program near Socorro, N.M.</t>
  </si>
  <si>
    <t>o-vPMsArqm0</t>
  </si>
  <si>
    <t>https://youtu.be/mhVSAvY51Kw</t>
  </si>
  <si>
    <t>NASA Aerospace Engineer Talks Space with Students</t>
  </si>
  <si>
    <t>NASA Johnson Space Center Aerospace Engineer Jason Barbour answers questions from 5th grade students at Public School 174 Queens in Queens, New York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</si>
  <si>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mhVSAvY51Kw</t>
  </si>
  <si>
    <t>https://youtu.be/fshNptg_BxY</t>
  </si>
  <si>
    <t>Actor Jaden Smith Highlights NASA Earth Science</t>
  </si>
  <si>
    <t>Jaden Smith, star of Columbia Pictures' movie "After Earth," describes the contributions of the agency's Earth science program to environmental awareness and exploration of our home planet.</t>
  </si>
  <si>
    <t>fshNptg_BxY</t>
  </si>
  <si>
    <t>2013 05 29</t>
  </si>
  <si>
    <t>https://youtu.be/9KxN447nKCY</t>
  </si>
  <si>
    <t>New Crew to Station on This Week @NASA</t>
  </si>
  <si>
    <t>Expedition 36/37 Flight Engineer Karen Nyberg of NASA, Soyuz Commander Fyodor Yurchikhin of the Russian Federal Space Agency and Flight Engineer Luca Parmitano of the European Space Agency launched from the Baikonur Cosmodrome in Kazakhstan in a Russian Soyuz spacecraft on May 29 Kazakstan time for an accelerated six-hour journey to the International Space Station. The arrival of the trio marks the start of its five and a half month mission aboard the ISS. They join Flight Engineer Chris Cassidy of NASA and Russians Pavel Vinogradov -- Commander of the station and Flight Engineer Alexander Misurkin. Cassidy, Vinogradov and Misurkin have been on the station since late March. Also, Oklahoma Storms from Space, Bolden Visits California NASA Centers, QE2 Approaches, Dream Chaser Flight Simulations, Curiosity Rover Update, PhoneSat's Mosaic of Earth, GPM Social and more!</t>
  </si>
  <si>
    <t>9KxN447nKCY</t>
  </si>
  <si>
    <t>https://youtu.be/ESr9anxT_Bs</t>
  </si>
  <si>
    <t>New Crew Members Complete Safe Trip to ISS</t>
  </si>
  <si>
    <t>Six hours after launching their Soyuz TMA-09M spacecraft from the Baikonur Cosmodrome in Kazakhstan, Expedition 36/37 Soyuz Commander Fyodor Yurchikhin of the Russian Federal Space Agency (Roscosmos), NASA Flight Engineer Karen Nyberg and Flight Engineer Luca Parmitano of the European Space Agency arrived at the International Space Station and were greeted by fellow crew members, station Commander Pavel Vinogradov of Roscosmos, Flight Engineer Chris Cassidy of NASA and Russian Flight Engineer Alexander Misurkin, who have been on the outpost since late March. Yurchikhinm, Nyberg and Parmitano are scheduled for a five-and-a half month stay onboard the orbital laboratory.</t>
  </si>
  <si>
    <t>ESr9anxT_Bs</t>
  </si>
  <si>
    <t>https://youtu.be/Kt_bJDaZQrM</t>
  </si>
  <si>
    <t>New ISS Crew Members Welcomed!</t>
  </si>
  <si>
    <t>A few hours after docking their Soyuz Spacecraft to the Rassvet module on the International Space Station, Expedition 36/37 Soyuz Commander Fyodor Yurchikhin of the Russian Federal Space Agency (Roscosmos), NASA Flight Engineer Karen Nyberg and Flight Engineer Luca Parmitano of the European Space Agency opened hatches and were greeted by the three crew members who have been on the outpost since late March: station Commander Pavel Vinogradov of Roscosmos, Flight Engineer Chris Cassidy of NASA and Russian Flight Engineer Alexander Misurkin.</t>
  </si>
  <si>
    <t>Kt_bJDaZQrM</t>
  </si>
  <si>
    <t>https://youtu.be/Dby-85KuB58</t>
  </si>
  <si>
    <t>Next ISS Crew Makes Its Arrival</t>
  </si>
  <si>
    <t>After launching earlier in the day in their Soyuz TMA-09M spacecraft from the Baikonur Cosmodrome in Kazakhstan, Expedition 36/37 Soyuz Commander Fyodor Yurchikhin of the Russian Federal Space Agency (Roscosmos), NASA Flight Engineer Karen Nyberg and Flight Engineer Luca Parmitano of the European Space Agency arrived at the International Space Station following an accelerated six-hour rendezvous, docking their craft to the Rassvet module on the Russian segment of the complex.</t>
  </si>
  <si>
    <t>Dby-85KuB58</t>
  </si>
  <si>
    <t>https://youtu.be/XhSqeVsbqsI</t>
  </si>
  <si>
    <t>Expedition 36 37 Crew Heads to the ISS</t>
  </si>
  <si>
    <t>Footage of pre-launch and launch activities of the International Space Station's Expedition 36/37 crew. Soyuz Commander Fyodor Yurchikhin of the Russian Federal Space Agency (Roscosmos), NASA Flight Engineer Karen Nyberg and Flight Engineer Luca Parmitano of the European Space Agency launched on the Russian Soyuz TMA-09M spacecraft on May 29, Kazakh time (May 28, U.S. time) from the Baikonur Cosmodrome in Kazakhstan to begin an accelerated six-hour journey to the International Space Station.</t>
  </si>
  <si>
    <t>XhSqeVsbqsI</t>
  </si>
  <si>
    <t>2013 05 28</t>
  </si>
  <si>
    <t>https://youtu.be/VtVTkvqcA_8</t>
  </si>
  <si>
    <t>NASA Television Covers the Launch of the Next ISS Crew</t>
  </si>
  <si>
    <t>Expedition 36/37 Soyuz Commander Fyodor Yurchikhin of the Russian Federal Space Agency (Roscosmos), NASA Flight Engineer Karen Nyberg and Flight Engineer Luca Parmitano of the European Space Agency launched on the Russian Soyuz TMA-09M spacecraft on May 29, Kazakh time (May 28, U.S. time) from the Baikonur Cosmodrome in Kazakhstan to begin an accelerated six-hour journey to the International Space Station. Once aboard, the trio will start a five and a half month mission, joining station Commander Pavel Vinogradov of Roscosmos, Flight Engineer Chris Cassidy of NASA and Russian Flight Engineer Alexander Misurkin, who have been on the station since late March. The footage includes the crew's pre-launch ceremonial activities at their Cosmonaut Hotel crew quarters, their departure from the Cosmonaut Hotel to their suit up facility in the Cosmodrome, the</t>
  </si>
  <si>
    <t>VtVTkvqcA_8</t>
  </si>
  <si>
    <t>2013 05 27</t>
  </si>
  <si>
    <t>https://youtu.be/XVPg1w5PTEg</t>
  </si>
  <si>
    <t>Expedition Crew Meets With Russian State Commission and Media</t>
  </si>
  <si>
    <t>In preparation forlaunch, the final meeting between the Russian State Commission and the crew of International Space Expedition 36/37 meets in Baikonur Kazakhstan.</t>
  </si>
  <si>
    <t>XVPg1w5PTEg</t>
  </si>
  <si>
    <t>2013 05 26</t>
  </si>
  <si>
    <t>https://youtu.be/6JM4q97lIlE</t>
  </si>
  <si>
    <t>Expedition 36 37 Soyuz Rocket moves to Launch Pad</t>
  </si>
  <si>
    <t>A massive rocket tipped with a Soyuz Spacecraft is rolled from its protective hanger to the remote launch pad where soon t will blast off and take its American, Russian and Italian crew to rendezvous with the International Space Station.</t>
  </si>
  <si>
    <t>6JM4q97lIlE</t>
  </si>
  <si>
    <t>2013 05 24</t>
  </si>
  <si>
    <t>https://youtu.be/uFREb5Us4dg</t>
  </si>
  <si>
    <t>The Oklahoma Storms As Seen From Space on This Week @NASA</t>
  </si>
  <si>
    <t>Also,  NASA Administrator Charlie Bolden received updates on the important work being on done at the agency's California centers, , a New Crew Prepares for Launch to the International Space Station, and a look at Dream Chaser Flight Simulations.  These and other stories on This Week @NASA</t>
  </si>
  <si>
    <t>uFREb5Us4dg</t>
  </si>
  <si>
    <t>https://youtu.be/wUNb81RoAuM</t>
  </si>
  <si>
    <t>ScienceCasts  Big Weather on Hot Jupiters</t>
  </si>
  <si>
    <t>Astronomers using NASA's Spitzer Space Telescope are making weather maps of an exotic class of exoplanets called "hot Jupiters." What they're finding is wilder than anything we experience here in our own solar system.</t>
  </si>
  <si>
    <t>wUNb81RoAuM</t>
  </si>
  <si>
    <t>2013 05 23</t>
  </si>
  <si>
    <t>https://youtu.be/vzRiFnHS-Fk</t>
  </si>
  <si>
    <t>NASA 50th Anniversary of Gordon Cooper's Last Flight of Project Mercury</t>
  </si>
  <si>
    <t>vzRiFnHS-Fk</t>
  </si>
  <si>
    <t>https://youtu.be/BXXnU-woHBo</t>
  </si>
  <si>
    <t>NASA Astronaut Mario Runco answers questions from 9-12th grade students at Deptford High School in Deptford, NJ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</si>
  <si>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BXXnU-woHBo</t>
  </si>
  <si>
    <t>https://youtu.be/GTktRY6J-0k</t>
  </si>
  <si>
    <t>Next Space Station Mission Previewed for Media</t>
  </si>
  <si>
    <t>A media event at the Johnson Space Center included a NASA Social to highlight scientific research aboard the International Space Station and a press briefing covering mission priorities and objectives of the upcoming Expedition 36/37 mission of NASA astronaut Karen Nyberg, Russian cosmonaut Fyodor Yurchikhin and European Space Agency astronaut Luca Parmitano. The trio are scheduled to launch to the station May 28, U.S. time on a Soyuz spacecraft from Kazakhstan. They will join Expedition 36 crew members Chris Cassidy of NASA and cosmonauts Pavel Vinogradov and Alexander Misurkin, who have been aboard the station since late March.
The mission will involve increasing research on the orbital laboratory; up to six spacewalks (four Russian and two U.S.); the arrival of the next European, Japanese and Russian cargo ships; and the maiden flight of the U.S. commercial resupply vehicle, Cygnus, from Orbital Sciences Corporation.</t>
  </si>
  <si>
    <t>GTktRY6J-0k</t>
  </si>
  <si>
    <t>https://youtu.be/AOE7mLDF-qU</t>
  </si>
  <si>
    <t>Cassidy Shares Slice of  Space Life  with Home State Students</t>
  </si>
  <si>
    <t>NASA Astronaut and Massachusetts native, Chris Cassidy, onboard the International Space Station, answered questions about what it's like to live and work in space during a NASA In-Flight Educational event with students from the Talbot Innovation Middle School in Fall River, Massachusetts. Cassidy and his two Russian crewmates are flying as a three-man crew until May 28, U.S. time, when three additional crew members, including NASA astronaut Karen Nyberg, arrive on the complex to return the laboratory to its usual six-person complement.</t>
  </si>
  <si>
    <t>AOE7mLDF-qU</t>
  </si>
  <si>
    <t>2013 05 22</t>
  </si>
  <si>
    <t>https://youtu.be/ObufI4GKFUA</t>
  </si>
  <si>
    <t>NASA's KSC Hosts Students' Mining Competition</t>
  </si>
  <si>
    <t>Robotic Miners on Mars is only one of many ideas being designed and tested by fifty teams of university students from around the country. Each team will design and remote control a robot excavator to compete with other robots in navigating and working on a simulated Martian landscape.</t>
  </si>
  <si>
    <t>ObufI4GKFUA</t>
  </si>
  <si>
    <t>https://youtu.be/rqUv2xw78Q0</t>
  </si>
  <si>
    <t>Suni's Shoutout for NASA-TV</t>
  </si>
  <si>
    <t>Astronaut Suni Williams may never be satisfied with her "shoutout" to NASA-TV, but we know you'll like it!</t>
  </si>
  <si>
    <t>rqUv2xw78Q0</t>
  </si>
  <si>
    <t>https://youtu.be/fHWJlxPMj7I</t>
  </si>
  <si>
    <t>Expedition 36 37 Crew Prepares for Launch in Kazakhstan</t>
  </si>
  <si>
    <t>At the Baikonur Cosmodrome in Kazakhstan, Expedition 36/37 Soyuz Commander Fyodor Yurchikhin of the Russian Federal Space Agency (Roscosmos), NASA Flight Engineer Karen Nyberg , Flight Engineer Luca Parmitano of the European Space Agency and backup crew members Mikhail Tyurin of Roscosmos, Rick Mastracchio of NASA and Koichi Wakata of the Japan Aerospace Exploration Agency participated in a variety of activities from May 16-22 as they prepared for Yurchikhin, Nyberg and Parmitano to launch to the International Space Station on May 29, Kazakh time, in the Soyuz TMA-09M spacecraft.</t>
  </si>
  <si>
    <t>fHWJlxPMj7I</t>
  </si>
  <si>
    <t>https://youtu.be/lVkHhxumqUA</t>
  </si>
  <si>
    <t>ISS Astronauts chat live from orbit with USA TODAY and FIT</t>
  </si>
  <si>
    <t>USA Today and the Florida Institute of Technology (FIT) join International Space Station Astronauts during a scheduled inflight event.</t>
  </si>
  <si>
    <t>lVkHhxumqUA</t>
  </si>
  <si>
    <t>https://youtu.be/j7iOnMBgQDo</t>
  </si>
  <si>
    <t>Kepler Update on This Week @NASA</t>
  </si>
  <si>
    <t>This week, the Kepler science team announced the spacecraft was in a Thruster-Controlled Safe Mode. The root cause was undetermined but the proximate cause appears to be an attitude error caused by a malfunction in Kepler's reaction wheel 4, one of the telescope's pointing mechanisms. The team has since put the telescope in what's known as a Point Rest State, to minimize fuel usage while the investigation continues. Though no decisions have been made about the fate of the mission, the team notes that even if data collection were to end, Kepler has collected substantial quantities of data that should yield a string of scientific discoveries for years to come. Also, Living Off Earth, Future of Human Space Exploration, Garver briefed on Future Technologies, J-2X prepared for gimbal tests, Bolden checks out Aero Tech, Dreamchaser's arrival, Hangout with Star Trek cast and more!</t>
  </si>
  <si>
    <t>j7iOnMBgQDo</t>
  </si>
  <si>
    <t>2013 05 17</t>
  </si>
  <si>
    <t>https://youtu.be/jMcPrFXP0cQ</t>
  </si>
  <si>
    <t>NASA Mars Curiosity Rover Report - May 16, 2013</t>
  </si>
  <si>
    <t>jMcPrFXP0cQ</t>
  </si>
  <si>
    <t>https://youtu.be/G-0_zTwT-_o</t>
  </si>
  <si>
    <t>NASA Asian American Pacific Islander History Month - Wason Miles</t>
  </si>
  <si>
    <t>Wason Miles brought two decades of experience as a life-support technician in the U.S. Air Force when he joined the staff of NASA's Dryden Flight Research Center in 2009. Miles, a native of Hawai'i of Samoan and Hawaiian descent, inspects, installs and maintains a variety of life-support equipment and instructs emergency egress procedures for the safety of pilots and passengers on NASA aircraft.</t>
  </si>
  <si>
    <t>G-0_zTwT-_o</t>
  </si>
  <si>
    <t>https://youtu.be/4T8X1GksQaY</t>
  </si>
  <si>
    <t>The Impact of Sally Ride's Contributions in Space and Education</t>
  </si>
  <si>
    <t>NASA Television aired, live a special event from the Smithsonian National Air and Space Museum in Washington to honor the contributions and legacy of the late Dr. Sally Ride, America's first woman in space. Johnson Space Center Director Ellen Ochoa participated in a panel discussion about how Ride, who founded the educational company, Sally Ride Science, helped open doors to students in the science, technology, engineering and math fields.</t>
  </si>
  <si>
    <t>4T8X1GksQaY</t>
  </si>
  <si>
    <t>2013 05 16</t>
  </si>
  <si>
    <t>https://youtu.be/x-GYo0BbJiI</t>
  </si>
  <si>
    <t>NASA Johnson Space Center ISS Robotics Flight Controller Jason Dyer answers questions from 11th and 12th grade students at East Stroudsberg High School North in Dingman's Ferry, PA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</si>
  <si>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x-GYo0BbJiI</t>
  </si>
  <si>
    <t>https://youtu.be/BxewkRwY_uY</t>
  </si>
  <si>
    <t>ScienceCasts  Bright Explosion on the Moon</t>
  </si>
  <si>
    <t>NASA researchers who monitor the Moon for meteoroid impacts have detected the brightest explosion in the history of their program.</t>
  </si>
  <si>
    <t>BxewkRwY_uY</t>
  </si>
  <si>
    <t>https://youtu.be/d-LQprVtKv4</t>
  </si>
  <si>
    <t>Expedition 36/37 Soyuz Commander Fyodor Yurchikhin of the Russian Federal Space Agency (Roscosmos), NASA Flight Engineer Karen Nyberg, Flight Engineer Luca Parmitano of the European Space Agency and backup crew members Mikhail Tyurin of Roscosmos, Rick Mastracchio of NASA and Koichi Wakata of the Japan Aerospace Exploration Agency participated in traditional ceremonies at the Gagarin Cosmonaut Training Center in Star City, Russia, outside Moscow on May 16. Afterward, they departed for the Baikonur Cosmodrome in Kazakhstan to complete training for their launch to the International Space Station in the Soyuz TMA-09M spacecraft on May 29, Kazakh time. After arriving in Baikonur, they are scheduled to conduct a series of prelaunch activities over the next two weeks as they prepare for liftoff to the orbital outpost.</t>
  </si>
  <si>
    <t>d-LQprVtKv4</t>
  </si>
  <si>
    <t>2013 05 14</t>
  </si>
  <si>
    <t>https://youtu.be/VFPg4f8Vn1E</t>
  </si>
  <si>
    <t>Astronaut Kevin Ford Shares his ISS Experience</t>
  </si>
  <si>
    <t>During an educational presentation, complete with imagery and a question and answer session at The Smithsonian National Air and Space Museum, NASA Astronaut Kevin Ford shared with a live audience, experiences from his Expedition 33/34 mission aboard the International Space Station.</t>
  </si>
  <si>
    <t>VFPg4f8Vn1E</t>
  </si>
  <si>
    <t>https://youtu.be/1LQMpJJPZJg</t>
  </si>
  <si>
    <t>Warm Welcome for Expedition 35</t>
  </si>
  <si>
    <t>Expedition 35 Commander Chris Hadfield of the Canadian Space Agency, Soyuz Commander Roman Romanenko of the Russian Fedearl Space Agency and NASA Flight Engineer Tom Marshburn were greeted in a traditional ceremony at the airport in Karaganda, Kazakhstan, on May 14, hours after landing in their Soyuz TMA-07M spacecraft in Kazakhstan near the town of Dzhezkazgan. After the ceremony, the crew split up, with Romanenko returning to his training base in Star City, Russia, while Hadfield and Marshburn boarded a NASA plane in Karaganda to return to the agency's Johnson Space Center in Houston. The trio completed 146 days in space and 144 days aboard the International Space Station following a launch in late December.</t>
  </si>
  <si>
    <t>1LQMpJJPZJg</t>
  </si>
  <si>
    <t>https://youtu.be/HnPjBQ4Silw</t>
  </si>
  <si>
    <t>Expedition 35 Back Home Safely on This Week @NASA</t>
  </si>
  <si>
    <t>The Expedition 35 crew safely returned from the International Space Station with a parachute-assisted landing of its Soyuz spacecraft in Kazakhstan on May 14, local time. Commander Chris Hadfield of the Canadian Space Agency, Soyuz Commander Roman Romanenko of the Russian Federal Space Agency and NASA Flight Engineer Tom Marshburn capped off 146-days in space full of activity -- for Marshburn -- some of it just hours before the crew departed. On May 11, he and fellow NASA Astronaut Chris Cassidy completed a 5-hour, 30-minute spacewalk to replace a faulty coolant pump on the station's P6 truss and during a NASA TV in-flight event on May 7, Marshburn discussed the work being done on the International Space Station with members of the Senate Committee on Commerce, Science and Transportation Subcommittee on Science and Space. Also, Next ISS Crew Focused on Launch, Humans 2 Mars, 40th Anniversary of Skylab, Curiosity Rover Update, Landsat's Vegas Time-Lapse, Fruit Flies Improving Flight, Student Launch Projects and more!</t>
  </si>
  <si>
    <t>HnPjBQ4Silw</t>
  </si>
  <si>
    <t>https://youtu.be/JZNKVnDvQY4</t>
  </si>
  <si>
    <t>The Skylab Legacy -- Long Duration Space Flight</t>
  </si>
  <si>
    <t>Skylab's May 14, 1973 launch into low-Earth orbit was the nation's first foray into significant scientific research in microgravity. The three Skylab crews proved humans could live and work effectively for long durations in space. This NASA video recounts the history of the program and showcases Skylab's legacy as a major stepping stone to the successful construction and operation of the International Space Station and future long-duration human missions to asteroids, Mars and other destinations.</t>
  </si>
  <si>
    <t>JZNKVnDvQY4</t>
  </si>
  <si>
    <t>https://youtu.be/WJVfe6do-C0</t>
  </si>
  <si>
    <t>Welcome Back, Expedition 35!</t>
  </si>
  <si>
    <t>Following the safe landing of their Soyuz spacecraft on the steppe of Kazakhstan near the town of Dzhezkazgan on May 14, local time, Expedition 35 Commander Chris Hadfield of the Canadian Space Agency, Soyuz Commander Roman Romanenko of the Russian Federal Space Agency and NASA Flight Engineer Tom Marshburn were extracted from their capsule by Russian personnel and helped into reclining chairs to begin the process of readapting to Earth's gravity. The trio completed 146 days in space and 144 days onboard the International Space Station during their mission.</t>
  </si>
  <si>
    <t>WJVfe6do-C0</t>
  </si>
  <si>
    <t>https://youtu.be/m2WIBkPtFoM</t>
  </si>
  <si>
    <t>Expedition 35 Bids Adieu to the ISS</t>
  </si>
  <si>
    <t>After bidding farewell to the Expedition 36 crew, Expedition 35 Commander Chris Hadfield of the Canadian Space Agency, Soyuz Commander Roman Romanenko of the Russian Federal Space Agency and NASA Flight Engineer Tom Marshburn undocked their Soyuz TMA-07M spacecraft from the Rassvet module on the International Space Station and began their journey back to Earth. The departure from the station of Expedition 35 capped off a 144 day stay for the crew aboard the orbital laboratory.</t>
  </si>
  <si>
    <t>m2WIBkPtFoM</t>
  </si>
  <si>
    <t>2013 05 13</t>
  </si>
  <si>
    <t>https://youtu.be/BqWtS7Y95ys</t>
  </si>
  <si>
    <t>Expedition 35 Prepares to Leave the ISS</t>
  </si>
  <si>
    <t>Prior to leaving the International Space Station for their trip back to Earth, Expedition 35 Commander Chris Hadfield of the Canadian Space Agency, Soyuz Commander Roman Romanenko of the Russian Federal Space Agency and NASA Flight Engineer Tom Marshburn said their farewells to Expedition 36 Commander Pavel Vinogradov, Flight Engineer Chris Cassidy of NASA and Flight Engineer Alexander Misurkin of the Russian Federal Space Agency. Vinogradov, Cassidy and Misurkin will be joined on May 29 by fellow Expedition 36/37 crew members Fyodor Yurchikhin of Roscosmos, NASA Flight Engineer Karen Nyberg and Flight Engineer Luca Parmitano of the European Space Agency.</t>
  </si>
  <si>
    <t>BqWtS7Y95ys</t>
  </si>
  <si>
    <t>https://youtu.be/39BjPoKaSH4</t>
  </si>
  <si>
    <t>40th Anniversary of Skylab</t>
  </si>
  <si>
    <t>During a special presentation at NASA Headquarters, the agency  commemorated the 40th anniversary of Skylab, America's first space station. The program featured Skylab astronauts, a current astronaut and agency managers planning future space missions.
NASA launched Skylab on May 14, 1973. It was the nation's first foray into significant scientific research in microgravity. The three Skylab crews proved humans could live and work effectively for long durations in space. The knowledge gathered during Skylab helped inform development and construction of the International Space Station, just as the research and technology demonstrations being conducted aboard the ISS will help shape a new set of missions that will take Americans farther into the solar system.</t>
  </si>
  <si>
    <t>39BjPoKaSH4</t>
  </si>
  <si>
    <t>https://youtu.be/kLkBYdnct2c</t>
  </si>
  <si>
    <t>Coolant Pump Replaced on ISS on This Week @NASA</t>
  </si>
  <si>
    <t>Outside the International Space Station, Expedition 35 Flight Engineers Chris Cassidy and Tom Marshburn of NASA conducted a 5-hour, 30-minute spacewalk on the station's P6 truss to replace a suspect pump controller box which distributes coolant to the station's thermal control system. The quick-turnaround spacewalk was mounted just 48 hoOutside the International Space Station, Expedition 35 Flight Engineers Chris Cassidy and Tom Marshburn of NASA conducted a 5-hour, 30-minute spacewalk on the station's P6 truss to replace a suspect pump controller box which distributes coolant to the station's thermal control system. The quick-turnaround spacewalk was mounted just 48 hours after an ammonia coolant leak developed on P6.  After installing the spare pump, power was turned on, and the system appeared to be working properly with no indications of ammonia leaking from the pump. Also, Humans 2 Mars, 40th Anniversary of Skylab, Marshburn "Testifies" From Space, Next ISS Crew Focused on Launch, Curiosity Rover Update, Landsat's Vegas Time-Lapse, Fruit Flies Improving Flight, Student Launch Projects and more!</t>
  </si>
  <si>
    <t>kLkBYdnct2c</t>
  </si>
  <si>
    <t>2013 05 12</t>
  </si>
  <si>
    <t>https://youtu.be/7fQXaLcY5Zc</t>
  </si>
  <si>
    <t>Space Exchange</t>
  </si>
  <si>
    <t>The official command of the International Space Station was successfully passed from Expedition 35 Commander Chris Hadfield of the Canadian Space Agency to Russian cosmonaut Pavel Vinogradov, Commander of Expedition 36, during a ceremony on the orbital outpost on May 12.</t>
  </si>
  <si>
    <t>7fQXaLcY5Zc</t>
  </si>
  <si>
    <t>https://youtu.be/S9B5G_3F37o</t>
  </si>
  <si>
    <t>Coolant Pump Replaced on ISS on This Week @NASA1</t>
  </si>
  <si>
    <t>Outside the International Space Station, Expedition 35 Flight Engineers Chris Cassidy and Tom Marshburn of NASA conducted a 5-hour, 30-minute spacewalk on the station's P6 truss to replace a suspect pump controller box which distributes coolant to the station's thermal control system. The quick-turnaround spacewalk was mounted just 48 hours after an ammonia coolant leak developed on P6.  After installing the spare pump, power was turned on, and the system appeared to be working properly with no indications of ammonia leaking from the pump. Also, Humans 2 Mars, 40th Anniversary of Skylab, Marshburn "Testifies" From Space, Next ISS Crew Focused on Launch, Curiosity Rover Update, Landsat's Vegas Time-Lapse, Fruit Flies Improving Flight, Student Launch Projects and more!</t>
  </si>
  <si>
    <t>S9B5G_3F37o</t>
  </si>
  <si>
    <t>2013 05 10</t>
  </si>
  <si>
    <t>https://youtu.be/Y9b-yu8L0rc</t>
  </si>
  <si>
    <t>NASA Mars Curiosity Rover Report -- May 9, 2013</t>
  </si>
  <si>
    <t>Y9b-yu8L0rc</t>
  </si>
  <si>
    <t>https://youtu.be/h35IHz6qdWY</t>
  </si>
  <si>
    <t>Spacewalk Planned to Help the ISS Keep its Cool</t>
  </si>
  <si>
    <t>During a NASA Television press briefing from Johnson Space Center, International Space Station managers discuss plans for a Saturday May 11 spacewalk to investigate the source of an ammonia coolant leak on the station's P6 (Port 6) truss near or at a pump controller box that feeds coolant to station systems. The leak was depleting coolant in the cooling loop that controls one of the station's eight electrical power channels. The spacewalk by NASA astronauts Tom Marshburn and Chris Cassidy is tentatively scheduled to start about 8:15 a.m. EDT on Saturday and should last about 6 1/2 hours.</t>
  </si>
  <si>
    <t>h35IHz6qdWY</t>
  </si>
  <si>
    <t>2013 05 09</t>
  </si>
  <si>
    <t>https://youtu.be/YKWvHBbcZYI</t>
  </si>
  <si>
    <t>NASA ISS Flight Controller Talks Space with Students</t>
  </si>
  <si>
    <t>Johnson Space Engineer Heather Paul with Crew Thermal, EVA and Life Support answers questions about a NASA Digital Learning Network (DLN) interactive broadcast.</t>
  </si>
  <si>
    <t>YKWvHBbcZYI</t>
  </si>
  <si>
    <t>https://youtu.be/-DlCeZw9RFw</t>
  </si>
  <si>
    <t>ScienceCasts  Sunset Triangle</t>
  </si>
  <si>
    <t>The three brightest planets in this month's night sky are lining up for a beautiful sunset conjunction at the end of May.</t>
  </si>
  <si>
    <t>-DlCeZw9RFw</t>
  </si>
  <si>
    <t>2013 05 08</t>
  </si>
  <si>
    <t>https://youtu.be/m4uxtqdGoC8</t>
  </si>
  <si>
    <t>Expedition 36 37 Crew Takes Questions from Media</t>
  </si>
  <si>
    <t>Members of Expedition 36/37 take questions from the news media at the Gagarin Cosmonaut Training Center in Star City, Russia, outside Moscow on May 8 as part of traditional pre-launch activities. After the news conference, six crew members participate in traditional ceremonies at Red Square in Moscow, laying flowers at the Kremlin Wall and touring the Kremlin as they paid tribute to iconic Russian space heroes.</t>
  </si>
  <si>
    <t>m4uxtqdGoC8</t>
  </si>
  <si>
    <t>2013 05 07</t>
  </si>
  <si>
    <t>https://youtu.be/rgyngI6Wx7A</t>
  </si>
  <si>
    <t>Space Station Crewmember Testifies Before Senate Committee</t>
  </si>
  <si>
    <t>From the International Space Station, NASA Astronaut Tom Marshburn discussed the aspects of human scientific research taking place in orbit during an in-flight conversation with members of the U.S. Senate Commerce Subcommittee on Science and Space.</t>
  </si>
  <si>
    <t>rgyngI6Wx7A</t>
  </si>
  <si>
    <t>2013 05 06</t>
  </si>
  <si>
    <t>https://youtu.be/wM7XerPy2kY</t>
  </si>
  <si>
    <t>Music Monday Comes to Space</t>
  </si>
  <si>
    <t>Aboard the International Space Station, Expedition 35 Commander and musician Chris Hadfield picked up his Larrivée guitar and joined a national Canadian music celebration called "Music Monday". This year, Hadfield was chosen to play the song "I.S.S."  co-written with Ed Robertson, the lead singer from the group "Barenaked Ladies."The song is expected to be included on an album Hadfield recorded on orbit in his spare time.</t>
  </si>
  <si>
    <t>wM7XerPy2kY</t>
  </si>
  <si>
    <t>https://youtu.be/uBhnFzSRats</t>
  </si>
  <si>
    <t>New ISS Crew Prepares for Space Launch</t>
  </si>
  <si>
    <t>Expedition 36/37 ISS crew members Commander Fyodor Yurchikhin of the Russian Federal Space Agency (Roscosmos), NASA Flight Engineer Karen Nyberg, and Flight Engineer Luca Parmitano of the European Space Agency conducted final testing in Star City, Russia, on May 6 to prepare for their May 29 launch to the International Space Station aboard a Soyuz TMA-09M spacecraft.</t>
  </si>
  <si>
    <t>uBhnFzSRats</t>
  </si>
  <si>
    <t>https://youtu.be/aFv4ojLtc1s</t>
  </si>
  <si>
    <t>NASA Asian American Pacific Islander History Month - Tu-Quynh Bui, Johnson Space Center</t>
  </si>
  <si>
    <t>Tu-Quynh Bui, is an Equal Employment Opportunity Specialist or EEO Specialist at Johnson Space Center. Her work involves resolving people problems before they become legal problems, providing neutral EO counseling to the workforce and educating the workforce on EO laws, policies, and processes.</t>
  </si>
  <si>
    <t>aFv4ojLtc1s</t>
  </si>
  <si>
    <t>2013 05 03</t>
  </si>
  <si>
    <t>https://youtu.be/W5J6qmcnnp0</t>
  </si>
  <si>
    <t>Garver Tours Gulf Region NASA Facilities on This Week @ NASA</t>
  </si>
  <si>
    <t>During a recent visit to the Gulf Coast region, Deputy Administrator Lori Garver toured two NASA facilities that are key to development of the new Space Launch System and the agency's commercial crew partnerships with private industry. At the Michoud Assembly Facility in New Orleans, Garver was briefed on progress being made in support of the SLS and the Orion spacecraft programs. Garver later traveled to Stennis Space Center in Bay St. Louis, Mississippi for a tour of testing facilities there, including the B-2 test stand. Once used to test Apollo era engines, the structure is being restored to prepare it for testing of the SLS core stage. Also, Training in Star City, Back to Work for the rovers on Mars, Ice Sheet Rover, Asteroids -- Coming to Earth!, Saturn's Big Hurricane, Herschel Completes Cool Journey, Three Years of the Sun, Seeking Quiet Supersonic Flight and more!</t>
  </si>
  <si>
    <t>W5J6qmcnnp0</t>
  </si>
  <si>
    <t>https://youtu.be/ZHxw8Hk_l4w</t>
  </si>
  <si>
    <t>NASA Asian American Pacific Islander History Month - Wayne Wong, Glenn Research Center</t>
  </si>
  <si>
    <t>Wayne Wong, Advanced Stirling Convertor Lead Engineer at the Glenn Research Center in Cleveland, Ohio received the  2013 National Asian American Engineer of the Year award for his exceptional leadership and impact in the development of an advanced Stirling convertor. The Stirling convertor will improve the efficiency of space radioisotope power systems that will enable future NASA Science Missions.</t>
  </si>
  <si>
    <t>ZHxw8Hk_l4w</t>
  </si>
  <si>
    <t>https://youtu.be/asRVahOUI6s</t>
  </si>
  <si>
    <t>NASA Asian American Pacific Islander History Month - Pauline Hwang, Jet Propulsion Laboratory</t>
  </si>
  <si>
    <t>Pauline Hwang, has been working on the Mars Science Laboratory project since 2010 starting at design and development into the operations phase of the mission. She was the Deputy Team Chief for Launch/Cruise/EDL operations for the uplink planning team and is currently working as a Tactical Uplink Lead for surface operations.</t>
  </si>
  <si>
    <t>asRVahOUI6s</t>
  </si>
  <si>
    <t>https://youtu.be/DHaE6MWP2z8</t>
  </si>
  <si>
    <t>NASA Asian American Pacific Islander History Month - Lein Moore, Kennedy Space Center</t>
  </si>
  <si>
    <t>Lein Moore is the project group lead for the simulation project group within the engineering and technology directorate, which provides mathematical models and simulates ground support systems such as the crew access arms to allow testing and verification of hardware and software.</t>
  </si>
  <si>
    <t>DHaE6MWP2z8</t>
  </si>
  <si>
    <t>https://youtu.be/oxbnDFFA0nk</t>
  </si>
  <si>
    <t>NASA Asian American Pacific Islander History Month - Ngoc Phan Nguyen, Michoud Assembly Facility</t>
  </si>
  <si>
    <t>Ngoc Phan Nguyen serves as the Operation and Maintenance Lead and Energy Manager at Michoud Assembly Facility. I am also an for NASA at MAF. He is responsible for all systems operation and maintenance issues and ensuring that Michoud meets all agency requirements outlined by presidential executive order.</t>
  </si>
  <si>
    <t>oxbnDFFA0nk</t>
  </si>
  <si>
    <t>https://youtu.be/GGIGflN3xWQ</t>
  </si>
  <si>
    <t>NASA Asian American Pacific Islander History Month - Eric Vitug, Langley Research Center</t>
  </si>
  <si>
    <t>Eric Vitug is the senior developer for office of strategic analysis, communications and business development at NASA Langley Research Center, which helps the Innovative Partnerships Office (IPO) develop their Technology Transfer Website (Technology Gateway) and works on multiple other websites within and outside the NASA firewall.</t>
  </si>
  <si>
    <t>GGIGflN3xWQ</t>
  </si>
  <si>
    <t>https://youtu.be/sk30ZcLrII8</t>
  </si>
  <si>
    <t>ScienceCasts  Glow-in-the-Dark Plants on the ISS</t>
  </si>
  <si>
    <t>Can plants adapt to the novelty of climate change? Researchers seeking to answer this question have sent genetically engineered plants to the ISS for exposure to extreme conditions. To report their condition, the plants have learned to glow in the dark.</t>
  </si>
  <si>
    <t>sk30ZcLrII8</t>
  </si>
  <si>
    <t>2013 05 02</t>
  </si>
  <si>
    <t>https://youtu.be/PvsmA_c2bxs</t>
  </si>
  <si>
    <t>Johnson Space Center Flight Controller Cinda Chullen answers questions from 11th and 12th grade students at Naperville North High School in Naperville, IL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</si>
  <si>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PvsmA_c2bxs</t>
  </si>
  <si>
    <t>https://youtu.be/oVj57Mg7yms</t>
  </si>
  <si>
    <t>NASA Astronaut Discusses Life Onboard ISS with Texas Legislator</t>
  </si>
  <si>
    <t>Aboard the International Space Station, Expedition 35 Flight Engineer Chris Cassidy of NASA discussed life and research on the orbital laboratory with students at the Fredericksburg High School in Fredericksburg, Texas, May 2 during an in-flight educational event attended by Rep. Lamar Smith (R-TX). Smith, who is the Chairman of the House Science, Space and Technology Committee, and former NASA astronaut Eileen Collins joined students to discuss the station's activities with Cassidy, who arrived at the outpost in late March and who will remain in orbit</t>
  </si>
  <si>
    <t>oVj57Mg7yms</t>
  </si>
  <si>
    <t>2013 04 30</t>
  </si>
  <si>
    <t>https://youtu.be/Mr0g_xD20mA</t>
  </si>
  <si>
    <t>New Canadian Cash Unveiled From Orbit</t>
  </si>
  <si>
    <t>Aboard the International Space Station, Expedition 35 Commander Chris Hadfield of the Canadian Space Agency unveiled new Canadian currency from orbit April 30 in a ceremony with Canadian officials at the Bank of Canada in Ottawa, Canada. Hadfield, who is the first Canadian commander of the orbital laboratory, joined a host of Canadian dignitaries including Finance Minister James Flaherty in displaying new Canadian currency bearing the likeness of the Canadarm2 robotic arm and Canadian astronauts. Hadfield is scheduled to return to Earth in a Soyuz spacecraft May 14 after spending five months in orbit.</t>
  </si>
  <si>
    <t>Mr0g_xD20mA</t>
  </si>
  <si>
    <t>https://youtu.be/Jt4BZalMbqs</t>
  </si>
  <si>
    <t>Next ISS Crew Conducts Final Exam in Soyuz Simulator</t>
  </si>
  <si>
    <t>Jt4BZalMbqs</t>
  </si>
  <si>
    <t>2013 04 26</t>
  </si>
  <si>
    <t>https://youtu.be/rl8jEj6T9WM</t>
  </si>
  <si>
    <t>Earth Day 2013 on This Week @ NASA</t>
  </si>
  <si>
    <t>During an Earth Day visit to Goddard Space Flight Center, NASA Deputy Administrator Lori Garver toured the Landsat Data Continuity Mission control room and was briefed on Goddard Earth science programs. NASA also celebrated Earth Day with a range of activities for travelers and visitors at DC's Union Station -- to help them better understand the agency's mission to sustain the planet's systems and climate. Also, Educate to Innovate, Asteroid Sensor Passes Key Test, International Space Apps Challenge, Cargo Ship Delivers To ISS, Three More To Hall, Wildfire Imaging Sensor  and more!</t>
  </si>
  <si>
    <t>rl8jEj6T9WM</t>
  </si>
  <si>
    <t>https://youtu.be/YXdQsJuAwGA</t>
  </si>
  <si>
    <t>Cargo Ship delivers the Goods to Space Station</t>
  </si>
  <si>
    <t>The unpiloted Russian Progress 51 cargo craft linked up to the International Space Station April 26, automatically docking to the aft port of the Zvezda Service Module after a flawless two-day rendezvous. Loaded with more than three tons of food, fuel, supplies and experiment hardware, the new Progress freighter launched from the Baikonur Cosmodrome in Kazakhstan April 24, executing a pre-programmed series of engine firings over the next two days to reach the station for its docking. The Progress will remain at the station until mid-June when it will undock and deorbited to burn up in the Earth's atmosphere over the Pacific Ocean.</t>
  </si>
  <si>
    <t>YXdQsJuAwGA</t>
  </si>
  <si>
    <t>2013 04 25</t>
  </si>
  <si>
    <t>https://youtu.be/D4OipNT_joo</t>
  </si>
  <si>
    <t>Astronaut Chats About Space Exploration with Atlanta Area Students</t>
  </si>
  <si>
    <t>NASA Astronaut Eric Boe chats with students from Atlanta Georgia about The International Space Station, space exploration and his background as a NASA Astronaut.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</si>
  <si>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D4OipNT_joo</t>
  </si>
  <si>
    <t>https://youtu.be/MV6ErX2mYJo</t>
  </si>
  <si>
    <t>ISS ASTRONAUTS DISCUSS THE CHALLENGE OF LIVING IN SPACE WITH MEDIA REPRESENTATIVES</t>
  </si>
  <si>
    <t>Aboard the International Space Station, Expedition 35 Flight Engineers Chris Cassidy and Tom Marshburn discuss day to day life, work and scientific research aboard the orbiting outpost with the earthbound journalists.</t>
  </si>
  <si>
    <t>MV6ErX2mYJo</t>
  </si>
  <si>
    <t>https://youtu.be/9o_3xvW7si8</t>
  </si>
  <si>
    <t>ScienceCasts  Saturn Close Up</t>
  </si>
  <si>
    <t>Saturn and Earth are lining up for a beautiful view of the ringed planet. Saturn will be at its best and brightest on April 28th.</t>
  </si>
  <si>
    <t>9o_3xvW7si8</t>
  </si>
  <si>
    <t>2013 04 24</t>
  </si>
  <si>
    <t>https://youtu.be/41xuAow-UJU</t>
  </si>
  <si>
    <t>Russian Cargo Freighter Heads for the International Space Station</t>
  </si>
  <si>
    <t>The Russian International Space Station Progress 51 cargo craft launched from the Baikonur Cosmodrome in Kazakhstan April 24, headed on a two-day journey to deliver more than three tons of food, fuel, supplies and experiment hardware for the Expedition 35 crew aboard the orbital laboratory. The unpiloted Progress is scheduled to dock to the aft port of the station's Zvezda Service Module on April 26.</t>
  </si>
  <si>
    <t>41xuAow-UJU</t>
  </si>
  <si>
    <t>2013 04 22</t>
  </si>
  <si>
    <t>https://youtu.be/tdAOJthwehM</t>
  </si>
  <si>
    <t>Hadfield Shares The Excitement Of Space With Canadian Students</t>
  </si>
  <si>
    <t>Aboard the International Space Station, Expedition 35 Commander Chris Hadfield of the Canadian Space Agency discussed life and work on the orbital laboratory during an in-flight question and answer session April 22 with students involved in the Canadian National Film Board's Space School, an exciting new website that teaches kids about space, science, technology and leadership by giving them a front-row seat to Hadfield's mission. Hadfield is in the final weeks of his five-month mission on the station, preparing to return to Earth in a Russian Soyuz spacecraft on May 14.</t>
  </si>
  <si>
    <t>tdAOJthwehM</t>
  </si>
  <si>
    <t>https://youtu.be/OEIQ73WfjP8</t>
  </si>
  <si>
    <t>Antares and The Future on This Week @ NASA</t>
  </si>
  <si>
    <t>Now that the Antares rocket and its simulated Cygnus spacecraft have successfully test-launched from the Mid-Atlantic Regional Spaceport at Wallops Flight Facility, program managers at NASA and Orbital Sciences Corporation are looking ahead to the cargo delivery system's next milestone. This Antares test flight, dubbed the A-ONE mission, is the first of two for Orbital scheduled in 2013 under NASA's Commercial Orbital Transportation Services (COTS) Program. In addition, the company is also scheduled to launch the first of eight operational cargo resupply missions to the ISS in 2013 under the Commercial Resupply Services (CRS) contract with NASA. Also, Orion's Progress , Gathering for Impact!, Three More Planets for Kepler , Station Spacewalk, Moonbuggy Preps, Hubble's Infrared Horsehead and more!</t>
  </si>
  <si>
    <t>OEIQ73WfjP8</t>
  </si>
  <si>
    <t>https://youtu.be/gq5xtekptEo</t>
  </si>
  <si>
    <t>gq5xtekptEo</t>
  </si>
  <si>
    <t>https://youtu.be/Mx2BG_5cSas</t>
  </si>
  <si>
    <t>Managers Recap Commercial Rocket's Successful Demo Flight</t>
  </si>
  <si>
    <t>During a post-launch press briefing on NASA Television and nasa.gov, managers from NASA and Orbital Sciences Corporation discuss the successful demonstration flight of the Antares rocket from the Mid-Atlantic Regional Spaceport at Wallops Flight Facility and what lies ahead for the cargo delivery system. Antares is scheduled to launch a Cygnus spacecraft to orbit this summer that will transport cargo to the International Space Station.</t>
  </si>
  <si>
    <t>Mx2BG_5cSas</t>
  </si>
  <si>
    <t>2013 04 21</t>
  </si>
  <si>
    <t>https://youtu.be/V3L7crGudVU</t>
  </si>
  <si>
    <t>Successful Launch for Antares</t>
  </si>
  <si>
    <t>Orbital Sciences Antares rocket successfully launched at 5 p.m., Sunday, 
April 21 from the Mid-Atlantic Regional Spaceport's Pad 0A at NASA's 
Wallops Flight Facility in Virginia. All system nominal. The Antares launch vehicle made its maiden flight Sunday, launching from Pad 0A at the Wallops Flight Facility, Va. at 5 p.m. Eastern time on a test flight that served as the precursor for a demonstration flight of its Cygnus resupply ship to the International Space Station later this year. Antares will be delivering a mass simulator payload to orbit 10 minutes after launch designed to mimic the Cygnus spacecraft's weight and characteristics.</t>
  </si>
  <si>
    <t>V3L7crGudVU</t>
  </si>
  <si>
    <t>2013 04 20</t>
  </si>
  <si>
    <t>https://youtu.be/DD_hxU3Iq7M</t>
  </si>
  <si>
    <t>Three New U.S. Astronauts Inducted into Famed Hall</t>
  </si>
  <si>
    <t>Curt Brown, Eileen Collins and Bonnie Dunbar, Ph.D., joined an elite group of American space heroes with their induction into the U.S. Astronaut Hall of Fame on Saturday, April 20, 2013, during a ceremony at Kennedy Space Center Visitor Complex. Brown flew on six missions and was commander of Discovery when Senator John Glenn returned to space on STS-95; Collins flew four missions beginning with Discovery as the first female space shuttle pilot on STS-63, this was also the first flight of a new joint Russian-American Space Program, and continued to make history on STS-93 as the first female space shuttle commander; and Dunbar, a veteran of five flights, served as a mission specialist on Atlantis for STS-71, the first space shuttle mission to dock with the Russian space station Mir.
The 2013 inductees were selected by a committee of current Hall of Fame astronauts, former NASA officials, flight directors, historians and journalists.</t>
  </si>
  <si>
    <t>DD_hxU3Iq7M</t>
  </si>
  <si>
    <t>2013 04 19</t>
  </si>
  <si>
    <t>https://youtu.be/fQEbRlFQM48</t>
  </si>
  <si>
    <t>Antares Anticipating Launch on This Week @ NASA</t>
  </si>
  <si>
    <t>The Antares rocket remains at the Mid-Atlantic Regional Spaceport's Pad 0-A at Wallops Flight Facility -- awaiting launch on its first test flight under NASA's Commercial Orbital Transportation Services, or COTS program. Orbital Sciences Corporation canceled the countdown during Wednesday's initial launch attempt when a data umbilical connection prematurely separated from the rocket. On this demonstration flight, Antares will carry a simulated Cygnus spacecraft to orbit. The real Cygnus will deliver cargo to the International Space Station. Also, Orion's Progress , Gathering for Impact!, Three More Planets for Kepler , Station Spacewalk, Moonbuggy Preps, Hubble's Infrared Horsehead and more!</t>
  </si>
  <si>
    <t>fQEbRlFQM48</t>
  </si>
  <si>
    <t>https://youtu.be/xNZ103i6suQ</t>
  </si>
  <si>
    <t>ScienceCasts  Comet ISON Meteor Shower</t>
  </si>
  <si>
    <t>Sungrazing Comet ISON, expected to become a bright naked-eye object later this year, might dust the Earth with meteoroids in early 2014. Researchers discuss the possibilities in this week's ScienceCast.</t>
  </si>
  <si>
    <t>xNZ103i6suQ</t>
  </si>
  <si>
    <t>2013 04 18</t>
  </si>
  <si>
    <t>https://youtu.be/GQVlDqOchSA</t>
  </si>
  <si>
    <t>Kepler Makes Discoveries Inside the Habitable Zone</t>
  </si>
  <si>
    <t>NASA's Kepler mission has discovered two new planetary systems that include three super-Earth-size planets in the "habitable zone," the range of distance from a star where the surface temperature of an orbiting planet might be suitable for liquid water.
The size of Kepler-62f is now measured, but its mass and composition are not. However, based on previous studies of rocky exoplanets similar in size, scientists are able to estimate its mass by association. Scientists do not know whether life could exist on the newfound planets, but their discovery signals we are another step closer to finding a world similar to Earth around a star like our sun.</t>
  </si>
  <si>
    <t>GQVlDqOchSA</t>
  </si>
  <si>
    <t>https://youtu.be/HSdsBjDHVeI</t>
  </si>
  <si>
    <t>Scientist Talks Earth and Space with Students</t>
  </si>
  <si>
    <t>Johnson Space Center Chief Earth Scientist, Will Stefanov answers questions from 6th grade students at Lanier Middle School in Buford, Georgia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</si>
  <si>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HSdsBjDHVeI</t>
  </si>
  <si>
    <t>2013 04 17</t>
  </si>
  <si>
    <t>https://youtu.be/GxpN0sErp4g</t>
  </si>
  <si>
    <t>2014 NASA Budget Briefed on This Week @ NASA</t>
  </si>
  <si>
    <t>Administrator Charles Bolden, Deputy Administrator Lori Garver, Chief Financial Officer Beth Robinson and Associate Administrator Robert Lightfoot unveiled the President's Fiscal Year 2014 budget request for NASA during a town hall-style all-hands briefing at Headquarters. The proposal would leverage the agency's capabilities to make significant-yet-affordable advances for the nation while meeting the space goals set by the Obama Administration. One presidential goal, to send humans to an asteroid by 2025, is targeted by what would be the first-ever mission to identify, capture, and relocate an asteroid to a stable Earth-moon orbit. There, it could be explored by astronauts using the Orion spacecraft and the Space Launch System. Also, ANTARES AWAITS, CURIOSITY ROVER UPDATE, XOMBIE FLIES HIGH, FROZEN WINGS, EARTH MONTH TREE PLANTING, @NASA GETS SHORTY and more!</t>
  </si>
  <si>
    <t>GxpN0sErp4g</t>
  </si>
  <si>
    <t>https://youtu.be/LgVDQUnGwrc</t>
  </si>
  <si>
    <t>Astro Trio on  Destination  Station  Discuss Mission with Students</t>
  </si>
  <si>
    <t>Aboard the International Space Station, Expedition 35 Commander Chris Hadfield along  with Flight Engineers Tom Marshburn and Chris Cassidy of NASA discussed life and research aboard the orbital laboratory with students gathered at the Fernbank Science Center in Atlanta Nov. 17. The educational in-flight event was part of NASA's "Destination Station" traveling exhibit designed to spread the word on the wonders of ISS research and the permanent human presence in space.</t>
  </si>
  <si>
    <t>LgVDQUnGwrc</t>
  </si>
  <si>
    <t>2013 04 16</t>
  </si>
  <si>
    <t>https://youtu.be/2RXmxLGS-jA</t>
  </si>
  <si>
    <t>NASA Briefs Media on Antares Launch Status</t>
  </si>
  <si>
    <t>NASA hosted a press briefing on April 16 to discuss the launch of Orbital Sciences Corporation's Antares rocket on a demonstration flight from the Mid-Atlantic Regional Spaceport's Pad-0A at Wallops Flight Facility . The Antares test flight is the first of two scheduled missions this year for Orbital under NASA's Commercial Orbital Transportation Services (COTS) Program. This mission will demonstrate the Antares launch system and deliver a simulated Cygnus cargo craft to orbit. The real Cygnus is designed to deliver cargo to the International Space Station. Launch opportunities are available April 17-21.</t>
  </si>
  <si>
    <t>2RXmxLGS-jA</t>
  </si>
  <si>
    <t>https://youtu.be/pHQFpYHmbOE</t>
  </si>
  <si>
    <t>Wallops in The Spotlight!</t>
  </si>
  <si>
    <t>In advance of the test flight of Orbital Sciences Corporation's Antares rocket from NASA's Wallops Flight Facility, the agency hosted a media briefing to discuss activities at Wallops, Orbital's scheduled plans under NASA's Commercial Orbital Transportation Services Contract and Commercial Resupply Services initiatives and the new Mid-Atlantic Regional Spaceport Pad-0A.</t>
  </si>
  <si>
    <t>pHQFpYHmbOE</t>
  </si>
  <si>
    <t>https://youtu.be/zUIa685ETgo</t>
  </si>
  <si>
    <t>Station Commander Shares Science with Students</t>
  </si>
  <si>
    <t>Aboard the International Space Station, Expedition 35 Commander Chris Hadfield of the Canadian Space Agency fielded questions about life and research on the orbital laboratory during an in-flight educational event April 16 with students gathered at Lockview High School in Fall River, Nova Scotia. Hadfield, who is the first Canadian to command the station, is scheduled to return to Earth in mid-May after a five-month mission</t>
  </si>
  <si>
    <t>zUIa685ETgo</t>
  </si>
  <si>
    <t>https://youtu.be/0CSDlf_EBeI</t>
  </si>
  <si>
    <t>Carol Tolbert -- Glenn Research Center</t>
  </si>
  <si>
    <t>Carol Tolbert manages the Manufacturing Innovation project for the Office of the Chief Technologist at the NASA Glenn Research Center. She calls the project "game changing" because it is all about additive manufacturing, a process that turns out more lightweight products than in traditional machining. NASA could ultimately use this technology on orbit, reducing the need to transport parts and hardware to space. Broken parts could be manufactured on orbit. 
Tolbert, who has worked at NASA Glenn since 1991 says she tries to inspire as many people as possible in recognition of the many people who've inspired her throughout her career.</t>
  </si>
  <si>
    <t>0CSDlf_EBeI</t>
  </si>
  <si>
    <t>2013 04 15</t>
  </si>
  <si>
    <t>https://youtu.be/STzJ4WDk_tY</t>
  </si>
  <si>
    <t>Media View Ongoing Orion Work at Kennedy</t>
  </si>
  <si>
    <t>Journalists visited the Operations and Checkout Building at NASA's Kennedy Space Center to view progress on Orion, the spacecraft that could take astronauts on a sample collection mission to an asteroid as early as 2021. The event marked three years since President Obama set his vision for space exploration, including the goal of sending humans to an asteroid by 2025. Speakers included Robert Cabana, Kennedy center director; Dan Dumbacher, deputy associate administrator for Exploration Systems Development; Mark Geyer, Orion Program manager; Keith Hefner, Space Launch System Program planning and control manager; and Scott Colloredo, chief architect for the Ground Systems Development and Operations Program. They discussed progress made on final assembly and integration of Orion for its uncrewed Exploration Flight Test-1 in 2014.</t>
  </si>
  <si>
    <t>STzJ4WDk_tY</t>
  </si>
  <si>
    <t>https://youtu.be/ozE7cGXfiMc</t>
  </si>
  <si>
    <t xml:space="preserve"> Waste Away  in Departed Space Station Freighter</t>
  </si>
  <si>
    <t>An unpiloted Russian resupply vehicle undocked from the International Space Station April 15 after spending five months attached to it. After delivering 2 ½ tons of food, fuel and supplies for the station crewmembers, the International Space Station Progress 49 vehicle separated from the station and fired thrusters to back away to a safe distance for a series of engine firings to gather engineering data for Russian ground controllers. Now loaded with trash, the Progress is scheduled to be deorbited on April 21 to burn up in the Earth's atmosphere over the Pacific Ocean.</t>
  </si>
  <si>
    <t>ozE7cGXfiMc</t>
  </si>
  <si>
    <t>2013 04 12</t>
  </si>
  <si>
    <t>https://youtu.be/A2ufhBlHMt8</t>
  </si>
  <si>
    <t>ScienceCasts  A Whiff of Dark Matter on the ISS</t>
  </si>
  <si>
    <t>An advanced particle detector onboard the International Space Station may have recorded its first whiff of Dark Matter. Researchers are excited about the possibility of finally understanding what this mysterious substance is made of.
Visit http://science.nasa.gov/ for breaking science news.</t>
  </si>
  <si>
    <t>A2ufhBlHMt8</t>
  </si>
  <si>
    <t>https://youtu.be/ntdFUFkis3k</t>
  </si>
  <si>
    <t>Cherry Blossoms and Partnerships in Space discussed at NASA Social</t>
  </si>
  <si>
    <t>60 of NASA's social media followers flocked to NASA's Goddard Space Flight Center in Greenbelt, Md on Friday, April 12 to learn about the many missions and partnerships between NASA and the Japan Aerospace Exploration Agency (JAXA). Held on the Friday before a weekend of events at the National Cherry Blossom Festival in Washington, D.C., the day-long NASA Goddard event is designed to be a celebration of the many successful and ongoing missions between NASA and JAXA.</t>
  </si>
  <si>
    <t>ntdFUFkis3k</t>
  </si>
  <si>
    <t>2013 04 10</t>
  </si>
  <si>
    <t>https://youtu.be/iXxfmuX13cw</t>
  </si>
  <si>
    <t>NASA's Next Budget Advances US Leadership in Space and Science</t>
  </si>
  <si>
    <t>President Obama's Fiscal Year 2014 budget request for NASA is a $17.7 billion investment in our nation's future. NASA's budget ensures the United States will remain the world's leader in space exploration and scientific discovery for years to come, while making critical advances in aerospace and aeronautics to benefit the American people.</t>
  </si>
  <si>
    <t>iXxfmuX13cw</t>
  </si>
  <si>
    <t>https://youtu.be/ejIXRFzXgsg</t>
  </si>
  <si>
    <t>NASA Announces Asteroid Identification, Capture and Sampling Initiative</t>
  </si>
  <si>
    <t>President Obama's FY2014 budget request for NASA enables the agency to leverage capabilities in the Human Exploration and Operations, Science and Space Technology Mission Directorates to make significant yet affordable advances in our nation's capabilities and achieve the space goals set by the Administration. NASA will improve detection and characterization of asteroids, pursue solar electric propulsion demonstration, develop a mechanism to capture an asteroid and redirect it to a stable orbit in the Earth-moon system and begin designing a mission to send humans to it using the Space Launch System rocket and Orion spacecraft.</t>
  </si>
  <si>
    <t>ejIXRFzXgsg</t>
  </si>
  <si>
    <t>2013 04 09</t>
  </si>
  <si>
    <t>https://youtu.be/RZ01EyQDtfA</t>
  </si>
  <si>
    <t>Commander Takes a Time Out to Talk with Canadian Students</t>
  </si>
  <si>
    <t>Aboard the International Space Station, Expedition 35 Commander Chris Hadfield of the Canadian Space Agency discussed the progress of his mission on the orbital laboratory with students attending a science competition in Edmonton, Alberta during an in-flight event April 9. Hadfield, who is the first Canadian to command the station, is scheduled to return to Earth in mid-May to wrap up a five-month flight aboard the outpost.</t>
  </si>
  <si>
    <t>RZ01EyQDtfA</t>
  </si>
  <si>
    <t>https://youtu.be/nQvVYb5MTT0</t>
  </si>
  <si>
    <t>NASA Celebrates a Month of Earth Days</t>
  </si>
  <si>
    <t>NASA satellites, scientists and data are cranking 24/7 to help us all better understand and sustain our home planet. We have so much going on from the seas to the stratosphere that in April 2013 we are celebrate Earth Day (April 22) all month long. Join us!</t>
  </si>
  <si>
    <t>nQvVYb5MTT0</t>
  </si>
  <si>
    <t>https://youtu.be/Y0Q0Hene1LY</t>
  </si>
  <si>
    <t>NASA Celebrates Earth Month 2013  NASA Science Eyes</t>
  </si>
  <si>
    <t>NASA's fleet of science satellites and research aircraft are at work around the world 24/7 helping scientists discover just how our living planet really works. Take a look at some of the insights and don't forget to celebrate Earth Day on April 22!</t>
  </si>
  <si>
    <t>Y0Q0Hene1LY</t>
  </si>
  <si>
    <t>https://youtu.be/X2c8Ozis-mo</t>
  </si>
  <si>
    <t>NASA Celebrates Earth Month 2013  The View from Orbit</t>
  </si>
  <si>
    <t>Take a look at the beauty and wonder of our home planet as seen from space by astronauts on the International Space Station. And don't forget to celebrate Earth Day on April 22!</t>
  </si>
  <si>
    <t>X2c8Ozis-mo</t>
  </si>
  <si>
    <t>2013 04 08</t>
  </si>
  <si>
    <t>https://youtu.be/RigHK2GAr3I</t>
  </si>
  <si>
    <t>Station Astros Share Space with Students</t>
  </si>
  <si>
    <t>Aboard the International Space Station, Expedition 35 Flight Engineers Tom Marshburn and Chris Cassidy of NASA fielded questions from students at the Mary Marek Elementary School in Pearland, Texas, during an in-flight educational event April 8. Marshburn has been aboard the orbital laboratory since December 2012, and Cassidy arrived March 29. The two astronauts flew together as crewmates during the STS-127 mission of space shuttle Endeavour to the International Space Station in July 2009.</t>
  </si>
  <si>
    <t>RigHK2GAr3I</t>
  </si>
  <si>
    <t>https://youtu.be/9LgcdcV7jeA</t>
  </si>
  <si>
    <t>Commercial Rocket Rolled at Wallops on This Week @ NASA</t>
  </si>
  <si>
    <t>Orbital Sciences Corporation's Antares rocket was rolled out to the Mid-Atlantic Regional Spaceport's Pad-0A at Wallops Flight Facility in preparation for a test flight targeted for later this month. Antares is designed to propel a Cygnus cargo spacecraft laden with experiments and supplies to the International Space Station. This test won't include the spacecraft or a rendezvous with the space station. That full-up demonstration flight is planned for later this year. Also, first light for AMS, Materials in Space, Observing  Earth, Farthest Supernova Yet, Blowing in the Wind, Earth Month 2013 and more!</t>
  </si>
  <si>
    <t>9LgcdcV7jeA</t>
  </si>
  <si>
    <t>2013 04 06</t>
  </si>
  <si>
    <t>https://youtu.be/lJSn2hxzbnU</t>
  </si>
  <si>
    <t>Commercial Rocket Makes Trek to Launchpad</t>
  </si>
  <si>
    <t>On April 6 at Wallops Flight Facility, NASA commercial partner Orbital Sciences Corporation rolled out the first fully-integrated Antares rocket to Mid-Atlantic Regional Spaceport Pad-0A , in preparation for its inaugural flight. Orbital is testing Antares under NASA's Commercial Orbital Transportation Services (COTS) program. NASA initiatives like COTS are helping develop a robust U.S. commercial space transportation industry with the goal of achieving safe, reliable and cost-effective transportation to and from the space station and low-Earth orbit.</t>
  </si>
  <si>
    <t>lJSn2hxzbnU</t>
  </si>
  <si>
    <t>2013 04 05</t>
  </si>
  <si>
    <t>https://youtu.be/mD8mxlkYiGI</t>
  </si>
  <si>
    <t>First Light for AMS on This Week @ NASA...</t>
  </si>
  <si>
    <t>Researchers have published the first findings of the Alpha Magnetic Spectrometer (AMS), a particle physics detector on the International Space Station that searches for various types of unusual cosmic matter. Scientists hope that by measuring cosmic rays, AMS will provide new data about the formation of the Universe, antimatter, and evidence of the mysterious dark matter believed to make up most of the Universe. Also, MATERIALS IN SPACE, OBSERVING EARTH, FARTHEST SUPERNOVA YET, BLOWING IN THE WIND, EARTH MONTH 2013 and more!</t>
  </si>
  <si>
    <t>mD8mxlkYiGI</t>
  </si>
  <si>
    <t>2013 04 04</t>
  </si>
  <si>
    <t>https://youtu.be/k0j3IDXRaSg</t>
  </si>
  <si>
    <t>NASA Engineer Shares Software Smarts</t>
  </si>
  <si>
    <t>Students on NASA's Digital Learning Network hear from NASA's Megan Hashier about her role as software Engineer for the International Space Station. Host: Kyle Herring.</t>
  </si>
  <si>
    <t>k0j3IDXRaSg</t>
  </si>
  <si>
    <t>https://youtu.be/8qhJDSw1odE</t>
  </si>
  <si>
    <t>Canadian Students Hear from ISS Commander</t>
  </si>
  <si>
    <t>Aboard the International Space Station, Expedition 35 Commander Chris Hadfield of the Canadian Space Agency discussed the progress of his flight on the orbital laboratory April 4 with students gathered for a science challenge competition in Fall River, Nova Scotia. Hadfield, who is the first Canadian commander of the complex, is scheduled to return to Earth in mid-May with crewmates Tom Marshburn of NASA and Roman Romanenko of the Russian Federal Space Agency.</t>
  </si>
  <si>
    <t>8qhJDSw1odE</t>
  </si>
  <si>
    <t>https://youtu.be/WcfEX-MZH8s</t>
  </si>
  <si>
    <t>Space Station Instrument Finds Excess Antimatter</t>
  </si>
  <si>
    <t>The first results from the Alpha Magnetic Spectrometer aboard the International Space Station were discussed during a Press Briefing at NASA Headquarters. Those results confirm an unexplained excess of high-energy positrons in Earth-bound cosmic rays. Antimatter is rare in the universe today. Because Earth receives a limited amount of energetic antimatter, antiparticles serve as unique messengers of high-energy phenomena in the cosmos, or signatures of exotic new physics.</t>
  </si>
  <si>
    <t>WcfEX-MZH8s</t>
  </si>
  <si>
    <t>2013 04 03</t>
  </si>
  <si>
    <t>https://youtu.be/1k5DOOR9zTg</t>
  </si>
  <si>
    <t>Maxine Mason -- NASA Shared Services Center</t>
  </si>
  <si>
    <t>Ms. Maxine Mason serves as an Accounts Payable Invoice troubleshooter for the Financial Management Department at the NASA Shared Services Center.  Ms. Mason is employed as a contractor with Stinger Ghaffarian Technologies (SGT) and  has supported the NSSC for over 5 years in the Financial Management Department. Ms. Mason provides guidance to 10 NASA Centers and ensures the vision of the NSSC by providing "Unparalleled Service" to all of NASA customers.   Prior to joining the NSSC, Ms. Mason most recently served as an Appointing Clerk in support of the Military Training Facility located at  Keesler Medical Center, Miss.  Ms. Mason received a  Bachelor of Social Sciences Degree with a minor in Human Resources, from Tulane University, Biloxi, Miss., in December 2012.</t>
  </si>
  <si>
    <t>1k5DOOR9zTg</t>
  </si>
  <si>
    <t>2013 04 01</t>
  </si>
  <si>
    <t>https://youtu.be/gUNDmFQohO4</t>
  </si>
  <si>
    <t>Cassidy Chats with Fellow Mainers</t>
  </si>
  <si>
    <t>NASA astronaut Chris Cassidy, a native of York, Maine, speaks with WGME-TV, the CBS outlet in Portland, Maine, about life in space and his recent arrival at the International Space Station for Expedition 35/36.</t>
  </si>
  <si>
    <t>gUNDmFQohO4</t>
  </si>
  <si>
    <t>2013 03 29</t>
  </si>
  <si>
    <t>https://youtu.be/bFxzaxf8SZk</t>
  </si>
  <si>
    <t>All Aboard for Cassidy and Crewmates on This Week @NASA</t>
  </si>
  <si>
    <t>NASA Flight Engineer Chris Cassidy and his Expedition 35/36 crewmates, Soyuz Commander Pavel Vinogradov, and Russian Flight Engineer Alexander Misurkin, are now safely aboard the International Space Station, where they'll conduct scientific research through the summer. Also, Dragon's back; Heatshield Hits Beantown; Stir Welding for SLS; Cassini Hot Spots; Hangout En Espanol; and more!</t>
  </si>
  <si>
    <t>bFxzaxf8SZk</t>
  </si>
  <si>
    <t>https://youtu.be/2H18S3JoMOA</t>
  </si>
  <si>
    <t>ScienceCasts  Don't Let This Happen to Your Planet</t>
  </si>
  <si>
    <t>Life as we know it doesn't thrive on planets without ozone layers. A new instrument slated for launch to the ISS will monitor Earth's protective ozone shell with greater depth and precision than ever before.</t>
  </si>
  <si>
    <t>2H18S3JoMOA</t>
  </si>
  <si>
    <t>https://youtu.be/r5US4SAViaU</t>
  </si>
  <si>
    <t>Franzeska Houtas -- Dryden Flight Research Center</t>
  </si>
  <si>
    <t>As a meteorologist at NASA's Dryden Flight Research Center, Edwards, Calif., Franzeska Houtas performs a critical role in the center's flight operations. An employee of Jacobs Technology, Houtas provides detailed weather briefings to flight research projects in order to maintain high level of safety, including coordinating, compiling and analyzing weather data pertinent to flights. She also maintains and operates weather equipment in support of flight projects, provides climatology data for the Edwards test range and educates Dryden personnel on weather hazards such as heat stress, lightning, high winds, and winter weather events.</t>
  </si>
  <si>
    <t>r5US4SAViaU</t>
  </si>
  <si>
    <t>https://youtu.be/8zxoFJPPDvI</t>
  </si>
  <si>
    <t>Lynn Carter -- Goddard Space Flight Center</t>
  </si>
  <si>
    <t>Lynn Carter, is research space scientist in the planetary geodynamics  group at Goddard Space Flight Center. She studies the geology of planetary surfaces; The Earth, Moon, Mars, Venus, etc. Her job consists of a wide range of activities, for instance, looking at images of the moon taken with radar trying to understand cratering and how the cratering process happens on the Moon.</t>
  </si>
  <si>
    <t>8zxoFJPPDvI</t>
  </si>
  <si>
    <t>https://youtu.be/kAPNk4DQ09o</t>
  </si>
  <si>
    <t>New Space Travelers Get Warm Welcome</t>
  </si>
  <si>
    <t>NASA Flight Engineer Chris Cassidy and his Expedition 35/36 crewmates, Soyuz Commander Pavel Vinogradov, and Russian Flight Engineer Alexander Misurkin are welcomed by the three current residents of the International Space Station following the opening of their Soyuz spacecraft's hatch. Expedition 35 Commander Chris Hadfield of the Canadian Space Agency, NASA Flight Engineer Tom Marshburn, and Russian cosmonaut Roman Romanenko will remain on the orbiting laboratory until the end of May, while the three newcomers are scheduled to remain on the ISS through September.</t>
  </si>
  <si>
    <t>kAPNk4DQ09o</t>
  </si>
  <si>
    <t>https://youtu.be/9sGP2XS5r6k</t>
  </si>
  <si>
    <t>Spacecraft Docks to ISS</t>
  </si>
  <si>
    <t>9sGP2XS5r6k</t>
  </si>
  <si>
    <t>https://youtu.be/CPUmI1WO-R8</t>
  </si>
  <si>
    <t>Expedition 35 36 Launch Activities Highlights</t>
  </si>
  <si>
    <t>Video highlights of events surrounding the launch of the Soyuz spacecraft carrying NASA Flight Engineer Chris Cassidy and his Expedition 35/36 crewmates, Soyuz Commander Pavel Vinogradov, and Russian Flight Engineer Alexander Misurkin from the Baikonur Cosmodrome in Kazakhstan. The trio is expected to stay aboard the International Space Station through September.</t>
  </si>
  <si>
    <t>CPUmI1WO-R8</t>
  </si>
  <si>
    <t>2013 03 28</t>
  </si>
  <si>
    <t>https://youtu.be/LC4ZkycbivQ</t>
  </si>
  <si>
    <t>SpaceX Dragon, NASA Science Cargo Back On Dry Land</t>
  </si>
  <si>
    <t>The SpaceX Dragon capsule has returned to California, after splashdown in the Pacific Ocean March 26 a few hundred miles west of Baja California following its International Space Station resupply mission. Currently the only spacecraft able to return a significant amount of cargo to Earth, the Dragon capsule will now be trucked overland to SpaceX's test facility in Texas for post-flight processing.</t>
  </si>
  <si>
    <t>LC4ZkycbivQ</t>
  </si>
  <si>
    <t>https://youtu.be/0rO7EF5IOEY</t>
  </si>
  <si>
    <t>Soyuz Launches to Space Station</t>
  </si>
  <si>
    <t>NASA Flight Engineer Chris Cassidy and his Expedition 35/36 crewmates, Soyuz Commander Pavel Vinogradov, and Russian Flight Engineer Alexander Misurkin are on their way to the International Space Station on Expedition 35/36 after their Soyuz spacecraft lifted off from the Baikonur Cosmodrome in Kazakhstan on March 28, U.S. time.</t>
  </si>
  <si>
    <t>0rO7EF5IOEY</t>
  </si>
  <si>
    <t>2013 03 27</t>
  </si>
  <si>
    <t>https://youtu.be/E6V7ajkFDfg</t>
  </si>
  <si>
    <t>Cassidy &amp; Crewmates Cleared for Space Mission</t>
  </si>
  <si>
    <t>At the Baikonur Cosmodrome in Kazakhstan, Expedition 35/36 NASA Flight Engineer Chris Cassidy, Soyuz Commander Pavel Vinogradov and Russian Flight Engineer Alexander Misurkin were given the final go-ahead from the Russian State Commission to launch to the International Space Station aboard their Soyuz spacecraft on March 28, U.S. time.</t>
  </si>
  <si>
    <t>E6V7ajkFDfg</t>
  </si>
  <si>
    <t>https://youtu.be/1RzBsKUXvlY</t>
  </si>
  <si>
    <t>ScienceCasts  Collision Course  A Comet Heads for Mars</t>
  </si>
  <si>
    <t>A comet is heading for Mars, and there is a chance that it might hit the Red Planet in October 2014.  An impact wouldn't necessarily mean the end of NASA's Mars program. But it would transform the program along with Mars itself.</t>
  </si>
  <si>
    <t>1RzBsKUXvlY</t>
  </si>
  <si>
    <t>2013 03 26</t>
  </si>
  <si>
    <t>https://youtu.be/SEwuQUMDSNg</t>
  </si>
  <si>
    <t>Hadfield Speaks with Radio Canada</t>
  </si>
  <si>
    <t>Aboard the International Space Station, Expedition 35 Commander Chris Hadfield of the Canadian Space Agency discussed the progress of his mission and his commitment to social media activities on the orbital laboratory during an in-flight interview with Societe Radio-Canada March 26. Hadfield, who is the first Canadian commander of the complex, is scheduled to return to Earth in mid-May with crewmates Tom Marshburn of NASA and Roman Romanenko of the Russian Federal Space Agency.</t>
  </si>
  <si>
    <t>SEwuQUMDSNg</t>
  </si>
  <si>
    <t>https://youtu.be/N_A9LKXBxPI</t>
  </si>
  <si>
    <t>Soyuz and Rocket Moved to Launch Pad</t>
  </si>
  <si>
    <t>The Soyuz TMA-08M spacecraft and its booster were moved to the launch pad at the Baikonur Cosmodrome in Kazakhstan on a railcar March 26 for final preparations before launch to the International Space Station on March 29 (March 28 in the U.S.), Kazakhstan time. The Soyuz TMA-08M will carry Expedition 35/36 Soyuz Commander Pavel Vinogradov, NASA Flight Engineer Chris Cassidy and Russian Flight Engineer Alexander Misurkin to the orbital outpost. The trio will spend five and a half months on the laboratory, joining station Commander Chris Hadfield of Canadian Space Agency, Flight Engineer Tom Marshburn of NASA and Russian Flight Engineer Roman Romanenko, who have been in orbit since late December. The footage also includes interviews with Bob Behnken, NASA Chief Astronaut, and Mike Fossum, Associate Director of Flight Crew Operations, Johnson Space Center.</t>
  </si>
  <si>
    <t>N_A9LKXBxPI</t>
  </si>
  <si>
    <t>https://youtu.be/t84Ih8bJo6s</t>
  </si>
  <si>
    <t>SpaceX Dragon Makes Return to Earth</t>
  </si>
  <si>
    <t>After three weeks attached to the International Space Station, the SpaceX Dragon cargo ship was unberthed and released by Expedition 35 Flight Engineer Tom Marshburn March 25 using the Canadarm 2 robotic arm from a workstation in the station's Cupola. After moving a safe distance away from the station, Dragon performed a deorbit burn to reenter the Earth's atmosphere for a splashdown in the Pacific Ocean west of Baja California.  Dragon was launched on a SpaceX Falcon 9 rocket March 1 from the Cape Canaveral Air Force Station, Fla., arriving at the station on March 3 with supplies and vital science experiments. Dragon returned to Earth laden with a cache of scientific samples for analyses by researchers.</t>
  </si>
  <si>
    <t>t84Ih8bJo6s</t>
  </si>
  <si>
    <t>2013 03 25</t>
  </si>
  <si>
    <t>https://youtu.be/ujBZGoxmsQg</t>
  </si>
  <si>
    <t>Cassidy's Launch Preps Continue in Kazakhstan</t>
  </si>
  <si>
    <t>At the Baikonur Cosmodrome in Kazakhstan, Expedition 35/36 NASA Flight Engineer Chris Cassidy, Soyuz Commander Pavel Vinogradov and Russian Flight Engineer Alexander Misurkin, along with backup crew members Oleg Kotov, Sergey Ryazanskiy and Michael Hopkins, participated in a final fit check of their Soyuz TMA-08M spacecraft and other pre-launch activities on March 23, after the encapsulation of the spacecraft in the upper stage of its booster rocket on March 22. The three Soyuz rocket booster stages were then integrated on March 25. Cassidy, Vinogradov and Misurkin are scheduled to launch to the International Space Station at 4:43 p.m. EDT on March 28 (2:43 a.m. on March 29, Kazakhstan time).</t>
  </si>
  <si>
    <t>ujBZGoxmsQg</t>
  </si>
  <si>
    <t>https://youtu.be/A4pG5lI7qKk</t>
  </si>
  <si>
    <t>Michele Beisler -- Stennis Space Center</t>
  </si>
  <si>
    <t>Michele Beisler is a technical liaison with the Rocket Propulsion Test Program Office located at Stennis Space Center.  She also serves as Program Manager for the Agency's 2013 Foundations of Influence, Relationships, Success and Teamwork (FIRST) Program, a year-long leadership training for GS-11&amp;12 employees.  She is an alumni of NASA's Mid-Level Leader Program, class of 2011.  In addition to receiving her Bachelor of Science and Master of Science degrees in Mechanical Engineering from Penn State University, she is also a certified coach and SSC's Coaching Program Manager for the Agency's executive coaching program.  Throughout her NASA career she has received numerous achievement awards including the coveted Silver Snoopy Award.  She has a passion for teaching personal growth and aspires to use her engineering background and leadership skills to help mold and develop NASA's current and future leaders to increase mission success.</t>
  </si>
  <si>
    <t>A4pG5lI7qKk</t>
  </si>
  <si>
    <t>2013 03 22</t>
  </si>
  <si>
    <t>https://youtu.be/ZsvSsxe89G8</t>
  </si>
  <si>
    <t>Cassidy and Crew Ready for Launch on This Week @NASA</t>
  </si>
  <si>
    <t>NASA Flight Engineer Chris Cassidy, and Soyuz Commander Pavel Vinogradov and Flight Engineer Alexander Misurkin of the Russian Federal Space Agency are now at their launch site in Kazakhstan after finishing final training and prelaunch activities outside Moscow. The Expedition 35/36 crew is scheduled to liftoff from the Baikonur Cosmodrome on Thursday, Mar. 28, U.S. time, and head for the International Space Station. Also, mitigating meteors; 50 years of cooperation; a Suni reception; ISS research; New Planck cosmology; first light of Landsat's latest; SXSW; and more!</t>
  </si>
  <si>
    <t>ZsvSsxe89G8</t>
  </si>
  <si>
    <t>https://youtu.be/V1_PG32JaNs</t>
  </si>
  <si>
    <t>Kathryn Flanagan -- Space Telescope Science Institute</t>
  </si>
  <si>
    <t>Kathryn Flanagan is the Deputy Director of the Space Telescope Science Institute which provides the science operations for the Hubble Space Telescope and will operate both the science and mission operations for the James Webb Space Telescope in 2018.</t>
  </si>
  <si>
    <t>V1_PG32JaNs</t>
  </si>
  <si>
    <t>https://youtu.be/cE8TX5GQvMI</t>
  </si>
  <si>
    <t>Barbara Janoiko -- Johnson Space Center</t>
  </si>
  <si>
    <t>Barbara Janoiko is the Project Manager for NASA's Analog Missions, which operate under the Concept of Operations and Simulations for Mission Operations (COSMO) project under the Engineering Directorate and Advanced Exploration Systems (AES) at the Johnson Space Center (JSC) in Houston, TX.
In conjunction with her involvement in analog testing, she was also the project manager for Extravehicular Activity (EVA) tool development for the space shuttle, integration engineer between the advanced space suit and the Science, Crew, Operations and Utility Testbed (SCOUT) rover, project manager for the suit port and aft deck systems of the Lunar Electric Rover (LER)/Space Exploration Vehicle (SEV), and worked on advanced EVA suit development and testing.</t>
  </si>
  <si>
    <t>cE8TX5GQvMI</t>
  </si>
  <si>
    <t>2013 03 21</t>
  </si>
  <si>
    <t>https://youtu.be/yR9p8rkMTLE</t>
  </si>
  <si>
    <t>Next Space Travelers Prepare for Launch</t>
  </si>
  <si>
    <t>At the Baikonur Cosmodrome in Kazakhstan, Expedition 35/36 Soyuz Commander Pavel Vinogradov of the Russian Federal Space Agency, NASA Flight Engineer Chris Cassidy and Russian Flight Engineer Alexander Misurkin participated in a variety of activities from March 16 to 21 as they prepared for launch to the International Space Station on March 29, Kazakh time, in their Soyuz TMA-08M spacecraft. The footage includes the crew's arrival in Baikonur, the suited dress rehearsal fit check in the Soyuz spacecraft, traditional raising of flags outside the Cosmonaut Hotel crew quarters and other crew-related activities. The video also features backup crew members Russian Soyuz Commander Oleg Kotov, Russian Flight Engineer Sergey Ryazansky and NASA Flight Engineer Michael Hopkins.</t>
  </si>
  <si>
    <t>yR9p8rkMTLE</t>
  </si>
  <si>
    <t>https://youtu.be/NztVmrkr95c</t>
  </si>
  <si>
    <t>Texas Students Tune Into Mission Control</t>
  </si>
  <si>
    <t>Sixth-graders at the Ann Richards School for Young Women Leaders in Austin, Texas learn about NASA's new Orion spacecraft by dialing into NASA's Digital Learning Network for an interview with Christie Sauers who's helping design the capsule's cockpit.</t>
  </si>
  <si>
    <t>NztVmrkr95c</t>
  </si>
  <si>
    <t>2013 03 19</t>
  </si>
  <si>
    <t>https://youtu.be/84ZOskT5wQQ</t>
  </si>
  <si>
    <t>Soon-to-Be Flyers Speak About Space Station Mission</t>
  </si>
  <si>
    <t>NASA astronaut Karen Nyberg, European Space Agency astronaut Luca Parmitano, and cosmonaut  Fyodor Yurchikhin of the Russian Federal Space Agency preview their upcoming Expedition 36/37 mission to the International Space Station scheduled to launch on May 28.</t>
  </si>
  <si>
    <t>84ZOskT5wQQ</t>
  </si>
  <si>
    <t>https://youtu.be/2K2-iDOd85o</t>
  </si>
  <si>
    <t>New Crew Trains for Space Station Stay</t>
  </si>
  <si>
    <t>Video shows the Expedition 36/37 crew in training for their upcoming stay aboard the International Space Station. NASA astronaut Karen Nyberg, European Space Agency astronaut Luca Parmitano, and cosmonaut  Fyodor Yurchikhin of the Russian Federal Space Agency are scheduled to launch to the ISS on May 28.</t>
  </si>
  <si>
    <t>2K2-iDOd85o</t>
  </si>
  <si>
    <t>2013 03 18</t>
  </si>
  <si>
    <t>https://youtu.be/WzJLohMCw1g</t>
  </si>
  <si>
    <t>Marshburn's Space Mash-up with 30 Seconds to Mars</t>
  </si>
  <si>
    <t>Aboard the International Space Station, Expedition 35 Flight Engineer Tom Marshburn of NASA discussed his mission, research activities and answered social media questions offered by lead singer Jared Leto of the musical rock group "30 Seconds to Mars" during a tour of Mission Control, Houston by the group March 18. The members of the Los Angeles-based group, which was originally formed in 1998, are huge space enthusiasts, and recently had a sample of their music flown to the station on the SpaceX/Dragon cargo ship for the crew's listening pleasure.</t>
  </si>
  <si>
    <t>WzJLohMCw1g</t>
  </si>
  <si>
    <t>https://youtu.be/CdCaCnbB7io</t>
  </si>
  <si>
    <t>Canadian Media Chat with Hadfield</t>
  </si>
  <si>
    <t>Aboard the International Space Station, Expedition 35 Commander Chris Hadfield of the Canadian Space Agency discussed his impressions of becoming the first Canadian commander of the orbital laboratory and other facets of life and work in orbit with Canadian reporters gathered at the Canadian Space Agency's headquarters in St. Hubert, Quebec, March 18 during an in-flight conversation. Hadfield became commander of the complex during an on-board change of command ceremony March 13, taking the reins of station activity over from NASA's Kevin Ford.</t>
  </si>
  <si>
    <t>CdCaCnbB7io</t>
  </si>
  <si>
    <t>https://youtu.be/enthWllmoYI</t>
  </si>
  <si>
    <t>Ford Flies Home on This Week @NASA</t>
  </si>
  <si>
    <t>The Soyuz spacecraft carrying Expedition 34 Commander Kevin Ford of NASA and his Russian crewmates, Soyuz Commander Oleg Novitskiy and Flight Engineer Evgeny Tarelkin, put down safely on the Kazakh steppes to complete their successful, 141-day mission aboard the International Space Station. Left by Ford to command the orbital laboratory was Chris Hadfield, the first Canadian Space Agency astronaut so entrusted. Also, Mars' spot habitable;  innovative space technology;  students help space exploration; women aspiring, inspiring; IceBridge preps; SLS @ TennTech; career day; and more!</t>
  </si>
  <si>
    <t>enthWllmoYI</t>
  </si>
  <si>
    <t>https://youtu.be/yn7fEAoZx2c</t>
  </si>
  <si>
    <t>Next Crew in Space Leaves for Launch Site</t>
  </si>
  <si>
    <t>Expedition 35/36 Soyuz Commander Pavel Vinogradov of the Russian Federal Space Agency, NASA Flight Engineer Chris Cassidy and Russian Flight Engineer Alexander Misurkin participated in traditional ceremonies at the Gagarin Cosmonaut Training Center in Star City, Russia, outside Moscow, on March 16. Afterward, they departed for the Baikonur Cosmodrome in Kazakhstan to complete training for their launch to the International Space Station in the Soyuz TMA-08M spacecraft on March 29, Kazakh time. After arriving in Baikonur, they were scheduled to conduct a series of prelaunch activities over the next two weeks as they prepare for liftoff to the orbital outpost. The video also features backup crew members Russian Soyuz Commander Oleg Kotov, Russian Flight Engineer Sergey Ryazansky and NASA Flight Engineer Michael Hopkins.</t>
  </si>
  <si>
    <t>yn7fEAoZx2c</t>
  </si>
  <si>
    <t>https://youtu.be/xpvQzb-6agg</t>
  </si>
  <si>
    <t>Mars Once Habitable on This Week @NASA</t>
  </si>
  <si>
    <t>Analysis of the first ever sample of rock powder collected by the Mars Curiosity rover has proven that the Red Planet location it's exploring once had everything needed to support microbial life including a lakebed filled with not salty or acidic but fresh water. Also,  innovative space technology;  students help space exploration; women aspiring, inspiring; IceBridge preps; SLS @ TennTech; career day; and more!</t>
  </si>
  <si>
    <t>xpvQzb-6agg</t>
  </si>
  <si>
    <t>2013 03 16</t>
  </si>
  <si>
    <t>https://youtu.be/PCCgQARwIxQ</t>
  </si>
  <si>
    <t>Exp 34 Crew Welcomed In Kazakhstan</t>
  </si>
  <si>
    <t>PCCgQARwIxQ</t>
  </si>
  <si>
    <t>https://youtu.be/K3RZGLV5YJQ</t>
  </si>
  <si>
    <t>Ford, Crew Mates Return Safely to Earth</t>
  </si>
  <si>
    <t>Expedition 34 Commander Kevin Ford of NASA, Soyuz Commander Oleg Novitskiy and Russian Flight Engineer Evgeny Tarelkin landed safely in their Soyuz TMA-06M spacecraft on the steppe of Kazakhstan near the town of Arkalyk. They are shown being assisted into reclining chairs by Russian personnel and beginning their adaptation to gravity after they were extracted from their capsule.</t>
  </si>
  <si>
    <t>K3RZGLV5YJQ</t>
  </si>
  <si>
    <t>https://youtu.be/qKA4NtqsuOk</t>
  </si>
  <si>
    <t>The Soyuz spacecraft with Expedition 34 Commander Kevin Ford of NASA, Soyuz Commander Oleg Novitskiy and Russian Flight Engineer Evgeny Tarelkin aboard undocks from the International Space Station to begin their return to Earth.</t>
  </si>
  <si>
    <t>qKA4NtqsuOk</t>
  </si>
  <si>
    <t>2013 03 15</t>
  </si>
  <si>
    <t>https://youtu.be/XHrt3ZxzOyo</t>
  </si>
  <si>
    <t>Expedition 34 Bids Farewell to ISS</t>
  </si>
  <si>
    <t>Expedition 34 Commander Kevin Ford of NASA, Soyuz Commander Oleg Novitskiy and Russian Flight Engineer Evgeny Tarelkin said their goodbyes to the International Space Station and its remaining residents before closing the hatch on their Soyuz spacecraft.</t>
  </si>
  <si>
    <t>XHrt3ZxzOyo</t>
  </si>
  <si>
    <t>https://youtu.be/65Xr4AdAY2A</t>
  </si>
  <si>
    <t>NASA Mars Curiosity Rover Report -- March 15, 2013</t>
  </si>
  <si>
    <t>65Xr4AdAY2A</t>
  </si>
  <si>
    <t>https://youtu.be/ywsmDCc9UxI</t>
  </si>
  <si>
    <t>Lori Hicks -- Kennedy Space Center</t>
  </si>
  <si>
    <t>Lori Hicks is a human resources specialist with NASA at Kennedy Space Center.</t>
  </si>
  <si>
    <t>ywsmDCc9UxI</t>
  </si>
  <si>
    <t>https://youtu.be/_4ZvM0Cd9UE</t>
  </si>
  <si>
    <t>Canada's Prime Minister Congratulates Hadfield on History-Making Command</t>
  </si>
  <si>
    <t>Expedition 35 Commander Chris Hadfield of the Canadian Space Agency discussed life and research aboard the International Space Station with Canadian Prime Minister Stephen Harper and students gathered at the Canada Aviation and Space Museum in Ottawa, Ontario, during an in-flight event March 15. Hadfield entered the history books by becoming the first Canadian commander of the orbital complex March 13 during a Change of Command ceremony in which he took the reins of the laboratory from NASA's Kevin Ford. Hadfield, NASA's Tom Marshburn and cosmonaut Roman Romanenko are aboard the station until they come home in mid-May after five months in space.</t>
  </si>
  <si>
    <t>_4ZvM0Cd9UE</t>
  </si>
  <si>
    <t>https://youtu.be/6doDMbpi6zU</t>
  </si>
  <si>
    <t>ScienceCasts  Sunset Comet</t>
  </si>
  <si>
    <t>Comet Pan-STARRS has survived its encounter with the sun and is now emerging from twilight in the sunset skies of the northern hemisphere. A NASA spacecraft monitoring the comet has beamed back pictures of a wild and ragged tail.</t>
  </si>
  <si>
    <t>6doDMbpi6zU</t>
  </si>
  <si>
    <t>2013 03 13</t>
  </si>
  <si>
    <t>https://youtu.be/dWX9awdzYjw</t>
  </si>
  <si>
    <t>Ford Hands Over ISS Command to Hadfield</t>
  </si>
  <si>
    <t>The reins of the International Space Station were passed from Expedition 34 Commander Kevin Ford of NASA to Chris Hadfield of the Canadian Space Agency during a ceremony on the orbital outpost on March 13. Ford and Flight Engineers Oleg Novitskiy and Evgeny Tarelkin arrived at the station on October 25 and will make a parachute-assisted landing on the steppe of Kazakhstan on March 15 in their Soyuz TMA-06M spacecraft. Hadfield, who became the first Canadian commander of the orbital laboratory, NASA Flight Engineer Tom Marshburn and Russian Flight Engineer Roman Romanenko will be joined on March 29 by Expedition 35/36 crew members Pavel Vinogradov, NASA Flight Engineer Chris Cassidy and Flight Engineer Alexander Misurkin.</t>
  </si>
  <si>
    <t>dWX9awdzYjw</t>
  </si>
  <si>
    <t>2013 03 12</t>
  </si>
  <si>
    <t>https://youtu.be/fvCfOVGHWCc</t>
  </si>
  <si>
    <t>Curiosity's Mars Rock Drilling Discussed</t>
  </si>
  <si>
    <t>Analysis of the first sample of rock powder ever collected on Mars is discussed in this NASA TV briefing from the agency's headquarters in Washington, D.C. on Mar. 12.</t>
  </si>
  <si>
    <t>fvCfOVGHWCc</t>
  </si>
  <si>
    <t>https://youtu.be/Hd4_9oK4h8c</t>
  </si>
  <si>
    <t xml:space="preserve">ISS Trio in CNN's  Newsroom </t>
  </si>
  <si>
    <t>Aboard the International Space Station, Expedition 34 Commander Kevin Ford of NASA, Flight Engineer Tom Marshburn of NASA and Flight Engineer Chris Hadfield of the Canadian Space Agency discussed life, work, social media and the upcoming return to Earth of three of the six crewmembers during an in-flight interview with CNN's "Newsroom" program March 11. Ford is returning to Earth with two Russian crewmates on March 14, U.S. time, after handing over command to Hadfield on March 13, marking the first time a Canadian astronaut has commanded the orbital outpost. Hadfield and Marshburn are scheduled to return to Earth in mid-May.</t>
  </si>
  <si>
    <t>Hd4_9oK4h8c</t>
  </si>
  <si>
    <t>2013 03 11</t>
  </si>
  <si>
    <t>https://youtu.be/gPAxf0an-hM</t>
  </si>
  <si>
    <t>Alberta Students Hear from Hadfield</t>
  </si>
  <si>
    <t>Aboard the International Space Station, Expedition 34 Flight Engineer Chris Hadfield of the Canadian Space Agency discussed life and research aboard the orbital laboratory with students in Airdie, Alberta during an in-flight educational event on Mar. 11. Hadfield will become the first Canadian commander of the outpost on March 13 when he takes over command of the complex from NASA's Kevin Ford who returns to Earth with two Russian crewmates on March 14, U.S. time.</t>
  </si>
  <si>
    <t>gPAxf0an-hM</t>
  </si>
  <si>
    <t>https://youtu.be/5qBDq4baYSo</t>
  </si>
  <si>
    <t>NASA Launches Exploration Design Challenge</t>
  </si>
  <si>
    <t>NASA has unveiled an Exploration Design Challenge to give K-12 students the opportunity to play a unique role in the future of human spaceflight. The innovative educational opportunity was announced in a special NASA TV event at the Johnson Space Center in Houston.</t>
  </si>
  <si>
    <t>5qBDq4baYSo</t>
  </si>
  <si>
    <t>2013 03 08</t>
  </si>
  <si>
    <t>https://youtu.be/tTi2I3byJ9A</t>
  </si>
  <si>
    <t>Next Space Men Ready for Launch on This Week @NASA</t>
  </si>
  <si>
    <t>NASA astronaut Chris Cassidy and his Expedition 35/36 crewmates have completed final training for their upcoming mission to the International Space Station. Conducted at the Gagarin Cosmonaut Training Center in Star City, outside Moscow, this qualification training all but clears the way for Cassidy, and Pavel Vinogradov and Alexander Misurkin of the Russian Federal Space Agency, to launch to the orbiting laboratory later this month aboard a Soyuz spacecraft. Also, Dragon at Station; Practice Makes Perfect; Cassini Spies Venus; MarsFest; Glenn's Ice Lab; Biofuel Research; Seas' Salinity; and more!</t>
  </si>
  <si>
    <t>tTi2I3byJ9A</t>
  </si>
  <si>
    <t>https://youtu.be/ziv-9WkoxBY</t>
  </si>
  <si>
    <t>Linda Posey -- Marshall Space Flight Center</t>
  </si>
  <si>
    <t>Linda Posey is a team lead for the Shuttle-Ares Transition Office at NASA's Marshall Space Flight Center in Huntsville, Ala. Appointed to the position in 2007, she helps carry out activities associated with the orderly disposition of space shuttle records at the Marshall Center and Marshall's Michoud Assembly Facility. She began her NASA career at the Marshall Center during the last years of the Saturn V Program and moved to the shuttle program as it formed in the Program Development office. In 1994,she was awarded a NASA Exceptional Achievement Medal. She received a Silver Snoopy Award in 1988. She was a Manned Space Flight Honoree twice and received numerous other awards for her contributions to the space shuttle program.</t>
  </si>
  <si>
    <t>ziv-9WkoxBY</t>
  </si>
  <si>
    <t>https://youtu.be/3T9FOf60krM</t>
  </si>
  <si>
    <t>Erisa Hines -- Jet Propulsion Laboratory</t>
  </si>
  <si>
    <t>Erisa Hines is currently the lead Mobility Systems Engineer for the Curiosity rover at JPL where they are still developing some new capabilities for the Mars mission. Before landing, she helped fly the rover from Earth to Mars during the Cruise portion of the mission as part of the Attitude Control Systems team. Prior to Curiosity, she worked on the DAWN Asteroid mission and Altair, a lunar lander design. Erisa was part of the flight system engineering team and participated in "lunar G" (think zeroG) test flights in Houston.</t>
  </si>
  <si>
    <t>3T9FOf60krM</t>
  </si>
  <si>
    <t>2013 03 07</t>
  </si>
  <si>
    <t>https://youtu.be/Gkq7DumRLUs</t>
  </si>
  <si>
    <t>Next Space Station Crew Meets Media, Pays Homage</t>
  </si>
  <si>
    <t>Expedition 35/36 Soyuz Commander Pavel Vinogradov, NASA Flight Engineer Chris Cassidy and Russian Flight Engineer Alexander Misurkin fielded questions from the news media at their training base at the Gagarin Cosmonaut Training Center in Star City, Russia, outside Moscow on March 7 as part of traditional pre-launch activities prior to their departure March 16 for their launch site in Kazakhstan. After the news conference, the prime and backup crews participated in traditional ceremonies at Red Square in Moscow, laying flowers at the Kremlin Wall and touring the Kremlin as they paid tribute to iconic Russian space heroes. Vinogradov, Cassidy and Misurkin are scheduled to launch to the International Space Station on March 29, Kazakhstan time. Included in the footage are backup crewmembers Oleg Kotov, Sergey Ryazansky and NASA's Michael Hopkins.</t>
  </si>
  <si>
    <t>Gkq7DumRLUs</t>
  </si>
  <si>
    <t>https://youtu.be/vhQA5SUnyU0</t>
  </si>
  <si>
    <t>ScienceCasts  Stormy Space Weather</t>
  </si>
  <si>
    <t>Forecasters say solar maximum is due in 2013. To prepare, the UN is organizing an international response to stormy space weather.</t>
  </si>
  <si>
    <t>vhQA5SUnyU0</t>
  </si>
  <si>
    <t>https://youtu.be/ffvH85Lm8dM</t>
  </si>
  <si>
    <t>DLN Highlights ISS</t>
  </si>
  <si>
    <t>Students from Clark Creek STEM Academy in Ackworth, Ga. link up on NASA's Digital Learning Network with an International Space Station expert inside Mission Control at the Johnson Space Center in Houston.</t>
  </si>
  <si>
    <t>ffvH85Lm8dM</t>
  </si>
  <si>
    <t>2013 03 05</t>
  </si>
  <si>
    <t>https://youtu.be/0Y9E-rVu1eo</t>
  </si>
  <si>
    <t>California Students Query ISS Crew</t>
  </si>
  <si>
    <t>Aboard the International Space Station, Expedition 34 Commander Kevin Ford of NASA and Flight Engineers Tom Marshburn of NASA and Chris Hadfield of the Canadian Space Agency fielded questions from students of the Monrovia, Calif. Unified School District during an educational in-flight event on March 5. Ford, who is returning to Earth in a Russian Soyuz spacecraft March 14 (U.S. time) and Marshburn and Hadfield, who are returning to Earth in mid-May, discussed the research being conducted on the station and their day-to-day activities on the orbital laboratory.</t>
  </si>
  <si>
    <t>0Y9E-rVu1eo</t>
  </si>
  <si>
    <t>https://youtu.be/_A8pdUb07Ns</t>
  </si>
  <si>
    <t>Next Men Into Space Undergo Final Training</t>
  </si>
  <si>
    <t>Expedition 35/36 Soyuz Commander Pavel Vinogradov, NASA Flight Engineer Chris Cassidy and Russian Flight Engineer Alexander Misurkin conducted qualification training at the Gagarin Cosmonaut Training Center in Star City, Russia, on March 4-5 in advance of their final approval for launch to the International Space Station. Vinogradov, Cassidy and Misurkin are scheduled to fly to their launch site at the Baikonur Cosmodrome in Kazakhstan March 16 to prepare for their March 29 liftoff, Kazakhstan time, in the Soyuz TMA-08M spacecraft. Also featured in the footage are backup crewmembers Oleg Kotov, Sergey Ryazansky and NASA's Michael Hopkins.</t>
  </si>
  <si>
    <t>_A8pdUb07Ns</t>
  </si>
  <si>
    <t>2013 03 04</t>
  </si>
  <si>
    <t>https://youtu.be/MQUCUU0QHas</t>
  </si>
  <si>
    <t>Dragon Flies to ISS on This Week @NASA</t>
  </si>
  <si>
    <t>The SpaceX Dragon capsule loaded with more than six tons of supplies and science experiments is at the International Space Station.. It's the second of 12 contracted resupply flights by SpaceX to the space station. Also, Bolden visits cutting-edge facility; another Van Allen Belt found; Black hole riddle solved; Atlantis in place; best place to work; and more!</t>
  </si>
  <si>
    <t>MQUCUU0QHas</t>
  </si>
  <si>
    <t>2013 03 03</t>
  </si>
  <si>
    <t>https://youtu.be/WMGxUPshOco</t>
  </si>
  <si>
    <t>SpaceX Dragon Carrying NASA Cargo Arrives at International Space Station</t>
  </si>
  <si>
    <t>Two days after its launch from Cape Canaveral Air Force Station in Florida, the SpaceX Dragon cargo spacecraft arrived at the International Space Station on Sunday, March 3, where it was captured by Expedition 34 Commander Kevin Ford of NASA and NASA Flight Engineer Tom Marshburn using the station's Canadarm2 robotic arm. Dragon was grappled at 5:31 a.m. EST as the unpiloted resupply vehicle and the station flew 253 miles over Ukraine. Ground controllers at Mission Control, Houston, took over at that point, maneuvering Canadarm2 to carefully install the Dragon onto the Earth-facing port of the Harmony module, where it was bolted in place. Dragon's hatch will be opened Monday, March 4, to enable Ford, Marshburn and Flight Engineer Chris Hadfield of the Canadian Space Agency to begin unloading some 1,268 pounds of scientific investigations and supplies for the crew, which will support continuing space station research. Dragon will remain berthed to the station until March 25, when it will depart for a splashdown in the Pacific Ocean to return about 2,668 pounds of science samples from human research, biology and biotechnology studies, physical science investigations, and education activities.</t>
  </si>
  <si>
    <t>WMGxUPshOco</t>
  </si>
  <si>
    <t>2013 03 01</t>
  </si>
  <si>
    <t>https://youtu.be/dw1FMSRN0KA</t>
  </si>
  <si>
    <t>Orion, SLS and Station Science on This Week @NASA</t>
  </si>
  <si>
    <t>Three briefings at the Kennedy Space Center highlight NASA's new Orion spacecraft, the Space Launch System that'll send it into deep space, and the ground-breaking science being conducted aboard the International Space Station. Also, 
Bolden visits cutting-edge facility; another Van Allen Belt found; Black hole riddle solved; Atlantis in place; best place to work; and more!</t>
  </si>
  <si>
    <t>dw1FMSRN0KA</t>
  </si>
  <si>
    <t>https://youtu.be/rizSKd0ByTQ</t>
  </si>
  <si>
    <t>ScienceCasts  Solar Max Double Peaked</t>
  </si>
  <si>
    <t>Something unexpected is happening on the sun. 2013 is supposed to be the year of Solar Max, but solar activity is much lower than expected. At least one leading forecaster expects the sun to rebound with a double-peaked maximum later this year.</t>
  </si>
  <si>
    <t>rizSKd0ByTQ</t>
  </si>
  <si>
    <t>https://youtu.be/XRByKL88elI</t>
  </si>
  <si>
    <t>SpaceX Dragon 2 Launches for ISS</t>
  </si>
  <si>
    <t>The second SpaceX mission to the International Space Station under NASA's Commercial Resupply Services contract successfully lifts off at 10:10 a.m EST on Friday, March 1, from Space Launch Complex 40 at Cape Canaveral Air Force Station in Florida. The company's Falcon 9 rocket propels the Dragon capsule and its 12-hundred pounds of cargo and science experiments to the International Space Station.</t>
  </si>
  <si>
    <t>XRByKL88elI</t>
  </si>
  <si>
    <t>https://youtu.be/qffK7NBrXdE</t>
  </si>
  <si>
    <t>Station Science Takes Kennedy Space Center Stage</t>
  </si>
  <si>
    <t>The ground-breaking research conducted daily on the International Space Station is highlighted during this briefing held Feb. 28 at NASA's Kennedy Space Center in Florida,.</t>
  </si>
  <si>
    <t>qffK7NBrXdE</t>
  </si>
  <si>
    <t>https://youtu.be/dux2ofFHs90</t>
  </si>
  <si>
    <t>NASA's Van Allen Probes Discover Third Belt Around Earth</t>
  </si>
  <si>
    <t>In a briefing held Feb. 28 at the Johns Hopkins University's Applied Physics Laboratory, scientists detail the finding by NASA's Van Allen Probes of a previously-undetected third radiation belt around Earth.</t>
  </si>
  <si>
    <t>dux2ofFHs90</t>
  </si>
  <si>
    <t>2013 02 28</t>
  </si>
  <si>
    <t>https://youtu.be/boOBNJybczs</t>
  </si>
  <si>
    <t>Dragon 2 Launch Nears</t>
  </si>
  <si>
    <t>NASA and SpaceX officials update media on preparations for the scheduled launch of the second Dragon cargo capsule from NASA's Kennedy Space Center to the International Space Station on Friday, Mar. 2, at 10:10 a.m. EST. the unscrewed capsule will be filled with more than 1,200 pounds of scientific experiments and cargo.</t>
  </si>
  <si>
    <t>boOBNJybczs</t>
  </si>
  <si>
    <t>https://youtu.be/pkKrBzss9bM</t>
  </si>
  <si>
    <t>Freddie Douglas III -- Stennis Space Center</t>
  </si>
  <si>
    <t>Freddie Douglas III is director of the Office of Safety and Mission Assurance at NASA's John C. Stennis Space Center in Bay St. Louis, Miss. In this position, he is responsible for the safety and mission success of all activities executed at Stennis, including public and private rocket propulsion testing and operation of the federal city. During his time with NASA, he has worked on a several projects, such as the International Space Station, Hubble Space Telescope and the post-Challenger Accident Return to Flight Effort, space shuttle main engine test program, research-and-development rocket testing and other agency initiatives. He received a bachelor's degree in mechanical engineering from Southern University and A&amp;M College in Baton Rouge, La., a master's degree in engineering management with minors in statistics and operations research from the University of Alabama in Huntsville, Ala., and a master's degree in engineering and management from the Massachusetts Institute of Technology (Systems Design and Management Program).</t>
  </si>
  <si>
    <t>pkKrBzss9bM</t>
  </si>
  <si>
    <t>https://youtu.be/o0xpbWJRUs4</t>
  </si>
  <si>
    <t>Monica Allison Ceruti -- Stennis Space Center</t>
  </si>
  <si>
    <t>Monica Allison Ceruti is the Chief Counsel at NASA's John C. Stennis Space Center, Mississippi.  Prior to occupying her current position, she served as a senior attorney in the Office of the Chief Counsel at Johnson Space Center in Houston, Texas.  She also served as a senior attorney with several Department of Defense agencies. In 1979, Ceruti graduated with a Bachelor of Arts degree from Grambling State University and was commissioned a second lieutenant in the United States Air Force through the school's Reserve Officer Training Corps program. She received a Juris Doctorate in 1982 from the University of Georgia, a Master of Science degree in International Relations in 1985 from Troy State University, and a Master of Science in Computer Resources and Information Management in 1998 from Webster University. She served on active duty as an Air Force judge advocate from July 1982 until June 1986, and as a reservist in the Air Force Reserve Judge Advocate General Corps Reserve from 1986 until her retirement in July 2012. She retired in the grade of Colonel.</t>
  </si>
  <si>
    <t>o0xpbWJRUs4</t>
  </si>
  <si>
    <t>https://youtu.be/8-YA77ojW4k</t>
  </si>
  <si>
    <t>Phoenix Students Plug Into NASA's DLN</t>
  </si>
  <si>
    <t>Students at Centennial Middle School in Phoenix, Arizona talk with a NASA expert at ISS Mission Control in Houston via the agency's Digital Learning Network. The event is held in conjunction with "Destination: Station," a NASA traveling exhibit touring the Grand Canyon State.</t>
  </si>
  <si>
    <t>8-YA77ojW4k</t>
  </si>
  <si>
    <t>https://youtu.be/usRYa_dpPFU</t>
  </si>
  <si>
    <t>Canadians Converse About Life in Space</t>
  </si>
  <si>
    <t>Aboard the International Space Station, Expedition 34 Flight Engineer Chris Hadfield of the Canadian Space Agency discussed the progress of his mission on the orbital outpost with the Canadian television network CTV during an in-flight interview February 28. Hadfield will become the first Canadian commander of the space station in two weeks after three of his crewmates, including the current commander, Kevin Ford of NASA depart the complex for their trip back to the Earth in a Russian Soyuz spacecraft.</t>
  </si>
  <si>
    <t>usRYa_dpPFU</t>
  </si>
  <si>
    <t>2013 02 27</t>
  </si>
  <si>
    <t>https://youtu.be/xNkjkDrdSOw</t>
  </si>
  <si>
    <t>Plans Progressing for Human Deep Space Exploration</t>
  </si>
  <si>
    <t>NASA officials brief media on the agency's Orion crew vehicle, Space Launch System rocket and Ground Systems Development and Operations progress.</t>
  </si>
  <si>
    <t>xNkjkDrdSOw</t>
  </si>
  <si>
    <t>2013 02 26</t>
  </si>
  <si>
    <t>https://youtu.be/aeuNiE8TD8w</t>
  </si>
  <si>
    <t>Space Duo Chats with Arizona Art Students</t>
  </si>
  <si>
    <t>Aboard the International Space Station, Expedition 34 Flight Engineers Tom Marshburn of NASA and Chris Hadfield of the Canadian Space Agency discussed life and research on the orbital laboratory February 26 during an in-flight educational event with 9th to 12th grade students gathered at the Metropolitan Arts Institute in Phoenix, Arizona. The event was a highlight activity as part of the ISS "Destination Station" exhibit trip touring the Grand Canyon State. Ford is scheduled to return to Earth in a Russian Soyuz spacecraft in two weeks, while Marshburn and Hadfield will remain on orbit until mid-May.</t>
  </si>
  <si>
    <t>aeuNiE8TD8w</t>
  </si>
  <si>
    <t>https://youtu.be/grEeiWxlCKk</t>
  </si>
  <si>
    <t xml:space="preserve">ScienceCasts  What Exploded Over Russia </t>
  </si>
  <si>
    <t>Two weeks after an asteroid exploded over Russia's Ural mountains, scientists are making progress understanding the origin and make-up of the unexpected space rock. This week's ScienceCast presents their latest results.</t>
  </si>
  <si>
    <t>grEeiWxlCKk</t>
  </si>
  <si>
    <t>2013 02 25</t>
  </si>
  <si>
    <t>https://youtu.be/r-N35tZOnAE</t>
  </si>
  <si>
    <t>Successful Rocket Test on This Week @NASA</t>
  </si>
  <si>
    <t>NASA commercial partner Orbital Sciences  successfully conducted an engine test of its Antares rocket Friday at the nation's newest launch pad. The company fired dual AJ26 rocket engines for the full duration 29 seconds while the rocket was bolted down on the Mid-Atlantic Regional Spaceport (MARS) Pad-0A at NASA's Wallops Flight Facility on Wallops Island, Va. Known as a "hot fire" test, it demonstrated the readiness of the rocket's first stage and launch pad fueling systems to support upcoming test flights
Also, Ready the Dragon; Launch the Seedlings!; Curiosity Drills; ISS Social; Hangout with the Crew; Bolden Honored; Aerospace Days; Cady and the Chieftains; and more!</t>
  </si>
  <si>
    <t>r-N35tZOnAE</t>
  </si>
  <si>
    <t>https://youtu.be/Rc4Xs6ho9JM</t>
  </si>
  <si>
    <t>Terry Edmonds -- NASA Headquarters</t>
  </si>
  <si>
    <t>Terry Edmonds is the former chief speechwriter for President Bill Clinton.  In a career spanning more than 35 years, he has experience in nearly every aspect of communications and public affairs.  He has written speeches for presidential candidates, corporate CEOs, nonprofit leaders and University presidents.  
He currently serves as senior advisor and speechwriter for NASA Administrator, Charles Bolden.  As a senior member of the Administration's public affairs team, he assists in the development of public engagement and media strategies and writes major speeches for both the Administrator and Deputy Administrator.</t>
  </si>
  <si>
    <t>Rc4Xs6ho9JM</t>
  </si>
  <si>
    <t>https://youtu.be/ciOsFEj7yNI</t>
  </si>
  <si>
    <t>Todd Arnold -- Kennedy Space Center.</t>
  </si>
  <si>
    <t>Todd Arnold is Deputy Director of Public Affairs at John F. Kennedy Space Center. 
As a member of the Kennedy senior management team, he is charged with ensuring that KSC has a highly skilled contractor and civil service workforce capable of effectively communicating the NASA story -- the agency's past, present and exciting future. He also assists on a daily basis with the oversight, of news room operations at the Kennedy Press Site. Arnold provides strategic leadership and vision to a team of individuals who are responsible for an array of public relations tools and techniques, including NASA Television broadcasting, news and photojournalism, web and social media presence, display management initiatives, as well as internal communications to the KSC workforce to help them remain informed so that they can be wonderful ambassadors for NASA.</t>
  </si>
  <si>
    <t>ciOsFEj7yNI</t>
  </si>
  <si>
    <t>https://youtu.be/9IbmpGC9cSk</t>
  </si>
  <si>
    <t>Fransua Thomas -- Glenn Research Center</t>
  </si>
  <si>
    <t>Fransua Thomas works in the tribology and mechanical components branch at NASA Glenn. Tribology is the study of friction, wear, and lubrication. Thomas performs failure analysis tests on materials and surfaces to study how they interact with other materials and to determine what the potential life span of various materials might be in space environment. The Physics and Electrical Engineering graduate of Tuskegee University in Alabama also mentors kids throughout the Cleveland area in Math and Physics.</t>
  </si>
  <si>
    <t>9IbmpGC9cSk</t>
  </si>
  <si>
    <t>https://youtu.be/axJ1dpjGVbQ</t>
  </si>
  <si>
    <t>Faruq Sabur -- Johnson Space Center</t>
  </si>
  <si>
    <t>In his role as an Extra-Vehicular Activities (EVA) or Spacewalk Instructor and Flight Controller, Faruq Sabur is instrumental in the planning and real-time execution of extravehicular activities, including astronaut EVA training. Sabur received a BS in Electrical Engineering from Morgan State University in 2000 and an MS in Aeronautics and Astronautics Engineering from Stanford University in 2003. He came to NASA in 2008.</t>
  </si>
  <si>
    <t>axJ1dpjGVbQ</t>
  </si>
  <si>
    <t>https://youtu.be/fUPNKoCROVQ</t>
  </si>
  <si>
    <t>NASA Commercial Partner Orbital Sciences Successfully Conducts Engine Test</t>
  </si>
  <si>
    <t>The company fired dual AJ26 rocket engines for approximately 30 seconds while the rocket was bolted down on the Mid-Atlantic Regional Spaceport (MARS) Pad-0A at NASA's Wallops Flight Facility in Wallops Island, Va. The test demonstrated the readiness of the rocket's first stage and launch pad fueling systems to support upcoming test flights.
Orbital is building and testing its new rocket and Cygnus cargo spacecraft under NASA's Commercial Orbital Transportation Services (COTS) program. A demonstration flight of Antares and Cygnus to the space station is planned for later this year. After the successful completion of the COTS demonstration mission to the station, Orbital will begin conducting eight planed cargo resupply flights to the orbiting laboratory through NASA's $1.9 billion Commercial Resupply Services contract with the company.</t>
  </si>
  <si>
    <t>fUPNKoCROVQ</t>
  </si>
  <si>
    <t>2013 02 23</t>
  </si>
  <si>
    <t>https://youtu.be/UGy-2G__ccg</t>
  </si>
  <si>
    <t>NASA's Mars Curiosity Rover Report - February 21, 2013</t>
  </si>
  <si>
    <t>UGy-2G__ccg</t>
  </si>
  <si>
    <t>2013 02 22</t>
  </si>
  <si>
    <t>https://youtu.be/pFne0sTeJjk</t>
  </si>
  <si>
    <t>Ready the Dragon on This Week @NASA</t>
  </si>
  <si>
    <t>March 1st is the targeted launch date for the next cargo resupply flight to the International Space Station. Liftoff of the SpaceX Dragon spacecraft's second resupply mission to the ISS is scheduled for 10:10 a.m. Eastern from Cape Canaveral Air Force Station in Florida. Dragon will be loaded with about six tons of crew supplies and materials for science research. Also, Launch the Seedlings!; Curiosity Drills; ISS Social; Hangout with the Crew; Bolden Honored; Aerospace Days; Cady and the Chieftains; and more!</t>
  </si>
  <si>
    <t>pFne0sTeJjk</t>
  </si>
  <si>
    <t>https://youtu.be/Epdz2ySd3hE</t>
  </si>
  <si>
    <t>Space Station Hosts First Hangout</t>
  </si>
  <si>
    <t>Aboard the International Space Station, Expedition 34 Commander Kevin Ford of NASA, Flight Engineer Tom Marshburn of NASA and Flight Engineer Chris Hadfield of the Canadian Space Agency fielded questions from social media during a Google Plus hangout February 22, the first for the station. The three astronauts answered questions from the online community who have been interested to watch and ask questions to astronauts both on orbit and on the ground. People from around the world were able to view the Hangout live on NASA's YouTube channel and were invited to ask questions by uploading a video question to YouTube with the hashtag #askISS, as well as from followers on Google Plus or Twitter, who were able to ask a question in advance of or during the event using the hashtag #askNASA, or on NASA's Facebook page.</t>
  </si>
  <si>
    <t>Epdz2ySd3hE</t>
  </si>
  <si>
    <t>2013 02 21</t>
  </si>
  <si>
    <t>https://youtu.be/stCOdAc1e24</t>
  </si>
  <si>
    <t>Arizona Students Hook Up with Houston</t>
  </si>
  <si>
    <t>Students from Salt River High School in Scottsdale, Arizona hop on NASA's Digital Learning Network to ask questions of Dorrie Tomayko, Flight Controller,. inside the International Space Station's Mission Control at the Johnson Space Center. Host: Brandi Dean.</t>
  </si>
  <si>
    <t>stCOdAc1e24</t>
  </si>
  <si>
    <t>https://youtu.be/5PhlMmPjCco</t>
  </si>
  <si>
    <t>Bon Jour, Canada! from Space Station's Hadfield</t>
  </si>
  <si>
    <t>Aboard the International Space Station, Expedition 34 Flight Engineer Chris Hadfield discussed the progress of his five-and-a-half-month mission on the orbital laboratory during an in-flight interview February 21 with Canadian television network TVA, based in Montreal. Hadfield will become the first Canadian commander of the complex in mid-March when he takes the reins of the outpost for the Expedition 35 increment through mid-May, when he is scheduled to return to Earth in a Russian Soyuz spacecraft. (translated from French)</t>
  </si>
  <si>
    <t>5PhlMmPjCco</t>
  </si>
  <si>
    <t>https://youtu.be/srPs_l8lx-4</t>
  </si>
  <si>
    <t>So... Peter Gabriel Wows Space Station Crew</t>
  </si>
  <si>
    <t>Aboard the International Space Station, Expedition 34 Commander Kevin Ford of NASA, Flight Engineer Tom Marshburn of NASA and Flight Engineer Chris Hadfield of the Canadian Space Agency were treated to a late afternoon call from entertainer Peter Gabriel on Feb. 20 during a visit to the Johnson Space Center's ISS Flight Control Room at Mission Control in Houston. Gabriel and his family were the guests of astronaut Ron Garan during a tour of the center's facilities. Gabriel discussed life and work on orbit with the three crewmembers and was treated to a few chords of music from Hadfield, who is never far from his guitar aboard the orbital laboratory.</t>
  </si>
  <si>
    <t>srPs_l8lx-4</t>
  </si>
  <si>
    <t>2013 02 20</t>
  </si>
  <si>
    <t>https://youtu.be/cT70DZIIvyU</t>
  </si>
  <si>
    <t>Space Station Science Goes Social</t>
  </si>
  <si>
    <t>Astronaut and former ISS resident Don Pettit is the headliner for this get-together of social media users to learn about the important, one-of-a-kind research now being performed on the International Space Station, the world's only laboratory in microgravity. Held at NASA Headquarters in Washington, Feb. 20, 2013.</t>
  </si>
  <si>
    <t>cT70DZIIvyU</t>
  </si>
  <si>
    <t>2013 02 19</t>
  </si>
  <si>
    <t>https://youtu.be/LeRKRgUudlY</t>
  </si>
  <si>
    <t>Maikeyza Brown-- Dryden Flight Research Center</t>
  </si>
  <si>
    <t>Maikeyza Brown is a contract management specialist at NASA's Dryden Flight Research Center, Edwards, Calif. She awards and administers a wide variety of service, supply, and construction contracts, places orders against the indefinite quantity contracts, monitors contractor performance and fund status on orders to ensure over-obligation does not occur.
She also independently negotiates changes to contract terms and conditions to include and incorporate those changed be contract modification.
She earned a bachelor's degree in business management in 2003 from Hampton University, Hampton, Va., where she was named to the dean's list, and followed up with a Master of Business Administration from Trinity University, Washington, D.C., in 2011.
Brown joined NASA as an intern at NASA Headquarters in 2003 following her undergraduate graduation, and later transferred to NASA Dryden. She also served as a member of the Kennedy Space Center Procurement Management Survey Team in 2007 and participated in the Office of Small Business Programs at NASA Headquarters as well as the NASA Graduate Studies Program.</t>
  </si>
  <si>
    <t>LeRKRgUudlY</t>
  </si>
  <si>
    <t>https://youtu.be/teAraTjKLWs</t>
  </si>
  <si>
    <t>Camille Wardrop Alleyne -- Johnson Space Center</t>
  </si>
  <si>
    <t>Camille Wardrop Alleyne currently serves as the Assistant Program Scientist for the International Space Station (ISS) at NASA- Johnson Space Center in Houston Texas. There she is responsible for managing the communication strategy for ISS Research and Technology that conveys the benefits of ISS scientific research to stakeholders, the public and potential users.  She also leads the integration of all international education programs across the ISS Partners.
Ms. Alleyne holds a Bachelor of Science degree in Mechanical Engineering from Howard University in Washington DC.  She also holds a Master of Science degree in Mechanical Engineering with a specialization in Composite Materials from Florida A&amp;M University in Tallahassee, FL and a Master of Science degree in Aerospace Engineering with a specialization in Hypersonic Aerodynamics and Propulsion from the University of Maryland, College Park.  She is currently working on her Doctorate in the area of Educational Leadership at the University of Houston. Her area of expertise is the plight of females in STEM (Science, Technology, Engineering and Mathematics) education.</t>
  </si>
  <si>
    <t>teAraTjKLWs</t>
  </si>
  <si>
    <t>2013 02 15</t>
  </si>
  <si>
    <t>https://youtu.be/HBWBui3B_MQ</t>
  </si>
  <si>
    <t>Asteroid 2012 DA14 Flies by Earth Safely</t>
  </si>
  <si>
    <t>The small near-Earth asteroid 2012 DA14 passed safely by Earth on Feb. 15, 2013. Its closest approach, about 17, 150 miles above the Indian Ocean, came at about 11:25 a.m. PST (2:55 p.m. EST and 1925 UTC). NASA's Near-Earth Object Program Office accurately predicted the asteroid's path and that there was no chance it might collide with Earth. The flyby did provide scientists and astronomers a unique opportunity to study a near-Earth object up close.</t>
  </si>
  <si>
    <t>HBWBui3B_MQ</t>
  </si>
  <si>
    <t>https://youtu.be/eyFAGnhnsM0</t>
  </si>
  <si>
    <t>Bye-Bye, Flyby on This Week @NASA</t>
  </si>
  <si>
    <t>It may have been small, appearing so even in the best optical telescopes on Earth, but the flyby of asteroid 2012 DA14 was anything but a minor event to astronomers. Never feared as a threat to anyone or anything on or around our planet, DA14, about the size of half a football field, did come within 17-thousand miles of Earth, about 5-thousand miles close than many of our satellites in geosynchronous orbit. Also, POTUS on STEM; Mohawk Guy Goes to Washington; Two-Chute Test; Antares Hotfire; AJAX, for Cleaner Air; How to Become an Astronaut; and more!</t>
  </si>
  <si>
    <t>eyFAGnhnsM0</t>
  </si>
  <si>
    <t>https://youtu.be/Jqa-clI1evQ</t>
  </si>
  <si>
    <t>Canadian Collegians Consult with Chris</t>
  </si>
  <si>
    <t>Aboard the International Space Station, Expedition 34 Flight Engineer Chris Hadfield of the Canadian Space Agency fielded questions from students at the University of Waterloo in Ontario during an in-flight educational event Feb. 15. Hadfield, who arrived at the station in late December, will become the first Canadian commander of the orbital laboratory in mid-March. He is scheduled to return to Earth in a Soyuz spacecraft in mid-May.</t>
  </si>
  <si>
    <t>Jqa-clI1evQ</t>
  </si>
  <si>
    <t>2013 02 14</t>
  </si>
  <si>
    <t>https://youtu.be/pVspDvwMytM</t>
  </si>
  <si>
    <t>Asteroid 2012 DA14 To Whiz Past Earth Safely</t>
  </si>
  <si>
    <t>The small near-Earth asteroid 2012 DA14 will pass very close to Earth on Feb. 15, 2013. Asteroid 2012 DA14 will be closest to Earth  at about 11:24 a.m. PST (2:24 p.m. EST and 1924 UTC), on Feb. 15, when it will be at a distance of about 27,700 kilometers (17,200 miles) above Earth's surface. NASA's Near-Earth Object Program Office can accurately predict the asteroid's path with the observations obtained, and it is therefore known that there is no chance that the asteroid might be on a collision course with Earth. Nevertheless, the flyby will provide a unique opportunity for researchers to study a near-Earth object up close.</t>
  </si>
  <si>
    <t>pVspDvwMytM</t>
  </si>
  <si>
    <t>https://youtu.be/Ap6j9ez3A18</t>
  </si>
  <si>
    <t>Space Station Captivates Students</t>
  </si>
  <si>
    <t>Students at the Clark Creek STEM Academy in Ackworth, Georgia quiz a NASA expert about the International Space Station during a  question-and-answer session on NASA's Distance Learning Network, DLN.</t>
  </si>
  <si>
    <t>Ap6j9ez3A18</t>
  </si>
  <si>
    <t>2013 02 13</t>
  </si>
  <si>
    <t>https://youtu.be/uqkESB7w82E</t>
  </si>
  <si>
    <t xml:space="preserve"> NASA Spinoff  Here!</t>
  </si>
  <si>
    <t>The latest edition of NASA's " Spinoff" publication is out, highlighting some of the more than 1,800 products derived from NASA space technologies that touch nearly every aspect of our daily lives; from life-saving medical devices to the food we eat. Administrator Charlie Bolden explains why it's part of NASA's mission to ensure that the results of the agency's research and development go on to benefit all of society. There's more space in your life than you think!  To learn more, visit us at spinoff.nasa.gov.</t>
  </si>
  <si>
    <t>uqkESB7w82E</t>
  </si>
  <si>
    <t>2013 02 12</t>
  </si>
  <si>
    <t>https://youtu.be/HIARFZseD6Y</t>
  </si>
  <si>
    <t>NASA Astros on ISS Talk with  Down  Home Media</t>
  </si>
  <si>
    <t>Aboard the International Space Station, Expedition 34 Commander Kevin Ford of NASA and his NASA crewmate, Flight Engineer Tom Marshburn fielded questions from reporters from WBOI-FM in Fort Wayne, IN and cable news channel News 14 Carolina during a pair of in-flight interviews on Feb. 12. Ford is a native of Montpelier, IN and Marshburn is a native of Statesville, N.C. Ford is scheduled to return to Earth in his Russian Soyuz spacecraft in mid-March while Marshburn will depart the station for home in another Soyuz spacecraft in mid-May.</t>
  </si>
  <si>
    <t>HIARFZseD6Y</t>
  </si>
  <si>
    <t>https://youtu.be/G9tjdkp-vZs</t>
  </si>
  <si>
    <t>Re-Supply Ship Docks with Space Station</t>
  </si>
  <si>
    <t>An unpiloted Russian cargo ship --- the ISS Progress 50 --- docked to the International Space Station Feb. 11, six hours after its launch from the Baikonur Cosmodrome in Kazakhstan. The new Progress linked up automatically to the Pirs Docking Compartment following an accelerated rendezvous that shortened the time from launch to docking, similar to the rendezvous profile executed by two previous Progress vehicles. ISS Progress 50 was loaded with almost three tons of food, fuel, supplies and experiment hardware for the six crewmembers on the orbital laboratory.</t>
  </si>
  <si>
    <t>G9tjdkp-vZs</t>
  </si>
  <si>
    <t>2013 02 11</t>
  </si>
  <si>
    <t>https://youtu.be/bFZ7sKI4XoE</t>
  </si>
  <si>
    <t>Landsat Launched on This Week @NASA</t>
  </si>
  <si>
    <t>NASA's Landsat Data Continuity Mission satellite was successfully launched from California's Vandenberg Air Force Base on Monday. LDCM, a joint NASA and U.S. Geological Survey mission, is the eighth satellite in the Landsat series, which began in 1972. Also, Extreme Flyby; Distant Comet; Vacuum Test; Lithium Trails; Collaborating for the Cure; and more!</t>
  </si>
  <si>
    <t>bFZ7sKI4XoE</t>
  </si>
  <si>
    <t>https://youtu.be/tMsefyiCT3g</t>
  </si>
  <si>
    <t>Media Briefed on Successful Landsat Launch</t>
  </si>
  <si>
    <t>Program scientists and managers from NASA and the U.S. Geological Survey answered questions from the media following the successful launch of the Atlas V rocket carrying the LDCM satellite from Vandenberg Air Force Base in California on Feb. 11. The mission will continue the Landsat program's 40-year continuous data record by Earth's landscapes by satellite from space.</t>
  </si>
  <si>
    <t>tMsefyiCT3g</t>
  </si>
  <si>
    <t>https://youtu.be/Oo85GbjNjlw</t>
  </si>
  <si>
    <t>NASA Launches New Earth-Observing Satellite</t>
  </si>
  <si>
    <t>The Landsat Data Continuity Mission (LDCM) atop an Atlas V rocket was launched successfully  from Vandenberg Air Force Base in California at 1:02 p.m. EST on Monday, Feb. 11.  LDCM is a collaboration between NASA and the Department of the Interior's U.S. Geological Survey. The mission will continue the Landsat program's 40-year continuous data record by Earth's landscapes by satellite from space. LDCM will expand and improve on that record with observations that advance a wide range of Earth sciences and contribute to the management of agriculture, water and forest resources.</t>
  </si>
  <si>
    <t>Oo85GbjNjlw</t>
  </si>
  <si>
    <t>https://youtu.be/637YTNlZskY</t>
  </si>
  <si>
    <t>Lola Fatoyinbo-Agueh -- Goddard Space Flight Center</t>
  </si>
  <si>
    <t>Dr. Lola Fatoyinbo is a Research Physical Scientist in the Biospheric Sciences Lab at NASA GSFC where she studies forest ecology and ecosystem structure using active remote sensing instruments. Dr. Fatoyinbo received her Doctorate in Environmental sciences in 2008 with a focus on forest ecology of Tropical Wetlands. After her Ph.D, she received a NASA postdoctoral program fellowship at the Radar Science and Engineering Section at JPL, where her primary research focus was on using interferometric SAR data to quantify tropical forest extent, height and biomass through the development of radar-lidar fusion algorithms.  In 2010, Dr. Fatoyinbo joined Goddard's Biospheric Sciences Laboratory. Her current research focus is the fusion of optical, SAR and lidar data to quantify forest structure, biomass, extent and degradation. She is the Principal Investigator on the new P-band EcoSAR radar instrument, the first SAR instrument ever awarded to NASA GSFC. Dr Fatoyinbo is also a PI on the ALOS Kyoto and Carbon Initiative Science team and a co- Investigator on several NASA funded projects, including and education and outreach project.</t>
  </si>
  <si>
    <t>637YTNlZskY</t>
  </si>
  <si>
    <t>https://youtu.be/kWLUmUko5FM</t>
  </si>
  <si>
    <t>Sorita Wherry -- Marshall Space Flight Center</t>
  </si>
  <si>
    <t>Sorita Wherry is currently an Aerospace Engineer at NASA's Marshall Space Flight Center in the Space System Department, Systems Engineering &amp; Integration Division, and Project Engineering Branch. Her responsibilities as a Lead System Engineer for the Robotic Lunar Lander Development (RLLDP) Project include Mighty Eagle and Department Lead. 
Wherry, who has worked at NASA for 27 years believes diversity is important because it provides valuable perspectives from a variety of backgrounds and cultures.</t>
  </si>
  <si>
    <t>kWLUmUko5FM</t>
  </si>
  <si>
    <t>https://youtu.be/CL2sWaRv3no</t>
  </si>
  <si>
    <t>Cargo Ship Launches to ISS</t>
  </si>
  <si>
    <t>An unpiloted Russian resupply ship --- the ISS Progress 50 --- launched from the Baikonur Cosmodrome in Kazakhstan at 9:41 a.m. EST (8:41 p.m. Baikonur time) on Feb. 11, bound for a docking to the Pirs Docking Compartment on the Russian segment of the International Space Station six hours later. Loaded with almost three tons of food, fuel, supplies and experiment hardware for the six crewmembers on the complex, the new Progress vehicle was launched on an accelerated rendezvous to the station, the third consecutive Progress craft to test the fast track approach to arrive at the orbital laboratory.</t>
  </si>
  <si>
    <t>CL2sWaRv3no</t>
  </si>
  <si>
    <t>2013 02 10</t>
  </si>
  <si>
    <t>https://youtu.be/2Ks677VRSWA</t>
  </si>
  <si>
    <t>Landsat Launch a NASA Social Occasion</t>
  </si>
  <si>
    <t>Followers of Twitter and other social media hear from engineers and scientists about the launch and mission of the Landsat Data Continuity Mission at Vandenberg AFB in California. LDCM will extend global land observations that are critical in many areas, such as energy and water management, forest monitoring, human and environmental health, urban planning, disaster recovery and agriculture.</t>
  </si>
  <si>
    <t>2Ks677VRSWA</t>
  </si>
  <si>
    <t>2013 02 09</t>
  </si>
  <si>
    <t>https://youtu.be/751UAtAEBeM</t>
  </si>
  <si>
    <t>Russian Cargo Ship Departs ISS</t>
  </si>
  <si>
    <t>The ISS Progress 48 resupply ship, which arrived at the station last August, departs the Pirs docking compartment, part of the Russian segment, on Saturday, Feb. 9. The Progress leaves orbit three hours later and burns up above the Pacific Ocean. The move clears Pirs for the arrival of the new ISS Progress 50 resupply spacecraft scheduled to launch from the Baikonur Cosmodrome in Kazakhstan on Feb. 11. The Progress is loaded with almost 3 tons of food, fuel, supplies and experiment hardware for the six crew members aboard the orbital laboratory.</t>
  </si>
  <si>
    <t>751UAtAEBeM</t>
  </si>
  <si>
    <t>2013 02 08</t>
  </si>
  <si>
    <t>https://youtu.be/e0ZyD9iVDDA</t>
  </si>
  <si>
    <t>Clayton Turner -- Langley Research Center</t>
  </si>
  <si>
    <t>Clayton Turner currently serves as the Chief Engineer for Langley Research Center.
He began his career with NASA in 1990 as a design engineer at Langley Research Center working on the Lidar In-Space Technology Experiment project, where he spearheaded development of the laser aligning, bore-sight limit system. Over the next 18 years, Mr. Turner served in various roles with progressively increasing responsibility including Assistant Branch Head, Branch Head, Directorate Chief Engineer, Acting Deputy Director, and Center Chief Engineer.  
Prior to joining NASA, Mr. Turner was the Chief Engineer at Dynamic Recording Studio in Rochester New York where he was responsible for technical and artistic recording of audio and video content spanning multiple musical and instructional styles.</t>
  </si>
  <si>
    <t>e0ZyD9iVDDA</t>
  </si>
  <si>
    <t>https://youtu.be/eFYUTKyzyIc</t>
  </si>
  <si>
    <t>Deirdre Terry -- Jet Propulsion Laboratory</t>
  </si>
  <si>
    <t>Deirdre (Dee) Terry is the Network Operations Control Team Manager at the Jet Propulsion Laboratory. She is responsible for the overseeing of the NOCT for the provisioning of correct and complete data and information flow through all of the data and control interfaces of the Deep Space Network to flight project customers. The NOCT manager provides oversight of the DSN for overall network control, monitor, and analysis of real-time tracking operations. Provides technical and managerial to subordinate key team members and ensure the operation of data and communication systems that gather, assemble store, and distribute operational data. I have worked with all of the Mars missions, Goddard Space Flight Mission, and a host of other missions.</t>
  </si>
  <si>
    <t>eFYUTKyzyIc</t>
  </si>
  <si>
    <t>https://youtu.be/kJabvxnnBd8</t>
  </si>
  <si>
    <t>Global Observations to Continue with New NASA Satellite</t>
  </si>
  <si>
    <t>Media hear from NASA and U.S. Geological Survey scientists about the data they'll look to get from the Landsat Data Continuity Mission, LDCM,  the satellite due to launch from Vandenberg AFB in California on Feb. 11. t is the eighth satellite in the Landsat series, which began in 1972 and will add to the longest continuous data record of Earth's surface as viewed from space</t>
  </si>
  <si>
    <t>kJabvxnnBd8</t>
  </si>
  <si>
    <t>https://youtu.be/_hnVq8_DXvE</t>
  </si>
  <si>
    <t>Countdown to Launch on This Week @NASA</t>
  </si>
  <si>
    <t>The Atlas V rocket carrying NASA's Landsat Data Continuity Mission satellite is set to launch on Monday from Vandenberg Air Force Base in California. LDCM, a joint NASA and U.S. Geological Survey mission, will extend the longest continuous data record of Earth's surface as viewed from space -- data critical to many aspects of life here on Earth. Also, Extreme Flyby; Distant Comet; Vacuum Test; Lithium Trails; Collaborating for the Cure; and more!</t>
  </si>
  <si>
    <t>_hnVq8_DXvE</t>
  </si>
  <si>
    <t>https://youtu.be/M3DyFchi-cg</t>
  </si>
  <si>
    <t>New Landsat Satellite Set for Launch</t>
  </si>
  <si>
    <t>A prelaunch news conference featuring NASA and USGS scientists is held on Feb. 8 at the Vandenberg AFB in California, where the launch of the Landsat Data Continuity Mission, LDCM, is scheduled for Feb 11. LDCM is a joint NASA and U.S. Geological Survey (USGS) mission that will extend global land observations critical in many areas, such as energy and water management, forest monitoring, human and environmental health, urban planning, disaster recovery and agriculture.</t>
  </si>
  <si>
    <t>M3DyFchi-cg</t>
  </si>
  <si>
    <t>https://youtu.be/H8wBOdo2tQc</t>
  </si>
  <si>
    <t>ScienceCasts  Pink Planet at Sunset</t>
  </si>
  <si>
    <t>The planet Mercury is about to make its best apparition of the year for backyard sky watchers. Look west at sunset for a piercing pink planet surrounded by twilight blue.
Visit http://science.nasa.gov/ for breaking science news.</t>
  </si>
  <si>
    <t>H8wBOdo2tQc</t>
  </si>
  <si>
    <t>https://youtu.be/sUgdO29pwHQ</t>
  </si>
  <si>
    <t>Hoosier Legislators  Meet  with Ford</t>
  </si>
  <si>
    <t>Aboard the International Space Station, Expedition 34 Commander Kevin Ford, a native of Montpelier, Ind., discussed life and work aboard the orbital laboratory with Indiana Senate President Pro Tempore David Long (R-Fort Wayne) and Indiana Senate Minority Leader Tim Lanane (D-Anderson) during an in-flight call to Indiana state legislators gathered in the Indiana State Senate chamber Feb. 7. One of Ford's brothers, David Ford, served four terms representing Hartford City, Ind. and Blackford County as an Indiana State Senator before his death in March 2008. Kevin Ford was launched to the station last October on a Russian Soyuz spacecraft and will return to Earth in mid-March.</t>
  </si>
  <si>
    <t>sUgdO29pwHQ</t>
  </si>
  <si>
    <t>2013 02 07</t>
  </si>
  <si>
    <t>https://youtu.be/f1ro4zkw-LA</t>
  </si>
  <si>
    <t>Captain Kirk Chats Up Countryman on Station</t>
  </si>
  <si>
    <t>Aboard the International Space Station, Expedition 34 Flight Engineer Chris Hadfield of the Canadian Space Agency (CSA) speaks with Canadian-born actor William Shatner, the original Captain Kirk on the "Star Trek" television series, as well as Twitter followers attending a tweetup at CSA Headquarters in St. Hubert, Quebec during an in-flight event Feb. 7. Hadfield had previously exchanged tweets with Shatner after arriving on the orbital laboratory in late December. Hadfield will become the first Canadian commander of the complex in mid-March and is scheduled to return to Earth in mid-May on a Russian Soyuz spacecraft.</t>
  </si>
  <si>
    <t>f1ro4zkw-LA</t>
  </si>
  <si>
    <t>https://youtu.be/tiyjGjScWDc</t>
  </si>
  <si>
    <t>OSIRIS-REX Video File</t>
  </si>
  <si>
    <t>In an effort to better understand Near-Earth Objects, NASA is sending the OSIRIS-REx spacecraft to asteroid 1999 RQ36, a remnant of the early solar system.  OSIRIS-REx will study the asteroid's composition and the evolution of its orbit, and it will return a pristine sample of the asteroid to Earth for further study. Includes interview with Dr. Joseph Nuth, NASA Deputy Project Scientist, OSIRIS-REx Mission. For more info: http://osiris-rex.lpl.arizona.edu/.</t>
  </si>
  <si>
    <t>tiyjGjScWDc</t>
  </si>
  <si>
    <t>https://youtu.be/t4YvGQfrMKo</t>
  </si>
  <si>
    <t>Asteroid 2012 DA14 to Whiz Past Earth Safely</t>
  </si>
  <si>
    <t>The small near-Earth asteroid 2012 DA14 will pass very close to Earth on Feb. 15, 2013. It will be so close that it will pass inside the ring of geosynchronous weather and communications satellites. Asteroid 2012 DA14 will be closest to Earth  at about 11:24 a.m. PST (2:24 p.m. EST and 1924 UTC), on Feb. 15, when it will be at a distance of about 27,700 kilometers (17,200 miles) above Earth's surface. NASA's Near-Earth Object Program Office can accurately predict the asteroid's path with the observations obtained, and it is therefore known that there is no chance that the asteroid might be on a collision course with Earth. Nevertheless, the flyby will provide a unique opportunity for researchers to study a near-Earth object up close. Includes interview with Donald K. Yeomans, Manager of NASA's Near-Earth Object Program Office, Jet Propulsion Laboratory. For more info: http://www.nasa.gov/topics/solarsystem/features/asteroidflyby.html.</t>
  </si>
  <si>
    <t>t4YvGQfrMKo</t>
  </si>
  <si>
    <t>2013 02 06</t>
  </si>
  <si>
    <t>https://youtu.be/Pw49znaIiPg</t>
  </si>
  <si>
    <t>DLN Connects Mission Control with Georgia Students</t>
  </si>
  <si>
    <t>Students at the Clark Creek STEM Academy in Ackworth, Ga learn about NASA's mission of human exploration via the Distance Learning Network.</t>
  </si>
  <si>
    <t>Pw49znaIiPg</t>
  </si>
  <si>
    <t>2013 02 05</t>
  </si>
  <si>
    <t>https://youtu.be/cIqSY82HHos</t>
  </si>
  <si>
    <t>Marshburn Meets Fellow Tar Heels</t>
  </si>
  <si>
    <t>Aboard the International Space Station, Expedition 34 Flight Engineer Tom Marshburn of NASA, a native of Statesville, N.C., fields questions from North Carolina students gathered at the North Carolina Museum of Natural Sciences in Raleigh during an educational in-flight event Feb. 5. Marshburn arrived at the orbital laboratory on Dec. 21 aboard a Russian Soyuz spacecraft and is scheduled to return to Earth in mid-May.</t>
  </si>
  <si>
    <t>cIqSY82HHos</t>
  </si>
  <si>
    <t>https://youtu.be/O8e1JPphXc0</t>
  </si>
  <si>
    <t>Day of Remembrance on This Week @NASA</t>
  </si>
  <si>
    <t>NASA honors the 17 astronauts and other NASA family members who've given their lives for exploration and discovery.
Also, Orion's Photo-op; TDRS-K Social: RapidScat; Small Sats, Big Numbers; Electrolysis Power; Skylab Saluted: Stardust memories; and more!</t>
  </si>
  <si>
    <t>O8e1JPphXc0</t>
  </si>
  <si>
    <t>https://youtu.be/CO-piXii00A</t>
  </si>
  <si>
    <t xml:space="preserve">Science Uncut   Arctic on the Edge  </t>
  </si>
  <si>
    <t>NASA's Tom Wagner hosts an informal discussion with ice scientists about the major changes seen in the Arctic during 2012 -- shrinking sea ice, melting of the Greenland ice sheet, and more. The program highlights the contributions NASA Earth science research and satellites are making to understanding this dynamic region and predicted what the future holds for the Arctic in a changing climate.</t>
  </si>
  <si>
    <t>CO-piXii00A</t>
  </si>
  <si>
    <t>2013 02 01</t>
  </si>
  <si>
    <t>https://youtu.be/mUs3nfsTWAE</t>
  </si>
  <si>
    <t>mUs3nfsTWAE</t>
  </si>
  <si>
    <t>https://youtu.be/rwMc_7cFtU8</t>
  </si>
  <si>
    <t>ScienceCasts  A Naked-Eye Comet in March 2013</t>
  </si>
  <si>
    <t>A comet falling in from the distant reaches of the solar system could become a naked-eye object in early March. This is Comet Pan-STARRS's first visit to the inner solar system, so surprises are possible as its virgin ices are exposed to intense solar heating.</t>
  </si>
  <si>
    <t>rwMc_7cFtU8</t>
  </si>
  <si>
    <t>https://youtu.be/zZUKApJIysM</t>
  </si>
  <si>
    <t>Fallen NASA Astronauts Remembered at Space Mirror Memorial</t>
  </si>
  <si>
    <t>The Astronauts Memorial Foundation hosts Day or Remembrance program at the Kennedy Space Center Visitor Complex in Florida on Feb 1, 2013.
Honored by speakers and a wreath-laying ceremony carried live on NASA Television are the 17 crew members of Apollo 1, Challenger and Columbia.</t>
  </si>
  <si>
    <t>zZUKApJIysM</t>
  </si>
  <si>
    <t>2013 01 31</t>
  </si>
  <si>
    <t>https://youtu.be/y3cO_eOQCAA</t>
  </si>
  <si>
    <t>A More Capable Comm Satellite Launched on This Week @ NASA</t>
  </si>
  <si>
    <t>NASA's new advanced communications satellite, TDRS-K, launched from the Kennedy Space Center at 8:48pm EST on Wednesday. TDRS-K is the first of a new generation of comm satellites meant to meet the increased demands of NASA's growing fleet of research satellites. Also, RRM Update; most powerful engine; "Blueprint for Action;" Hi-C sunshine; Opportunity roves on; "Who is Kristin Morgan?" and more!</t>
  </si>
  <si>
    <t>y3cO_eOQCAA</t>
  </si>
  <si>
    <t>https://youtu.be/MM16W6w_GX8</t>
  </si>
  <si>
    <t>New NASA Communications Satellite Launches from Florida</t>
  </si>
  <si>
    <t>The rocket carrying NASA's new advanced communications satellite, TDRS-K, successfully lifts off on Jan. 30, 2013 from the Cape Canaveral Air Force Station in Florida.
From its geosynchronous orbit, TDRS-K will have a wide enough view of our planet to pick up and relay signals from NASA's fleet of Earth-orbiting spacecraft, including the International Space Station and the Hubble Space Telescope. TDRS-K is the first of a new generation of comm satellites meant to meet the increased demands of NASA's growing fleet of research satellites. TDRS-K will be the 11th satellite in the TDRS series launched by NASA since it began building the space-borne network in 1983. Two additional TDRS spacecraft will follow in 2014 and 2015.</t>
  </si>
  <si>
    <t>MM16W6w_GX8</t>
  </si>
  <si>
    <t>2013 01 30</t>
  </si>
  <si>
    <t>https://youtu.be/7Qw0ykbOt6I</t>
  </si>
  <si>
    <t>Space Station's Hadfield Connects with Canadian Students</t>
  </si>
  <si>
    <t>Canadian Space Agency astronaut and Expedition 34 Flight Engineer Chris Hadfield discusses the progress of his mission and life and work aboard the International Space Station on Jan. 30 with students gathered at the Canada Aviation and Space Museum in Ottawa, Ontario. Also in attendance is His Excellency, David Johnston, the Governor General of Canada. Hadfield arrived on the station in late December. In mid-March, Hadfield will become the first Canadian commander of the outpost until he returns to Earth in mid-May.</t>
  </si>
  <si>
    <t>7Qw0ykbOt6I</t>
  </si>
  <si>
    <t>2013 01 29</t>
  </si>
  <si>
    <t>https://youtu.be/DSeYC90k2eo</t>
  </si>
  <si>
    <t xml:space="preserve"> TDRS-K Time  for Tweeps</t>
  </si>
  <si>
    <t>Users and followers of Twitter, Facebook and other social media are hosted at NASA's Kennedy Space Center by the agency's Space Communications and Navigation program, SCaN, and other experts to discuss the TDRS-K satellite scheduled to be sent into geosynchronous orbit on Wednesday.</t>
  </si>
  <si>
    <t>DSeYC90k2eo</t>
  </si>
  <si>
    <t>2013 01 28</t>
  </si>
  <si>
    <t>https://youtu.be/kzPkRz9Eqow</t>
  </si>
  <si>
    <t>kzPkRz9Eqow</t>
  </si>
  <si>
    <t>https://youtu.be/p2DbVFfrah0</t>
  </si>
  <si>
    <t>New Comm Satellite Launch Nears</t>
  </si>
  <si>
    <t>Managers at NASA's Kennedy Space Center update media on Jan. 28 about Wednesday's scheduled launch of the TDRS-K, the first of a new generation of communications satellites that will support the agency's fleet of Earth-orbiting spacecraft, including the International Space Station ad the Hubble Space Telecope.</t>
  </si>
  <si>
    <t>p2DbVFfrah0</t>
  </si>
  <si>
    <t>https://youtu.be/rtesZxRlqOE</t>
  </si>
  <si>
    <t>ScienceCast  Record-Setting Asteroid Flyby</t>
  </si>
  <si>
    <t>On Feb. 15th an asteroid about half the size of a football field will fly past Earth closer than many man-made satellites. Since regular sky surveys began in the 1990s, astronomers have never seen an object so big come so close to our planet.</t>
  </si>
  <si>
    <t>rtesZxRlqOE</t>
  </si>
  <si>
    <t>2013 01 25</t>
  </si>
  <si>
    <t>https://youtu.be/QsgXMoxHrkg</t>
  </si>
  <si>
    <t>Satellite Launch Nears on This Week @NASA</t>
  </si>
  <si>
    <t>NASA's new advanced communications satellite, TDRS-K, is set to be launched from the Kennedy Space Center on Wednesday. TDRS-K is the first of a new generation of comm satellites meant to meet the increased demands of NASA's growing fleet of research satellites. Also, RRM Update; most powerful engine; "Blueprint for Action;" Hi-C sunshine; Opportunity roves on; "Who is Kristin Morgan?" and more!</t>
  </si>
  <si>
    <t>QsgXMoxHrkg</t>
  </si>
  <si>
    <t>https://youtu.be/b7b4m722QEU</t>
  </si>
  <si>
    <t>Ford and Marshburn  Meet  Iowa Students</t>
  </si>
  <si>
    <t>Aboard the International Space Station, Expedition 34 Commander Kevin Ford of NASA and his NASA crewmate, Flight Engineer Tom Marshburn, answered questions from students gathered at the Putnam Museum of History and Natural Science in Davenport, IA during an in-flight educational event January 25. Ford arrived at the orbital laboratory in late October and is scheduled to return to Earth in mid-March, while Marshburn, who joined Ford on the station in late December, will stay in orbit until he comes home in mid-May.</t>
  </si>
  <si>
    <t>b7b4m722QEU</t>
  </si>
  <si>
    <t>https://youtu.be/HsA_BsH0QxM</t>
  </si>
  <si>
    <t>NASA  Reaching for New Heights</t>
  </si>
  <si>
    <t>At NASA, we've been a little busy: landing on Mars, developing new human spacecraft, going to the space station, working with commercial partners, observing the Earth and the Sun, exploring our solar system and understanding our universe. And that's not even everything.</t>
  </si>
  <si>
    <t>HsA_BsH0QxM</t>
  </si>
  <si>
    <t>2013 01 24</t>
  </si>
  <si>
    <t>https://youtu.be/Fuh3voptpek</t>
  </si>
  <si>
    <t>Georgia Students on NASA's DLN</t>
  </si>
  <si>
    <t>Students at the Clark Creek STEM Academy in Ackworth, Ga. ask questions of Pete Hasbrook from the International Space Station's Program Office in a Distance Learning Network interview seen on NASA TV on Jan. 24, 2013. 
Host: Kyle Herring.</t>
  </si>
  <si>
    <t>Fuh3voptpek</t>
  </si>
  <si>
    <t>https://youtu.be/I8tHGlWwAEM</t>
  </si>
  <si>
    <t>Hadfield Queried by CBC</t>
  </si>
  <si>
    <t>From his vantage point, more than 200 miles above Earth, Canadian Space Agency astronaut Chris Hadfield answers questions from CBC News in Toronto about his time living and working on the International Space Station.</t>
  </si>
  <si>
    <t>I8tHGlWwAEM</t>
  </si>
  <si>
    <t>2013 01 23</t>
  </si>
  <si>
    <t>https://youtu.be/QmykVTgyAE0</t>
  </si>
  <si>
    <t>Dr. King Honored at NASA Headquarters</t>
  </si>
  <si>
    <t>The memory of Dr. Martin Luther King, Jr. is celebrated by employees gathered inside NASA's James Webb Auditorium in Washington, D.C.</t>
  </si>
  <si>
    <t>QmykVTgyAE0</t>
  </si>
  <si>
    <t>2013 01 22</t>
  </si>
  <si>
    <t>https://youtu.be/1rSSw7ajlz8</t>
  </si>
  <si>
    <t>Orion and Curiosity Models on This Week @NASA</t>
  </si>
  <si>
    <t>Full-scale models of NASA's new crew capsule, OrionTwo, and the Mars rover Curiosity, were "floated" before cheering crowds watching the Presidential Inaugural Parade in Washington. NASA also participated in other events celebratingPresident Obama's second inauguration. Also, Bigelow's BEAM; ESA and Orion; Curiosity Update; Robotic Refueling; Next ISS Mission; Monitoring Air Quality; Draper Medal Winner; and more!</t>
  </si>
  <si>
    <t>1rSSw7ajlz8</t>
  </si>
  <si>
    <t>https://youtu.be/6v-XEO6h_LE</t>
  </si>
  <si>
    <t>NASA's Floats in Presidential Inaugural Parade</t>
  </si>
  <si>
    <t>Video of full-size models of the Curiosity Mars rover and Orion, the multi-purpose capsule that will take our astronauts farther into space than ever, as they appeared in the Washington, D.C. parade on Jan. 21. Accompanying the vehicles were members of the Curiosity team from NASA's Jet Propulsion Laboratory, and current and former astronauts Alvin Drew, Serena Aunon, Kate Rubins, Mike Massimino, Lee Morin and Kjell Lindgren, as well as Leland Melvin, NASA's associate administrator for Education, and John Grunsfeld, NASA's associate administrator for Science.</t>
  </si>
  <si>
    <t>6v-XEO6h_LE</t>
  </si>
  <si>
    <t>2013 01 21</t>
  </si>
  <si>
    <t>https://youtu.be/tbmX3X5Anv0</t>
  </si>
  <si>
    <t>NASA Chosen The Best Place to Work in Federal Government</t>
  </si>
  <si>
    <t>tbmX3X5Anv0</t>
  </si>
  <si>
    <t>2013 01 20</t>
  </si>
  <si>
    <t>https://youtu.be/ui6ernRFxOg</t>
  </si>
  <si>
    <t>NASA Star Party Helps Celebrate Inauguration</t>
  </si>
  <si>
    <t>Video of a NASA star gazing "party" at the David M. Brown Planetarium in Arlington, Va. on Jan. 19. Free and open to the public,  the event featured astronomers, astronauts, and other experts answering questions about the night sky. Telescopes were provided; planetarium shows were also held.</t>
  </si>
  <si>
    <t>ui6ernRFxOg</t>
  </si>
  <si>
    <t>2013 01 19</t>
  </si>
  <si>
    <t>https://youtu.be/6o7s-fVykfs</t>
  </si>
  <si>
    <t>NASA Preps for Inaugural Parade</t>
  </si>
  <si>
    <t>Video of preparations at the Joint Base Anacostia Bolling in Washington, D.C. on Jan. 19 for the two NASA floats scheduled to appear in Monday's Presidential Inaugural Parade. The floats will feature full-scale models of NASA's Orion, the multi-purpose capsule that will take our astronauts farther into space than ever, and the Curiosity rover now on Mars.</t>
  </si>
  <si>
    <t>6o7s-fVykfs</t>
  </si>
  <si>
    <t>https://youtu.be/7I0pUE0GQn0</t>
  </si>
  <si>
    <t>NASA on National Mall for National Day of Service</t>
  </si>
  <si>
    <t>Video of NASA's educational exhibit on the National Mall in Washington, D.C. to celebrate the country's National Day of Service on Jan. 19.  NASA astronauts were available to meet with and sign autographs for the general public.</t>
  </si>
  <si>
    <t>7I0pUE0GQn0</t>
  </si>
  <si>
    <t>https://youtu.be/tPqHSSTyZsU</t>
  </si>
  <si>
    <t>NASA Open House Highlights Mars Exploration</t>
  </si>
  <si>
    <t>NASA's ongoing and future missions to Mars highlight the afternoon session of an open house held at the agency's Headquarters in Washington, D.C. on Jan. 18 in celebration of the 2013 Presidential Inaugural on Monday, Jan. 21.</t>
  </si>
  <si>
    <t>tPqHSSTyZsU</t>
  </si>
  <si>
    <t>2013 01 18</t>
  </si>
  <si>
    <t>https://youtu.be/CeAbS4RYOYI</t>
  </si>
  <si>
    <t>NASA Helps Kick Off Inaugural Weekend with Morning Open House</t>
  </si>
  <si>
    <t>Members of the public join with social media followers at NASA Headquarters on Jan. 18 to learn about present and future NASA missions. Topics in the morning's panel sessions include NASA leadership discussing the future of human spaceflight and the importance of technology innovation to our future.</t>
  </si>
  <si>
    <t>CeAbS4RYOYI</t>
  </si>
  <si>
    <t>https://youtu.be/QNbQDVdybq4</t>
  </si>
  <si>
    <t>Inauguration Weekend on This Week @NASA</t>
  </si>
  <si>
    <t>Two Open Houses at Headquarters in Washington kicked off NASA's participation in the city's Presidential Inaugural activities. Public visitors to the James Webb Auditorium could hear from Administrator Charles Bolden, Deputy Administrator Lori Garver and other agency officials about NASA's current and future plans, programs and missions. Also, Bigelow's BEAM; ESA and Orion; Curiosity Update; Robotic Refueling; Next ISS Mission; Monitoring Air Quality; Draper Medal Winner; and more!</t>
  </si>
  <si>
    <t>QNbQDVdybq4</t>
  </si>
  <si>
    <t>https://youtu.be/z4vB44Rdq48</t>
  </si>
  <si>
    <t>NASA's Mars Curiosity Rover Report - January 18, 2013</t>
  </si>
  <si>
    <t>z4vB44Rdq48</t>
  </si>
  <si>
    <t>https://youtu.be/aKSXNeqxPQE</t>
  </si>
  <si>
    <t>ScienceCasts  Comet of the Century</t>
  </si>
  <si>
    <t>Astronomers are keeping a close eye on a newly-discovered Comet ISON, which could become visible in broad daylight later this year when it skims through the atmosphere of the sun.</t>
  </si>
  <si>
    <t>aKSXNeqxPQE</t>
  </si>
  <si>
    <t>2013 01 17</t>
  </si>
  <si>
    <t>https://youtu.be/yf3OxLxKyyA</t>
  </si>
  <si>
    <t>Next ISS Missions Previewed by Crew Members</t>
  </si>
  <si>
    <t>The upcoming Expedition 35 and 36 missions aboard the International Space Station are previewed on Jan. 17 by the six spacefarers scheduled to participate. Chris Cassidy of NASA and Pavel Vinogradov and Alexander Misurkin of the Russian Federal Space Agency (Roscosmos) are set to launch to the orbiting laboratory aboard a Soyuz spacecraft March 27 and return to Earth Sept. 11.</t>
  </si>
  <si>
    <t>yf3OxLxKyyA</t>
  </si>
  <si>
    <t>https://youtu.be/0DM750sNj8g</t>
  </si>
  <si>
    <t>ISS to Experience Heavy Traffic on Next Missions</t>
  </si>
  <si>
    <t>The International Space Station Program and Science Overview briefing on Jan. 17 outlines the priorities and objectives of Expedition 35 and 36. These include several visiting spacecraft, such as multiple Russian Progress resupply ships, the fourth European Automated Transfer Vehicle, the fourth Japanese H-II Transfer Vehicle, the SpaceX Dragon cargo craft and the debut demonstration and supply flights of the Orbital Sciences Cygnus spacecraft.</t>
  </si>
  <si>
    <t>0DM750sNj8g</t>
  </si>
  <si>
    <t>https://youtu.be/F_G7KyJG57Q</t>
  </si>
  <si>
    <t>Hadfield Chats with Hadfield School Students Back Home</t>
  </si>
  <si>
    <t>Expedition 35 Flight Engineer Chris Hadfield talks with students at the Chris Hadfield School named for him in his hometown of Sarnia, Ontario.</t>
  </si>
  <si>
    <t>F_G7KyJG57Q</t>
  </si>
  <si>
    <t>2013 01 16</t>
  </si>
  <si>
    <t>https://youtu.be/mU8H9CcziL0</t>
  </si>
  <si>
    <t>NASA to Test Expandable Habitat on ISS</t>
  </si>
  <si>
    <t>NASA Deputy Administrator Lori Garver announced Wednesday a newly planned addition to the International Space Station that will use the orbiting laboratory to test expandable space habitat technology. NASA has awarded a $17.8 million contract to Bigelow Aerospace to provide a Bigelow Expandable Activity Module (BEAM), which is scheduled to arrive at the space station in 2015 for a two-year technology demonstration. The BEAM is scheduled to launch aboard the eighth SpaceX cargo resupply mission to the station contracted by NASA, currently planned for 2015. After the module is berthed to the station's Tranquility node, the station crew will activate a pressurization system to expand the structure to its full size using air stored within the packed module. Astronauts periodically will enter the module to gather performance data and perform inspections. Following the test period, the module will be jettisoned from the station, burning up on re-entry.</t>
  </si>
  <si>
    <t>mU8H9CcziL0</t>
  </si>
  <si>
    <t>https://youtu.be/XgKovUIQ1Eo</t>
  </si>
  <si>
    <t>NASA Signs Agreement for European-Provided Orion Service Module</t>
  </si>
  <si>
    <t>NASA has signed an agreement for the European Space Agency (ESA) to provide a service module for the Orion spacecraft's Exploration Mission-1 in 2017. The announcement was made on Jan. 16 during a news briefing at NASA's Johnson Space Center in Houston. When Orion blasts off atop a Space Launch System rocket in 2017, attached will be the ESA-provided service module -- the powerhouse that fuels and propels the Orion spacecraft. Exploration Mission-1 in 2017 will be the first mission to incorporate both the Orion vehicle and NASA's new Space Launch System. It will follow the upcoming Exploration Flight Test-1 in 2014, in which an uncrewed Orion will launch atop a Delta IV Heavy rocket and fly to an altitude of 3,600 miles above Earth's surface, farther than a human spacecraft has gone in 40 years.</t>
  </si>
  <si>
    <t>XgKovUIQ1Eo</t>
  </si>
  <si>
    <t>https://youtu.be/canmpG_uSow</t>
  </si>
  <si>
    <t>NASA, ESA Agree on New Orion Service Module</t>
  </si>
  <si>
    <t>This animation shows NASA's Orion spacecraft as it will appear on its Exploration Mission-1 in 2017, complete with a service module to be provided by the European Space Agency. After Orion blasts off atop a Space Launch System rocket, the ESA-provided service module will fuel and propel the capsule on its journey through space. Exploration Mission-1 in 2017 will be the first mission to incorporate both the Orion vehicle and NASA's new Space Launch System. It will follow the upcoming Exploration Flight Test-1 in 2014, in which an uncrewed Orion will launch atop a Delta IV Heavy rocket and fly 3,600 miles above Earth's surface, farther than a human spacecraft has gone in 40 years.</t>
  </si>
  <si>
    <t>canmpG_uSow</t>
  </si>
  <si>
    <t>2013 01 15</t>
  </si>
  <si>
    <t>https://youtu.be/VD0tU2-D448</t>
  </si>
  <si>
    <t>Refueling Satellites with Robots!</t>
  </si>
  <si>
    <t>Robotic refueling is challenging. Before a satellite leaves the ground, technicians fill its fuel tank through a valve that's then triple-sealed and covered with a protective blanket designed never to be accessed again. RRM paves the way for a future robotic servicing mission by demonstrating that a remote-controlled robot can overcome these obstacles to service and refuel a satellite on orbit.</t>
  </si>
  <si>
    <t>VD0tU2-D448</t>
  </si>
  <si>
    <t>2013 01 11</t>
  </si>
  <si>
    <t>https://youtu.be/ErzROQYSf_0</t>
  </si>
  <si>
    <t>Commercial Crew Progresses on This Week @NASA</t>
  </si>
  <si>
    <t>Officials from NASA and the companies participating in the agency's Commercial Crew Program update media at the Kennedy Space Center on the progress of CCP. Also, Landsat lasts; chasing climate change; celestial center of attention; 
Curiosity Rover Report: FIRST's Firsts; and more!</t>
  </si>
  <si>
    <t>ErzROQYSf_0</t>
  </si>
  <si>
    <t>https://youtu.be/6-vwlAmrhp0</t>
  </si>
  <si>
    <t>Bluegrass State Students Chat with Space Station Astronaut</t>
  </si>
  <si>
    <t>Aboard the International Space Station, Expedition 34 Flight Engineer Tom Marshburn of NASA discussed life and work aboard the orbital laboratory during an in-flight educational event Jan. 11 with students at Eastern Kentucky University in Richmond, Ky. Marshburn, a native of North Carolina, is in the midst of a 5 1Ž2 month mission on the orbital outpost.</t>
  </si>
  <si>
    <t>6-vwlAmrhp0</t>
  </si>
  <si>
    <t>https://youtu.be/oDWb6VdC_s8</t>
  </si>
  <si>
    <t>NASA's Mars Curiosity Rover Report - January 10, 2013</t>
  </si>
  <si>
    <t>A NASA's Mars Curiosity rover team member gives an update on developments and status of the planetary exploration mission. The Mars Science Laboratory spacecraft delivered Curiosity to its target area on Mars at 1:31:45 a.m. EDT on Aug. 6, 2012 which includes the 13.8 minutes needed for confirmation of the touchdown to be radioed to Earth at the speed of light. The rover will conduct a nearly two-year prime mission to investigate whether the Gale Crater region of Mars ever offered conditions favorable for microbial life.
Curiosity carries 10 science instruments with a total mass 15 times as large as the science payloads on NASA's Mars rovers Spirit and Opportunity. Some of the tools, such as a laser-firing instrument for checking rocks' elemental composition from a distance, are the first of their kind on Mars. Curiosity will use a drill and scoop, which are located at the end of its robotic arm, to gather soil and powdered samples of rock interiors, then sieve and parcel out these samples into the rover's analytical laboratory instruments.</t>
  </si>
  <si>
    <t>oDWb6VdC_s8</t>
  </si>
  <si>
    <t>2013 01 10</t>
  </si>
  <si>
    <t>https://youtu.be/inxyaiIYEnQ</t>
  </si>
  <si>
    <t>New Satellite to Maintain Landsat Capabilities</t>
  </si>
  <si>
    <t>NASA updates the media on Jan. 10 about the upcoming launch of the Landsat Data Continuity Mission (LDCM) scheduled for Feb. 11. A collaboration between NASA and the U.S. Geological Survey, LDCM  will continue the Landsat Program's 40-year data record of monitoring Earth's landscapes from space. LDCM will expand and improve on that record with observations that advance a wide range of Earth sciences and contribute to the management of agriculture, water and forest resources.</t>
  </si>
  <si>
    <t>inxyaiIYEnQ</t>
  </si>
  <si>
    <t>https://youtu.be/absjEiqicw4</t>
  </si>
  <si>
    <t>Canada's Hadfield Queried from Quebec</t>
  </si>
  <si>
    <t>Aboard the International Space Station, Expedition 34 Flight Engineer Chris Hadfield of the Canadian Space Agency discussed life and work aboard the orbital laboratory with Canadian media located at CSA's Headquarters in St. Hubert, Quebec Jan. 10 during an in-flight news conference. Hadfield, who arrived on the station Dec. 21, 2012, will become the first Canadian commander of the outpost in mid-March for the final two months of his 5 1Ž2 month mission.</t>
  </si>
  <si>
    <t>absjEiqicw4</t>
  </si>
  <si>
    <t>2013 01 09</t>
  </si>
  <si>
    <t>https://youtu.be/IvVdD6qqROM</t>
  </si>
  <si>
    <t>Commercial Crew Progress Status Update</t>
  </si>
  <si>
    <t>The progress of NASA's partnership with industry to establish safe, affordable and commercially-viable access to low Earth orbit for humans is outlined in this news briefing held on Jan. 9 at the Kennedy Space Center.</t>
  </si>
  <si>
    <t>IvVdD6qqROM</t>
  </si>
  <si>
    <t>https://youtu.be/MF7JLvoYYmE</t>
  </si>
  <si>
    <t>ISS Scientist Explains Import of Research</t>
  </si>
  <si>
    <t>In a 'Mission Control Console Interview with NASA's Digital Learning Network, International Space Station Associate Program Scientist, Tara Ruttley discusses experiments conducted aboard the orbiting laboratory and how they can help us here on Earth.</t>
  </si>
  <si>
    <t>MF7JLvoYYmE</t>
  </si>
  <si>
    <t>2013 01 08</t>
  </si>
  <si>
    <t>https://youtu.be/dvLSYBaSE3c</t>
  </si>
  <si>
    <t>Notre Dame Football Gets Shout Out from Space</t>
  </si>
  <si>
    <t>Expedition 34 Commander Kevin Ford, an Indiana native and 1982 graduate of the University of Notre Dame, provides a pre-game shout out to the Fighting Irish football team in its BCS college football championship game versus the University of Alabama on Jan. 7 in Miami, Fla. Assisting Ford are two of his International Space Station crewmates, Russian cosmonauts Evgeny Tarelkin and Oleg Novitskiy. The message was televised during ESPN's pre-game coverage.</t>
  </si>
  <si>
    <t>dvLSYBaSE3c</t>
  </si>
  <si>
    <t>2013 01 07</t>
  </si>
  <si>
    <t>https://youtu.be/LS2_FKKApRA</t>
  </si>
  <si>
    <t>Rocket's Core Gets Rave Review on This Week @NASA</t>
  </si>
  <si>
    <t>The core stage of NASA's Space Launch System -- America's new flagship rocket -- has successfully completed a major technical review by meeting system requirements within acceptable risk, and fell within schedule and budget constraints. The first flight test of the SLS, propelling an un-crewed Orion spacecraft beyond the moon, is scheduled for 2017. Also, rocket's powerpack testing; happy landings; new SCaN satellite; TP Toss; and, more!</t>
  </si>
  <si>
    <t>LS2_FKKApRA</t>
  </si>
  <si>
    <t>https://youtu.be/OBOolkHVG_Q</t>
  </si>
  <si>
    <t>ScienceCasts  Dark Lightning</t>
  </si>
  <si>
    <t>Researchers studying thunderstorms have made a surprising discovery: The lightning we see with our eyes has a dark competitor that discharges storm clouds and flings antimatter into space. Astrophysicists and meteorologists are scrambling to understand "dark lightning."</t>
  </si>
  <si>
    <t>OBOolkHVG_Q</t>
  </si>
  <si>
    <t>2013 01 05</t>
  </si>
  <si>
    <t>https://youtu.be/k7_zsTvZjFg</t>
  </si>
  <si>
    <t>2013 FIRST Kicks Off</t>
  </si>
  <si>
    <t>The opening of this year's FIRST Robotics Competition is held in Manchester, New Hampshire. FIRST, For Inspiration and Recognition of Science and Technology, is a series of regional robot-building competitions in which students test their engineering and technological acumen.</t>
  </si>
  <si>
    <t>k7_zsTvZjFg</t>
  </si>
  <si>
    <t>2013 01 02</t>
  </si>
  <si>
    <t>https://youtu.be/qUfkJyU4PaM</t>
  </si>
  <si>
    <t>Marshburn Talks with Tar Heel Media</t>
  </si>
  <si>
    <t>Expedition 34 Flight Engineer Tom Marshburn of NASA, a native of Statesville, N.C., discussed life and work aboard the International Space Station and spending the holidays away from home during a pair of in-flight interviews Jan. 2 with WFMY-TV in Greensboro, N.C., and WCNC-TV in Charlotte, N.C. Marshburn arrived at the space station on Dec. 21, 2012, and will remain in orbit until mid-May.</t>
  </si>
  <si>
    <t>qUfkJyU4PaM</t>
  </si>
  <si>
    <t>2012 12 31</t>
  </si>
  <si>
    <t>https://youtu.be/T_2CS-ov1dU</t>
  </si>
  <si>
    <t>T_2CS-ov1dU</t>
  </si>
  <si>
    <t>2012 12 28</t>
  </si>
  <si>
    <t>https://youtu.be/vE55WCIf88o</t>
  </si>
  <si>
    <t>Jesco von Puttkamer  1933-2012</t>
  </si>
  <si>
    <t>Jesco von Puttkamer, who began his NASA career in 1962 working as an engineer on Wernher von Braun's Saturn V rocket team at the agency's Marshall Space Flight Center in Huntsville, Ala., during the Apollo Program, has died, following a brief illness. He was 79. Von Puttkamer came to NASA at von Braun's personal invitation. In 1974, von Puttkamer transferred to NASA Headquarters in Washington. He most recently worked in the International Space Station Program. Among the numerous awards received by von Puttkamer was NASA's prestigious Exceptional Service Medal in 2004.</t>
  </si>
  <si>
    <t>vE55WCIf88o</t>
  </si>
  <si>
    <t>2012 12 27</t>
  </si>
  <si>
    <t>https://youtu.be/3LVm85hUBRs</t>
  </si>
  <si>
    <t>Stephen Colbert,  for This Year @NASA!</t>
  </si>
  <si>
    <t>In case you missed it, here's Comedy Central's Stephen Colbert and his shout out for NASA TV's "This Year @NASA!"
(Watch TY@N 2012 at http://www.youtube.com/watch?v=9cR-KSXUhzo)</t>
  </si>
  <si>
    <t>3LVm85hUBRs</t>
  </si>
  <si>
    <t>2012 12 26</t>
  </si>
  <si>
    <t>https://youtu.be/wdseM-A0YPU</t>
  </si>
  <si>
    <t>Ford Fighting for Irish Football From Space!</t>
  </si>
  <si>
    <t>Aboard the International Space Station, Expedition 34 Commander Kevin Ford, an Indiana native and 1982 graduate of the University of Notre Dame, discussed the upcoming BCS college football championship game between the Irish and the University of Alabama Jan. 7 and life and work aboard the orbital laboratory with the University of Notre Dame's Office of Communications during an in-flight interview Dec. 26, 2012.</t>
  </si>
  <si>
    <t>wdseM-A0YPU</t>
  </si>
  <si>
    <t>https://youtu.be/CgRLm2srV1E</t>
  </si>
  <si>
    <t>NASA's Mars Curiosity Rover Report %2318 -- December 21, 2012</t>
  </si>
  <si>
    <t>A NASA's Mars Curiosity rover team member gives an update on developments and status of the planetary exploration mission. The Mars Science Laboratory spacecraft delivered Curiosity to its target area on Mars at 1:31:45 a.m. EDT on Aug. 6, which includes the 13.8 minutes needed for confirmation of the touchdown to be radioed to Earth at the speed of light. The rover will conduct a nearly two-year prime mission to investigate whether the Gale Crater region of Mars ever offered conditions favorable for microbial life.</t>
  </si>
  <si>
    <t>CgRLm2srV1E</t>
  </si>
  <si>
    <t>2012 12 21</t>
  </si>
  <si>
    <t>https://youtu.be/AmS20epgSOY</t>
  </si>
  <si>
    <t>Further Up Yonder  A Message from ISS to All Humankind</t>
  </si>
  <si>
    <t>NASA Television shares this inspiring production by Italian videomaker, Giacomo Sardelli, about the International Space Station, its inhabitants, and its role in space exploration. Sardelli writes of the video, "I'm not the first one to use NASA's pictures taken from the International Space Station to craft a Timelapse video. You can find many of them on the Internet, that's where my inspiration came from. What I wanted to do, though, was to look beyond the intrinsic beauty of those pictures, and use them to tell a story and share the messages sent by the astronauts who worked on the station in the last 11 years."</t>
  </si>
  <si>
    <t>AmS20epgSOY</t>
  </si>
  <si>
    <t>https://youtu.be/P45vaEgck_w</t>
  </si>
  <si>
    <t>Happy Holidays, NASA TV Style!</t>
  </si>
  <si>
    <t>Our wish for a happy holiday season, and a healthy and prosperous 2013!</t>
  </si>
  <si>
    <t>P45vaEgck_w</t>
  </si>
  <si>
    <t>https://youtu.be/Ffh1LMBLJd4</t>
  </si>
  <si>
    <t>ScienceCasts  Christmas Sky Show</t>
  </si>
  <si>
    <t>The Moon and Jupiter are converging for a heavenly sky show on Christmas 2012. Got a telescope? Something extra-special is happening on Jupiter that makes it an appealing target for backyard optics.</t>
  </si>
  <si>
    <t>Ffh1LMBLJd4</t>
  </si>
  <si>
    <t>https://youtu.be/_YkeI9VXta4</t>
  </si>
  <si>
    <t>New Crew Arrives at Station</t>
  </si>
  <si>
    <t>After launching in their Soyuz TMA-07M spacecraft, Expedition 34/35 Soyuz Commander Roman Romanenko, Flight Engineer Tom Marshburn of NASA and Flight Engineer Chris Hadfield of the Canadian Space Agency arrived at the International Space Station on Dec. 21, docking their craft to the Rassvet module on the Russian segment of the complex.</t>
  </si>
  <si>
    <t>_YkeI9VXta4</t>
  </si>
  <si>
    <t>2012 12 20</t>
  </si>
  <si>
    <t>https://youtu.be/oSGi7qVDBFI</t>
  </si>
  <si>
    <t>ISS Mission Control Interview with the Digital Learning Network</t>
  </si>
  <si>
    <t>Alicia Simpson, Expedition 34/35 Training Integrator and Kelly Humphfries, NASA Public Affairs  Officer talk with students at Christ the King School in Rutland, VT from Johnson Space Center.</t>
  </si>
  <si>
    <t>oSGi7qVDBFI</t>
  </si>
  <si>
    <t>2012 12 19</t>
  </si>
  <si>
    <t>https://youtu.be/VoIC4POOQMg</t>
  </si>
  <si>
    <t>Exp. 34 35 Launches to the International Space Station</t>
  </si>
  <si>
    <t>The Soyuz spacecraft carrying NASA astronaut Tom Marshburn, Canadian Space Agency astronaut Chris Hadfield and Russian cosmonaut Roman Romanenko lifts off from the Baikonur Cosmodrome in Kazakhstan to the International Space Station at 7:12 a.m. EST on Dec. 19. .</t>
  </si>
  <si>
    <t>VoIC4POOQMg</t>
  </si>
  <si>
    <t>2012 12 18</t>
  </si>
  <si>
    <t>https://youtu.be/osLM4BIvSrg</t>
  </si>
  <si>
    <t>NASA Seeks to Debunk Doomsday Prophecy</t>
  </si>
  <si>
    <t>As 2012 draws to a close, many websites, books and cable
television shows are erroneously predicting the end of the world. These claims range from fears that a rogue planet is heading toward Earth, to solar flares torching our planet.  David Morrison, a senior scientist and astrobiologist at NASA's Ames Research Center is working to inform the public that each of the claims are false and there is no reason that December 21, 2012 will be different from any other day on Earth.</t>
  </si>
  <si>
    <t>osLM4BIvSrg</t>
  </si>
  <si>
    <t>https://youtu.be/zulxSCb4ZVk</t>
  </si>
  <si>
    <t xml:space="preserve"> NASA Johnson Style  ( Gangnam Style  Parody)</t>
  </si>
  <si>
    <t>NASA astronauts and scientists are among those in this educational parody of Psy's popular music video.  "NASA Johnson Style"  was created, written and produced by the Houston center's co-op students who volunteered for the project " to inform the public about the amazing work going on at NASA and the Johnson Space Center."
"NASA Johnson Style" lyrics: 
NASA Johnson Style
Johnson Style
Welcome to NASA's Johnson Space Center
We are coming in hot so don't burn up as we enter
We do science everyday that affects your daily life
Throw them up for manned space flight
Science everywhere
As we engineer the marvels
That fly though the air 
And take us way beyond earth's levels
Science everywhere 
Because we engineer the marvels
That fly though the air 
Flys us through the air
Control the mission out of Johnson
This is ground, hey!
And this is space, hey!
Tell me Houston what's the problem 
It's okay!
It's okay!
Because there's flight controllers on the job today 
NASA Johnson STYLE!
Johnson STYLE!
NA, NA, NA, NA NASA Johnson STYLE!
Johnson STYLE!
NA, NA, NA, NA NASA Johnson STYLE!
EYYYYYY science daily!
NA, NA, NA, NA, NASA STYLE!
EYYYYYY it's amazing!
NA, NA, NA, NA ey ey ey ey ey ey!!
Orbiting earth, international space station
Where we work and live in space with a crew from several nations
Got Japanese, and Russians, that European charm 
Throw them up, like the Canada Arm
Kicking out research
29k cubic feet, revolves around the earth
Science microgravity, revolves around the earth
Columbus, JEM, and Destiny
Kicking out research
Kicking out research
Train the astronauts at Johnson
To go to space, hey!
To go to space, hey! 
Cause the missions of tomorrow 
Start today, hey!
Start today, hey!
As we engineer the future day by day
NASA Johnson STYLE!
Johnson STYLE!
NA, NA, NA, NA NASA Johnson STYLE!
Johnson STYLE!
NA, NA, NA, NA NASA Johnson STYLE!
EYYYYYY science daily!
NA, NA, NA, NA, NASA STYLE!
EYYYYYY it's amazing!
NA, NA, NA, NA ey ey ey ey ey ey!!
Orion or SLS, MPCV 
We cannot feel the floor, cause the lack gravity
The destinations are an asteroid, mars, or moon 
We are blasting off start the countdown soon
[Sound clip: launch countdown]
EYYYYYY science daily!
NA, NA, NA, NA, NASA STYLE!
EYYYYYY it's amazing!
NA, NA, NA, NA ey ey ey ey ey ey!!
NASA Johnson Style 
Special thanks to astronauts Tracy Caldwell Dyson, Mike Massimino and Clay Anderson 
Special thanks to Mr. Mike Coats, Dr. Ellen Ochoa, and all supporting senior staff members
• Category 
Science &amp; Technology
• License
Standard YouTube License</t>
  </si>
  <si>
    <t>zulxSCb4ZVk</t>
  </si>
  <si>
    <t>https://youtu.be/9cR-KSXUhzo</t>
  </si>
  <si>
    <t>This Year @ NASA, 2012</t>
  </si>
  <si>
    <t>Curiosity Has Landed, Flight of the Dragon, Antares Rolls and so much more...</t>
  </si>
  <si>
    <t>9cR-KSXUhzo</t>
  </si>
  <si>
    <t>https://youtu.be/TY_snIUoE5c</t>
  </si>
  <si>
    <t>NASA Grail Twins Make Impact with Moon</t>
  </si>
  <si>
    <t>The lunar-orbiting twins of NASA's Gravity Recovery and Interior Laboratory (GRAIL) mission made impact on an unnamed mountain on the moon Monday, Dec. 17, 2012. The spacecraft were purposely sent into the moon because after successful prime and extended science missions, their low orbit and low fuel levels preclude further scientific operations. The mission has helped scientists learn about the moon's internal structure and composition in unprecedented detail.</t>
  </si>
  <si>
    <t>TY_snIUoE5c</t>
  </si>
  <si>
    <t>2012 12 17</t>
  </si>
  <si>
    <t>https://youtu.be/fm1NINitjVQ</t>
  </si>
  <si>
    <t>Soyuz Mates, Moves to Launch Pad</t>
  </si>
  <si>
    <t>At the Baikonur Cosmodrome in Kazakhstan, the Soyuz TMA-07M spacecraft was mated to its booster rocket on Dec. 16, and the spacecraft and its booster were moved to the launch pad on a railcar Dec. 17 for final preparations before launch to the International Space Station on Dec. 19. The Soyuz TMA-07M will carry Expedition 34/35 Soyuz Commander Roman Romanenko, Flight Engineer Tom Marshburn of NASA and Flight Engineer Chris Hadfield of the Canadian Space Agency to the orbital outpost. The trio will spend five months on the laboratory, joining station Commander Kevin Ford of NASA and Russian cosmonauts Oleg Novitskiy and Evgeny Tarelkin, who have been in orbit since late October. The footage also includes interviews with Mike Fossum, Associate Director of Flight Crew Operations, JSC, and with William Gerstenmaier, Associate Administrator for Human Exploration Operations.</t>
  </si>
  <si>
    <t>fm1NINitjVQ</t>
  </si>
  <si>
    <t>2012 12 14</t>
  </si>
  <si>
    <t>https://youtu.be/O4RFMJJObWw</t>
  </si>
  <si>
    <t>With their launch from Kazakhstan to the International Space Station fast approaching, Expedition 34/35 Soyuz Commander Roman Romanenko, Flight Engineer Tom Marshburn of NASA and Flight Engineer Chris Hadfield of the Canadian Space Agency continue to train and finalize plans for the December 19 flight. Also, Orion taking shape; Mars field trip: GRAIL's impact; FASTSat's finale; "Big Wind"; rocket holiday; and more!</t>
  </si>
  <si>
    <t>O4RFMJJObWw</t>
  </si>
  <si>
    <t>https://youtu.be/xyg5XhGHwN0</t>
  </si>
  <si>
    <t>Exp 34 35 Crew Preps in Baikonur</t>
  </si>
  <si>
    <t>Cosmonaut Roman Romanenko, NASA astronaut Tom Marshburn, and Canadian Space Agency astronaut, Chris Hadfield, participate in pre-launch activities in Baikonur, Kazakhstan. The trio is slated to board a Soyuz rocket and liftoff for the International Space Station on Dec. 19.</t>
  </si>
  <si>
    <t>xyg5XhGHwN0</t>
  </si>
  <si>
    <t>2012 12 13</t>
  </si>
  <si>
    <t>https://youtu.be/04mcodXWZF4</t>
  </si>
  <si>
    <t>ISS Mission Control Digital Learning Network</t>
  </si>
  <si>
    <t>NASA Environmental Scientist/Chemist Dan Gazda and NASA Public Affairs Officer Brandi Dean talk with students at the St. Peter's Prep High School in Jersey City, NJ from the Johnson Space .</t>
  </si>
  <si>
    <t>04mcodXWZF4</t>
  </si>
  <si>
    <t>2012 12 11</t>
  </si>
  <si>
    <t>https://youtu.be/2wimiRUHMI4</t>
  </si>
  <si>
    <t>ScienceCasts  Why the World Didn't End Yesterday</t>
  </si>
  <si>
    <t>The Mayan calendar explained! The world is safe from rogue planets, solar flares and other imagined calamities!
Watch this NOW to learn why NASA Science says you'll be here Dec. 22 to view it again!
Visit http://science.nasa.gov/ for breaking science news.</t>
  </si>
  <si>
    <t>2wimiRUHMI4</t>
  </si>
  <si>
    <t>2012 12 10</t>
  </si>
  <si>
    <t>https://youtu.be/vJXfhdyFpPU</t>
  </si>
  <si>
    <t>NASA's Mars Curiosity Rover Report %2317 -- December 7, 2012</t>
  </si>
  <si>
    <t>vJXfhdyFpPU</t>
  </si>
  <si>
    <t>2012 12 07</t>
  </si>
  <si>
    <t>https://youtu.be/ieN2whar2bg</t>
  </si>
  <si>
    <t>New Rover to Mars on This Week @NASA</t>
  </si>
  <si>
    <t>NASA will launch a new rover to Mars in 2020. That plan was among the science news NASA made at the 2012 Fall Meeting of the American Geophysical Union in San Francisco. Also, Voyager 1 travels "magnetic highway"; Van Allen Probes reveal structures and dynamics in Earth's radiation belts;  Kelly and Kornienko on mission; new ISS crew;  astro Joe goes social; Curious in Times Square; fainting booms; Climate Day; and, more!</t>
  </si>
  <si>
    <t>ieN2whar2bg</t>
  </si>
  <si>
    <t>2012 12 06</t>
  </si>
  <si>
    <t>https://youtu.be/ZskM0diLe90</t>
  </si>
  <si>
    <t>ZskM0diLe90</t>
  </si>
  <si>
    <t>https://youtu.be/bMRlMSPVQT8</t>
  </si>
  <si>
    <t>Next Station Crew Departs for Launch Site</t>
  </si>
  <si>
    <t>Video of Cosmonaut Roman Romanenko, the Canadian Space Agency's Chris Hadfield and NASA astronaut Tom Marshburn, the  Expedition 34/35 crew members set to become the next residents of the International Space Station, leave for Baikonur, Kazakhstan, where they're scheduled to launch aboard their Soyuz spacecraft on Dec. 19.</t>
  </si>
  <si>
    <t>bMRlMSPVQT8</t>
  </si>
  <si>
    <t>https://youtu.be/QF9ezIz2AZ4</t>
  </si>
  <si>
    <t>Ford Drives Conversation from Station</t>
  </si>
  <si>
    <t>Aboard the International Space Station, Expedition 34 Commander Kevin Ford discussed life and research on the orbital laboratory and his thoughts regarding the yearlong Expedition by two crewmembers set to begin in 2015 with reporters from CBS News and CNN during a pair of in-flight interviews December 6, 2012.</t>
  </si>
  <si>
    <t>QF9ezIz2AZ4</t>
  </si>
  <si>
    <t>2012 12 05</t>
  </si>
  <si>
    <t>https://youtu.be/LAR3MuJLpr4</t>
  </si>
  <si>
    <t>Year-Long ISS Expedition Outlined for Media</t>
  </si>
  <si>
    <t>NASA and Roscosmos officials discuss the scheduled 12-month-long mission of veteran NASA astronaut, Scott Kelly and veteran Russian cosmonaut, Mikhail Kornienko, with media during an International Space Station Program Briefing held in Houston and Star City, Russia. Participants are:  Mike Suffredini, International Space Station program manager;  Julie Robinson, International Space Station program scientist; Bob Behnken, NASA chief astronaut; Alexey Krasnov, director of Piloted Space Programs Department, Roscosmos; Sergei Krikalev, director, Gagarin Cosmonaut Training Center; and, Igor Ushakov, director, Institute for Biomedical Problems.</t>
  </si>
  <si>
    <t>LAR3MuJLpr4</t>
  </si>
  <si>
    <t>https://youtu.be/TGKfeHgaMvg</t>
  </si>
  <si>
    <t>Kelly and Kornienko Meet Media About One-Year Stay on ISS</t>
  </si>
  <si>
    <t>NASA's Scott Kelly and Mikhail Kornienko of Roscosmos participate in a crew news conference to discuss their year-long stay aboard the International Space Station scheduled to begin in spring 2015. The mission will include collecting scientific data important to future human exploration of our solar system.</t>
  </si>
  <si>
    <t>TGKfeHgaMvg</t>
  </si>
  <si>
    <t>2012 12 04</t>
  </si>
  <si>
    <t>https://youtu.be/j6hrXAxYjVc</t>
  </si>
  <si>
    <t>NASA ANNOUNCES ROBUST MULTI-YEAR MARS PROGRAM; NEW ROVER TO CLOSE OUT DECADE OF NEW MISSIONS</t>
  </si>
  <si>
    <t>Building on the success of Curiosity's Red Planet landing, NASA announced plans for a robust multi-year Mars program, including a new robotic science rover set to launch in 2020. The plan to design and build a new Mars robotic science rover brings a total of seven NASA missions operating or being planned to study and explore our Earth-like neighbor.
The 2020 mission will constitute another step toward being responsive to high-priority science goals and the president's challenge of sending humans to Mars orbit in the 2030s. The future rover development and design will be based on the Mars Science Laboratory architecture that successfully carried the Curiosity rover to the Martian surface this summer. This next rover mission ensures America remains the world leader in the exploration of the Red Planet, while taking another significant step toward sending humans there in the 2030s.</t>
  </si>
  <si>
    <t>j6hrXAxYjVc</t>
  </si>
  <si>
    <t>https://youtu.be/NZFtaLhPQCE</t>
  </si>
  <si>
    <t>Astronaut Joe Acaba Sits Down with Followers in DC at NASA Social</t>
  </si>
  <si>
    <t>Astronaut Joe Acaba visited the Washington, DC Metro area where, during a NASA Social at Headquarters, the flight engineer for Expeditions 31 and 32 shared his experiences from his time onboard the International Space Station with about 150 of the agency's social media followers -- complete with a video presentation and first-hand stories about life onboard the orbiting outpost.
Acaba launched to the International Space Station on a Russian Soyuz spacecraft in May 2012. He returned to Earth in September after 123 days on the station. Acaba previously spent 13 days in space as mission specialist during space shuttle Discovery's STS-119 mission to the station in 2009.</t>
  </si>
  <si>
    <t>NZFtaLhPQCE</t>
  </si>
  <si>
    <t>2012 11 30</t>
  </si>
  <si>
    <t>https://youtu.be/r9NVtKfFp_s</t>
  </si>
  <si>
    <t>NASA National Native American Heritage Month Profile -- Kody Ensley</t>
  </si>
  <si>
    <t>Kody Ensley works at Johnson Space Center as a software engineer for the Robotics Systems Technology Branch of NASA's Software, Robotics, and Simulation Division. He works to develop software for Robonaut 2, the humanoid robot currently residing aboard the International Space Station. Ensley is a graduate of Salish Kootenai College in Pablo Montana, where he completed a four-year pilot program in computer engineering for Native American students, which was established through coordination with JSC employees. Ensley completed two internships at JSC and held a co-op position before being hired by the Robotics Systems Technology Branch in July 2012.</t>
  </si>
  <si>
    <t>r9NVtKfFp_s</t>
  </si>
  <si>
    <t>https://youtu.be/BspOIRV_ifg</t>
  </si>
  <si>
    <t>NASA's Mars Curiosity Rover Report %2316 -- November 29, 2012</t>
  </si>
  <si>
    <t>BspOIRV_ifg</t>
  </si>
  <si>
    <t>https://youtu.be/9rFusYGB5FY</t>
  </si>
  <si>
    <t>Two Picked For Year-Long Stay On ISS on This Week @ NASA</t>
  </si>
  <si>
    <t>Astronaut Scott Kelly has been selected by NASA to begin a one-year mission aboard the International Space Station in 2015. Joining Kelly on the ISS will be Russian cosmonaut, Mikhail Kornienko. The pair will launch aboard a Russian Soyuz spacecraft from the Baikonur Cosmodrome in Kazakhstan in spring 2015. Their 12-month stay aboard the world's only laboratory in microgravity will provide new data about how the human body reacts and adapts to the harsh environment of space. That information will help scientists assess crew performance and health, and develop better ways to reduce the risks of long-duration spaceflight. Also, Training Continues for Next Expedition Crew, NASA's MESSENGER spacecraft confirms water ice on Mercury, NASA Administrator visits Rocket Maker, J-2X tests continue, Curiosity Rover Report and more!</t>
  </si>
  <si>
    <t>9rFusYGB5FY</t>
  </si>
  <si>
    <t>https://youtu.be/_MQ-sW8ZL1Q</t>
  </si>
  <si>
    <t>Ford Speaks Up for STEM with Oklahoma State Students</t>
  </si>
  <si>
    <t>_MQ-sW8ZL1Q</t>
  </si>
  <si>
    <t>2012 11 29</t>
  </si>
  <si>
    <t>https://youtu.be/oiXLTOPtL4U</t>
  </si>
  <si>
    <t>MESSENGER Confirms Water Ice in Abundance at Mercury's Poles</t>
  </si>
  <si>
    <t>New observations by NASA's MErcury Surface, Space ENvironment, GEochemistry and Ranging spacecraft have confirmed a long-held hypothesis that Mercury harbors abundant water ice and other frozen volatile materials in its permanently-shadowed polar craters. Scientists discuss the development with media at NASA Headquarters in Washington on Nov. 29.</t>
  </si>
  <si>
    <t>oiXLTOPtL4U</t>
  </si>
  <si>
    <t>https://youtu.be/hzI6gbDmTGc</t>
  </si>
  <si>
    <t>Expeditions 34 35 Crew Meets Media</t>
  </si>
  <si>
    <t>The next residents of the International Space Station speak about their upcoming stay on the orbiting laboratory with members of the media at Star City, Russia.  NASA's Tom Marshburn, the Canadian Space Agency's Chris Hadfield and Russian cosmonaut Roman Romanenko are scheduled to launch to the ISS on December 19, where they'll become the second half of the Expedition 34 crew. They'll be joined on Expedition 35 next March by NASA's Chris Cassidy, and cosmonauts Pavel Vinogradov and Alexander Misurkin.</t>
  </si>
  <si>
    <t>hzI6gbDmTGc</t>
  </si>
  <si>
    <t>https://youtu.be/CCPRyFrHkGk</t>
  </si>
  <si>
    <t>ScienceCasts  Rock Comet Meteor Shower</t>
  </si>
  <si>
    <t>The Geminid meteor shower peaks on Dec. 13th and 14th when Earth runs through a stream of debris from a strange object that some astronomers are calling a "rock comet."</t>
  </si>
  <si>
    <t>CCPRyFrHkGk</t>
  </si>
  <si>
    <t>2012 11 28</t>
  </si>
  <si>
    <t>https://youtu.be/eGylCcEZQXQ</t>
  </si>
  <si>
    <t>Next Crew Trains for ISS</t>
  </si>
  <si>
    <t>Video of the Expedition 34/35 crew training in Star City, Russia for their missions aboard the International Space Station. NASA's Tom Marshburn, the Canadian Space Agency's Chris Hadfield and Russian cosmonaut Roman Romanenko are scheduled to launch to the ISS on December 19, where they'll become the second half of the Expedition 34 crew. They'll be joined on Expedition 35 next March by NASA's Chris Cassidy, and cosmonauts Pavel Vinogradov and Alexander Misurkin.</t>
  </si>
  <si>
    <t>eGylCcEZQXQ</t>
  </si>
  <si>
    <t>https://youtu.be/c73gjwUW3MQ</t>
  </si>
  <si>
    <t>NASA Spinoffs Lauded by Lockhart</t>
  </si>
  <si>
    <t>Actress June Lockhart hosts this public service announcement about how NASA's outstanding accomplishments in space are used to improve life on Earth.
Lockhart played Dr. Maureen Robinson in the TV series, "Lost in Space." Similar videos are hosted by William Shatner and Wil Wheaton of "Star Trek" who, like Lockhart, portrayed space explorers on TV and in film.
NASA Spinoffs are examples of how science fiction has become science fact, resulting in new commercial products and services that are tangible returns on investments in space technology.</t>
  </si>
  <si>
    <t>c73gjwUW3MQ</t>
  </si>
  <si>
    <t>https://youtu.be/WeFi3uHc9ns</t>
  </si>
  <si>
    <t>Shatner Gives Shout Out to NASA Spinoffs</t>
  </si>
  <si>
    <t>Actor William Shatner, who portrayed "Star Trek's" Captain James Kirk on TV and in film, hosts a video highlighting how NASA's outstanding accomplishments in space are used to improve life on Earth.
June Lockhart and Wil Wheaton, who also gained celebrity portraying space explorers, also host videos about how much of the technology we rely on daily was developed by NASA for space exploration and then adapted or enhanced for use here on Earth. This includes many technologies used in schools, homes, cars, computers and American industry.</t>
  </si>
  <si>
    <t>WeFi3uHc9ns</t>
  </si>
  <si>
    <t>https://youtu.be/cfVM3fWvnmc</t>
  </si>
  <si>
    <t>Wheaton Steps Up for NASA Spinoffs</t>
  </si>
  <si>
    <t>Wil Wheaton, the actor who played Wesley Crusher on "Star Trek: The Next Generation," is host of a new public service announcement about how much of the technology we rely on daily was developed by NASA for space exploration and then adapted or enhanced for use here on Earth.  
Similar PSAs are hosted by William Shatner and June Lockhart, both of whom also portrayed space explorers on TV and the silver screen. Wheaton, who also has a large social media following, explains how many of these technologies have found their way into our schools, homes, cars, computers and American industry.</t>
  </si>
  <si>
    <t>cfVM3fWvnmc</t>
  </si>
  <si>
    <t>2012 11 27</t>
  </si>
  <si>
    <t>https://youtu.be/lz4bIxeF9lI</t>
  </si>
  <si>
    <t>Fighting Irish Football Flies High with Ford</t>
  </si>
  <si>
    <t>Aboard the International Space Station, Expedition 34 Commander Kevin Ford, a 1982 graduate of the University of Notre Dame, discussed life and work on the orbital laboratory and the success of the Notre Dame football team during a pair of in-flight interviews Nov. 27, 2012 with WNDU-TV in South Bend, IN and the Notre Dame Observer newspaper. Ford arrived on the station in late October and will remain in orbit as station commander through mid-March when he returns to Earth.</t>
  </si>
  <si>
    <t>lz4bIxeF9lI</t>
  </si>
  <si>
    <t>2012 11 23</t>
  </si>
  <si>
    <t>https://youtu.be/snCyFGB5hSU</t>
  </si>
  <si>
    <t>NASA National Native American Heritage Month Profile -- Raquel Redhouse</t>
  </si>
  <si>
    <t>Raquel Redhouse is a mechanical engineer working in the Systems Definition &amp; Communications Branch at NASA's Glenn Research Center. She supports the Multi-Purpose Crew Vehicle (MPCV) Program Requirements Management Office (RMO). The RMO is responsible for the development, maintenance, and tracking of the Orion system and interface requirements. She is an active member of Glenn's Advisory Group for Native Americans and the President of the local Lake Erie Professional Chapter of the American Indian Science &amp; Engineering Society (AISES).</t>
  </si>
  <si>
    <t>snCyFGB5hSU</t>
  </si>
  <si>
    <t>https://youtu.be/viNGOE8fIb0</t>
  </si>
  <si>
    <t>Expedition 34 Settling In on This Week @ NASA</t>
  </si>
  <si>
    <t>Onboard the International Space Station NASA's Kevin Ford continues to settle into his role as Commander of the orbiting laboratory. Ford and Expedition 34 crewmates Oleg Novitskiy and Evgeny Tarelkin of the Russian Federal Space Agency are continuing work with the multitude of research being conducted on the station -- including investigations on human research, biological and physical sciences, technology development and Earth observation. Also, Joe Acaba visits Marshall's Payload Operations Center, Johnson Space Center's new Director, some milestones for the SLS program, an award for some NASA Technology and more!</t>
  </si>
  <si>
    <t>viNGOE8fIb0</t>
  </si>
  <si>
    <t>2012 11 21</t>
  </si>
  <si>
    <t>https://youtu.be/5tIn9-MAL70</t>
  </si>
  <si>
    <t>Panel %231  Politics and Policy in the Conduct of Solar System Exploration - PART 2</t>
  </si>
  <si>
    <t>Panel Chair: Marcia Smith (Space and Technology Policy Group)
Dwayne Day (National Research Council): The National Research Council's Role in the American Planetary Exploration Program.
Roger Handberg (University of Central Florida): The Politics of Pure Space Science, the Essential Tension, Human Spaceflight's Impact on Scientific Exploration
Jason W. Callahan (The Tauri Group): Funding Planetary Science: History and Political Economy
John M. Logsdon (George Washington University) and Andre Bormanis (IndependentWriter/Producer): The Survival Crisis of The Planetary Program</t>
  </si>
  <si>
    <t>5tIn9-MAL70</t>
  </si>
  <si>
    <t>https://youtu.be/mFiKo3amY9I</t>
  </si>
  <si>
    <t>Panel %231  Politics and Policy in the Conduct of Solar System Exploration - PART 1</t>
  </si>
  <si>
    <t>mFiKo3amY9I</t>
  </si>
  <si>
    <t>https://youtu.be/3tKJvUfe6yA</t>
  </si>
  <si>
    <t>Panel %236  Roundtable -- From the Past to the Future - PART 2</t>
  </si>
  <si>
    <t>Moderator: Andrew Chaikin (Independent Space Historian)
Glenn E. Bugos (Ames Research Center): Precursor Missions: The Science Of What Comes Next
Amy Paige Kaminski (NASA): Faster, Better, Cheaper: A Sociotechnical Perspective on Programmatic Choice, Success, and Failure in NASA's Solar System Exploration Program
G. Scott Hubbard (Stanford University): Exploring Mars: Following the Water
Chas Beichman (Caltech): The search for and study of extra-solar planets: Extending planetary science into the realm of classical astronomy</t>
  </si>
  <si>
    <t>3tKJvUfe6yA</t>
  </si>
  <si>
    <t>https://youtu.be/-rm7CD0OGw4</t>
  </si>
  <si>
    <t>Panel %236  Roundtable -- From the Past to the Future - PART 1</t>
  </si>
  <si>
    <t>-rm7CD0OGw4</t>
  </si>
  <si>
    <t>https://youtu.be/Z3xLSO7yYdc</t>
  </si>
  <si>
    <t>Panel %235  Institutional Arrangements in Solar System Exploration - PART 2</t>
  </si>
  <si>
    <t>Panel Chair: Joan Johnson-Freese (U.S. Naval War College)
J.D. Burke (JPL): Foundations Of Solar System Exploration At JPL: How The First Mariners And Rangers Built Them 
John Sarkissian (CSIRO): Mariner 2 And The CSIRO Parkes Radio Telescope: Fifty Years Of International Collaboration.
Michael Neufeld (National Air and Space Museum): Transforming Solar System Exploration: The Applied Physics Laboratory and the Origins of the Discovery Program, 1989-1993 
Petar Markovski (University of Oklahoma): International Cooperation In Solar System Exploration: The Cases Of Ulysses And Giotto</t>
  </si>
  <si>
    <t>Z3xLSO7yYdc</t>
  </si>
  <si>
    <t>https://youtu.be/7zj8-UguuAo</t>
  </si>
  <si>
    <t>Panel %235  Institutional Arrangements in Solar System Exploration - PART 1</t>
  </si>
  <si>
    <t>7zj8-UguuAo</t>
  </si>
  <si>
    <t>https://youtu.be/Uov18Cv2u94</t>
  </si>
  <si>
    <t>Panel 4  Exploring the Outer Solar System - PART 2</t>
  </si>
  <si>
    <t>Panel Chair: Ralph McNutt (Applied Physics Laboratory)
Torrence V. Johnson (JPL): Outer Solar System Exploration: An Archetype Of The Scientific Method
Arturo Russo (University of Palermo): Europe's Rendezvous With Titan" The European Space Agency's Contribution in The Cassini-Huygens Mission To The Saturnian System
Robert Pappalardo (JPL): Revealing Europa's Ocean</t>
  </si>
  <si>
    <t>Uov18Cv2u94</t>
  </si>
  <si>
    <t>https://youtu.be/enFpdbJj7cA</t>
  </si>
  <si>
    <t>Panel 4  Exploring the Outer Solar System - PART 1</t>
  </si>
  <si>
    <t>enFpdbJj7cA</t>
  </si>
  <si>
    <t>https://youtu.be/FySvyk8VNOw</t>
  </si>
  <si>
    <t>Panel %233  Public Perceptions, Priorities, and Solar System Exploration - PART 2</t>
  </si>
  <si>
    <t>Panel Chair: Heidi Hammel (Association of Universities for Research in Astronomy(AURA))
Linda Billings (George Washington University): Survivor(?): The Story Of Mitis On The Moon
Laura Delgado López (Institute for Global Environmental Strategies): Killer Asteroids: Popular Depictions and Public Policy Influence
Giny Cheong (George Mason University): Voyager: Exploring Through the Public Eye</t>
  </si>
  <si>
    <t>FySvyk8VNOw</t>
  </si>
  <si>
    <t>https://youtu.be/RmQPPCYmHKY</t>
  </si>
  <si>
    <t>Panel %233  Public Perceptions, Priorities, and Solar System Exploration - PART 1</t>
  </si>
  <si>
    <t>RmQPPCYmHKY</t>
  </si>
  <si>
    <t>https://youtu.be/ebkLwOmQyOo</t>
  </si>
  <si>
    <t>NASA App Puts Universe at Your Fingertips</t>
  </si>
  <si>
    <t>Are you on the go with your Smart Phone or Tablet?  Want to know more about what's happening at NASA and how it affects you? Then make sure you update or install the latest NASA App from Google Play or the Apple App store to your mobile device because there's more "Space" in your life than you know. Get the NASA App at the App store and Android Market today.</t>
  </si>
  <si>
    <t>ebkLwOmQyOo</t>
  </si>
  <si>
    <t>2012 11 20</t>
  </si>
  <si>
    <t>https://youtu.be/UAecap7-3z4</t>
  </si>
  <si>
    <t>Panel %232  The Lure of the Red Planet - PART 1</t>
  </si>
  <si>
    <t>Panel Chair: Janet Vertesi (Princeton University)
Richard W. Zurek (JPL): Mars After 50 Years Of Space Exploration: Then, Now, and Beyond
David Grinspoon (Denver Museum of Nature &amp; Science): Evolving Concepts Of Planetary Habitability In The Age Of Planetary Exploration</t>
  </si>
  <si>
    <t>UAecap7-3z4</t>
  </si>
  <si>
    <t>https://youtu.be/SN0y10Nx6rs</t>
  </si>
  <si>
    <t>Panel %232  The Lure of the Red Planet - PART 2</t>
  </si>
  <si>
    <t>Panel Chair: Janet Vertesi (Princeton University)
Erik M. Conway (JPL): Dreaming Of Mars Sample Return, From Viking To The Mars Science Laboratory
W. Henry Lambright (Syracuse University): NASA, Big Science, And Mars Exploration:Critical Decisions From Goldin To Bolden As of October 17, 2012</t>
  </si>
  <si>
    <t>SN0y10Nx6rs</t>
  </si>
  <si>
    <t>https://youtu.be/CTwISyNx9nw</t>
  </si>
  <si>
    <t>New Space Station Commander Previews Thanksgiving in Orbit</t>
  </si>
  <si>
    <t>Aboard the International Space Station, Expedition 34 Commander Kevin Ford of NASA displayed some of the food he and his crewmates will enjoy on Thanksgiving Day on the orbital outpost and discussed the significance of flying in space over the holidays during a downlink message Nov. 20. Ford and his Russian crewmates, Oleg Novitskiy and Evgeny Tarelkin are tending to station operations and research as a three-man crew until three additional crewmates arrive at the complex on Dec. 21.</t>
  </si>
  <si>
    <t>CTwISyNx9nw</t>
  </si>
  <si>
    <t>https://youtu.be/G4SHEPizG5A</t>
  </si>
  <si>
    <t>Expedition 33 Returns Home Safely on This Week @NASA</t>
  </si>
  <si>
    <t>After handing over the reins of the International Space Station to NASA astronaut Kevin Ford, Expedition 33 Commander Suni Williams of NASA, Soyuz Commander Yuri Malenchenko and Flight Engineer Aki Hoshide of the Japan Aerospace Exploration Agency, all of whom have been on the station since July 17, made a safe parachute-assisted landing in their Soyuz spacecraft in Kazakhstan on Nov. 19 local time. Expedition 34 crewmembers Ford, Oleg Novitskiy and Evgeny Tarelkin will be joined onboard the station by Russian cosmonaut Roman Romanenko, NASA's Tom Marshburn and Chris Hadfield of the Canadian Space Agency. Their arrival Dec. 21 will restore to six the number of people aboard the orbiting laboratory. Also, Plugged-In Students; Spot the Station; Curiosity Rover Update; Kepler Searches On; Make Your Moonbuggy; Young Astros; and more!</t>
  </si>
  <si>
    <t>G4SHEPizG5A</t>
  </si>
  <si>
    <t>https://youtu.be/CXOXce_62w0</t>
  </si>
  <si>
    <t>Happy Thanksgiving from NASA Television</t>
  </si>
  <si>
    <t>CXOXce_62w0</t>
  </si>
  <si>
    <t>2012 11 19</t>
  </si>
  <si>
    <t>https://youtu.be/doN4t5NKW-k</t>
  </si>
  <si>
    <t>Departing Space Station Commander Provides Tour of Orbital Laboratory</t>
  </si>
  <si>
    <t>In her final days as Commander of the International Space Station, Sunita Williams of NASA recorded an extensive tour of the orbital laboratory and downlinked the video on Nov. 18, just hours before she, cosmonaut Yuri Malenchenko and Flight Engineer Aki Hoshide of the Japan Aerospace Exploration Agency departed in their Soyuz TMA-05M spacecraft for a landing on the steppe of Kazakhstan. The tour includes scenes of each of the station's modules and research facilities with a running narrative by Williams of the work that has taken place and which is ongoing aboard the orbital outpost.</t>
  </si>
  <si>
    <t>doN4t5NKW-k</t>
  </si>
  <si>
    <t>https://youtu.be/DrnOXNMwbdk</t>
  </si>
  <si>
    <t xml:space="preserve"> Expedition 33 Returns Home Safely on This Week @NASA</t>
  </si>
  <si>
    <t>DrnOXNMwbdk</t>
  </si>
  <si>
    <t>https://youtu.be/xkf2-UJWMr8</t>
  </si>
  <si>
    <t>Expedition 33 Crew Receives a Warm Welcome in Kazakhstan and Russia</t>
  </si>
  <si>
    <t>Expedition 33 Commander Sunita Williams of NASA, Soyuz Commander Yuri Malenchenko and Flight Engineer Aki Hoshide of the Japan Aerospace Exploration Agency were greeted in a traditional ceremony at the airport in Kustanai, Kazakhstan, on Nov.19 hours after landing in their Soyuz TMA-05M spacecraft on the steppe of Kazakhstan northeast of the town of Arkalyk. After the ceremony, the crew split up, with Malenchenko returning to his training base in Star City, Russia, while Williams and Hoshide boarded a NASA plane in Kustanai to return to NASA's Johnson Space Center in Houston. The trio completed 127 days in space and 125 days aboard the International Space Station following a launch in mid-July. The footage includes an interview conducted with Williams in Kustanai before beginning her trip back to Houston.</t>
  </si>
  <si>
    <t>xkf2-UJWMr8</t>
  </si>
  <si>
    <t>https://youtu.be/Tll8Yw_BMCQ</t>
  </si>
  <si>
    <t>Soyuz Returns Safely to Earth</t>
  </si>
  <si>
    <t>NASA's Suni Williams, Aki Hoshide of JAXA and Russian cosmonaut, Yuri Malenchenko are on terra firma again after spending more than four months aboard the International Space Station.</t>
  </si>
  <si>
    <t>Tll8Yw_BMCQ</t>
  </si>
  <si>
    <t>2012 11 18</t>
  </si>
  <si>
    <t>https://youtu.be/JZts7RVdGkA</t>
  </si>
  <si>
    <t>The spacecraft that's carrying NASA's Suni Williams and two Expedition 33 colleagues back to Earth undocks from the International Space Station to begin the journey that ends with a parachute-assisted landing in Kazakhstan.</t>
  </si>
  <si>
    <t>JZts7RVdGkA</t>
  </si>
  <si>
    <t>https://youtu.be/nBeWajjnDvw</t>
  </si>
  <si>
    <t>Fond Farewell for Suni, Aki and Yuri</t>
  </si>
  <si>
    <t>The new commander of the International Space Station, NASA's Kevin Ford, is joined by his Expedition 34 crewmembers, Oleg Novitskiy and Evgeny Tarelkin in bidding farewell to and closing the station hatch behind Suni Williams, Aki Hoshide and Yuri Malenchenko as they prepare to return home to Earth aboard their Soyuz spacecraft.</t>
  </si>
  <si>
    <t>nBeWajjnDvw</t>
  </si>
  <si>
    <t>2012 11 17</t>
  </si>
  <si>
    <t>https://youtu.be/2HsoSbUxrlw</t>
  </si>
  <si>
    <t>New Command on ISS</t>
  </si>
  <si>
    <t>Expedition 33 Commander Suni Williams of NASA handed over the reins of the International Space Station to NASA astronaut Kevin Ford during the traditional change of command ceremony aboard the orbiting laboratory. Williams, Soyuz Commander Yuri Malenchenko and Flight Engineer Aki Hoshide of the Japan Aerospace Exploration Agency, all of whom have been on the station since July 17, will make a parachute-assisted landing in their Soyuz spacecraft in Kazakhstan on Nov. 19 local time. Remaining onboard ISS to begin Expedition 34 are Ford, Oleg Novitskiy and Evgeny Tarelkin. They will be joined by Russian cosmonaut Roman Romanenko, NASA's Tom Marshburn and Chris Hadfield of the Canadian Space Agency; their arrival on Dec. 21 will restore the ISS crew to six members.</t>
  </si>
  <si>
    <t>2HsoSbUxrlw</t>
  </si>
  <si>
    <t>2012 11 16</t>
  </si>
  <si>
    <t>https://youtu.be/ef90LYq7GRA</t>
  </si>
  <si>
    <t>NASA National Native American Heritage Month Profile -- Jeff Henderson</t>
  </si>
  <si>
    <t>NASA National Native American Heritage Month Profile -- Jeff Henderson
Jeff Henderson is the Operations Test Director for the A-1 Test Stand at NASA's John C. Stennis Space Center. He says that one of the things he is most proud of is that his Native American Heritage instilled in him a great work ethic.
As Test Director, Henderson is the senior NASA representative responsible for safely and successfully testing on schedule. He serves as a senior technical representative for Test Complex Facilities, plans future testing activities and facility modifications, and provides technical rocket engine test related input to the NASA community as needed.</t>
  </si>
  <si>
    <t>ef90LYq7GRA</t>
  </si>
  <si>
    <t>https://youtu.be/0t0LWFHB8Qo</t>
  </si>
  <si>
    <t>NASA's Mars Curiosity Rover Report %2315 -- November 15, 2012</t>
  </si>
  <si>
    <t>0t0LWFHB8Qo</t>
  </si>
  <si>
    <t>https://youtu.be/mxZi8wKoRL4</t>
  </si>
  <si>
    <t>NASA National Native American Heritage Month Profile -- Jeanne Lynch</t>
  </si>
  <si>
    <t>Jeanne Lynch is currently Chief of the Flight Dynamics Division at NASA's Johnson Space Center and is responsible for the analysis, design, planning and operations of the trajectory of the space vehicles that we launch. Her division also integrates the operations of spacecraft that fly to the International Space Station.
She grew up living next door to her grandmother who taught her the oral history of the family's Cherokee Heritage. Her grandmother's grandmother was Cherokee from South Carolina in the area that is now Table Rock State Park.</t>
  </si>
  <si>
    <t>mxZi8wKoRL4</t>
  </si>
  <si>
    <t>https://youtu.be/LL-OvCnn53c</t>
  </si>
  <si>
    <t>ScienceCasts  The Diner at the Center of the Galaxy</t>
  </si>
  <si>
    <t>The Milky Way's supermassive black hole is generally a picky eater, but NASA's NuSTAR spacecraft recently caught it in the act of having a snack!</t>
  </si>
  <si>
    <t>LL-OvCnn53c</t>
  </si>
  <si>
    <t>2012 11 15</t>
  </si>
  <si>
    <t>https://youtu.be/_gds6dQV8YM</t>
  </si>
  <si>
    <t>Suni's Days for Students at 'Air and Space'</t>
  </si>
  <si>
    <t>Aboard the International Space Station, departing Expedition 33 Commander Suni Williams of NASA and Flight Engineer Kevin Ford of NASA field questions from students gathered at the Smithsonian National Air and Space Museum during an in-flight educational event Nov. 15. Deputy Secretary of Education Tony Miller and NASA Associate Administrator for Education Leland Melvin were among the dignitaries in attendance for the event.</t>
  </si>
  <si>
    <t>_gds6dQV8YM</t>
  </si>
  <si>
    <t>2012 11 14</t>
  </si>
  <si>
    <t>https://youtu.be/1CvK5WWzkuw</t>
  </si>
  <si>
    <t>Aki Answers from ISS</t>
  </si>
  <si>
    <t>Aboard the International Space Station, Expedition 33 Flight Engineer Aki Hoshide of the Japan Aerospace Exploration Agency took questions from Japanese university students and summarized the major accomplishments of his four-month mission on the orbital laboratory during an in-flight educational event on Nov. 14. Hoshide, Expedition 33 Commander Suni Williams of NASA and Russian cosmonaut Yuri Malenchenko will return to Earth Nov. 19 in their Soyuz TMA-05M spacecraft for a parachute-assisted landing before sunrise on the steppe of Kazakhstan.</t>
  </si>
  <si>
    <t>1CvK5WWzkuw</t>
  </si>
  <si>
    <t>2012 11 13</t>
  </si>
  <si>
    <t>https://youtu.be/iXfWkJK0nfo</t>
  </si>
  <si>
    <t>NASA National Native American Heritage Month Profile - William Badboy</t>
  </si>
  <si>
    <t>William Badboy is an Engineering Technical Assistant in the Microdevices Laboratory (MDL) at NASA's Jet Propulsion Laboratory. He is a first generation college graduate from the White Earth Indian Reservation in St. Paul Minnesota. Badboy, who has worked at JPL for 5 years is responsible for maintaining and servicing all major components and systems of the MDL; this includes working with major semiconductor processing equipment and facilities installations and upgrades.</t>
  </si>
  <si>
    <t>iXfWkJK0nfo</t>
  </si>
  <si>
    <t>https://youtu.be/hPUJ6XJCvfY</t>
  </si>
  <si>
    <t>NASA's Mars Curiosity Rover Report %2314 -- November 9, 2012</t>
  </si>
  <si>
    <t>hPUJ6XJCvfY</t>
  </si>
  <si>
    <t>https://youtu.be/4UaFBmdD3pA</t>
  </si>
  <si>
    <t>Suni Set to Return on This Week @NASA</t>
  </si>
  <si>
    <t>International Space Station Commander, Suni Williams is beginning to prepare for her upcoming return home. The NASA astronaut and two of her Expedition 33 colleagues, Aki Hoshide of the Japan Aerospace Exploration Agency, and Russian cosmonaut, Yuri Malenchenko, are scheduled to make their way back to Earth with a parachute-assisted landing by their Soyuz capsule in rural Kazakhstan on November 19, local time. Also,  Curiosity Roves On; Fire-Fighting in Space; Stump for STEM; Enterprising Student;  HQ Honors; Happy Birthday JPL; Super Saturn; and more!</t>
  </si>
  <si>
    <t>4UaFBmdD3pA</t>
  </si>
  <si>
    <t>2012 11 09</t>
  </si>
  <si>
    <t>https://youtu.be/As2o-Ho2MNE</t>
  </si>
  <si>
    <t>Canada's Hadfield Ready to Fly</t>
  </si>
  <si>
    <t>Canadian Space Agency Astronaut Chris Hadfield talks about his role as Flight Engineer for Expedition 34, and Expedition 35 Commander. Hadfield is scheduled to fly aboard a Soyuz spacecraft to the ISS in December and remain in space until May with crewmates Tom Marshburn and Roman Romanenko.</t>
  </si>
  <si>
    <t>As2o-Ho2MNE</t>
  </si>
  <si>
    <t>https://youtu.be/qux_Xm4NlKs</t>
  </si>
  <si>
    <t>Russia's Romanenko Looks Forward to Flying</t>
  </si>
  <si>
    <t>Cosmonaut Roman Romanenko, who'll serve as Expedition 34/35 Flight Engineer, comments about his upcoming stay aboard the world's only laboratory in microgravity, the International Space Station. Romanenko is scheduled to fly aboard a Soyuz spacecraft to the ISS in December and remain in space until May with crewmates Chris Hadfield and Tom Marshburn.</t>
  </si>
  <si>
    <t>qux_Xm4NlKs</t>
  </si>
  <si>
    <t>https://youtu.be/0HIma_ivY3g</t>
  </si>
  <si>
    <t>NASA's Marshburn Discusses ISS Mission</t>
  </si>
  <si>
    <t>Expedition 34/35 Flight Engineer Tom Marshburn is interviewed about his upcoming stay aboard the International Space Station. Marshburn is scheduled to fly aboard a Soyuz spacecraft to the ISS in December and remain in space until May with crewmates Chris Hadfield and Roman Romanenko.</t>
  </si>
  <si>
    <t>0HIma_ivY3g</t>
  </si>
  <si>
    <t>2012 11 08</t>
  </si>
  <si>
    <t>https://youtu.be/DtkiV48HKMA</t>
  </si>
  <si>
    <t>ScienceCasts  NASA's Cure for a Common Phobia</t>
  </si>
  <si>
    <t>NASA has an unusual candidate for the astronaut corps--a rubber chicken. Seriously. Beloved by schoolchildren around the country, Camilla the rubber chicken has been training in fighter jets, flying to the edge of space, and visiting classrooms around the country as she prepares to go where no chicken has gone before.</t>
  </si>
  <si>
    <t>DtkiV48HKMA</t>
  </si>
  <si>
    <t>https://youtu.be/tqbPAZ06xI4</t>
  </si>
  <si>
    <t>Panel %236  Roundtable -- From the Past to the Future</t>
  </si>
  <si>
    <t>tqbPAZ06xI4</t>
  </si>
  <si>
    <t>https://youtu.be/fdu6GMGLgYQ</t>
  </si>
  <si>
    <t>Day Two  Keynote Speech</t>
  </si>
  <si>
    <t>Wesley T. Huntress, Jr. (NASA Advisory Committee) and Mikhail Marov (Keldysh Institute): First On The Moon, Venus And Mars: The Soviet Planetary Exploration Enterprise</t>
  </si>
  <si>
    <t>fdu6GMGLgYQ</t>
  </si>
  <si>
    <t>https://youtu.be/OZuYyUgYbdU</t>
  </si>
  <si>
    <t>Panel 4  Exploring the Outer Solar System</t>
  </si>
  <si>
    <t>OZuYyUgYbdU</t>
  </si>
  <si>
    <t>https://youtu.be/0sLd-P4L30k</t>
  </si>
  <si>
    <t>Panel %233  Public Perceptions, Priorities, and Solar System Exploration</t>
  </si>
  <si>
    <t>0sLd-P4L30k</t>
  </si>
  <si>
    <t>https://youtu.be/YZIABszVvDU</t>
  </si>
  <si>
    <t>Panel %232  The Lure of the Red Planet</t>
  </si>
  <si>
    <t>Panel Chair: Janet Vertesi (Princeton University)
Richard W. Zurek (JPL): Mars After 50 Years Of Space Exploration: Then, Now, and Beyond
David Grinspoon (Denver Museum of Nature &amp; Science): Evolving Concepts Of Planetary Habitability In The Age Of Planetary Exploration
Erik M. Conway (JPL): Dreaming Of Mars Sample Return, From Viking To The Mars Science Laboratory
W. Henry Lambright (Syracuse University): NASA, Big Science, And Mars Exploration:Critical Decisions From Goldin To Bolden As of October 17, 2012</t>
  </si>
  <si>
    <t>YZIABszVvDU</t>
  </si>
  <si>
    <t>https://youtu.be/OnJZAvUh2yY</t>
  </si>
  <si>
    <t>Panel %231  Politics and Policy in the Conduct of Solar System Exploration</t>
  </si>
  <si>
    <t>OnJZAvUh2yY</t>
  </si>
  <si>
    <t>https://youtu.be/-dVKJMnyp_Y</t>
  </si>
  <si>
    <t>Lunch Keynote Speaker</t>
  </si>
  <si>
    <t>James L. Green (NASA): NASA's Solar System Exploration Paradigm: The First Fifty Years and a Look at the Next Fifty</t>
  </si>
  <si>
    <t>-dVKJMnyp_Y</t>
  </si>
  <si>
    <t>https://youtu.be/MugqcMS1M4M</t>
  </si>
  <si>
    <t>Introduction and Morning Keynote Speech</t>
  </si>
  <si>
    <t>Introduction: Opening remarks by Mr. James H. Crocker, Vice President &amp; General Manager, Civil Space, LockheedMartin Space Systems Company
Keynote Speech -- Peter Westwick (University of Southern California): Exploring the Solar System: Whohas done it, how, and why?</t>
  </si>
  <si>
    <t>MugqcMS1M4M</t>
  </si>
  <si>
    <t>https://youtu.be/ERvUcNMJ3Uc</t>
  </si>
  <si>
    <t>Panel %235  Institutional Arrangements in Solar System Exploration</t>
  </si>
  <si>
    <t>ERvUcNMJ3Uc</t>
  </si>
  <si>
    <t>https://youtu.be/l_c_aBKKTKs</t>
  </si>
  <si>
    <t>ScienceCasts  Total Eclipse of the Sun</t>
  </si>
  <si>
    <t>Scientists and sky watchers are converging on the northeast coast of Australia, near the Great Barrier Reef, for a total eclipse of the sun.
Visit http://science.nasa.gov/ for more.</t>
  </si>
  <si>
    <t>l_c_aBKKTKs</t>
  </si>
  <si>
    <t>2012 11 06</t>
  </si>
  <si>
    <t>https://youtu.be/2_MzDKO9lak</t>
  </si>
  <si>
    <t>NASA HQ Employees Honored</t>
  </si>
  <si>
    <t>NASA Headquarters' 30th Annual Honor Awards recognize employees who've made significant contributions to their workplace community over the past year.  (Broadcast on NASA TV Nov. 6, 2012.)</t>
  </si>
  <si>
    <t>2_MzDKO9lak</t>
  </si>
  <si>
    <t>https://youtu.be/RwhcMVFt3gU</t>
  </si>
  <si>
    <t>Aki Speaks with Japanese Collegians</t>
  </si>
  <si>
    <t>Aboard the International Space Station, Expedition 33 Flight Engineer Aki Hoshide discussed the progress of his four-month mission on the orbital laboratory with Japanese students during an in-flight educational event November 6 with the Yomiuri Newspaper and Keio (pron: KAY-oh) University. Hoshide, Expedition 33 Commander Suni Williams of NASA and Russian cosmonaut Yuri Malenchenko are scheduled to return to Earth November 19 for a parachute-assisted landing on the steppe of Kazakhstan in their Soyuz TMA-05M spacecraft.</t>
  </si>
  <si>
    <t>RwhcMVFt3gU</t>
  </si>
  <si>
    <t>2012 11 02</t>
  </si>
  <si>
    <t>https://youtu.be/wN1buAEAp-k</t>
  </si>
  <si>
    <t>Atlantis Moves to New Home</t>
  </si>
  <si>
    <t>Highlights of NASA Television coverage of events surrounding space shuttle Atlantis' move to the Kennedy Space Center Visitor Complex in Florida for permanent public display.</t>
  </si>
  <si>
    <t>wN1buAEAp-k</t>
  </si>
  <si>
    <t>https://youtu.be/Btvi-Ftq8JU</t>
  </si>
  <si>
    <t>Dragon's Safe Return on This Week @NASA</t>
  </si>
  <si>
    <t>The SpaceX Dragon capsule that splashed down Sunday in the Pacific off Mexico's Baja California coast is back on dry land. Its recovery ship returned the spacecraft to San Pedro, California, laden with more than 3-quarters of a ton of cargo from the International Space Station, much of it related to science experiments conducted in space to benefit us here on Earth. Also, successful spacewalk; Endeavour's new digs; Atlantis' final move; KSC's future; Curiosity report; and more!</t>
  </si>
  <si>
    <t>Btvi-Ftq8JU</t>
  </si>
  <si>
    <t>https://youtu.be/2jy52AUjRHM</t>
  </si>
  <si>
    <t>NASA's Mars Curiosity Rover Report %2313 -- November 1, 2012</t>
  </si>
  <si>
    <t>2jy52AUjRHM</t>
  </si>
  <si>
    <t>https://youtu.be/_qVURcmeqD4</t>
  </si>
  <si>
    <t>Endeavour's Parade on This Week @NASA</t>
  </si>
  <si>
    <t>Space Shuttle Endeavour brings out the crowds in Los Angeles as the orbiter wends its way from LAX to the California Science Center. Also, legacy power; milestone met; water drop tests; Curiosity Rover Report; and more!</t>
  </si>
  <si>
    <t>_qVURcmeqD4</t>
  </si>
  <si>
    <t>https://youtu.be/CxJQ4pu_0Qc</t>
  </si>
  <si>
    <t>Last Shuttle to Fly Retired in Florida</t>
  </si>
  <si>
    <t>The retirement ceremony of space shuttle Atlantis, held at NASA's Kennedy Space Center in Florida, on Nov. 2, 2012. Atlantis is going on permanent display at the KSC Visitor Complex.</t>
  </si>
  <si>
    <t>CxJQ4pu_0Qc</t>
  </si>
  <si>
    <t>2012 11 01</t>
  </si>
  <si>
    <t>https://youtu.be/ycF048xwlXc</t>
  </si>
  <si>
    <t>Future Bright for NASA Human Spaceflight</t>
  </si>
  <si>
    <t>NASA officials discuss on what new missions astronauts will be sent to explore beyond low Earth orbit. Briefing held at the Kennedy Space Center on Nov. 1, 2012.</t>
  </si>
  <si>
    <t>ycF048xwlXc</t>
  </si>
  <si>
    <t>https://youtu.be/TScEakB0J-s</t>
  </si>
  <si>
    <t>Spacewalking Astros Fix ISS Ammonia Leak</t>
  </si>
  <si>
    <t>Expedition 33 spacewalkers Suni Williams and Akihiko Hoshide completed a 6-hour, 38-minute spacewalk at 3:08 p.m. EDT to repair an ammonia leak in one of the station's radiators. It was the 253rd spacewalk by U.S. astronauts and the seventh for Williams, whose cumulative spacewalk time now totals 50 hours and 40 minutes. Today's spacewalk puts her fifth on the all time list of cumulative spacewalking time. She holds the record for total cumulative spacewalk time by a female astronaut. This was the third spacewalk for Hoshide, who now totals 21 hours and 23 minutes. He holds the record for total cumulative spacewalk time by a Japan Aerospace Exploration Agency astronaut.</t>
  </si>
  <si>
    <t>TScEakB0J-s</t>
  </si>
  <si>
    <t>https://youtu.be/otDdZxX8wIY</t>
  </si>
  <si>
    <t>KSC Transforming Into Multiuser Spaceport</t>
  </si>
  <si>
    <t>A briefing/social at NASA's Kennedy Space Center on Nov. 1 outlines how the Florida spaceport is being modernized and refurbished for multi-rocket launches in the post-shuttle era of space exploration.</t>
  </si>
  <si>
    <t>otDdZxX8wIY</t>
  </si>
  <si>
    <t>2012 10 31</t>
  </si>
  <si>
    <t>https://youtu.be/E6NQu-8Gomc</t>
  </si>
  <si>
    <t>Russian Cargo Ship Makes Single-Day Sprint to the International Space Station</t>
  </si>
  <si>
    <t>Loaded with almost three tons of supplies, the Russian ISS Progress 49 cargo ship launched on time from the Baikonur Cosmodrome in Kazakhstan October 31, 2012, and six hours later, completed an accelerated rendezvous with the International Space Station, docking to the aft port of the Zvezda Service Module. The fast arrival of the Progress duplicated a single-day launch to docking scenario first executed by the ISS Progress 48 cargo craft in July, and further refined accelerated rendezvous techniques that may be applied to manned Soyuz launches to the station beginning in 2013.</t>
  </si>
  <si>
    <t>E6NQu-8Gomc</t>
  </si>
  <si>
    <t>https://youtu.be/YJHk-nldS-E</t>
  </si>
  <si>
    <t>Happy Halloween from NASA Television</t>
  </si>
  <si>
    <t>YJHk-nldS-E</t>
  </si>
  <si>
    <t>https://youtu.be/HItD7pg4htU</t>
  </si>
  <si>
    <t>Russian Cargo Ship Starts Single-Day Sprint to the International Space Station</t>
  </si>
  <si>
    <t>Loaded with almost three tons of supplies, the Russian ISS Progress 49 cargo ship launched on time from the Baikonur Cosmodrome in Kazakhstan October 31, 2012.</t>
  </si>
  <si>
    <t>HItD7pg4htU</t>
  </si>
  <si>
    <t>https://youtu.be/ZAI3WO2Vv5Q</t>
  </si>
  <si>
    <t>Aboard the International Space Station, Expedition 33 Commander Sunita Williams of NASA and newly arrived Flight Engineer Kevin Ford of NASA fielded questions about life and work aboard the orbital laboratory. They discussed the view of Hurricane Sandy from the complex during a series of in-flight interviews October 30, 2012 with the Associated Press and the Weather Channel.</t>
  </si>
  <si>
    <t>ZAI3WO2Vv5Q</t>
  </si>
  <si>
    <t>2012 10 29</t>
  </si>
  <si>
    <t>https://youtu.be/F6-8UKkaZL4</t>
  </si>
  <si>
    <t>Space Station Cameras Capture Views of Approaching Hurricane Sandy</t>
  </si>
  <si>
    <t>From an altitude of 254 statute miles, external cameras on the International Space Station captured views of Hurricane Sandy at 11:16 a.m. Eastern time October 29, 2012 as it barreled toward a landfall along the New Jersey coastline. Significant impacts of storm surge and flooding are expected along the eastern seaboard from the Middle Atlantic states to New England. At the time of the flyover, Sandy was located 260 miles south-southeast of New York City, moving north-northwest at 18 miles an hour with winds measured at 90 miles an hour as a Category 1 hurricane, according to the National Hurricane Center. Landfall along or just south of the southern New Jersey coast is expected late in the evening on October 29 after which a turn to the west-northwest is expected. After moving inland over the mid-Atlantic states, a decrease in forward speed is expected. By mid-week, Sandy, as a post-tropical cyclone, is forecast to move northward and then northeastward across Pennsylvania and New York state dropping significant amounts of rainfall</t>
  </si>
  <si>
    <t>F6-8UKkaZL4</t>
  </si>
  <si>
    <t>https://youtu.be/Y2ZbudSD9G0</t>
  </si>
  <si>
    <t>Sandy's Storm Track Spied by Satellite</t>
  </si>
  <si>
    <t>An animation of satellite observations from Oct. 26-29, 2012, shows Hurricane Sandy move along the U.S. East coast and into the Mid-Atlantic and northeastern U.S. Sandy had still not made landfall by the end of this animation. This visualization was created by the NASA GOES Project at NASA Goddard Space Flight Center, Greenbelt, Md., using observations from NOAA's GOES-13 satellite.</t>
  </si>
  <si>
    <t>Y2ZbudSD9G0</t>
  </si>
  <si>
    <t>https://youtu.be/ggwAW4nRMYQ</t>
  </si>
  <si>
    <t>SpaceX Dragon Returns From Space Station with NASA Cargo</t>
  </si>
  <si>
    <t>A Space Exploration Technologies (SpaceX) Dragon spacecraft splashed down in the Pacific Ocean at 3:22 p.m. EDT Sunday a few hundred miles west of Baja California, Mexico. The splashdown successfully ended the first contracted cargo delivery flight contracted by NASA to resupply the International Space Station. The Dragon capsule will be taken by boat to a port near Los Angeles, where it will be prepared for a return journey to SpaceX's test facility in McGregor, Texas, for processing. Returning with the Dragon capsule was 1,673 pounds of cargo, including 866 pounds of scientific research. Not since the space shuttle have NASA and its international partners been able to return considerable amounts of research and samples for analysis.</t>
  </si>
  <si>
    <t>ggwAW4nRMYQ</t>
  </si>
  <si>
    <t>2012 10 28</t>
  </si>
  <si>
    <t>https://youtu.be/eSHN-_VIcrE</t>
  </si>
  <si>
    <t>SpaceX Dragon Unberthed, Released and Returning</t>
  </si>
  <si>
    <t>The SpaceX Dragon cargo craft that delivered about a half-ton of supplies and hardware to the International Space Station is now on its ways back to Earth with more than 13-hundred pounds of scientific and other materials. Dragon is expected to splashdown in the Pacific the same day, Oct. 28.</t>
  </si>
  <si>
    <t>eSHN-_VIcrE</t>
  </si>
  <si>
    <t>2012 10 26</t>
  </si>
  <si>
    <t>https://youtu.be/a0JDs-R4Z2c</t>
  </si>
  <si>
    <t>Ford's Job One on This Week @NASA</t>
  </si>
  <si>
    <t>NASA Flight Engineer Kevin Ford and his two Russian colleagues have made it to the International Space Station and are working to make themselves comfortable aboard the orbiting complex they'll call home for the next five months. Also, Dragon's ready to return; Curiosity Rover Report; Red Road to Mars; Milk Way's Black Hole; Planetary Exploration at 50; and more!</t>
  </si>
  <si>
    <t>a0JDs-R4Z2c</t>
  </si>
  <si>
    <t>https://youtu.be/fBKs6uoyfrA</t>
  </si>
  <si>
    <t>Exp 33 Spacewalk Overview Briefing 10 26 12A</t>
  </si>
  <si>
    <t>fBKs6uoyfrA</t>
  </si>
  <si>
    <t>2012 10 25</t>
  </si>
  <si>
    <t>https://youtu.be/h1V7-ZNPeXc</t>
  </si>
  <si>
    <t>ScienceCasts  Fried Planets</t>
  </si>
  <si>
    <t>Astronomers have caught a red giant star in the act of devouring one of its planets. It could be a preview of what will happen to Earth five billion years from now.
Visit http://science.nasa.gov/ for more.</t>
  </si>
  <si>
    <t>h1V7-ZNPeXc</t>
  </si>
  <si>
    <t>https://youtu.be/K6CPCByf3Bo</t>
  </si>
  <si>
    <t>New Crew Arrives, Boards ISS</t>
  </si>
  <si>
    <t>NASA astronaut Kevin Ford and his two Russian crewmates, Oleg Novitskiy and Evgeny Tarelkin, board the International Space Station after their arrival via Soyuz spacecraft.</t>
  </si>
  <si>
    <t>K6CPCByf3Bo</t>
  </si>
  <si>
    <t>https://youtu.be/LL_usHvz3G0</t>
  </si>
  <si>
    <t>Soyuz Docks to ISS</t>
  </si>
  <si>
    <t>The Soyuz capsule carrying the three Expedition 33/34 crew members docks to the International Space Station after its almost two-day journey from Earth.</t>
  </si>
  <si>
    <t>LL_usHvz3G0</t>
  </si>
  <si>
    <t>2012 10 23</t>
  </si>
  <si>
    <t>https://youtu.be/csMEQiM5o3w</t>
  </si>
  <si>
    <t>csMEQiM5o3w</t>
  </si>
  <si>
    <t>https://youtu.be/MCML1V-ojE0</t>
  </si>
  <si>
    <t>Ford and Fellow Flyers Launch to Space Station</t>
  </si>
  <si>
    <t>NASA Flight Engineer Kevin Ford and his two Russian colleagues on Expedition 33/34 are making their way to the International Space Station after their Soyuz spacecraft is launched from the Baikonur Cosmodrome in Kazakhstan on Oct. 23.
10/23</t>
  </si>
  <si>
    <t>MCML1V-ojE0</t>
  </si>
  <si>
    <t>2012 10 22</t>
  </si>
  <si>
    <t>https://youtu.be/8pVHViay3sA</t>
  </si>
  <si>
    <t>ISS Crew Gets Go Ahead for Launch</t>
  </si>
  <si>
    <t>The Expedition 33/34 crew of Kevin Ford and his two Russian crewmates meet the media prior to getting approval for their scheduled flight to the International Space Station by the Russian State Commission meeting in Baikonur, Kazakhstan.</t>
  </si>
  <si>
    <t>8pVHViay3sA</t>
  </si>
  <si>
    <t>2012 10 21</t>
  </si>
  <si>
    <t>https://youtu.be/g6wB7Cuwux8</t>
  </si>
  <si>
    <t>Soyuz Rocket Rolls Out</t>
  </si>
  <si>
    <t>The Soyuz rocket and capsule that'll send NASA astronaut Kevin Ford and his two Russian crewmates to the International Space Station is rolled out to its launch pad at the Baikonur Cosmodrome in Kazakhstan. Launch is scheduled for October 23, 2012.</t>
  </si>
  <si>
    <t>g6wB7Cuwux8</t>
  </si>
  <si>
    <t>2012 10 20</t>
  </si>
  <si>
    <t>https://youtu.be/NhhOc_dRnLE</t>
  </si>
  <si>
    <t>NASA's Mars Curiosity Rover Report %2311 -- October 19, 2012</t>
  </si>
  <si>
    <t>A NASA's Mars Curiosity rover team member gives an update on developments and status of the planetary exploration mission. The Mars Science Laboratory spacecraft delivered Curiosity to its target area on Mars at 1:31:45 a.m. EDT on Aug. 6, which includes the 13.8 minutes needed for confirmation of the touchdown to be radioed to Earth at the speed of light. The rover will conduct a nearly two-year prime mission to investigate whether the Gale Crater region of Mars ever offered conditions favorable for microbial life.
Curiosity carries 10 science instruments with a total mass 15 times as large as the science payloads on NASA's Mars rovers Spirit and Opportunity. Some of the tools, such as a laser-firing instrument for checking rocks' elemental composition from a distance, are the first of their kind on Mars. Curiosity will use a drill and scoop, which are located at the end of its robotic arm, to gather soil and powdered samples of rock interiors, then sieve and parcel out these samples into the rover's analytical laboratory instruments.</t>
  </si>
  <si>
    <t>NhhOc_dRnLE</t>
  </si>
  <si>
    <t>https://youtu.be/DIK0nMnenx0</t>
  </si>
  <si>
    <t>The Expedition 33 34 Soyuz Spacecraft Meets Its Booster Rocket</t>
  </si>
  <si>
    <t>At the Baikonur Cosmodrome in Kazakhstan, the Soyuz TMA-06M spacecraft was mated to its booster rocket on Oct. 20. The Soyuz will launch Expedition 33/34 Soyuz Commander Oleg Novitskiy, NASA Flight Engineer Kevin Ford and Russian Flight Engineer Evgeny Tarelkin on Oct. 23, with docking to the International Space Station on Oct. 25. The trio will spend five months on the laboratory, joining station Commander Sunita Williams, Flight Engineer Aki Hoshide of the Japan Aerospace Exploration Agency and Russian Flight Engineer Yuri Malenchenko, who have been in orbit since mid-July.</t>
  </si>
  <si>
    <t>DIK0nMnenx0</t>
  </si>
  <si>
    <t>2012 10 19</t>
  </si>
  <si>
    <t>https://youtu.be/firW5Gid49o</t>
  </si>
  <si>
    <t>Suni Thoughts Collected from Space</t>
  </si>
  <si>
    <t>Aboard the International Space Station, Expedition 33 Commander Suni Williams of NASA is interviewed by collectspace.com on October 19, 2012.</t>
  </si>
  <si>
    <t>firW5Gid49o</t>
  </si>
  <si>
    <t>https://youtu.be/nSIUnSpbfd4</t>
  </si>
  <si>
    <t>Inside the ISS  Ready-to-Use</t>
  </si>
  <si>
    <t>NASA's Mike Fossum and Ron Garan of Expedition 28 outline the transition of the station from a work-in-progress to its completion and future use as the world's only laboratory in microgravity.</t>
  </si>
  <si>
    <t>nSIUnSpbfd4</t>
  </si>
  <si>
    <t>https://youtu.be/nwnmspnNHEA</t>
  </si>
  <si>
    <t>Inside the ISS  The Road to 135</t>
  </si>
  <si>
    <t>Astronauts Mike Fossum and Ron Garan of Expedition 28 recount the events leading up to the arrival at and departure from the orbiting laboratory of Atlantis, the final shuttle mission to the ISS.</t>
  </si>
  <si>
    <t>nwnmspnNHEA</t>
  </si>
  <si>
    <t>2012 10 18</t>
  </si>
  <si>
    <t>https://youtu.be/HmhYrsMvenE</t>
  </si>
  <si>
    <t>Soyuz Crew Readies for Launch</t>
  </si>
  <si>
    <t>Expedition 33/34 Soyuz Commander Oleg Novitskiy, NASA Flight Engineer Kevin Ford and Russian Flight Engineer Evgeny Tarelkin participate in final activities before their scheduled Oct. 23 launch to the International Space Station. The video also features backup crew members Russian Soyuz Commander Pavel Vinogradov, Russian Flight Engineer Alexander Misurkin and NASA Flight Engineer Chris Cassidy</t>
  </si>
  <si>
    <t>HmhYrsMvenE</t>
  </si>
  <si>
    <t>https://youtu.be/z22vOjOAQt0</t>
  </si>
  <si>
    <t>Aki  Hangs  From Kibo</t>
  </si>
  <si>
    <t>Flight Engineer Aki Hoshide participates in a Google+ Hangout about space travel with employees of the Dentsu Company in his native Japan. Live from the Kibo Laboratory aboard the International Space Station.on Oct. 18, 2012.</t>
  </si>
  <si>
    <t>z22vOjOAQt0</t>
  </si>
  <si>
    <t>2012 10 15</t>
  </si>
  <si>
    <t>https://youtu.be/Rom6M8udyI8</t>
  </si>
  <si>
    <t>Space Shuttle Endeavour Traveling Through the Streets of Los Angeles</t>
  </si>
  <si>
    <t>Space Shuttle Endeavour's two-day trip from Los Angeles International Airport through the streets of Los Angeles to the California Science Center is underway. The planned transport route of NASA's youngest orbiter takes it past several well-known L.A. landmarks.</t>
  </si>
  <si>
    <t>Rom6M8udyI8</t>
  </si>
  <si>
    <t>2012 10 12</t>
  </si>
  <si>
    <t>https://youtu.be/oDdTZkxcv3I</t>
  </si>
  <si>
    <t>NASA 2012 Hispanic Heritage Month Profile - Andres Adorno - Kennedy Space Center</t>
  </si>
  <si>
    <t>Andres Adorno is a Public Affairs Specialist at NASA's Kennedy Space Center. His duties include conducting public outreach events to educate the general public about NASA missions and goals. A member of the KSC employee organization, HOLA which stands for Hispanic Outreach and Leadership Alliance, Andres enjoys sharing the unique and rich Hispanic culture with people of other backgrounds.</t>
  </si>
  <si>
    <t>oDdTZkxcv3I</t>
  </si>
  <si>
    <t>https://youtu.be/Az7GQb-emnk</t>
  </si>
  <si>
    <t>NASA's Mars Curiosity Rover Report %2310</t>
  </si>
  <si>
    <t>A NASA's Mars Curiosity rover team member gives an update on developments and status of the planetary exploration mission. The Mars Science Laboratory spacecraft delivered Curiosity to its target area on Mars at 1:31:45 a.m. EDT on Aug. 6, which includes the 13.8 minutes needed for confirmation of the touchdown to be radioed to Earth at the speed of light. The rover will conduct a n</t>
  </si>
  <si>
    <t>Az7GQb-emnk</t>
  </si>
  <si>
    <t>https://youtu.be/gjO958LuB0E</t>
  </si>
  <si>
    <t>Dragon Delivers on This Week at NASA...</t>
  </si>
  <si>
    <t>With its arrival at the International Space Station, the SpaceX Dragon spacecraft becomes the first commercial resupply mission to the orbiting laboratory, and the first U.S. spacecraft in the post-space shuttle era capable of transporting significant amounts of supplies between Earth and the station. Also, booster progress; ISS crew training; Curiosity update; robotic exoskeleton; Whitcomb Hall of Famer; international space orchestra; and more! 
10/12</t>
  </si>
  <si>
    <t>gjO958LuB0E</t>
  </si>
  <si>
    <t>https://youtu.be/8AaCGVcuDqM</t>
  </si>
  <si>
    <t>Suni on Hometown TV</t>
  </si>
  <si>
    <t>Aboard the International Space Station, Expedition 33 Commander Sunita Williams of NASA, who considers Needham, Massachusetts her hometown, discussed life, research and her exercise regimen on the orbital laboratory with Boston station WBZ-TV during an interview on October 12, 2012. Williams, who arrived on the station in mid-July, will remain aboard the outpost until mid-November.</t>
  </si>
  <si>
    <t>8AaCGVcuDqM</t>
  </si>
  <si>
    <t>https://youtu.be/oNOZZruBc7w</t>
  </si>
  <si>
    <t>International Space Station Expedition 33 34 Crew Training Resource Reel</t>
  </si>
  <si>
    <t>Astronaut Kevin Ford of NASA, and cosmonauts Evgeny Tarelkin and Oleg Novitskiy of the Russian Federal Space Agency (Roscosmos) conduct training in advance of their upcoming mission aboard The International Space Station. The trio's presence will restore the station to a six-person crew following a mid-October launch and docking to the International Space Station, initiating Expedition 33. The crew will conduct joint research and operations aboard the station with NASA Astronaut Suni Williams, Cosmonaut Yuri Malenchenko and Japan Aerospace Exploration Agency astronaut Aki Hoshide. When Williams, Malenchenko and Hoshide depart, Ford will assume command of Expedition 34.</t>
  </si>
  <si>
    <t>oNOZZruBc7w</t>
  </si>
  <si>
    <t>https://youtu.be/DUwzAxVdaNY</t>
  </si>
  <si>
    <t>International Space Station Expedition 33 34 Crew Interview - Evgeny Tarelkin</t>
  </si>
  <si>
    <t>Evgeny Tarelkin, a cosmonaut with the Russian Federal Space Agency and a captain in the Russian Air Force discusses his upcoming mission as a Flight Engineer on the Expedition 33/34 crew aboard the International Space Station. This will be the first space mission for Tarelkin, who was selected to train as a cosmonaut in 2003.</t>
  </si>
  <si>
    <t>DUwzAxVdaNY</t>
  </si>
  <si>
    <t>https://youtu.be/SdiIeBT8kA8</t>
  </si>
  <si>
    <t>International Space Station Expedition 33 34 Crew Interview - Kevin Ford</t>
  </si>
  <si>
    <t>NASA Astronaut Kevin Ford, a retired colonel in the U.S. Air Force discusses his upcoming mission aboard the International Space Station as a Flight Engineer on the Expedition 33 crew and Commander of Expedition 34. This is Ford's second spaceflight. On his first mission he was the pilot for STS-128 in 2009, which delivered logistics and science payloads to the space station.</t>
  </si>
  <si>
    <t>SdiIeBT8kA8</t>
  </si>
  <si>
    <t>https://youtu.be/SaFAH5YL4GU</t>
  </si>
  <si>
    <t>ScienceCasts  A Meteor Shower from Halley's Comet</t>
  </si>
  <si>
    <t>Soon, Earth will pass through a stream of debris from Halley's Comet, source of the annual Orionid meteor shower. Forecasters expect 25 meteors per hour when the shower peaks on Oct. 21st.</t>
  </si>
  <si>
    <t>SaFAH5YL4GU</t>
  </si>
  <si>
    <t>2012 10 11</t>
  </si>
  <si>
    <t>https://youtu.be/_g7dEXjumEM</t>
  </si>
  <si>
    <t>ISS Commander Talks Long Distance With the Media</t>
  </si>
  <si>
    <t>Aboard the International Space Station, Expedition 33 Commander Sunita Williams of NASA discussed life, research and her exercise regimen on the orbital laboratory with ABC News and CNN during a pair of in-flight interviews on October 11, 2012. Williams, who arrived on the station in mid-July, will remain aboard the outpost until mid-November.</t>
  </si>
  <si>
    <t>_g7dEXjumEM</t>
  </si>
  <si>
    <t>https://youtu.be/cua2wqUQrak</t>
  </si>
  <si>
    <t>International Space Station Expedition 33 34 Crew Interview - Oleg Novitskiy</t>
  </si>
  <si>
    <t>Oleg Novitskiy, a cosmonaut with the Russian Federal Space Agency and a colonel in the Russian Air Force discusses his upcoming mission as a Soyuz Commander and a Flight Engineer on the Expedition 33/34 crew aboard the International Space Station. This will be the first space mission for Novitskiy who was selected to train as a cosmonaut in 2006.</t>
  </si>
  <si>
    <t>cua2wqUQrak</t>
  </si>
  <si>
    <t>2012 10 10</t>
  </si>
  <si>
    <t>https://youtu.be/NAXBdt5gS_c</t>
  </si>
  <si>
    <t>First Commercial Resupply Craft is Open for Business</t>
  </si>
  <si>
    <t>Aboard the International Space Station, Expedition 33 Commander Sunita Williams of NASA and Aki Hoshide of the Japan Aerospace Exploration Agency opened the hatch to the SpaceX Dragon resupply craft at 1:40 p.m. EDT on Oct. 10, almost seven hours after the cargo vehicle was grappled by the two crewmembers for berthing to the Earth-facing port of the Harmony module. The arrival of Dragon at the station marked the resumption of a U.S. cargo resupply capability for the orbital laboratory and the first such delivery of supplies and vital science experiments under NASA's Commercial Resupply Services contracts with private corporations. Dragon is scheduled to remain at the station until Oct. 28, when it will be unberthed for its deorbit and parachute-assisted splashdown in the Pacific Ocean off the coast of southern California as the only cargo craft capable of returning supplies and experiments back to Earth.</t>
  </si>
  <si>
    <t>NAXBdt5gS_c</t>
  </si>
  <si>
    <t>https://youtu.be/rq99ZuIe40c</t>
  </si>
  <si>
    <t>Dragon launches on historic mission to the ISS on This Week @NASA</t>
  </si>
  <si>
    <t>Space Exploration Technologies Corporation's Dragon spacecraft launched atop a Falcon 9 rocket to begin the historic first-ever contracted cargo resupply flight to the International Space Station. Also, cybersecurity; Antares rollout; hangin' out on Google; the Hubble constant; space orchestra, and more!</t>
  </si>
  <si>
    <t>rq99ZuIe40c</t>
  </si>
  <si>
    <t>https://youtu.be/rHJOLi5OZU8</t>
  </si>
  <si>
    <t>SpaceX Commercial Cargo Craft Arrives at International Space Station</t>
  </si>
  <si>
    <t>Aboard the International Space Station, Expedition 33 Flight Engineer Aki Hoshide of the Japan Aerospace Exploration Agency and station Commander Sunita Williams of NASA used the Canadarm2 robotic arm to grapple the SpaceX Dragon commercial cargo craft October 10 2012, signaling the arrival of the vehicle at the orbital laboratory for the first U.S. commercial resupply service for the complex. Within hours after grappling Dragon following its 2-day transit following launch from the Cape Canaveral Air Force Station, Fla., Williams and Hoshide installed the SpaceX craft to the Earth-facing port of the Harmony module. Dragon is scheduled to remain berthed to the station until its departure October 28 for its deorbit and parachute-assisted splashdown in the Pacific Ocean off the coast of southern California.</t>
  </si>
  <si>
    <t>rHJOLi5OZU8</t>
  </si>
  <si>
    <t>https://youtu.be/EMhqtGDUQZA</t>
  </si>
  <si>
    <t>ISS Expedition 33 34 Crew Departs for Kazakh Launch Site</t>
  </si>
  <si>
    <t>Expedition 33/34 Soyuz Commander Oleg Novitskiy, NASA Flight Engineer Kevin Ford and Russian Flight Engineer Evgeny Tarelkin participated in traditional ceremonies at the Gagarin Cosmonaut Training Center in Star City, Russia outside Moscow Oct. 9. Afterward, they departed for the Baikonur Cosmodrome in Kazakhstan to complete training for their launch to the International Space Station in the Soyuz TMA-06M spacecraft Oct. 23. After arriving in Baikonur, they were scheduled to conduct a series of prelaunch activities over the next two weeks as they prepare for liftoff to the orbital outpost.</t>
  </si>
  <si>
    <t>EMhqtGDUQZA</t>
  </si>
  <si>
    <t>2012 10 08</t>
  </si>
  <si>
    <t>https://youtu.be/Fp-grYu2i38</t>
  </si>
  <si>
    <t>Bolden Praises Space X Launch</t>
  </si>
  <si>
    <t>NASA Administrator Charles Bolden offers his take on the successful launch of the SpaceX/Dragon to the International Space Station.</t>
  </si>
  <si>
    <t>Fp-grYu2i38</t>
  </si>
  <si>
    <t>https://youtu.be/Fi-M3VrCXCc</t>
  </si>
  <si>
    <t>SpaceX Dragon Post Launch News Conference</t>
  </si>
  <si>
    <t>Fi-M3VrCXCc</t>
  </si>
  <si>
    <t>https://youtu.be/Hgkb6U1McOE</t>
  </si>
  <si>
    <t>Space X Dragon Heads to ISS</t>
  </si>
  <si>
    <t>The historic launch of the first commercial cargo ship to the International Space Station marks the return of America's capability to independently resupply the orbiting laboratory.</t>
  </si>
  <si>
    <t>Hgkb6U1McOE</t>
  </si>
  <si>
    <t>2012 10 06</t>
  </si>
  <si>
    <t>https://youtu.be/2uTJateA0iw</t>
  </si>
  <si>
    <t>SpaceX Ready for Historic Flight</t>
  </si>
  <si>
    <t>The pre-launch briefing of CRS-1, the first of twelve missions by the SpaceX/Dragon spacecraft to the ISS under NASA's Commercial Resupply Services contract.</t>
  </si>
  <si>
    <t>2uTJateA0iw</t>
  </si>
  <si>
    <t>https://youtu.be/TWTjD5H7gYM</t>
  </si>
  <si>
    <t>Dragon Carrying Slew of Science to Station</t>
  </si>
  <si>
    <t>NASA outlines some of the 166 science investigations the SpaceX/Dragon spacecraft will bring to the ISS.</t>
  </si>
  <si>
    <t>TWTjD5H7gYM</t>
  </si>
  <si>
    <t>2012 10 05</t>
  </si>
  <si>
    <t>https://youtu.be/4JVOQR15fyg</t>
  </si>
  <si>
    <t>Dragon Ready to Ride the Falcon on This Week @NASA</t>
  </si>
  <si>
    <t>The historic launch of the first-ever contracted cargo resupply flight to the International Space Station by Space Exploration Technologies Corporationis ready. Also, cybersecurity; Antares rollout; hangin' out on Google; the Hubble constant; space orchestra, and more!</t>
  </si>
  <si>
    <t>4JVOQR15fyg</t>
  </si>
  <si>
    <t>2012 10 04</t>
  </si>
  <si>
    <t>https://youtu.be/8EnoM68d9mc</t>
  </si>
  <si>
    <t>Live From ISS Mission Control</t>
  </si>
  <si>
    <t>An International Space Station expert takes questions from students on NASA's Digital Learning Network.</t>
  </si>
  <si>
    <t>8EnoM68d9mc</t>
  </si>
  <si>
    <t>2012 10 03</t>
  </si>
  <si>
    <t>https://youtu.be/4lRPgo7fqtI</t>
  </si>
  <si>
    <t>Suni Chats with CNN, NY Times</t>
  </si>
  <si>
    <t>]Aboard the International Space Station, Expedition 33 Commander Suni Williams of NASA discussed her research on orbit, her exercise regimen and life on the orbital outpost with CNN's Dr. Sanjay Gupta and Kenneth Chang of the New York Times during a pair of in-flight interviews October 3, 2012.</t>
  </si>
  <si>
    <t>4lRPgo7fqtI</t>
  </si>
  <si>
    <t>2012 09 28</t>
  </si>
  <si>
    <t>https://youtu.be/l7MOAUAzFBg</t>
  </si>
  <si>
    <t>Station Crew Bid Farewell to European Cargo Ship</t>
  </si>
  <si>
    <t>The European Space Agency's "Edoardo Amaldi" Automated Transfer Vehicle-3 cargo ship undocked from the aft port of the Zvezda Service Module at the International Space Station on Sept. 28 and backed away to a safe distance from the complex for its deorbit and plunge back into the Earth's atmosphere. Having arrived at the complex in late March to deliver several tons of supplies and experiments for the station residents and now loaded with trash, the resupply craft will be commanded to deorbit Oct. 2 for a destructive reentry over the Pacific Ocean.</t>
  </si>
  <si>
    <t>l7MOAUAzFBg</t>
  </si>
  <si>
    <t>https://youtu.be/MVTyRNbsqk8</t>
  </si>
  <si>
    <t>NASA's Mars Curiosity Rover Report %238</t>
  </si>
  <si>
    <t>MVTyRNbsqk8</t>
  </si>
  <si>
    <t>https://youtu.be/G6RLahJrAj4</t>
  </si>
  <si>
    <t>Dragon Awaits on This Week @NASA</t>
  </si>
  <si>
    <t>October 7 is the launch date for SpaceX's Dragon spacecraft on the first commercial resupply mission to the International Space Station. This will be the first of 12 contracted flights by SpaceX to resupply the space station under the Commercial Resupply Services contract and will restore an American capability to transport cargo to and from the orbiting laboratory. Also, Curiosity Finds Streambed; New ISS Crew; Endeavour in L.A.;  Extreme Hubble; Webb's Mirrors; Milky Way's Halo; and more!</t>
  </si>
  <si>
    <t>G6RLahJrAj4</t>
  </si>
  <si>
    <t>https://youtu.be/SJbIRxV6yOA</t>
  </si>
  <si>
    <t>NASA 2012 Hispanic Heritage Month Profile - Cassandra Rodriquez</t>
  </si>
  <si>
    <t>Cassandra Rodriquez is an Operations Support Officer (OSO) in the International Space Station Flight Control Room at Johnson Space Center's Mission Control. Cassandra, also an astronaut trainer has been involved with nearly every Shuttle mission and ISS Expedition since 2004. Her duties as an OSO include being responsible for all Intra-Vehicular Activity (IVA) maintenance performed on the Space Station and also the mechanisms that keep the modules together and berth visiting vehicles to the Station. She is currently working on a project with the Robotics System Technology Group to develop training and operational products to upgrade the Robonaut onboard the station with legs.</t>
  </si>
  <si>
    <t>SJbIRxV6yOA</t>
  </si>
  <si>
    <t>2012 09 27</t>
  </si>
  <si>
    <t>https://youtu.be/fYo31XjoXOk</t>
  </si>
  <si>
    <t>NASA's Curiosity Rover Finds Old Streambed on Mars</t>
  </si>
  <si>
    <t>NASA's newest Mars rover has found evidence that a stream once ran vigorously across the area on the Red Planet where the rover is now driving. The finding is a different type of evidence for water on Mars than ever found before. Scientists are studying Curiosity's images of rocks containing ancient streambed gravels. The sizes and shapes of stones cemented into a layer of conglomerate rock are clues to the speed and distance of a long-ago stream's flow.</t>
  </si>
  <si>
    <t>fYo31XjoXOk</t>
  </si>
  <si>
    <t>https://youtu.be/iSUXZDnp0RU</t>
  </si>
  <si>
    <t>ScienceCasts  The Sound of Earthsong</t>
  </si>
  <si>
    <t>A NASA spacecraft has recorded eerie-sounding radio emissions coming from our own planet. These beautiful "songs of Earth" could, ironically, be responsible for the proliferation of deadly electrons in the Van Allen Belts.</t>
  </si>
  <si>
    <t>iSUXZDnp0RU</t>
  </si>
  <si>
    <t>2012 09 25</t>
  </si>
  <si>
    <t>https://youtu.be/jSR_Co4dtLk</t>
  </si>
  <si>
    <t>Next ISS Crew Readies for Flight</t>
  </si>
  <si>
    <t>Expedition 33/34 Soyuz Commander Oleg Novitskiy of the Russian Fedarl Space Agency, NASA Flight Engineer Kevin Ford and Russian Flight Engineer Evgeny Tarelkin field questions from the news media at their training base at the Gagarin Cosmonaut Training Center in Star City, Russia, outside Moscow Sept. 25 as part of traditional pre-launch activities before their departure Oct. 1 for their launch site in Kazakhstan. After the news conference, the prime and backup crews participate in traditional ceremonies at Red Square in Moscow, laying flowers at the Kremlin Wall and touring the Kremlin as they paid tribute to iconic Russian space heroes. Novitskiy, Ford and Tarelkin are scheduled to launch to the International Space Station Oct. 15. Included in the footage are backup crew members Pavel Vinogradov, Alexander Misurkin and NASA's Chris Cassidy.</t>
  </si>
  <si>
    <t>jSR_Co4dtLk</t>
  </si>
  <si>
    <t>https://youtu.be/HlNcfGcEYOE</t>
  </si>
  <si>
    <t>Suni Shines in Media Downlink</t>
  </si>
  <si>
    <t>NASA astronaut Suni Williams chats with the Huffington Post and CBS News about her current mission aboard the International Space Station.</t>
  </si>
  <si>
    <t>HlNcfGcEYOE</t>
  </si>
  <si>
    <t>2012 09 22</t>
  </si>
  <si>
    <t>https://youtu.be/q0Mw2iJA5Bc</t>
  </si>
  <si>
    <t>Space Shuttle Endeavor is Flown Over NASA's Jet Propulsion Laboratory</t>
  </si>
  <si>
    <t>NASA's 747 Shuttle Carrier Aircraft, carrying space shuttle Endeavour conducted flyovers in the skies above the Los Angeles basin, including NASA's Jet Propulsion Laboratory.</t>
  </si>
  <si>
    <t>q0Mw2iJA5Bc</t>
  </si>
  <si>
    <t>https://youtu.be/yOCoSrJIYAQ</t>
  </si>
  <si>
    <t>Space Shuttle Endeavour Receives Warm Welcome at Los Angeles International Airport</t>
  </si>
  <si>
    <t>A welcoming ceremony was held at Los Angeles International Airport for the arrival of Space Shuttle Endeavour following its arrival there mounted atop NASA's modified 747 Shuttle Carrier Aircraft (SCA). In October, Endeavour will move to the California Science Center to begin a new mission inspiring future explorers.</t>
  </si>
  <si>
    <t>yOCoSrJIYAQ</t>
  </si>
  <si>
    <t>https://youtu.be/TF3LYtLolHA</t>
  </si>
  <si>
    <t>NASA's Mars Curiosity Rover Report %237</t>
  </si>
  <si>
    <t>TF3LYtLolHA</t>
  </si>
  <si>
    <t>https://youtu.be/5TnCumH1mL4</t>
  </si>
  <si>
    <t>Space Shuttle Endeavour Chase Plane</t>
  </si>
  <si>
    <t>NASA's 747 Shuttle Carrier Aircraft, carrying space shuttle Endeavour, as seen from one of its chase planes on the flight from NASA's Dryden Flight Research Center to Los Angeles International Airport on Sept. 21.</t>
  </si>
  <si>
    <t>5TnCumH1mL4</t>
  </si>
  <si>
    <t>https://youtu.be/WkC4YjcIzKI</t>
  </si>
  <si>
    <t>Space Shuttle Endeavour Hollywood Sign Flyover</t>
  </si>
  <si>
    <t>NASA's 747 Shuttle Carrier Aircraft, carrying space shuttle Endeavour, as it flew past Los Angeles's iconic Hollywood sign on Sept. 21.</t>
  </si>
  <si>
    <t>WkC4YjcIzKI</t>
  </si>
  <si>
    <t>https://youtu.be/c-qeFNU_-ys</t>
  </si>
  <si>
    <t>Endeavour Goes Cross-Country on This Week @NASA</t>
  </si>
  <si>
    <t>Atop the Shuttle Carrier Aircraft, Endeavour completes its journey from the Kennedy Space Center in Florida to Los Angeles, where it'll go on display at the California Science Center next month. Also, Shuttle Social, Curiosity Cruises, Helping Hangout, Ride Remembered, and more.</t>
  </si>
  <si>
    <t>c-qeFNU_-ys</t>
  </si>
  <si>
    <t>https://youtu.be/QqV0_kvze4Y</t>
  </si>
  <si>
    <t>NASA 2012 Hispanic Heritage Month Profile - Omar De Frias</t>
  </si>
  <si>
    <t>Omar de Frias is the Lead for the Integration and Evaluation Team of NASA's Science Mission Directorate. His primary duties are the execution and integration of the Directorate's 5 billion dollar budget. Other positions he has held at the agency include overseeing the business processes of the 4.5 billion dollar procurement efforts for the Office of the Chief Information Officer and he has also worked for the Office of Diversity and Equal Opportunity with duties ranging from process improvements, database management and budget responsibilities.</t>
  </si>
  <si>
    <t>QqV0_kvze4Y</t>
  </si>
  <si>
    <t>https://youtu.be/pdRvFROQjbk</t>
  </si>
  <si>
    <t>Space Shuttle Endeavour over Golden Gate Bridge</t>
  </si>
  <si>
    <t>NASA's 747 Shuttle Carrier Aircraft, carrying space shuttle Endeavour, as it flew over the NASA's Ames Research Center in Mountain Valley, Calif. on Sept. 21.</t>
  </si>
  <si>
    <t>pdRvFROQjbk</t>
  </si>
  <si>
    <t>https://youtu.be/xhkuse5ox7U</t>
  </si>
  <si>
    <t>Space Shuttle Endeavour Over NASA's Ames Research Center</t>
  </si>
  <si>
    <t>NASA's 747 Shuttle Carrier Aircraft, carrying space shuttle Endeavour, as it flew over NASA's Ames Research Center in Mountain Valley, Calif. on Sept. 21.</t>
  </si>
  <si>
    <t>xhkuse5ox7U</t>
  </si>
  <si>
    <t>https://youtu.be/l7N84-QOiGg</t>
  </si>
  <si>
    <t>Space Shuttle Endeavour Lands in Los Angeles</t>
  </si>
  <si>
    <t>Space shuttle Endeavour, perched atop NASA's 747 Shuttle Carrier Aircraft landed at Los Angeles International Airport (LAX) at 12:51 p.m. PDT, ending a cross-country ferry mission and returning to its place of birth, California.
Endeavour was NASA's fifth and final space shuttle to be built. Construction began on Sept. 28, 1987 and it rolled out of the assembly plant in Palmdale, Calif. in April 1991.
Endeavour will be removed from the SCA using an elaborate set of cranes and wind restraints. It will be placed on a special transportation system and moved into a United Airlines hangar, where it will remain for several weeks while final preparations for its transport and display at the California Science Center are completed.</t>
  </si>
  <si>
    <t>l7N84-QOiGg</t>
  </si>
  <si>
    <t>2012 09 21</t>
  </si>
  <si>
    <t>https://youtu.be/lsDgQ4UrnCk</t>
  </si>
  <si>
    <t>Next Space Station Crew Undergoes Final Training</t>
  </si>
  <si>
    <t>Expedition 33/34 Soyuz Commander Oleg Novitskiy and Flight Engineer Evgeny Tarelkin of the Russian Fedearl Space Agency and NASA Flight Engineer Kevin Ford conducted qualification training at the Gagarin Cosmonaut Training Center in Star City, Russia, Sept. 20 and 21 in advance of their final approval for launch to the International Space Station. Novitskiy, Ford and Tarelkin are scheduled to fly to the launch site at the Baikonur Cosmodrome in Kazakhstan Oct. 2 to prepare for their Oct. 15 liftoff in the Soyuz TMA-06M spacecraft. Also featured in the footage are backup crew members Pavel Vinogradov, Alexander Misurkin and NASA's Chris Cassidy.</t>
  </si>
  <si>
    <t>lsDgQ4UrnCk</t>
  </si>
  <si>
    <t>https://youtu.be/IpNO465ai_M</t>
  </si>
  <si>
    <t>Endeavour Departs Dryden for LAX</t>
  </si>
  <si>
    <t>NASA's 747 Shuttle Carrier Aircraft, carrying space shuttle Endeavour, departed Edwards Air Force Base at 8:17 a.m. PDT on Sept. 21 to begin a four-and-a-half hour flyover of northern California and the Los Angeles basin before its scheduled same-day landing at Los Angeles International Airport.</t>
  </si>
  <si>
    <t>IpNO465ai_M</t>
  </si>
  <si>
    <t>2012 09 20</t>
  </si>
  <si>
    <t>https://youtu.be/2RJyI0pBFbI</t>
  </si>
  <si>
    <t>Space Shuttle Endeavour Arrives at NASA's Dryden Flight Research Center</t>
  </si>
  <si>
    <t>NASA's Shuttle Carrier Aircraft (SCA) with space shuttle Endeavour mounted atop arrived Sept. 20 at the agency's Dryden Flight Research Center on Edwards Air Force Base in California.
Following an overnight stay, the SCA and Endeavour will salute the Edwards Air Force Base area early Friday, Sept. 21 with a low flyby northbound to Sacramento and the San Francisco Bay area. Next the aircraft will travel south, making a pass over NASA's Ames Research Center, Vandenberg Air Force Base and NASA's Jet Propulsion Laboratory before heading into the Los Angeles area.
Finally, the SCA and Endeavour will land about noon PDT at Los Angeles International Airport, for an arrival ceremony before Endeavour is taken off the SCA and transported to its permanent home at the California Science Center next month.</t>
  </si>
  <si>
    <t>2RJyI0pBFbI</t>
  </si>
  <si>
    <t>https://youtu.be/7bIoPuoznsA</t>
  </si>
  <si>
    <t>ScienceCasts  Why Curiosity Matters</t>
  </si>
  <si>
    <t>A former rock-n-roller turned NASA engineer explains why he thinks Curiosity--both the Mars rover and the human desire to learn new things--matters to ordinary people on Earth.</t>
  </si>
  <si>
    <t>7bIoPuoznsA</t>
  </si>
  <si>
    <t>https://youtu.be/7fBl_z3Ksgs</t>
  </si>
  <si>
    <t>SCA Take Off From Houston to DFRC</t>
  </si>
  <si>
    <t>7fBl_z3Ksgs</t>
  </si>
  <si>
    <t>2012 09 19</t>
  </si>
  <si>
    <t>https://youtu.be/vws4nLghYZY</t>
  </si>
  <si>
    <t>Space Shuttle Endeavour Flies Over Michoud Assembly Facility En Route to California</t>
  </si>
  <si>
    <t>NASA's Michoud Assembly Facility (MAF) became part of the space shuttle's final ferry flight as Endeavour flew over MAF on the back of the agency's Shuttle Carrier Aircraft on Sept. 19. Endeavour was on its way from Kennedy Space Center in Florida to Los Angeles, where the shuttle will make its new home at the California Science Center. Spectators at MAF took this rare opportunity to take photos as the aircraft flew over at 1500 feet.</t>
  </si>
  <si>
    <t>vws4nLghYZY</t>
  </si>
  <si>
    <t>https://youtu.be/Kdij2V0vlCg</t>
  </si>
  <si>
    <t>Space Shuttle Endeavour Conducts Flyover of Stennis Space Center</t>
  </si>
  <si>
    <t>On Monday, Sept. 17, space shuttle Endeavour, mounted atop NASA's modified 747 Shuttle Carrier Aircraft, conducted a low flyover of NASA's Stennis Space Center in Mississippi. This is part of the final ferry flight of the Space Shuttle Program era. The flight began at the agency's Kennedy Space Center in Florida. Endeavour eventually will be on display at the California Science Center in Los Angeles.</t>
  </si>
  <si>
    <t>Kdij2V0vlCg</t>
  </si>
  <si>
    <t>https://youtu.be/B1h1KXeT7ro</t>
  </si>
  <si>
    <t>Endeavour Gets Warm JSC Welcome!</t>
  </si>
  <si>
    <t>Johnson Space Center Director Mike Coats offers thanks to all who made Endeavour's service to the nation a huge success and are helping usher in a new era in space exploration.</t>
  </si>
  <si>
    <t>B1h1KXeT7ro</t>
  </si>
  <si>
    <t>https://youtu.be/gC2VIJGm2TU</t>
  </si>
  <si>
    <t>Endeavour Makes First Stop on Cross-Country Tour</t>
  </si>
  <si>
    <t>Space Shuttle Endeavour and the Shuttle Carrier Aircraft ferrying it arrive at Ellington Field in Houston on Sept. 19 following its departure from NASA's Kennedy Space Center in Florida that morning.</t>
  </si>
  <si>
    <t>gC2VIJGm2TU</t>
  </si>
  <si>
    <t>https://youtu.be/iCHsDmSLePc</t>
  </si>
  <si>
    <t>Endeavour Begins Final Journey</t>
  </si>
  <si>
    <t>Secured atop the Shuttle Carrier Aircraft, orbiter Endeavour leaves NASA's Kennedy Space Center in Florida on Sept. 19  to begin its cross-country journey to Los Angeles and its new home at the California Science Center. (Live coverage on NASA TV.)</t>
  </si>
  <si>
    <t>iCHsDmSLePc</t>
  </si>
  <si>
    <t>https://youtu.be/REuqI11CwgY</t>
  </si>
  <si>
    <t xml:space="preserve">Aki Up  All Night </t>
  </si>
  <si>
    <t>ISS Flight Engineer Aki Hoshide of the Japan Aerospace Exploration Agency is special guest on "All Night Nippon" TV show back home on Sept. 19.</t>
  </si>
  <si>
    <t>REuqI11CwgY</t>
  </si>
  <si>
    <t>2012 09 18</t>
  </si>
  <si>
    <t>https://youtu.be/67E3kxAA4k4</t>
  </si>
  <si>
    <t>NASA Family Honors Dr. Sally Ride On September 18 With Tree-Planting Ceremony</t>
  </si>
  <si>
    <t>NASA officials and the family of deceased astronaut Sally Ride gathered on Sept. 18, 2012. A live oak was dedicated in Ride's honor and will reside among the 62 other trees dedicated to astronauts and space pioneers in the grove located at the agency's Johnson Space Center in Houston.</t>
  </si>
  <si>
    <t>67E3kxAA4k4</t>
  </si>
  <si>
    <t>https://youtu.be/15ltO-24-ys</t>
  </si>
  <si>
    <t>A National Farewell to Neil Armstrong on This Week @ NASA</t>
  </si>
  <si>
    <t>NASA Administrator Charles Bolden joined other agency officials and dignitaries at the Washington National Cathedral to honor the life and career of astronaut Neil Armstrong, the first man to walk on the moon, who died Aug. 25. The memorial was broadcast live on NASA Television and streamed on nasa.gov and the National Cathedral's website.</t>
  </si>
  <si>
    <t>15ltO-24-ys</t>
  </si>
  <si>
    <t>2012 09 17</t>
  </si>
  <si>
    <t>https://youtu.be/EapkPilhCOc</t>
  </si>
  <si>
    <t xml:space="preserve"> Many Happy Returns  for Space Travelers</t>
  </si>
  <si>
    <t>Expedition 32 Commander Gennady Padalka and Flight Engineer Sergei Revin of the Russian Federal Space Agency were greeted at the airport in Kustanai, Kazakhstan, Sept. 17 hours after landing in their Soyuz TMA-04M spacecraft along with NASA astronaut Joe Acaba on the steppe of Kazakhstan northeast of the town of Arkalyk. Acaba, who is not seen in the footage, flew back to Houston on a NASA plane while Padalka and Revin returned to their training base in Star City, Russia, where they were greeted by Russian space officials and family members. The trio completed 125 days in space and 123 days aboard the International Space Station following launch in mid-May.</t>
  </si>
  <si>
    <t>EapkPilhCOc</t>
  </si>
  <si>
    <t>https://youtu.be/YNDPmQTJni8</t>
  </si>
  <si>
    <t>YNDPmQTJni8</t>
  </si>
  <si>
    <t>https://youtu.be/iFBWsxWeZ80</t>
  </si>
  <si>
    <t>ISS Crew Makes Safe Landing</t>
  </si>
  <si>
    <t>Expedition 32 Commander Gennady Padalka of the Russian Federal Space Agency, NASA Flight Engineer Joe Acaba and Russian Flight Engineer Sergei Revin landed safely on the steppe of Kazakhstan near the town of Arkalyk Sept. 17, local time, after bidding farewell to the Expedition 33 crew and undocking their Soyuz TMA-04M spacecraft from the International Space Station. The trio completed 125 days in space and 123 days on the station since launching in mid-May. They are shown being assisted into reclining chairs by Russian personnel and beginning their adaptation to gravity after they were extracted from their capsule in Kazakhstan.</t>
  </si>
  <si>
    <t>iFBWsxWeZ80</t>
  </si>
  <si>
    <t>2012 09 15</t>
  </si>
  <si>
    <t>https://youtu.be/Tb3vqagpFHc</t>
  </si>
  <si>
    <t>ISS Helm's Handoff</t>
  </si>
  <si>
    <t>ISS Helm's Handoff
Command of the International Space Station was passed from Expedition 32 Commander Gennady Padalka of the Russian Federal Space Agency (Roscosmos) to NASA's Suni Williams during a ceremony on the orbital outpost Sept. 15. Padalka and Flight Engineers Joe Acaba of NASA and Sergei Revin of Roscosmos arrived at the station May 17 and will make a parachute-assisted landing on the steppe of Kazakhstan on Sept. 17 in their Soyuz TMA-04M spacecraft. Williams, Flight Engineer Aki Hoshide of the Japan Aerospace Exploration Agency and Russian Flight Engineer Yuri Malenchenko will be joined Oct. 17 by oncoming Expedition 33/34 crew members Kevin Ford of NASA an dOleg Novitskiy and Evgeny Tarelkin of Roscosmos.</t>
  </si>
  <si>
    <t>Tb3vqagpFHc</t>
  </si>
  <si>
    <t>2012 09 14</t>
  </si>
  <si>
    <t>https://youtu.be/wGrWPMo4D14</t>
  </si>
  <si>
    <t>The Nation says Farewell to Neil Armstrong on This Week @ NASA</t>
  </si>
  <si>
    <t>wGrWPMo4D14</t>
  </si>
  <si>
    <t>https://youtu.be/BnRAmUOvGCQ</t>
  </si>
  <si>
    <t>NASA's Mars Curiosity Rover Report %236</t>
  </si>
  <si>
    <t>BnRAmUOvGCQ</t>
  </si>
  <si>
    <t>https://youtu.be/GC9C5DhZuk8</t>
  </si>
  <si>
    <t>NASA 2012 Hispanic Heritage Month Profile - Pedro Curiel    Johnson Space Center</t>
  </si>
  <si>
    <t>Pedro Curiel is a Systems Engineer for the Robotics Division. He was born in Mexico in the City of Juarez, where he received his first engineering degree. He is currently conducting research and development for a next generation astronaut jetpack that will employ hands free operation. This type of jetpack could be operated hands free so that astronauts can then use their hands to do other activities and perform work on the exterior of spacecraft.</t>
  </si>
  <si>
    <t>GC9C5DhZuk8</t>
  </si>
  <si>
    <t>https://youtu.be/Gv1wYZ0dJ3A</t>
  </si>
  <si>
    <t>NASA 2012 Hispanic Heritage Month Profile - Azlin M. Biaggi-Labiosa, Ph.D -- Glenn Research Center</t>
  </si>
  <si>
    <t>Azlin works in the Sensors and Electronics Branch on the design, fabrication and testing of chemical sensors.  We will be able to get some shots in the testing lab to showcase the sensors.
The media relations team chose Azlin because of her strong outreach activities.  She is a math tutor for a 9th grade student at the Metropolitan Cleveland Consortium for Science, Technology, Engineering and Mathematics (MC2STEM) High School in the Great Lakes Science Center, she has supported the NASA Explorer School Virtual Symposium by evaluating science projects from elementary school students and has participated at various NASA Explorer School National Engineers Week, where she has given motivational talks for students to continue on in the study of STEM disciplines and more.</t>
  </si>
  <si>
    <t>Gv1wYZ0dJ3A</t>
  </si>
  <si>
    <t>https://youtu.be/mv7cHRz0q2A</t>
  </si>
  <si>
    <t>NASA 2012 Hispanic Heritage Month Profile -- Pablo Gomez -- Stennis Space Center</t>
  </si>
  <si>
    <t>Pablo Gomez is a Lead Instrumentation Engineer with NASA's Electrical Test Operations division at Stennis Space Center in Mississippi. He is a member of the J2X Engine testing team supporting NASA's Space Launch System program. Pablo has an extensive background on sensors to measure pressure, strain, vibration, temperature, force, flow, speed and proximity.  He has worked on the SSME, RS68, IPD, and J2X Power Pack testing at Stennis Space Center. He received his Bachelor of Science degree in Electrical Engineering from the University of South Alabama and a Masters in Business Administration from the University of Southern Mississippi.</t>
  </si>
  <si>
    <t>mv7cHRz0q2A</t>
  </si>
  <si>
    <t>https://youtu.be/xpa68lJhbOc</t>
  </si>
  <si>
    <t>NASA 2012 Hispanic Heritage Month Profile -- Luis Dominguez - Jet Propulsion Laboratory</t>
  </si>
  <si>
    <t>Luis Dominguez is a systems engineer in the Systems Integration and Test Group at NASA's Jet Propulsion Laboratory, Pasadena, California (JPL). Dominguez is a Test Conductor/Analyst for the Mars Science Laboratory (MSL) Mission System Testbed Team. He started at JPL as an academic part time employee in the fall of 2007 working for the MSL Assembly, Test, and Launch Operations (ATLO) Team and subsequently moved to the Testbed team in 2009. He was born and raised in Los Angeles, California in the Leimert Park/Mid-City area. Luis holds a B.S. in Mechanical Engineering from the California State Polytechnic University, Pomona.</t>
  </si>
  <si>
    <t>xpa68lJhbOc</t>
  </si>
  <si>
    <t>https://youtu.be/CfbMZHCh5ZI</t>
  </si>
  <si>
    <t xml:space="preserve"> A Celebration of the Life of Neil Armstrong </t>
  </si>
  <si>
    <t>Held at the Washington National Cathedral Sept. 13 and broadcast live on NASA TV, this program honored the contributions to NASA, the nation and humanity of Neil Armstrong, the first man to step foot on the moon. Armstrong died last month at 82.</t>
  </si>
  <si>
    <t>CfbMZHCh5ZI</t>
  </si>
  <si>
    <t>2012 09 13</t>
  </si>
  <si>
    <t>https://youtu.be/9q0FJUmencM</t>
  </si>
  <si>
    <t>ISS Expedition 34 35 Crew News Conference</t>
  </si>
  <si>
    <t>9q0FJUmencM</t>
  </si>
  <si>
    <t>https://youtu.be/1HV6wY6rhvA</t>
  </si>
  <si>
    <t>Neil Armstrong  American Hero</t>
  </si>
  <si>
    <t>The first man on the moon was also a decorated combat veteran and X-15 test pilot before joining the NASA astronaut corps in 1962.</t>
  </si>
  <si>
    <t>1HV6wY6rhvA</t>
  </si>
  <si>
    <t>https://youtu.be/1pQKZc2AXW0</t>
  </si>
  <si>
    <t>Produced by NASA Television</t>
  </si>
  <si>
    <t>1pQKZc2AXW0</t>
  </si>
  <si>
    <t>2012 09 12</t>
  </si>
  <si>
    <t>https://youtu.be/1ynkJSVNTnI</t>
  </si>
  <si>
    <t>Space Station Crew Member Discusses Life in Space with Media Representative</t>
  </si>
  <si>
    <t>Expedition 32 Flight Engineer Sunita Williams discussed the progress of her mission and the research being conducted on the International Space Station during an in-flight interview Sept. 11 with Spaceref.com. Williams, who arrived to the station in mid-July, will take over command of the complex for the Expedition 33 increment on Saturday until her return to Earth in mid-November.</t>
  </si>
  <si>
    <t>1ynkJSVNTnI</t>
  </si>
  <si>
    <t>https://youtu.be/QCNkWwIDZFg</t>
  </si>
  <si>
    <t>Space Station Crew Member Discusses Life in Space with Japanese Prime Minister</t>
  </si>
  <si>
    <t>Expedition 32 Flight Engineer Aki Hoshide of the Japan Aerospace Exploration Agency discussed the progress of his mission and research being conducted on the International Space Station with Japanese Prime Minister Yoshihiko Noda and other Japanese officials during an in-flight interview Sept. 12. The exchange took place on the 20th anniversary of the launch of the STS-47 mission on space shuttle Endeavour, which featured scientific research in the first Japanese Spacelab module.</t>
  </si>
  <si>
    <t>QCNkWwIDZFg</t>
  </si>
  <si>
    <t>2012 09 11</t>
  </si>
  <si>
    <t>https://youtu.be/YkDBcmfV6DI</t>
  </si>
  <si>
    <t>NASA Shuttle Carrier Aircraft Arrives at Kennedy Space Center</t>
  </si>
  <si>
    <t>NASA's Shuttle Carrier Aircraft (SCA), a modified 747 jumbo jet, touched down just before 4 p.m. EDT on Tuesday at the Shuttle Landing Facility (SLF) at the agency's Kennedy Space Center in Florida. The SCA, which is designated NASA 905, was the original shuttle carrier and was used in 1977 for the space shuttle approach and landing tests. This series of eight captive and five free flights with the orbiter prototype Enterprise, in addition to ground taxi tests, validated the aircraft's performance as an SCA, in addition to verifying the glide and landing characteristics of the orbiter configuration — paving the way for orbital flights and ferry flights. NASA 905 now will fly the final ferry flight in Space Shuttle Program history.</t>
  </si>
  <si>
    <t>YkDBcmfV6DI</t>
  </si>
  <si>
    <t>2012 09 07</t>
  </si>
  <si>
    <t>https://youtu.be/Dgv0P86rVVQ</t>
  </si>
  <si>
    <t>JFK's Rice Speech on NASA TV Sept. 12</t>
  </si>
  <si>
    <t>50 years ago, President John F. Kennedy delivered his historic "Space Challenge" speech to students and faculty at Rice University in Houston that included this now-iconic statement, "We choose to go to the moon not because it is easy but because it is hard." See and hear the speech in its entirety this Wednesday at 10:15 a.m. Central on NASA TV just as it was delivered that morning on September 12, 1962</t>
  </si>
  <si>
    <t>Dgv0P86rVVQ</t>
  </si>
  <si>
    <t>https://youtu.be/xlQtIqUI_1Y</t>
  </si>
  <si>
    <t>Armstrong Tributes Continue on This Week at NASA</t>
  </si>
  <si>
    <t>The outpouring of admiration and respect continues as people around the nation, including members of the NASA family, pay tribute to the late Neil Armstrong. Also, JFK's Rice speech revisited; Curiosity roves; Orion 'chutes and drop tests; EVA wrap-up; and more.</t>
  </si>
  <si>
    <t>xlQtIqUI_1Y</t>
  </si>
  <si>
    <t>2012 09 06</t>
  </si>
  <si>
    <t>https://youtu.be/3QAf1oRui-Q</t>
  </si>
  <si>
    <t>Space Campers Speak With Station Science Communication Coordinator</t>
  </si>
  <si>
    <t>From NASA's International Space Station Mission Control Center, International Space Station Science Communication Coordinator Liz Warren participates in a Digital Learning Network (DLN) event with students at a space camp Huntsville, Ala. The DLN connects students and teachers with NASA experts and education specialists using online communication technologies like video/web conferencing and webcasting. Register for free, interactive events listed in the catalog or watch the webcasts.</t>
  </si>
  <si>
    <t>3QAf1oRui-Q</t>
  </si>
  <si>
    <t>https://youtu.be/eyKhqFwSNcs</t>
  </si>
  <si>
    <t>ScienceCasts  Weird Planets</t>
  </si>
  <si>
    <t>Once, astronomers thought planets couldn't form around binary stars. Now Kepler has found a whole system of planets orbiting a double star. This finding shows that planetary systems are weirder and more abundant than previously thought.</t>
  </si>
  <si>
    <t>eyKhqFwSNcs</t>
  </si>
  <si>
    <t>2012 09 05</t>
  </si>
  <si>
    <t>https://youtu.be/Srcynvld7d8</t>
  </si>
  <si>
    <t>Check out Zero Robotics at http   zerorobotics.mit.edu</t>
  </si>
  <si>
    <t>NASA is among several partners supporting the 2012 Zero Robotics Competition that kicks off this Saturday, Sept. 8, at the Massachusetts Institute of Technology (MIT) in Cambridge, Mass. (NASA TV will provide live coverage beginning at 1 p.m. EDT.) The Zero Robotics finals are scheduled for next January.</t>
  </si>
  <si>
    <t>Srcynvld7d8</t>
  </si>
  <si>
    <t>https://youtu.be/p7r5HB1027E</t>
  </si>
  <si>
    <t>Suni and Aki's Spacewalk Success</t>
  </si>
  <si>
    <t>International Space Station program managers provide analysis to media following the successful 6 hour, 28 minute follow-on EVA performed by Expedition 32 spacewalkers Suni Williams and Aki Hoshide on Sept. 5. Williams and Hoshide successfully installed a replacement Main Bus Switching Unit (MBSU) after cleaning and lubricating the power relay unit's bolts and posts. The MBSU is routing power from the space station's solar arrays to components of the orbiting laboratory. The spacewalking duo also successfully removed and replaced a camera on the space station's Canadarm2 robotic arm. A "frozen" bolt prevented the duo from completing these tasks during their spacewalk last week.</t>
  </si>
  <si>
    <t>p7r5HB1027E</t>
  </si>
  <si>
    <t>https://youtu.be/0OFYjz_iw6E</t>
  </si>
  <si>
    <t>Remembering Neil Armstrong on This Week @NASA</t>
  </si>
  <si>
    <t>History will remember Neil Armstrong, foremost, as the first human to step foot on another heavenly body. But his NASA family and many admirers worldwide will forever appreciate him for more than just that one, albeit world-changing, accomplishment.</t>
  </si>
  <si>
    <t>0OFYjz_iw6E</t>
  </si>
  <si>
    <t>2012 08 31</t>
  </si>
  <si>
    <t>https://youtu.be/yuQLdraazBo</t>
  </si>
  <si>
    <t>NASA Hosts Spacewalk News Briefing</t>
  </si>
  <si>
    <t>Following the completion of the 164th spacewalk in support of International Space Station assembly and maintenance and the third longest spacewalk in EVA history, NASA officials spoke to the media.  The panel consisted of: Michael Suffredini, ISS Program Manager, Ed Van Cise, Expedition 32 Flight Director, Kieth Johnson, Expedition 32 Spacewalk Officer.</t>
  </si>
  <si>
    <t>yuQLdraazBo</t>
  </si>
  <si>
    <t>2012 08 30</t>
  </si>
  <si>
    <t>https://youtu.be/Qk8Qp-71Cus</t>
  </si>
  <si>
    <t>ScienceCasts  The Radiation Belt Storm Probes</t>
  </si>
  <si>
    <t>Most spacecraft try to avoid the Van Allen Belts, two doughnut-shaped regions around Earth filled with "killer electrons." This morning NASA launched two heavily-shielded spacecraft directly into the belts. The Radiation Belt Storm Probes are on a two-year mission to study the Van Allen Belts and to unravel the mystery of their unpredictability.</t>
  </si>
  <si>
    <t>Qk8Qp-71Cus</t>
  </si>
  <si>
    <t>https://youtu.be/lH0ZAZY7IUE</t>
  </si>
  <si>
    <t>Radiation Belt Storm Probe Mission Post-Launch News Conference</t>
  </si>
  <si>
    <t>Following the successful launch of an Atlas V rocket and the separation of the twin Radiation Belt Storm Probes, Richard Fitzgerald, RBSP Project Manager, Michael Luther, Deputy Associate Administrator Science Mission Directorate and Nicky Fox, RBSP Deputy Project Scientist, spoke briefly to the assembled media.</t>
  </si>
  <si>
    <t>lH0ZAZY7IUE</t>
  </si>
  <si>
    <t>https://youtu.be/Z0aX3n7T0fU</t>
  </si>
  <si>
    <t>NASA Launches Radiation Belt Storm Probes Mission</t>
  </si>
  <si>
    <t>NASA's Radiation Belt Storm Probes (RBSP), the first twin-spacecraft mission designed to explore our planet's radiation belts, launched into the predawn skies at 4:05a.m. EDT Thursday from Cape Canaveral Air Force Station, Fla. 
The two satellites, each weighing just less than 1,500 pounds, comprise the first dual-spacecraft mission specifically created to investigate this hazardous regions of near-Earth space, known as the radiation belts. These two belts, named for their discoverer, James Van Allen, encircle the planet and are filled with highly charged particles. The belts are affected by solar storms and coronal mass ejections and sometimes swell dramatically. When this occurs, they can pose dangers to communications, GPS satellites and human spaceflight. 
The hardy RBSP satellites will spend the next 2 years looping through every part of both Van Allen belts. By having two spacecraft in different regions of the belts at the same time, scientists finally will be able to gather data from within the belts themselves, learning how they change over space and time. Designers fortified RBSP with special protective plating and rugged electronics to operate and survive within this punishing region of space that other spacecraft avoid. In addition, a space weather broadcast will transmit selected data from those instruments around the clock, giving researchers a check on current conditions near Earth.</t>
  </si>
  <si>
    <t>Z0aX3n7T0fU</t>
  </si>
  <si>
    <t>https://youtu.be/w3tG_UW-k7Q</t>
  </si>
  <si>
    <t>ScienceCasts  Watch Out For The Blue Moon</t>
  </si>
  <si>
    <t>The second full Moon of August--a "Blue Moon"--is just around the corner. It will probably look just like any other full Moon but, on rare occasions, the Moon really does turn blue. Could it happen this month?</t>
  </si>
  <si>
    <t>w3tG_UW-k7Q</t>
  </si>
  <si>
    <t>2012 08 29</t>
  </si>
  <si>
    <t>https://youtu.be/sd1vKkgz5gI</t>
  </si>
  <si>
    <t>Mars Special from NASA's Jet Propulsion Laboratory</t>
  </si>
  <si>
    <t>sd1vKkgz5gI</t>
  </si>
  <si>
    <t>2012 08 28</t>
  </si>
  <si>
    <t>https://youtu.be/7qwqyU4pg_E</t>
  </si>
  <si>
    <t>Station Crew Member Discusses Life in Space with Ohio Students</t>
  </si>
  <si>
    <t>Aboard the International Space Station, Expedition 32 Flight Engineer Sunita Williams of NASA fielded questions from students at the Wickliffe Progressive Community School in Upper Arlington, Ohio, during an in-flight educational event on Aug. 28. Williams will be joined by Japanese astronaut Akihiko Hoshide for a 6 ½ hour spacewalk on Aug. 30 to replace a power switching unit on the station and to rig cables for the future arrival of a Russian laboratory module.</t>
  </si>
  <si>
    <t>7qwqyU4pg_E</t>
  </si>
  <si>
    <t>https://youtu.be/ixaf3td-qxU</t>
  </si>
  <si>
    <t>NASA Science Curiosity Mission News Conference</t>
  </si>
  <si>
    <t>ixaf3td-qxU</t>
  </si>
  <si>
    <t>2012 08 27</t>
  </si>
  <si>
    <t>https://youtu.be/j12YWoU0X_0</t>
  </si>
  <si>
    <t>Armstrong Remembered by NASA Administrator</t>
  </si>
  <si>
    <t>In a message to NASA employees, Administrator Charles Bolden celebrates the legacy of Neil Armstrong, who died Saturday, Aug. 25, at age 82.</t>
  </si>
  <si>
    <t>j12YWoU0X_0</t>
  </si>
  <si>
    <t>https://youtu.be/7R1VvQH1mEo</t>
  </si>
  <si>
    <t>Expedition 32 InFlight Event for Destination Station</t>
  </si>
  <si>
    <t>7R1VvQH1mEo</t>
  </si>
  <si>
    <t>2012 08 26</t>
  </si>
  <si>
    <t>https://youtu.be/3TrNN_eTau0</t>
  </si>
  <si>
    <t>Armstrong Hosts NASA 50th Anniversary Documentary</t>
  </si>
  <si>
    <t>Neil Armstrong, Apollo 11 Commander and first person to walk on the moon, guides us through the history of the National Aeronautics and Space Administration in the half-century since its establishment in 1958. Produced by NASA TV, 2008.</t>
  </si>
  <si>
    <t>3TrNN_eTau0</t>
  </si>
  <si>
    <t>https://youtu.be/vBmxnVm7vUw</t>
  </si>
  <si>
    <t>NASA Celebrates Apollo</t>
  </si>
  <si>
    <t>This live program at the National Air and Space Museum in Washington, DC highlights the success of America's space program as it met President Kennedy's challenge of putting a man on the moon by the end of the 1960s. Neil Armstrong, Apollo 11 Commander, who was the first person to set foot on the lunar surface on July 20, 1969, features prominently.</t>
  </si>
  <si>
    <t>vBmxnVm7vUw</t>
  </si>
  <si>
    <t>https://youtu.be/Bj3n1BIq_5I</t>
  </si>
  <si>
    <t>50 Years of Exploration  The Golden Anniversary of NASA</t>
  </si>
  <si>
    <t>Premiered in 2008 at NASA's Golden Anniversary Gala held at the Smithsonian National Air and Space Museum's Udvar-Hazy Center in Chantilly, Va., this 13-and-a-half-minute video produced by NASA TV highlights the agency's historic half-century milestones, including the landing of Apollo 11's Neil Armstrong and Buzz Aldrin on the moon in 1969.</t>
  </si>
  <si>
    <t>Bj3n1BIq_5I</t>
  </si>
  <si>
    <t>https://youtu.be/2D5U7I0yLcU</t>
  </si>
  <si>
    <t>Armstrong Recalls History-Making Career</t>
  </si>
  <si>
    <t>The first man on the moon discusses his career as a test pilot and NASA astronaut during his participation in the Smithsonian National Air and Space Museum's annual John Glenn Lecture Series on July 19, 2009,</t>
  </si>
  <si>
    <t>2D5U7I0yLcU</t>
  </si>
  <si>
    <t>2012 08 24</t>
  </si>
  <si>
    <t>https://youtu.be/v5O3CfTu1d4</t>
  </si>
  <si>
    <t>Curiosity's First Drive on This Week @NASA</t>
  </si>
  <si>
    <t>NASA's Mars Curiosity rover has made its first footprints on Mars. Curiosity completed a short drive during which rover drivers at The Jet Propulsion Laboratory commanded Curiosity to move forward, perform a series of turns and move in reverse. The six-wheeled one-ton rover traveled roughly 20 feet from the spot where it made its landing in early August. Meanwhile the Curiosity science team has named the landing site after the late Ray Bradbury, an influential author and a huge proponent of Mars exploration. Bradbury, who passed away earlier this year, would have been 92 on the day of the announcement. Also, NASA has selected a new mission, set to launch in 2016, that will take the first look into the deep interior of Mars, Engineers at Marshall Space Flight Center are testing early scale models of NASA's Space Launch System, The Orion Multi-purpose Crew Vehicle undergoes its first vertical drop test and more!</t>
  </si>
  <si>
    <t>v5O3CfTu1d4</t>
  </si>
  <si>
    <t>2012 08 23</t>
  </si>
  <si>
    <t>https://youtu.be/w0SaKPuocRA</t>
  </si>
  <si>
    <t>NASA Social for RBSP Launch</t>
  </si>
  <si>
    <t>NASA hosted a two-day event for 50 social media followers on August 22-23, 2012, at NASA's Kennedy Space Center in Florida. NASA's twin Radiation Belt Storm Probes (RBSP) are scheduled to lift off aboard a United Launch Alliance Atlas V rocket at 4:08 a.m. on August 23. Designed for a two-year primary science mission in orbit around Earth, RBSP will provide insight into our planet's radiation belts, and help scientists predict changes in this critical region of space.</t>
  </si>
  <si>
    <t>w0SaKPuocRA</t>
  </si>
  <si>
    <t>https://youtu.be/JCYFC1ppXug</t>
  </si>
  <si>
    <t>Station Crew Member Discusses Life in Space with Japanese Media (English Translated Version)</t>
  </si>
  <si>
    <t>Expedition 32 Flight Engineer Aki Hoshide of the Japan Aerospace Exploration Agency fielded questions about his mission aboard the International Space Station during an in-flight interview Aug. 23 with the Japanese television network "TV Asahi." Hoshide will remain in orbit until mid-November.</t>
  </si>
  <si>
    <t>JCYFC1ppXug</t>
  </si>
  <si>
    <t>https://youtu.be/EfydyUOv9TM</t>
  </si>
  <si>
    <t>Curiosity Mission Update  Rover at Bradbury Landing</t>
  </si>
  <si>
    <t>NASA's Mars rover Curiosity has begun driving from its landing site, which scientists have named for the late author Ray Bradbury. Bradbury inspired generations with his stories, including tales of life on Mars</t>
  </si>
  <si>
    <t>EfydyUOv9TM</t>
  </si>
  <si>
    <t>2012 08 22</t>
  </si>
  <si>
    <t>https://youtu.be/92qi9JBhGUI</t>
  </si>
  <si>
    <t>Station Crew Discusses Life in Space With Social Media Followers</t>
  </si>
  <si>
    <t>Aboard the International Space Station, Expedition 32 Flight Engineers Sunita Williams and Joe Acaba fielded questions about the progress of their mission and their research aboard the orbital laboratory during an in-flight discussion with social media devotees Aug. 22. Williams, who will conduct a spacewalk out of the Quest airlock on the station Aug. 30, will remain aboard the complex until mid-November. Acaba, who has been on board since mid-May, is preparing to return to Earth in four weeks.</t>
  </si>
  <si>
    <t>92qi9JBhGUI</t>
  </si>
  <si>
    <t>2012 08 21</t>
  </si>
  <si>
    <t>https://youtu.be/er8lbdGHiro</t>
  </si>
  <si>
    <t>Scientists Discuss the Radiation Belt Storm Probes Mission</t>
  </si>
  <si>
    <t>At the Kennedy Space Center, program scientists preview NASA's Radiation Belt Storm Probes (RBSP) mission. RBSP is being designed to help us understand the Sun's influence on Earth and Near-Earth space by studying the Earth's radiation belts on various scales of space and time. The mission is scheduled to launch from Cape Canaveral Air Force Station in Florida on August 24.</t>
  </si>
  <si>
    <t>er8lbdGHiro</t>
  </si>
  <si>
    <t>https://youtu.be/QMMGiBffvII</t>
  </si>
  <si>
    <t>Station Crew Conducts Spacewalk</t>
  </si>
  <si>
    <t>Aboard the International Space Station, Expedition 32 Commander Gennady Padalka and Flight Engineer Yuri Malenchenko conducted a spacewalk Aug. 20 to attach micrometeoroid debris panels to the Zvezda Service Module, relocate a cargo boom from the Pirs Docking Compartment to the Zarya module, deploy a small engineering test satellite and collect science samples. It was the 163rd spacewalk in support of station assembly and maintenance, the ninth in Padalka's career and the fifth for Malenchenko.</t>
  </si>
  <si>
    <t>QMMGiBffvII</t>
  </si>
  <si>
    <t>https://youtu.be/vAS1YUi8Jgc</t>
  </si>
  <si>
    <t>President Praises Curiosity Team on This Week @NASA</t>
  </si>
  <si>
    <t>Phoning from aboard Air Force One, President Obama congratulated the Mars Science Laboratory team at the Jet Propulsion Laboratory for its successful landing of the Curiosity rover on the Red Planet. Also, sun's decadal survey;  Orion testing; and more!</t>
  </si>
  <si>
    <t>vAS1YUi8Jgc</t>
  </si>
  <si>
    <t>2012 08 20</t>
  </si>
  <si>
    <t>https://youtu.be/9jfB3KU1UqY</t>
  </si>
  <si>
    <t>Media Briefed on Pre-Launch Status of Radiation Belt Storm Probe Mission</t>
  </si>
  <si>
    <t>At the Kennedy Space Center, mission managers discuss the status of NASA's Radiation Storm Belt Probes (RBSP) mission. The launch of RBSP is delayed to Friday August 24 while engineers checkout the Atlas V launch vehicle. The launch window opens at Cape Canaveral Air Force Station in Florida at 4:07 a.m. EDT on August 24.</t>
  </si>
  <si>
    <t>9jfB3KU1UqY</t>
  </si>
  <si>
    <t>2012 08 17</t>
  </si>
  <si>
    <t>https://youtu.be/hnFNgqyyUi0</t>
  </si>
  <si>
    <t>hnFNgqyyUi0</t>
  </si>
  <si>
    <t>https://youtu.be/njp6ffI_rg4</t>
  </si>
  <si>
    <t xml:space="preserve">ScienceCasts  Where Will Curiosity Go First </t>
  </si>
  <si>
    <t>Curiosity is safe on Mars and ready to roll. In this video from Science@NASA, project scientist John Grotzinger discusses where the rover might go first.</t>
  </si>
  <si>
    <t>njp6ffI_rg4</t>
  </si>
  <si>
    <t>https://youtu.be/2KnTpm9Y77E</t>
  </si>
  <si>
    <t>We're NASA and We Know It (Mars Curiosity) Satire</t>
  </si>
  <si>
    <t>Performed by David Hudson [http://twitter.com/dubhud]
Executive Producer: Alexander JL Theoharis [http://twitter.com/Satire]
Director: Forest Gibson [http://twitter.com/ForestGibson]
Editors: Cinesaurus [http://cinesaurus.com]
Steven Hudson [http://twitter.com/HudsonFilm] &amp; David Hudson [http://twitter.com/DubHud]
Written by Rob Whitehead [http://twitter.com/RobCWhitehead]
Prop Designer: Christopher Parker [http://twitter.com/chrstphrprkr]
Costumer: Jared Cheshier [http://twitter.com/JaredMonkey]
Camera Operator: Forest Gibson, Steven Hudson, Jon Sim
Cast: Steven Hudson, Tara Theoharis [http://twitter.com/geekyhostess], Zac Cohn [http://twitter.com/zaccohn], Danielle Sparks [http://twitter.com/dannysparky], Kevin Lane [http://twitter.com/_kevin_lane_], Monica Houston, Anne Ketola, Tim Uomoto [http://twitter.com/FRockClothing], Brendan Uomoto, Alexander JL Theoharis
Promotional Support: Zac Cohn and Tara Theoharis
Special Thanks to Anne Ketola for all the awesome NASA gear, and David Zimmerman for video equipment!
Lyrics:
When I EDL, time for seven minutes of flamin' hell
Rover's touchin' down
everybody passin' peanuts around, yeah
We're at mission control, getting full use outta ev-er-y Sol (wa!)
Just 25 feet left to go
It's Curiosity, look out below (yo)
Crane lower that rover (ah)
Crane lower that rover (ah)
Crane lower that rover (ah)
N-N-N-Now bug out!
Crane lower that rover
Crane lower that rove
Crane lower that rover
Now bug out!
Kickin' it at my con(sole), this is what I see (okay)
Data streaming back from curiosity
I got stars on my 'hawk
and I ain't afraid to show it (show it, show it, show it)
We're NASA and we know it
We're NASA and we know it
(Yo)
When I look for ice, gotta calibrate, gotta be precise
And when I raise the mast, panoramic views are unsurpassed (wha?)
This is how I rove, baking red rocks in my nuclear stove
We headed to the peak, with my laser eye
No one to bury me when it's time to die (ow!)
Crane lower that rover
Crane lower that rover
Crane lower that rover
Now bug out!
Crane lower that rover
Crane lower that rover
Crane lower that rover
Now bug out!
Shoutout to Carl the Sage (and) Neil Degrasse T (B.A.!)
Shoutout to JPL and the Rocker-Bogie
We're better than SpaceX
And we ain't afraid to show it (show it, show it, show it)
We're NASA and we know it
We're NASA and we know it</t>
  </si>
  <si>
    <t>2KnTpm9Y77E</t>
  </si>
  <si>
    <t>2012 08 14</t>
  </si>
  <si>
    <t>https://youtu.be/56xBnFPuDBU</t>
  </si>
  <si>
    <t>Spacewalk Scoped Out for Media</t>
  </si>
  <si>
    <t>The upcoming spacewalk by Russian and American members of the Expedition 32 crew aboard the International Space Station is previewed for journalists at NASA's Johnson Space Center in Houston.</t>
  </si>
  <si>
    <t>56xBnFPuDBU</t>
  </si>
  <si>
    <t>https://youtu.be/YyodK2g6aok</t>
  </si>
  <si>
    <t>Curiosity Gets Ready to Rove Red Planet</t>
  </si>
  <si>
    <t>NASA's Mars Curiosity rover team member Jessica Samuels updates you on developments and status of the mission now that it's preparing to explore Gale Crater. Curiosity carries 10 science instruments with a total mass 15 times as large as the science payloads on NASA's Mars rovers Spirit and Opportunity. Some of the tools, such as a laser-firing instrument for checking rocks' elemental composition from a distance, are the first of their kind on Mars. Curiosity will use a drill and scoop, which are located at the end of its robotic arm, to gather soil and powdered samples of rock interiors, then sieve and parcel out these samples into the rover's analytical laboratory instruments.</t>
  </si>
  <si>
    <t>YyodK2g6aok</t>
  </si>
  <si>
    <t>2012 08 13</t>
  </si>
  <si>
    <t>https://youtu.be/BvQ0PUqd7PI</t>
  </si>
  <si>
    <t>President Obama Congratulates Curiosity Team</t>
  </si>
  <si>
    <t>President Obama congratulates JPL Center Director Charles Elachi and the Mars Science Laboratory team for their successful landing of the Curiosity rover on the surface of the Red Planet in a phone call made from Air Force One on Aug. 13, 2012.</t>
  </si>
  <si>
    <t>BvQ0PUqd7PI</t>
  </si>
  <si>
    <t>2012 08 10</t>
  </si>
  <si>
    <t>https://youtu.be/aItHV96NJt4</t>
  </si>
  <si>
    <t>Shatner Shares Curiosity's Course</t>
  </si>
  <si>
    <t>"Star Trek" star and NASA enthusiast, William Shatner describes what the rover will do and, hopefully, achieve now that it's safely on the Red Planet.</t>
  </si>
  <si>
    <t>aItHV96NJt4</t>
  </si>
  <si>
    <t>https://youtu.be/PRIlOPJQqsE</t>
  </si>
  <si>
    <t>Curiosity Sticks the Landing on This Week @NASA</t>
  </si>
  <si>
    <t>The whole world seemed to be watching as the Mars Science Laboratory's Curiosity rover landed safely in Gale Crater following its 8-1/2-month journey from Earth. Also, space weather; virtual KSC tours; wish to explore; and more!</t>
  </si>
  <si>
    <t>PRIlOPJQqsE</t>
  </si>
  <si>
    <t>https://youtu.be/BArApRIjdTI</t>
  </si>
  <si>
    <t>Curiosity Checks In on Sol 5</t>
  </si>
  <si>
    <t>The latest pictures from the Martian surface are unveiled to media at NASA's JPL in Pasadena, Calif. The Curiosity rover has begun a two-year investigation of whether the Red Planet can or ever has supported microbial life.</t>
  </si>
  <si>
    <t>BArApRIjdTI</t>
  </si>
  <si>
    <t>https://youtu.be/H5-HyE_PKZ8</t>
  </si>
  <si>
    <t>Making NASA History</t>
  </si>
  <si>
    <t>"Making NASA History" is a 12 minute video introducing kids to the key moments in the history of the American space program. This video combines historical footage, photographs, and audio files with narration by two spacesuit-sporting interns from the NASA History Program Office. The goal of this video is to inspire both kids and adults to appreciate and learn more about NASA's many accomplishments in space exploration and aeronautics.</t>
  </si>
  <si>
    <t>H5-HyE_PKZ8</t>
  </si>
  <si>
    <t>2012 08 09</t>
  </si>
  <si>
    <t>https://youtu.be/_NcaHJ0S_LA</t>
  </si>
  <si>
    <t>ScienceCasts  2012 Perseid Meteor Shower</t>
  </si>
  <si>
    <t>The Perseid meteor shower is underway. There's more to see than meteors, however, when the shower peaks on August 11th through 13th. The brightest planets in the solar system are lining up in the middle of the display.</t>
  </si>
  <si>
    <t>_NcaHJ0S_LA</t>
  </si>
  <si>
    <t>https://youtu.be/hBfNkGs47NE</t>
  </si>
  <si>
    <t>New NASA Mission to Study Space Weather</t>
  </si>
  <si>
    <t>With 14 days until its launch, the Radiation Belt Storm Probes mission is previewed by scientists at NASA Headquarters in Washington. RBSP will study the role of the Earth's radiation belts in producing space weather that can adversely affect communications and electronic systems.</t>
  </si>
  <si>
    <t>hBfNkGs47NE</t>
  </si>
  <si>
    <t>https://youtu.be/y_FH6PByZeY</t>
  </si>
  <si>
    <t>Sol 4 Status of MSL Mission</t>
  </si>
  <si>
    <t>Members of the Curiosity rover team brief media at NASA's Jet Propulsion Laboratory in Pasadena, Calif. four days into start of the mission on the Martian surface.</t>
  </si>
  <si>
    <t>y_FH6PByZeY</t>
  </si>
  <si>
    <t>https://youtu.be/BzKVPnmI-8Q</t>
  </si>
  <si>
    <t>Aki Chats with Young Astronauts</t>
  </si>
  <si>
    <t>Aboard the International Space Station, JAXA astronaut Aki Hoshide talks with members of Tokyo's Young Astronauts Club on August 9, 2012.</t>
  </si>
  <si>
    <t>BzKVPnmI-8Q</t>
  </si>
  <si>
    <t>https://youtu.be/8x9Jp1tSkqo</t>
  </si>
  <si>
    <t>Fossum Faces Future Flyers</t>
  </si>
  <si>
    <t>NASA astronaut Mike Fossum is questioned by young space camp attendees during a Digital Learning event broadcast from the Johnson Space Center in Houston.</t>
  </si>
  <si>
    <t>8x9Jp1tSkqo</t>
  </si>
  <si>
    <t>2012 08 08</t>
  </si>
  <si>
    <t>https://youtu.be/6f8HHQ2U2jg</t>
  </si>
  <si>
    <t>MSL Sol 3 Update</t>
  </si>
  <si>
    <t>6f8HHQ2U2jg</t>
  </si>
  <si>
    <t>https://youtu.be/C_d6aneQ7Bg</t>
  </si>
  <si>
    <t>Expedition 32 InFlight Interviews with WAPA-TV and Univision</t>
  </si>
  <si>
    <t>C_d6aneQ7Bg</t>
  </si>
  <si>
    <t>2012 08 07</t>
  </si>
  <si>
    <t>https://youtu.be/m5YtXtp5WAc</t>
  </si>
  <si>
    <t>First Color Pic Beamed Back by Curiosity on Sol 2</t>
  </si>
  <si>
    <t>Curiosity's first color picture from the surface of Mars is beamed back to Earth to highlight the rover's second Martian day, or sol, spent on the Red Planet.</t>
  </si>
  <si>
    <t>m5YtXtp5WAc</t>
  </si>
  <si>
    <t>https://youtu.be/j3smd4INzng</t>
  </si>
  <si>
    <t>Curiosity Has Landed! on This Week @NASA</t>
  </si>
  <si>
    <t>Following a daring plunge through the Martian Atmosphere -- billed as 7-minutes of Terror, The Mars Science Laboratory's Curiosity rover made a successful, on-target landing on the Red Planet in Gale Crater. Curiosity is scheduled to conduct a two-year mission to investigate the most intriguing places on Mars in an effort to determine if microbial life is possible on the planet. Also, engineers at the Johnson Space Center have conducted test firings of the Project Morpheus Lander, the quickest trip ever to the International Space Station of an unpiloted Russian Progress resupply ship , Marking History at Kennedy Space Center's Shuttle Landing Facility and more!</t>
  </si>
  <si>
    <t>j3smd4INzng</t>
  </si>
  <si>
    <t>https://youtu.be/AAA3ANe8FMs</t>
  </si>
  <si>
    <t>MSL Landing Recap and Sol 1 Outlook</t>
  </si>
  <si>
    <t>AAA3ANe8FMs</t>
  </si>
  <si>
    <t>https://youtu.be/drGX9SVQQRI</t>
  </si>
  <si>
    <t>Curiosity's Sol 1 Scoped for Media</t>
  </si>
  <si>
    <t>An update of Curiosity's mission is provided media at the halfway point of the NASA rover's first Martian day, Sol 1.</t>
  </si>
  <si>
    <t>drGX9SVQQRI</t>
  </si>
  <si>
    <t>2012 08 06</t>
  </si>
  <si>
    <t>https://youtu.be/Ti_yre6dsa4</t>
  </si>
  <si>
    <t>Curiosity has Landed</t>
  </si>
  <si>
    <t>Get a behind the scenes look a the tension, anticipation and exhilaration experienced by scientists and engineers at NASA's Jet Propulsion Laboratory in Pasadena, Calif. during the Curiosity rover's harrowing descent through the Martian atmosphere -- known as "Seven 
Minutes of Terror." News of Curiosity's safe touchdown following the 13-thousand-to-zero-mile-an-hour descent to the Red Planet's surface brought elation and high-fives all around. Curiosity begins a two-year investigation of whether Mars is or ever was capable of supporting 
microbial life.</t>
  </si>
  <si>
    <t>Ti_yre6dsa4</t>
  </si>
  <si>
    <t>https://youtu.be/FVzfDZlEwaU</t>
  </si>
  <si>
    <t>Curiosity Rover Begins Mars Mission</t>
  </si>
  <si>
    <t>NASA's Jet Propulsion Laboratory in Pasadena, Calif. hosts a briefing for media following the Curiosity rover's successful landing in Gale Crater on the Red Planet.</t>
  </si>
  <si>
    <t>FVzfDZlEwaU</t>
  </si>
  <si>
    <t>https://youtu.be/wnG-rFFpP8A</t>
  </si>
  <si>
    <t>NASA Lands Car-Size Rover Beside Martian Mountain</t>
  </si>
  <si>
    <t>NASA's most advanced Mars rover Curiosity has landed on the Red Planet. The one-ton rover, hanging by ropes from a rocket backpack, touched down onto Mars Sunday to end a 36-week flight and begin a two-year investigation.
The Mars Science Laboratory (MSL) spacecraft that carried Curiosity succeeded in every step of the most complex landing ever attempted on Mars, including the final severing of the bridle cords and flyaway maneuver of the rocket backpack.</t>
  </si>
  <si>
    <t>wnG-rFFpP8A</t>
  </si>
  <si>
    <t>2012 08 05</t>
  </si>
  <si>
    <t>https://youtu.be/imOr0y74FxI</t>
  </si>
  <si>
    <t>Science Chat with NASA's John Grunsfeld and JPL's Charles Elachi</t>
  </si>
  <si>
    <t>imOr0y74FxI</t>
  </si>
  <si>
    <t>https://youtu.be/Ps01BLaO7D8</t>
  </si>
  <si>
    <t>MSL Curiosity Pre-Landing News Conference and Rover Communication Overview</t>
  </si>
  <si>
    <t>Ps01BLaO7D8</t>
  </si>
  <si>
    <t>2012 08 04</t>
  </si>
  <si>
    <t>https://youtu.be/7yB9-oMj2ew</t>
  </si>
  <si>
    <t>MSL Mission Status and Entry, Descent and Landing Overview</t>
  </si>
  <si>
    <t>7yB9-oMj2ew</t>
  </si>
  <si>
    <t>2012 08 03</t>
  </si>
  <si>
    <t>https://youtu.be/DLbSvMk4Pf0</t>
  </si>
  <si>
    <t>Curiosity's Landing on This Week @NASA</t>
  </si>
  <si>
    <t>The much-anticipated landing of the Mars Science Laboratory with Curiosity, the Red Planet's next resident rover, is this Monday, at 1:31 a.m. Eastern. Having been configured by the MSL flight team for entry, descent and landing the spacecraft is on final approach for its targeted touchdown in Gale Crater. Coverage of Curiosity's landing begins Sunday at 11:30 p.m. Eastern on all three NASA TV channels, nasa.gov, AND, Xbox 360. Also, engineers at the Johnson Space Center have conducted test firings of the Project Morpheus Lander, the quickest trip ever to the International Space Station of an unpiloted Russian Progress resupply ship , Marking History at Kennedy Space Center's Shuttle Landing Facility and more!</t>
  </si>
  <si>
    <t>DLbSvMk4Pf0</t>
  </si>
  <si>
    <t>https://youtu.be/dmhSov4m1MI</t>
  </si>
  <si>
    <t>NASA Chooses Next-Gen Companies for Human Spaceflight</t>
  </si>
  <si>
    <t>At a briefing from NASA's Kennedy Space Center in Florida, NASA Administrator Charles Bolden announces new agreements with three American commercial companies, Sierra Nevada, SpaceX and Boeing,  to design and develop the next generation of U.S. human spaceflight capabilities, enabling a launch of astronauts from U.S. soil in the next five years.</t>
  </si>
  <si>
    <t>dmhSov4m1MI</t>
  </si>
  <si>
    <t>2012 08 02</t>
  </si>
  <si>
    <t>https://youtu.be/QnodZFD0-RM</t>
  </si>
  <si>
    <t>ScienceCasts  Meteor Smoke Makes Strange Clouds</t>
  </si>
  <si>
    <t>A key ingredient of Earth's strangest clouds does not come from Earth. New data from NASA's AIM spacecraft proves that "meteor smoke" is essential to the formation of noctilucent clouds.</t>
  </si>
  <si>
    <t>QnodZFD0-RM</t>
  </si>
  <si>
    <t>https://youtu.be/nA3rOlwOfzY</t>
  </si>
  <si>
    <t>2012 NASA Agency Honor Awards Ceremony</t>
  </si>
  <si>
    <t>Recognizing those who have distinguished themselves through outstanding contributions to the agency's mission.</t>
  </si>
  <si>
    <t>nA3rOlwOfzY</t>
  </si>
  <si>
    <t>https://youtu.be/7jZslKRtZNE</t>
  </si>
  <si>
    <t>7jZslKRtZNE</t>
  </si>
  <si>
    <t>https://youtu.be/q6lP8Kg9jnE</t>
  </si>
  <si>
    <t>Station Crew Member Suni Williams Discusses Life in Space with Media Representatives</t>
  </si>
  <si>
    <t>Aboard the International Space Station, Expedition 32 Flight Engineer Sunita Williams, a Massachusetts native, discussed her activities aboard the orbital laboratory in a series of in-flight interviews July 31 with WCAI Radio, the National Public Radio affiliate in Woods Hole, Mass., and CNN's Sanjay Gupta. Gupta will participate in a triathlon competition on Earth in August while Williams hopes to emulate that in orbit. The two discussed the effects of weightlessness on physical fitness for astronauts who are living in space for long periods of time.</t>
  </si>
  <si>
    <t>q6lP8Kg9jnE</t>
  </si>
  <si>
    <t>https://youtu.be/KP-IR0MkZfs</t>
  </si>
  <si>
    <t>MSL Mission Science Overview</t>
  </si>
  <si>
    <t>KP-IR0MkZfs</t>
  </si>
  <si>
    <t>https://youtu.be/SwXe_X4UKoM</t>
  </si>
  <si>
    <t>MSL Mission Engineering Overview</t>
  </si>
  <si>
    <t>SwXe_X4UKoM</t>
  </si>
  <si>
    <t>https://youtu.be/zyXOTYlkSVI</t>
  </si>
  <si>
    <t>NEW RUSSIAN RESUPPLY SHIP COMPLETES EXPEDITED TRIP TO THE SPACE STATION</t>
  </si>
  <si>
    <t>An unpiloted Russian resupply ship, loaded with almost three tons of food, fuel and supplies for the six crew members on the International Space Station, linked up to the orbital laboratory's Pirs docking compartment Aug. 1. The successful docking wrapping up an accelerated six-hour trip after launch from the Baikonur Cosmodrome in Kazakhstan. The ISS Progress 48 craft lifted off at 3:35 p.m. EDT (1:35 a.m. Aug. 2 Baikonur time), and just six hours later, automatically docked to the station. The amended rendezvous was designed to test a method for conducting additional firings of the Progress engines early in its mission to expedite the time required for a Russian vehicle to reach the complex. After analysis by Russian engineers and managers, the technique could be applied to manned Soyuz vehicles in the future to improve crew comfort and extend the life of the Soyuz return vehicle while docked to the international outpost.</t>
  </si>
  <si>
    <t>zyXOTYlkSVI</t>
  </si>
  <si>
    <t>2012 07 30</t>
  </si>
  <si>
    <t>https://youtu.be/nzYZlkHkM1M</t>
  </si>
  <si>
    <t>Space Station Supply Ship Departs for the Final Time</t>
  </si>
  <si>
    <t>The unpiloted Russian ISS Progress 47 cargo ship, loaded with trash and supplies no longer needed by the Expedition 32 crew, undocked from the International Space Station for the final time July 30 and maneuvered to a safe distance from the complex for several weeks of engineering tests. The Progress separated from the Pirs Docking Compartment two days after redocking to that port to test an upgraded automated rendezvous system. The Progress initially undocked from the station July 22. An initial attempt to redock the following day was unsuccessful due to the effect of low temperatures in the system that Russian engineers solved to enable the redocking to occur on July 28. The Progress will be deorbited in late August to burn up in Earth's atmosphere over the Pacific Ocean.</t>
  </si>
  <si>
    <t>nzYZlkHkM1M</t>
  </si>
  <si>
    <t>https://youtu.be/nttnecwEku8</t>
  </si>
  <si>
    <t>Shatner Hosts Curiosity's  Grand Entrance  to Mars</t>
  </si>
  <si>
    <t>Actor William Shatner narrates this thrilling video about NASA's Curiosity rover, from its entry and descent through the Martian atmosphere to its landing and exploration of the Red Planet in NASA's hardest planetary science mission to date.</t>
  </si>
  <si>
    <t>nttnecwEku8</t>
  </si>
  <si>
    <t>https://youtu.be/7-I1CfgIyNU</t>
  </si>
  <si>
    <t>Wheaton Guides Curiosity's Fans to Red Planet</t>
  </si>
  <si>
    <t>Actor and writer Wil Wheaton hosts this compelling video showcasing the "Grand Entrance" of NASA's Curiosity rover at Mars in the most difficult planetary science mission in history.</t>
  </si>
  <si>
    <t>7-I1CfgIyNU</t>
  </si>
  <si>
    <t>2012 07 29</t>
  </si>
  <si>
    <t>https://youtu.be/pAEmnmrLjw8</t>
  </si>
  <si>
    <t>Unmanned Russian Cargo Ship Redocks to Station In Test of Upgraded Rendezvous System</t>
  </si>
  <si>
    <t>The unpiloted Russian cargo ship, ISS Progress 47, redocked to the International Space Station July 28 after completing tests of an upgraded rendezvous system designed to facilitate future automated dockings to the orbital outpost.  Progress 47 linked up to the Pirs Docking Compartment after an initial attempt on July 23 was aborted due to a problem with the new system. The Progress, which is loaded with trash and items no longer needed on the station, will undock for good on July 30 and will depart the vicinity of the station for several weeks of tests by ground controllers before being sent into a destructive reentry over the Pacific Ocean in late August.</t>
  </si>
  <si>
    <t>pAEmnmrLjw8</t>
  </si>
  <si>
    <t>2012 07 27</t>
  </si>
  <si>
    <t>https://youtu.be/V5RCjNGUUdg</t>
  </si>
  <si>
    <t>Red Planet Rendezvous on This Week @NASA</t>
  </si>
  <si>
    <t>The Curiosity rover continues to make its way to Mars and its scheduled landing in Gale Crater on Monday, Aug. 6.  Also Mars Yard; New record set; New heat shield test and new mission previewed; Landsat 40 and remembering Sally Ride and more....</t>
  </si>
  <si>
    <t>V5RCjNGUUdg</t>
  </si>
  <si>
    <t>https://youtu.be/GPrXr_HjFiQ</t>
  </si>
  <si>
    <t>ScienceCasts  Mars Landing Sky Show</t>
  </si>
  <si>
    <t>On the same night Curiosity lands on Mars, a "Martian Triangle" will appear in sunset skies of Earth. The first-magnitude apparition on August 5th gives space fans something to do while they wait for news from the Red Planet.</t>
  </si>
  <si>
    <t>GPrXr_HjFiQ</t>
  </si>
  <si>
    <t>2012 07 26</t>
  </si>
  <si>
    <t>https://youtu.be/_Hy-zGC1knc</t>
  </si>
  <si>
    <t>Next Station Crew Meet Media</t>
  </si>
  <si>
    <t>The three members of the Expedition 33/34 crew, NASA astronaut Kevin Ford and cosmonauts Evgeny Tarelkin and Oleg Novitski, talk about their upcoming mission to the International Space Station at a news briefing held July 26 at NASA's Johnson Space Center in Houston. The trio is scheduled to launch to the orbiting laboratory in September.</t>
  </si>
  <si>
    <t>_Hy-zGC1knc</t>
  </si>
  <si>
    <t>https://youtu.be/5tteRAPg2DE</t>
  </si>
  <si>
    <t>Next ISS Mission, Science Spotlighted</t>
  </si>
  <si>
    <t>Expedition 33/34, the next to the International Space Station, and the science it'll conduct aboard the orbiting laboratory, are examined at a media briefing hosted by NASA's Johnson Space Cnter in Houston on July 26.</t>
  </si>
  <si>
    <t>5tteRAPg2DE</t>
  </si>
  <si>
    <t>2012 07 25</t>
  </si>
  <si>
    <t>https://youtu.be/rpplvjBK7do</t>
  </si>
  <si>
    <t>The Joe Show  Radio Signals from Space!</t>
  </si>
  <si>
    <t>Tune in Third Rock Radio at 4 -6 p.m. Eastern on Aug. 3 for The Joe Show with NASA astronaut Joe Acaba aboard the International Space Station!
Third Rock Radio: powered with NASA!</t>
  </si>
  <si>
    <t>rpplvjBK7do</t>
  </si>
  <si>
    <t>https://youtu.be/Oe34088Bw1E</t>
  </si>
  <si>
    <t>Landsat Celebrates 40th Anniversary</t>
  </si>
  <si>
    <t>The Newseum in Washington, DC hosts a look back -- and ahead -- at the contributions of the Landsat program to our understanding of the Earth on July 23.</t>
  </si>
  <si>
    <t>Oe34088Bw1E</t>
  </si>
  <si>
    <t>2012 07 23</t>
  </si>
  <si>
    <t>https://youtu.be/5Y6ElWadXbo</t>
  </si>
  <si>
    <t>NASA-TV's Curiosity Landing Coverage Begins Aug. 5</t>
  </si>
  <si>
    <t>The Mars Science Laboratory, the hardest mission ever attempted in planetary robotic exploration is about to prove its mettle with the landing of its Curiosity rover on the Red Planet. Live coverage begins at 11:30 p.m. Eastern on NASA TV.</t>
  </si>
  <si>
    <t>5Y6ElWadXbo</t>
  </si>
  <si>
    <t>https://youtu.be/Y5SJggiT_yg</t>
  </si>
  <si>
    <t>IRVE-3 Launches at Wallops</t>
  </si>
  <si>
    <t>The Inflatable Reentry Vehicle Experiment (IRVE-3) was successfully launched from NASA's Wallops Flight Facility on Virginia's Eastern Shore on July 21. IRVE-3 is part of the Hypersonic Inflatable Aerodynamic Decelerator or HIAD project -- within the NASA Space Technology Program's Game Changing Development Program.</t>
  </si>
  <si>
    <t>Y5SJggiT_yg</t>
  </si>
  <si>
    <t>2012 07 22</t>
  </si>
  <si>
    <t>https://youtu.be/WAlLKdOImA0</t>
  </si>
  <si>
    <t>Cargo Ship Undocks From Space Station</t>
  </si>
  <si>
    <t>The Progress 47 uncrewed cargo ship, emptied of supplies and filled with trash for disposal, undocked from the International Space Station. Russian flight controllers tested a new automated rendezvous system, known as Kurs-NA, to perform the maneuver more safely and efficiently.</t>
  </si>
  <si>
    <t>WAlLKdOImA0</t>
  </si>
  <si>
    <t>2012 07 21</t>
  </si>
  <si>
    <t>https://youtu.be/uK3ZeYEr4DU</t>
  </si>
  <si>
    <t>The Japanese HTV-3 Resupply Craft is on its way to the International Space Station following its launch Friday, July 20, from the Tanegashima Space Center in Japan.</t>
  </si>
  <si>
    <t>uK3ZeYEr4DU</t>
  </si>
  <si>
    <t>2012 07 20</t>
  </si>
  <si>
    <t>https://youtu.be/EmjnFbTLvZ8</t>
  </si>
  <si>
    <t>Countdown to Curiosity on This Week @NASA</t>
  </si>
  <si>
    <t>The most advanced robot ever sent to another world is nearing its destination, and NASA scientists and managers at a Headquarters news briefing called the Curiosity Rover mission the hardest one attempted in the history of robotic planetary exploration. Curiosity is scheduled to land on Mars in the early morning hours of August 6, Eastern. Also, J-2X Test; 'Chutes Assured; New Digs for Space Trio; Science Supporters; Space Sojourn; Enterprise Unveiled; Remembering Apollo 11; and more.</t>
  </si>
  <si>
    <t>EmjnFbTLvZ8</t>
  </si>
  <si>
    <t>2012 07 19</t>
  </si>
  <si>
    <t>https://youtu.be/Q2hOv6fcL48</t>
  </si>
  <si>
    <t>ScienceCasts  A Taste of Solar Maximum</t>
  </si>
  <si>
    <t>Solar maximum is still a year away. This month sky watchers got a taste of things to come when a powerful flare sparked Northern Lights over the United States as far south as Arkansas, Colorado and California.</t>
  </si>
  <si>
    <t>Q2hOv6fcL48</t>
  </si>
  <si>
    <t>https://youtu.be/gG0wj5C9k4I</t>
  </si>
  <si>
    <t>ISS MC DLN 071912</t>
  </si>
  <si>
    <t>gG0wj5C9k4I</t>
  </si>
  <si>
    <t>https://youtu.be/zpY94hwNmlo</t>
  </si>
  <si>
    <t>Aki Hosts Station Chat</t>
  </si>
  <si>
    <t>Japan Aerospace Exploration Agency astronaut Aki Hoshide speaks with with the Tanegashima Educational Board and Minami-nihon Broadcasting Company from the International Space Station.</t>
  </si>
  <si>
    <t>zpY94hwNmlo</t>
  </si>
  <si>
    <t>2012 07 17</t>
  </si>
  <si>
    <t>https://youtu.be/gyLsqZY1j78</t>
  </si>
  <si>
    <t>Expedition 32 Crew Shows  Up  at Station</t>
  </si>
  <si>
    <t>A chronology of video depicts the arrival at and entry to the International Space Station by NASA astronaut Suni Williams, Aki Hoshide of the Japanese Aerospace Exploration Agency, and Russian cosmonaut Yuri Malenchenko.</t>
  </si>
  <si>
    <t>gyLsqZY1j78</t>
  </si>
  <si>
    <t>https://youtu.be/5AY-uDGEfpg</t>
  </si>
  <si>
    <t>Warm Greetings for New ISS Residents</t>
  </si>
  <si>
    <t>The hatch on the International Space Station opens, and its three newest residents are welcomed ceremoniously by the trio they're joining aboard the orbiting laboratory.</t>
  </si>
  <si>
    <t>5AY-uDGEfpg</t>
  </si>
  <si>
    <t>https://youtu.be/v2GO7DDAJuw</t>
  </si>
  <si>
    <t>New Crew Arrives at ISS</t>
  </si>
  <si>
    <t>The Soyuz spacecraft carrying NASA astronaut Suni Williams and her two Expedition 32 crewmates arrives and docks at the International Space Station.</t>
  </si>
  <si>
    <t>v2GO7DDAJuw</t>
  </si>
  <si>
    <t>2012 07 16</t>
  </si>
  <si>
    <t>https://youtu.be/l9BRqeqJ2X0</t>
  </si>
  <si>
    <t>NASA Rover on Course for Mars Landing</t>
  </si>
  <si>
    <t>With less than three weeks to the scheduled landing of the Curiosity rover on the Red Planet, leaders of Mars Science Laboratory team field questions form media about the mission, the most difficult ever undertaken in the history of interplanetary robotic exploration.</t>
  </si>
  <si>
    <t>l9BRqeqJ2X0</t>
  </si>
  <si>
    <t>https://youtu.be/yWm1RgWd7AA</t>
  </si>
  <si>
    <t>New Crew to Station on This Week @ NASA</t>
  </si>
  <si>
    <t>The Russian Soyuz spacecraft carrying Expedition 32/33 Soyuz Commander Yuri Malenchenko, NASA Flight Engineer Suni Williams and Flight Engineer Aki Hoshide of the Japan Aerospace Exploration Agency heads to the International Space Station following its launch from the Baikonur Cosmodrome in Kazakhstan. Malenchenko, Williams and Hoshide are joining up with Expedition 32 Commander Gennady Padalka, NASA astronaut Joe Acaba and Cosmonaut Sergei Revin; who have been on the orbiting outpost since May. Also, when the Curiosity rover sets off from its landing site near Gale Crater to explore the Martian surface, it might encounter some sand dunes. Project engineers at the Jet Propulsion Laboratory have prepared for that possibility by putting a test rover through the paces here on Earth, the Cassini spacecraft has spotted signs that a change of seasons may be coming on Saturn's largest moon Titan, Deputy Administrator Lori Garver participates in a workshop focused on Innovation in Manufacturing, Celebrating Telstar I, Inspiring Inquisitive Minds and more!</t>
  </si>
  <si>
    <t>yWm1RgWd7AA</t>
  </si>
  <si>
    <t>2012 07 15</t>
  </si>
  <si>
    <t>https://youtu.be/rmQD-j9QADE</t>
  </si>
  <si>
    <t>Expedition 32 33 Launches to the International Space Station</t>
  </si>
  <si>
    <t>Expedition 32/33 Soyuz Commander Yuri Malenchenko, NASA Flight Engineer Suni Williams and Flight Engineer Aki Hoshide of the Japan Aerospace Exploration Agency launched on the Russian Soyuz TMA-05M spacecraft on July 15 from the Baikonur Cosmodrome in Kazakhstan to begin a two-day journey to the International Space Station. The trio will dock to the station July 17 to start a four month tour, joining station Commander Gennady Padalka, NASA Flight Engineer Joe Acaba and Russian Flight Engineer Sergei Revin, who have been on the outpost since mid-May. The launch took place on the 37th anniversary of the launching of the historic Apollo-Soyuz mission in 1975 that resulted in the first docking of U.S. and Russian spacecraft and marked the start of the partnership that spawned the International Space Station.</t>
  </si>
  <si>
    <t>rmQD-j9QADE</t>
  </si>
  <si>
    <t>https://youtu.be/zqDZAYUT34E</t>
  </si>
  <si>
    <t>A Russian Soyuz TMA-05M spacecraft launched to the International Space Station on July 15 from the Baikonur Cosmodrome in Kazakhstan. Inside the spacecraft for the two-day journey are Expedition 32/33 Soyuz Commander Yuri Malenchenko, NASA Flight Engineer Suni Williams and Flight Engineer Aki Hoshide of the Japan Aerospace Exploration Agency, the station's next crew. The trio will dock to the station July 17 to start a four month tour, joining station Commander Gennady Padalka, NASA Flight Engineer Joe Acaba and Russian Flight Engineer Sergei Revin, who have been on the outpost since mid-May.</t>
  </si>
  <si>
    <t>zqDZAYUT34E</t>
  </si>
  <si>
    <t>2012 07 13</t>
  </si>
  <si>
    <t>https://youtu.be/RAQ0eIz3gP0</t>
  </si>
  <si>
    <t>Soyuz TMA-05M Rocket is Blessed; Expedition 32 33 Crew Meets with Officials</t>
  </si>
  <si>
    <t>Preparations continued on July 13 for the launch on July 15 of Expedition 32/33 Soyuz Commander Yuri Malenchenko, NASA Flight Engineer Sunita Williams and Flight Engineer Aki Hoshide of the Japan Aerospace Exploration Agency to the International Space Station. At the Baikonur Cosmodrome in Kazakhstan, a Russian Orthodox priest provided a traditional blessing for the Soyuz TMA-05M rocket at the launch pad where the three crewmembers will begin their journey to the station. Later, Malenchenko, Williams and Hoshide appeared before the Russian State Commission at their Cosmonaut Hotel crew quarters in Baikonur, where the commission gave its final approval for the crew's launch. The crew also conducted a final prelaunch news conference at the Cosmonaut Hotel  as they prepared for liftoff. The trio will spend four months on the station. Also featured in the video during the State Commission and Crew News Conference were backup crew members Russian Soyuz Commander Roman Romanenko, Canadian Space Agency Flight Engineer Chris Hadfield and NASA Flight Engineer Tom Marshburn.</t>
  </si>
  <si>
    <t>RAQ0eIz3gP0</t>
  </si>
  <si>
    <t>https://youtu.be/hNdZafWo_Q8</t>
  </si>
  <si>
    <t>Soyuz Crew Primed for Launch on This Week @ NASA</t>
  </si>
  <si>
    <t>At the Baikonur Cosmodrome in Kazakhstan, Expedition 32/33 Soyuz Commander Yuri Malenchenko, NASA Flight Engineer Suni Williams and Flight Engineer Aki Hoshide of the Japan Aerospace Exploration Agency participated in a variety of activities in preparation for their launch to the International Space Station. Meanwhile, onboard the ISS, the other three members of Expedition 32, Commander Gennady Padalka, NASA astronaut Joe Acaba and Cosmonaut Sergei Revin -- continue their daily activities as they await the Soyuz crew and the Japan Aerospace Exploration Agency's HTV-3 transfer vehicle scheduled to arrive there later this month. Also, when the Curiosity rover sets off from its landing site near Gale Crater to explore the Martian surface, it might encounter some sand dunes. Project engineers at the Jet Propulsion Laboratory have prepared for that possibility by putting a test rover through the paces here on Earth, the Cassini spacecraft has spotted signs that a change of seasons may be coming on Saturn's largest moon Titan, Deputy Administrator Lori Garver participates in a workshop focused on Innovation in Manufacturing, Celebrating Telstar I, Inspiring Inquisitive Minds and more!</t>
  </si>
  <si>
    <t>hNdZafWo_Q8</t>
  </si>
  <si>
    <t>2012 07 12</t>
  </si>
  <si>
    <t>https://youtu.be/oWQ1dkaMJik</t>
  </si>
  <si>
    <t>The Expedition 32 33 Soyuz Rocket Moves to Its Launch Pad</t>
  </si>
  <si>
    <t>The Soyuz TMA-05M spacecraft and its booster were moved to the launch pad at the Baikonur Cosmodrome in Kazakhstan on a railcar July 12 for final preparations before launch to the International Space Station on July 15. The Soyuz TMA-05M will carry Expedition 32/33 Soyuz Commander Yuri Malenchenko, NASA Flight Engineer Suni Williams and Flight Engineer Aki Hoshide of the Japan Aerospace Exploration Agency to the orbital outpost. The trio will spend four months on the laboratory, joining station Commander Gennady Padalka, NASA Flight Engineer Joe Acaba and Russian Flight Engineer Sergei Revin, who have been in orbit since mid-May. The footage includes interviews with Peggy Whitson, Chief of the Astronaut Office at the Johnson Space Center and Janet Kavandi, the Director of Flight Crew Operations at the Johnson Space Center.</t>
  </si>
  <si>
    <t>oWQ1dkaMJik</t>
  </si>
  <si>
    <t>https://youtu.be/18utCxIQydY</t>
  </si>
  <si>
    <t>ScienceCasts  The First Extraterrestrial Marathon</t>
  </si>
  <si>
    <t>More than 8 years after landing on the Red Planet, Mars rover Opportunity is still running. Indeed, mission planners say the tireless robot is poised to complete a full marathon--the first ever long-distance race on an alien planet.</t>
  </si>
  <si>
    <t>18utCxIQydY</t>
  </si>
  <si>
    <t>https://youtu.be/0N_H3iysqfM</t>
  </si>
  <si>
    <t>ISS Flight Controller Talks Space With Students</t>
  </si>
  <si>
    <t>International Space Station Flight Controller Richard Garodnick answers questions from 6th through 9th grade students who participate in the 2012 STEM Excelleration Experience Program in Houston, Texas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</si>
  <si>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0N_H3iysqfM</t>
  </si>
  <si>
    <t>2012 07 11</t>
  </si>
  <si>
    <t>https://youtu.be/lAzxABXvREY</t>
  </si>
  <si>
    <t>Expedition 32 Soyuz TMA-05M Spacecraft Joins Its Booster Rocket</t>
  </si>
  <si>
    <t>The Soyuz TMA-05M spacecraft was mated to its booster rocket at the Baikonur Cosmodrome in Kazakhstan on July 11 as part of final preparations before launch to the International Space Station on July 15.  The Soyuz TMA-05M will carry Expedition 32/33 Soyuz Commander Yuri Malenchenko, NASA Flight Engineer Suni Williams and Flight Engineer Aki Hoshide of the Japan Aerospace Exploration Agency to the orbital outpost.  The trio will spend four months on the laboratory, joining station Commander Gennady Padalka, NASA Flight Engineer Joe Acaba and Russian Flight Engineer Sergei Revin, who have been in orbit since mid-May.</t>
  </si>
  <si>
    <t>lAzxABXvREY</t>
  </si>
  <si>
    <t>2012 07 10</t>
  </si>
  <si>
    <t>https://youtu.be/5LEEA7QCEgQ</t>
  </si>
  <si>
    <t>Expedition 32 33 Crew Prepares for Launch in Kazakhstan</t>
  </si>
  <si>
    <t>At the Baikonur Cosmodrome in Kazakhstan, Expedition 32/33 Soyuz Commander Yuri Malenchenko, NASA Flight Engineer Suni Williams and Flight Engineer Aki Hoshide of the Japan Aerospace Exploration Agency participated in a variety of activities from July 2 to 10 as they prepared for launch to the International Space Station on July 15 in their Soyuz TMA-05M spacecraft. The footage includes the crew's arrival in Baikonur, suited and unsuited fit checks in the Soyuz spacecraft, raising of flags outside the Cosmonaut Hotel crew quarters and other traditional activities. The video also features backup crew members Russian Soyuz Commander Roman Romanenko, Canadian Space Agency Flight Engineer Chris Hadfield and NASA Flight Engineer Tom Marshburn.</t>
  </si>
  <si>
    <t>5LEEA7QCEgQ</t>
  </si>
  <si>
    <t>2012 07 09</t>
  </si>
  <si>
    <t>https://youtu.be/3GxBZAQoFms</t>
  </si>
  <si>
    <t>Establishing a New Gateway to Space</t>
  </si>
  <si>
    <t>3GxBZAQoFms</t>
  </si>
  <si>
    <t>2012 07 06</t>
  </si>
  <si>
    <t>https://youtu.be/ZtBnRe0B2pQ</t>
  </si>
  <si>
    <t>Next Expedition Crew on Deck on This Week @NASA</t>
  </si>
  <si>
    <t>In Star City, Russia, at the Gagarin Cosmonaut Training Center, Expedition 32 crewmembers, Cosmonaut Yuri Malenchenko, NASA Astronaut Suni Williams and Akihiko Hoshide of the Japan Aerospace Exploration Agency participated in traditional ceremonies in advance of their mid-July launch to the station. Malenchenko, Williams and Hoshide will complete their training at the Baikonur Cosmodrome in Kazakhstan. Upon their arrival to the space station, the trio will join ISS Commander Gennady Padalka, NASA astronaut Joe Acaba and Cosmonaut Sergei Revin -- the other three members of Expedition 32. Also, Orion is Unveiled at Kennedy Space Center to begin processing for its Exploration Flight Test-1 in 2014, some students and educators play rocket scientist during Rocket Week at Wallops Flight Facility, some pre-4th of July Solar fireworks captured by the Solar Dynamics Observatory and more!</t>
  </si>
  <si>
    <t>ZtBnRe0B2pQ</t>
  </si>
  <si>
    <t>2012 07 05</t>
  </si>
  <si>
    <t>https://youtu.be/HbtUXk8kmD0</t>
  </si>
  <si>
    <t>Virginia Students Speak with Space Station Resident</t>
  </si>
  <si>
    <t>More than 200 students gathered at the Science Museum of Virginia in Richmond to speak with NASA astronaut and Expedition 32 flight engineer Joe Acaba aboard the International Space Station. 
The event included a question and answer session conducted in Spanish. Many of the students also participate in other NASA programs, including camps associated with the agency's Summer of Innovation (SoI) project. SoI provides hands-on learning opportunities for middle school students and educators through NASA-unique science, technology, engineering and mathematics (STEM) educational activities during the summer school break. 
Acaba arrived at the space station with Russian Federal Space Agency's cosmonauts Gennady Padalka and Sergei Revin on May 17. They will be joined later this month by NASA astronaut Sunita Williams, Japan Aerospace Exploration Agency astronaut Akihiko Hoshide and cosmonaut Yuri Malenchenko.</t>
  </si>
  <si>
    <t>HbtUXk8kmD0</t>
  </si>
  <si>
    <t>2012 07 03</t>
  </si>
  <si>
    <t>https://youtu.be/ZCSaFwWYRqo</t>
  </si>
  <si>
    <t>ScienceCasts  A Good Reason to Wake Up at Dawn</t>
  </si>
  <si>
    <t>The brightest planets in the solar system are converging for a beautiful sunrise sky show in early July.</t>
  </si>
  <si>
    <t>ZCSaFwWYRqo</t>
  </si>
  <si>
    <t>2012 07 02</t>
  </si>
  <si>
    <t>https://youtu.be/yLdAtQGjxHA</t>
  </si>
  <si>
    <t>Expedition 32 33 Crew Departs for Kazakh Launch Site</t>
  </si>
  <si>
    <t>Expedition 32/33 Soyuz Commander Yuri Malenchenko, NASA Flight Engineer Suni Williams and Flight Engineer Aki Hoshide of the Japan Aerospace Exploration Agency participated in traditional ceremonies at the Gagarin Cosmonaut Training Center in Star City, Russia, outside Moscow on July 2. Afterward, they departed for the Baikonur Cosmodrome in Kazakhstan to complete training for their launch to the International Space Station in the Soyuz TMA-05M spacecraft on July 15. After arriving in Baikonur, they were scheduled to conduct a series of prelaunch activities over the next two weeks as they prepare for liftoff to the orbital outpost.</t>
  </si>
  <si>
    <t>yLdAtQGjxHA</t>
  </si>
  <si>
    <t>https://youtu.be/uKsEgWfVQrA</t>
  </si>
  <si>
    <t>NASA Chat  First Space-Bound Orion Arrives at Kennedy</t>
  </si>
  <si>
    <t>On Monday, July 2, NASA officials answered questions about the Orion spacecraft in a live television broadcast from followers of NASA's social media accounts.
NASA's Orion program reached a major milestone on June 28, 2012, when the first space-bound Orion crew capsule arrived at NASA's Kennedy Space Center in Florida. Construction on the spacecraft was finished at NASA's Michoud Assembly Facility in Louisiana this week, and final outfitting and heat shield installation will take place at KSC. The Orion spacecraft will carry astronauts farther into the solar system than ever before. It will provide emergency abort capability, sustain the crew during the space travel and provide safe re-entry from deep space. This spacecraft will fly on Exploration Flight Test-1, an unmanned test that is scheduled two years from now.</t>
  </si>
  <si>
    <t>uKsEgWfVQrA</t>
  </si>
  <si>
    <t>https://youtu.be/8Kf30kd5Gow</t>
  </si>
  <si>
    <t>Orion Crew Module Arrives at Kennedy</t>
  </si>
  <si>
    <t>After arriving from NASA's Michoud Assembly Facility in New Orleans on June 28, the first space-bound Orion capsule was moved into a high bay at NASA's Kennedy Space Center in Florida. Technicians will turn it into a fully functioning spacecraft ahead of a flight test slated for 2014, which will take Orion farther than any human spacecraft has gone in more than 40 years.
Orion will provide emergency abort capability, sustain astronauts during space travel and provide safe re-entry from deep space.
The flight test, called Exploration Flight Test-1 or EFT-1, will be an uncrewed flight, loaded with a wide variety of instruments to evaluate how Orion behaves during launch, in the vacuum of space and the through the searing heat of reentry.</t>
  </si>
  <si>
    <t>8Kf30kd5Gow</t>
  </si>
  <si>
    <t>https://youtu.be/EAairXMp51s</t>
  </si>
  <si>
    <t>Expedition 31 Returns on This Week @NASA</t>
  </si>
  <si>
    <t>Onboard the International Space Station, Expedition 31 Commander Oleg Kononenko handed over the reins of the orbiting outpost to cosmonaut Gennady Padalka. The start of Padalka's tenure as the lead of Expedition 32 makes him the first three-time commander of the station. He's joined on the crew by NASA Flight Engineer Joe Acaba and Russian Flight Engineer Sergei Revin. Kononenko and Flight Engineers Don Pettit of NASA and Andre Kuipers of the European Space Agency returned to Earth in a Soyuz spacecraft which made a successful parachute-assisted landing on the steppe of Kazakhstan to cap off a six month stay onboard the ISS. Also, a visit to Wallops Flight Facility by Senator Barbara Mikulski to check out Orbital Sciences Corporation's Antares rocket and the Mid-Atlantic Regional Spaceport's new launch pad, The first steps in preparing for NASA's Exploration Flight Test-1, or EFT-1 in 2014 are underway as the Orion spacecraft is worked on at the Michoud Assembly Facility in New Orleans, NASA Administrator Charles Bolden delivers this year's John H. Glenn Lecture in Space History and more!</t>
  </si>
  <si>
    <t>EAairXMp51s</t>
  </si>
  <si>
    <t>2012 07 01</t>
  </si>
  <si>
    <t>https://youtu.be/j3scLxYeskg</t>
  </si>
  <si>
    <t>Expedition 31 Crew Welcomed Warmly in Kazakhstan and Russia</t>
  </si>
  <si>
    <t>Expedition 31 Commander Oleg Kononenko, NASA Flight Engineer Don Pettit and European Space Agency Flight Engineer Andre Kuipers were greeted in a traditional ceremony at the airport in Karaganda, Kazakhstan on July 1, 2012, hours after landing in their Soyuz TMA-03M spacecraft on the steppe of Kazakhstan southeast of the town of Dzhezkazgan. After the ceremony, the crew split up, with Kononenko returning to his training base in Star City, Russia, while Pettit and Kuipers boarded a NASA plane in Karaganda to return to the Johnson Space Center in Houston. The trio completed 193 days in space and 191 days aboard the International Space Station following a launch in late December. The footage includes interviews conducted with Pettit and Kuipers in Karaganda before beginning their trip back to Houston.</t>
  </si>
  <si>
    <t>j3scLxYeskg</t>
  </si>
  <si>
    <t>https://youtu.be/N2d9IZKKVnw</t>
  </si>
  <si>
    <t>Expedition 31 Crew Lands Safely in Kazakhstan</t>
  </si>
  <si>
    <t>Expedition 31 Commander Oleg Kononenko, NASA Flight Engineer Don Pettit and European Space Agency Flight Engineer Andre Kuipers landed safely on the steppe of Kazakhstan near the town of Dzhezkazgan on July 1, 2012, after bidding farewell to the Expedition 32 crew and undocking their Soyuz TMA-03M spacecraft from the International Space Station.</t>
  </si>
  <si>
    <t>N2d9IZKKVnw</t>
  </si>
  <si>
    <t>https://youtu.be/CfSxv-bX1-Q</t>
  </si>
  <si>
    <t>Space Travelers Make Safe Return to Earth</t>
  </si>
  <si>
    <t>Expedition 31 Commander Oleg Kononenko, NASA Flight Engineer Don Pettit and European Space Agency Flight Engineer Andre Kuipers landed safely in their Soyuz TMA-03M spacecraft on the steppe of Kazakhstan near the town of Dzhezkazgan on July 1, 2012. The trio completed 193 days in space and 191 days on the International Space Station since launching in late December 2011. They are shown being assisted into reclining chairs by Russian personnel and beginning their adaptation to gravity after they were extracted from their capsule in Kazakhstan.</t>
  </si>
  <si>
    <t>CfSxv-bX1-Q</t>
  </si>
  <si>
    <t>https://youtu.be/2UQcK2xG570</t>
  </si>
  <si>
    <t>Soyuz Undocks; Crew Heads Home</t>
  </si>
  <si>
    <t>The Soyuz capsule carrying the three Expedition 31 crew members undocks form the International Space Station and begins its journey back to Earth.</t>
  </si>
  <si>
    <t>2UQcK2xG570</t>
  </si>
  <si>
    <t>https://youtu.be/-ce76c4MKv0</t>
  </si>
  <si>
    <t>ISS Crew Bids Fond Farewell</t>
  </si>
  <si>
    <t>Expedition 31 Commander Oleg Kononenko, NASA Flight Engineer Don Pettit and European Space Agency Flight Engineer Andre Kuipers close the hatch on their Soyuz capsule after bidding farewell to the Expedition 32 crew remaining aboard the International Space Station.</t>
  </si>
  <si>
    <t>-ce76c4MKv0</t>
  </si>
  <si>
    <t>2012 06 29</t>
  </si>
  <si>
    <t>https://youtu.be/ztHfT4if35c</t>
  </si>
  <si>
    <t>ISS Command Changes Hands</t>
  </si>
  <si>
    <t>The reins of the International Space Station were passed from Expedition 31 Commander Oleg Kononenko to cosmonaut Gennady Padalka during a ceremony on the orbital outpost on June 29, 2012. Kononenko and Flight Engineers Don Pettit of NASA and Andre Kuipers of the European Space Agency arrived at the station on December 23, 2011, and will make a parachute-assisted landing on the steppe of Kazakhstan on July 1, 2012 in their Soyuz TMA-03M spacecraft. Padalka, who is the first three-time commander of the station, NASA Flight Engineer Joe Acaba and Russian Flight Engineer Sergei Revin will be joined on July 17 by oncoming Expedition 32/33 crew members Yuri Malenchenko, Flight Engineer Suni Williams of NASA and Aki Hoshide of the Japan Aerospace Exploration Agency.</t>
  </si>
  <si>
    <t>ztHfT4if35c</t>
  </si>
  <si>
    <t>https://youtu.be/xr_NGtq34c0</t>
  </si>
  <si>
    <t>Wallops Hosts Antares Tour on This Week @NASA</t>
  </si>
  <si>
    <t>Senator Barbara Mikulski, chairwoman of the Senate Appropriations Subcommittee on Commerce, Justice, Science, and Related Agencies, was joined by officials from NASA, Orbital Sciences Corporation and others at the Wallops Flight Facility for an update of Orbital's Antares rocket and the Mid-Atlantic Regional Spaceport's new pad, from which the vehicle will launch. Also, EFT-1; vacuum test; Farmer Don's space sprouts; Bolden lectures; smart about station; and more!</t>
  </si>
  <si>
    <t>xr_NGtq34c0</t>
  </si>
  <si>
    <t>https://youtu.be/EuH3U2_YQqA</t>
  </si>
  <si>
    <t>NASA Administrator Bolden at Annual John Glenn Lecture</t>
  </si>
  <si>
    <t>EuH3U2_YQqA</t>
  </si>
  <si>
    <t>https://youtu.be/Xj8vaLhR0s0</t>
  </si>
  <si>
    <t>ScienceCasts  Hidden Magnetic Portals Around Earth</t>
  </si>
  <si>
    <t>A NASA-sponsored researcher at the University of Iowa has developed a way for spacecraft to hunt down hidden magnetic portals in the vicinity of Earth. These portals link the magnetic field of our planet to that of the sun.</t>
  </si>
  <si>
    <t>Xj8vaLhR0s0</t>
  </si>
  <si>
    <t>2012 06 28</t>
  </si>
  <si>
    <t>https://youtu.be/9DchwNOmxbw</t>
  </si>
  <si>
    <t>Station Trio  Talks Science  with Chronicle, NPR</t>
  </si>
  <si>
    <t>Expedition 31 Flight Engineers Don Pettit and Joe Acaba of NASA and Andre Kuipers of the European Space Agency discussed life and research aboard the International Space Station during a pair of in-flight interviews June 28 with Eric Berger, science correspondent for the Houston Chronicle, and National Public Radio's "Science Friday" program. Pettit and Kuipers are scheduled to land in their Soyuz spacecraft on July 1 after 6 1/2 months in orbit. Acaba will remain aboard the station until mid-September.</t>
  </si>
  <si>
    <t>9DchwNOmxbw</t>
  </si>
  <si>
    <t>2012 06 26</t>
  </si>
  <si>
    <t>https://youtu.be/YeXkZZ55dKM</t>
  </si>
  <si>
    <t>ScienceCasts  Voyager 1 at the Final Frontier</t>
  </si>
  <si>
    <t>At the edge of the solar system, Voyager 1 is reporting a sharp increase in cosmic rays that could herald the spacecraft's long-awaited entry into interstellar space.
Visit http://science.nasa.gov/ for more.</t>
  </si>
  <si>
    <t>YeXkZZ55dKM</t>
  </si>
  <si>
    <t>https://youtu.be/TaJgR26EhEc</t>
  </si>
  <si>
    <t>ISS Crew  Meets  with Philadelphia Area Students</t>
  </si>
  <si>
    <t>Expedition 31 Flight Engineers Don Pettit and Joe Acaba of NASA and Andre Kuipers of the European Space Agency discussed life and research aboard the International Space Station during an educational in-flight event with Philadelphia students attending a "Destination Imagination" event on June 26. Pettit and Kuipers are scheduled to land in their Soyuz spacecraft on July 1 after 6 ∏ months in orbit. Acaba will remain aboard the station until mid-September.</t>
  </si>
  <si>
    <t>TaJgR26EhEc</t>
  </si>
  <si>
    <t>2012 06 23</t>
  </si>
  <si>
    <t>https://youtu.be/GHu6KVvpfP8</t>
  </si>
  <si>
    <t>Next ISS Crew Meets Media, Pays Homage at Red Square</t>
  </si>
  <si>
    <t>Expedition 32 Soyuz Commander Yuri Malenchenko, NASA Flight Engineer Suni Williams and Flight Engineer Aki Hoshide of the Japan Aerospace Exploration Agency participated in traditional ceremonies at Red Square in Moscow on June 22, 2012, laying flowers at the Kremlin Wall and touring the Kremlin as they paid tribute to iconic Russian space heroes.  The ceremony is part of traditional activities conducted in advance of their launch to the International Space Station on July 15. Prior to that, they fielded questions from the media at their training base at the Gagarin Cosmonaut Training Center in Star City, Russia, outside Moscow.</t>
  </si>
  <si>
    <t>GHu6KVvpfP8</t>
  </si>
  <si>
    <t>2012 06 22</t>
  </si>
  <si>
    <t>https://youtu.be/bVGXe9SllJ8</t>
  </si>
  <si>
    <t>Bolden and Metcalf-Lindenburger on Title IX</t>
  </si>
  <si>
    <t>NASA Administrator Charlie Bolden speaks with the crew of NEEMO 16 while on their underwater mission.  Astronaut Dottie Metcalf-Lindenberger, a member of the crew, reflects on the anniversary of Title IX with the administrator.</t>
  </si>
  <si>
    <t>bVGXe9SllJ8</t>
  </si>
  <si>
    <t>https://youtu.be/jmpKqZLLNfw</t>
  </si>
  <si>
    <t>ISS Day on the Hill on This Week @NASA</t>
  </si>
  <si>
    <t>The International Space Station and its benefit to science as the world's only laboratory in microgravity is highlighted on Capitol Hill. Also, Bolden Finds NEEMO; JPL Open House; Cleveland HUBZone; African Cosmos; Aerospace Scholars; NASA Now Emmy; SOI; and more!</t>
  </si>
  <si>
    <t>jmpKqZLLNfw</t>
  </si>
  <si>
    <t>https://youtu.be/OHwUrxzrvtg</t>
  </si>
  <si>
    <t>Challenges of Getting to Mars  Curiosity's Seven Minutes of Terror</t>
  </si>
  <si>
    <t>Team members share the challenges of Curiosity's final minutes to landing on the surface of Mars.</t>
  </si>
  <si>
    <t>OHwUrxzrvtg</t>
  </si>
  <si>
    <t>2012 06 20</t>
  </si>
  <si>
    <t>https://youtu.be/2_MIwbPo7T8</t>
  </si>
  <si>
    <t>Bolden Calls Underwater NEEMO 16 Crew</t>
  </si>
  <si>
    <t>From outside their underwater laboratory in Florida, NASA Astronaut and NEEMO 16 Commander Dottie Metcalf-Lindenburger and European Space Agency astronaut Timothy Peake took a call from NASA Administrator Charlie Bolden on June 18. Bolden was speaking from the NASA TV studio at the agency's headquarters in Washington, D.C.
An international crew of four headed by Lindenburger has been performing spacewalks on the ocean floor to test concepts for future asteroid exploration as part of the 16th NASA Extreme Environments Mission Operations (NEEMO) mission. While living underwater in the National Oceanic and Atmospheric Administration's Aquarius Underwater Laboratory off the coast of Key Largo, Fla., for 12 days, they're scheduled to perform a total of 16 underwater spacewalks. The mission is investigating communication delays, restraint and translation techniques and optimum crew size for an asteroid mission.</t>
  </si>
  <si>
    <t>2_MIwbPo7T8</t>
  </si>
  <si>
    <t>https://youtu.be/G-aRfB4yh9E</t>
  </si>
  <si>
    <t>Next Station Crew Undergoes Final Training Before Launch</t>
  </si>
  <si>
    <t>Expedition 32/33 Soyuz Commander Yuri Malenchenko, NASA Flight Engineer Suni Williams and Flight Engineer Aki Hoshide of the Japan Aerospace Exploration Agency conducted qualification training at the Gagarin Cosmonaut Training Center in Star City, Russia on June 19 and 20, 2012 in advance of their final approval for launch to the International Space Station. Malenchenko, Williams and Hoshide are scheduled to fly to the launch site at the Baikonur Cosmodrome in Kazakhstan on July 2 to prepare for their July 15 liftoff in the Soyuz TMA-05M spacecraft. Also featured in the footage are backup crewmembers Roman Romanenko, Chris Hadfield of the Canadian Space Agency and NASA's Tom Marshburn.</t>
  </si>
  <si>
    <t>G-aRfB4yh9E</t>
  </si>
  <si>
    <t>2012 06 19</t>
  </si>
  <si>
    <t>https://youtu.be/K_UAs12NnLo</t>
  </si>
  <si>
    <t>Don, Joe and Andre Discuss ISS Life and Science</t>
  </si>
  <si>
    <t>Expedition 31 Flight Engineers Joe Acaba and Don Pettit of NASA and Andre Kuipers of the European Space Agency discussed scientific research on the International Space Station and other facets of life and work in space during in-flight interviews June 19 with Fox Business News and the American Geophysical Union. Pettit and Kuipers will return to Earth July 1, while Acaba will remain in orbit until mid-September.</t>
  </si>
  <si>
    <t>K_UAs12NnLo</t>
  </si>
  <si>
    <t>2012 06 18</t>
  </si>
  <si>
    <t>https://youtu.be/tbTzBiz3gUI</t>
  </si>
  <si>
    <t>Kuipers Counting Down to Return</t>
  </si>
  <si>
    <t>Expedition 31 Flight Engineer Andre Kuipers of the European Space Agency discussed the highlights of his half-year on the International Space Station during an in-flight interview with Euronews on June 18.  Kuipers, who launched to the station in December, will return to Earth July 1 in a Russian Soyuz spacecraft for a landing in Kazakhstan along with crewmates Don Pettit of NASA and cosmonaut Oleg Kononenko.</t>
  </si>
  <si>
    <t>tbTzBiz3gUI</t>
  </si>
  <si>
    <t>2012 06 16</t>
  </si>
  <si>
    <t>https://youtu.be/EDH5VApZ958</t>
  </si>
  <si>
    <t>NASA Robotics Challenge  On  at WPI</t>
  </si>
  <si>
    <t>NASA's Sample Return Robot Centennial Challenge, at which five engineering teams from across the country compete for an agency-funded prize of $1.5 million, kicks off at Worcester Polytechnic Institute in Worcester, Mass., with NASA Deputy Administrator Lori Garver headlining the event's opening ceremonies on Saturday, June 16. The Sample Return Robot Challenge is to design and develop the next generation of autonomous robots to explore the landscapes of other worlds by locating, collecting and returning simulated "planetary samples." Competitors pursue whatever design approach they like, and are awarded the cash prizes by NASA only if they're successful. Centennial Challenges, part of NASA's Space Technology Program, stimulate private sector investment many times greater than the cash value of the prize by addressing a particular problem or technological need of national or international significance. www.nasa.gov/challenges</t>
  </si>
  <si>
    <t>EDH5VApZ958</t>
  </si>
  <si>
    <t>https://youtu.be/ClPTuL2heX0</t>
  </si>
  <si>
    <t>Bolden's Two Stops at SpaceX on This Week @NASA</t>
  </si>
  <si>
    <t>NASA Administrator Charlie Bolden pays congratulatory visits to the facilities Space Exploration Technologies in Texas and California following the company's teams for the successful round-trip of the company's Dragon spacecraft to the International Space Station. Dragon demonstrated its ability to maneuver and berth to the ISS, then make its safe return to Earth. Also, Garver opens robotics challenge; chasing dreams at Langley; record-breaking engine test; networking for the future; new site for Curiosity; NuSTAR makes orbit; and more.</t>
  </si>
  <si>
    <t>ClPTuL2heX0</t>
  </si>
  <si>
    <t>2012 06 15</t>
  </si>
  <si>
    <t>https://youtu.be/CQ8VpelbNZU</t>
  </si>
  <si>
    <t>Bolden Visits SpaceX on This Week @NASA</t>
  </si>
  <si>
    <t>NASA Administrator Charlie Bolden visited the facilities of Space Exploration Technologies in Texas and California following the successful round-trip of the company's Dragon spacecraft to the International Space Station. Dragon demonstrated its ability to maneuver and berth to the ISS, then make its safe return to Earth. Also, chasing dreams at Langley; record-breaking engine test; networking for the future; new site for Curiosity; NuSTAR makes orbit; and more.</t>
  </si>
  <si>
    <t>CQ8VpelbNZU</t>
  </si>
  <si>
    <t>https://youtu.be/qiYes-vFB9M</t>
  </si>
  <si>
    <t xml:space="preserve">ScienceCasts  Why Won't the Supernova Explode </t>
  </si>
  <si>
    <t>A question has been troubling astronomers: Why won't the supernova explode? Although real stars blow up, the best computer models of dying stars do not result in much of a bang. NASA has launched a new observatory named "NuSTAR" to seek out the missing physics of exploding stars.</t>
  </si>
  <si>
    <t>qiYes-vFB9M</t>
  </si>
  <si>
    <t>2012 06 09</t>
  </si>
  <si>
    <t>https://youtu.be/B26s6f-wtOg</t>
  </si>
  <si>
    <t>ScienceCasts  Andromeda vs. the Milky Way  Astronomers Predict a Titanic Collision</t>
  </si>
  <si>
    <t>Astronomers no longer have any doubt: Our Milky Way Galaxy will have a head-on collision with Andromeda. Fortunately, they say, Earth will survive when the two great star systems meet 4 billions years from now.</t>
  </si>
  <si>
    <t>B26s6f-wtOg</t>
  </si>
  <si>
    <t>2012 06 08</t>
  </si>
  <si>
    <t>https://youtu.be/tHzFkiUIZxc</t>
  </si>
  <si>
    <t>A Last in our Lifetime event on This Week @NASA</t>
  </si>
  <si>
    <t>NASA Television helped observe the last transit of Venus we'll see here on Earth until 2117 by showcasing live-streaming Websites the world over, including observations made by scientists in central Australia, by the NASA Edge team, stationed atop the Mauna Kea Observatory in Hawaii, by scientists at NASA Headquarters and other NASA Centers around the country. Also, development of technologies to enable exploration of extreme environments such as those found on Venus, The Voyage of Space Shuttle Enterprise concludes in New York, Girl Scouts Rock at NASA Headquarters, Development of inflatable spacecraft and the NASA family mourns the passing of Ray Bradbury, one of our era's greatest and most noted science fiction/fantasy writers.</t>
  </si>
  <si>
    <t>tHzFkiUIZxc</t>
  </si>
  <si>
    <t>https://youtu.be/ZKKwosuuUK4</t>
  </si>
  <si>
    <t>Girl Scouts Rock @NASA to celebrate the big 100!</t>
  </si>
  <si>
    <t>NASA helped mark the 100th anniversary of the Girl Scouts of America by hosting a Girl Scouts Rock@NASA event on June 8 at NASA Headquarters in Washington, D.C. NASA Deputy Administrator Lori Garver, former astronauts Heidemarie Stefanyshyn-Piper and Pam Melroy and other scientists and invited guests spoke with attendees about NASA's missions, discoveries and careers.
NASA and the Girl Scouts share a common goal to encourage and educate young girls about science, technology, engineering and mathematics (STEM) in exciting and innovative ways. The Girl Scouts began in 1912 with only 18 girls. Today, there are 3.2 million girls and adults who are members. In 100 years, the organization has graduated more than 59 million women in the United States. 
The event is part of the Women@NASA project, which is a continuing joint effort by NASA and the White House Council on Women and Girls to relate science, technology, engineering and math fields to young females.</t>
  </si>
  <si>
    <t>ZKKwosuuUK4</t>
  </si>
  <si>
    <t>2012 06 07</t>
  </si>
  <si>
    <t>https://youtu.be/4YW8Wj-_vlg</t>
  </si>
  <si>
    <t>NASA Reaches Out to South Dakota Students</t>
  </si>
  <si>
    <t>Hosted by Brandi Dean of NASA Public Affairs, astronaut Mario Runco takes questions from students of the Newell  School District in Newell, South Dakota during a special NASA Distance Learning Network hook-up from the Johnson Space Center.</t>
  </si>
  <si>
    <t>4YW8Wj-_vlg</t>
  </si>
  <si>
    <t>https://youtu.be/2O_zvBMVHe0</t>
  </si>
  <si>
    <t>Kuipers Chats with Countrymen's Media</t>
  </si>
  <si>
    <t>Aboard the International Space Station, Expedition 31 Flight Engineer Andre Kuipers of the European Space Agency discussed life and work aboard the orbital laboratory and, in particular, in ESA's Columbus module during an in-flight event with Dutch broadcasters gathered in Amsterdam, the Netherlands on June 7, 2012.</t>
  </si>
  <si>
    <t>2O_zvBMVHe0</t>
  </si>
  <si>
    <t>2012 06 06</t>
  </si>
  <si>
    <t>https://youtu.be/DwTbASTyk8E</t>
  </si>
  <si>
    <t>California Students Speak with Station Crew</t>
  </si>
  <si>
    <t>Aboard the International Space Station, Expedition 31 Flight Engineers Don Pettit and Joe Acaba of NASA and Andre Kuipers of the European Space Agency fielded questions about life and work on the orbital laboratory with students from the Junction Avenue K-8 School in Livermore, Calif. during an in-flight educational event on June 6, 2012.</t>
  </si>
  <si>
    <t>DwTbASTyk8E</t>
  </si>
  <si>
    <t>https://youtu.be/uOhC99DMQ1M</t>
  </si>
  <si>
    <t>2012 Venus Transit  The End</t>
  </si>
  <si>
    <t>The event concludes with a wrap-up from NASA Headquarters.</t>
  </si>
  <si>
    <t>uOhC99DMQ1M</t>
  </si>
  <si>
    <t>https://youtu.be/ugV4q1VRDMQ</t>
  </si>
  <si>
    <t>2012 Venus Transit  What Might We Learn</t>
  </si>
  <si>
    <t>Discussions about the astronomical event that won't happen again for 105 years.</t>
  </si>
  <si>
    <t>ugV4q1VRDMQ</t>
  </si>
  <si>
    <t>https://youtu.be/RdPWfM8_HR0</t>
  </si>
  <si>
    <t>NASA Solar Experts Discuss Venus Transit</t>
  </si>
  <si>
    <t>The 2012 event is showcased by NASA TV.</t>
  </si>
  <si>
    <t>RdPWfM8_HR0</t>
  </si>
  <si>
    <t>https://youtu.be/oNrX6oESbaU</t>
  </si>
  <si>
    <t>NASA TV Hosts 2012 Venus Transit</t>
  </si>
  <si>
    <t>Pre-ingress coverage from NASA Headquarters in Washington, DC, of the last-in-a-lifetime event.</t>
  </si>
  <si>
    <t>oNrX6oESbaU</t>
  </si>
  <si>
    <t>2012 06 01</t>
  </si>
  <si>
    <t>https://youtu.be/wgwlh0nA2yI</t>
  </si>
  <si>
    <t>Dragon's Back on This Week @NASA</t>
  </si>
  <si>
    <t>The first commercial spacecraft to journey to the International Space Station returns safely to Earth. Also, new milestones for other commercial crew/cargo spacecraft; John Glenn awarded Presidential Medal of Freedom at White House; and more!</t>
  </si>
  <si>
    <t>wgwlh0nA2yI</t>
  </si>
  <si>
    <t>2012 05 31</t>
  </si>
  <si>
    <t>https://youtu.be/hDEc7HKP0oY</t>
  </si>
  <si>
    <t>ScienceCasts  ISS Transit of Venus</t>
  </si>
  <si>
    <t>High above Earth, astronaut Don Pettit is about to become the first human to witness and photograph a transit of Venus from space. His images and commentary will be streamed to Earth during the crossing.</t>
  </si>
  <si>
    <t>hDEc7HKP0oY</t>
  </si>
  <si>
    <t>https://youtu.be/9Z7RXVym9DY</t>
  </si>
  <si>
    <t>Dragon  Flown Home!</t>
  </si>
  <si>
    <t>The SpaceX mission that sent the first commercial spacecraft to the International Space Station is recapped following its return to Earth.</t>
  </si>
  <si>
    <t>9Z7RXVym9DY</t>
  </si>
  <si>
    <t>https://youtu.be/f-LUKIUvc30</t>
  </si>
  <si>
    <t>Hubble Watchers Predict Galactic Collision</t>
  </si>
  <si>
    <t>Scientists using data from NASA's Hubble Space Telescope say it's not if, but when two galaxies will impact violently with each other.</t>
  </si>
  <si>
    <t>f-LUKIUvc30</t>
  </si>
  <si>
    <t>https://youtu.be/es3ZYd85XbA</t>
  </si>
  <si>
    <t>SpaceX Dragon Splashes Down</t>
  </si>
  <si>
    <t>After its successful stay at the ISS, the world's first commercial spacecraft to journey to the orbiting complex returns to Earth with a safe splashdown in the  Pacific Ocean off the coast of California.</t>
  </si>
  <si>
    <t>es3ZYd85XbA</t>
  </si>
  <si>
    <t>https://youtu.be/G6zoyY_ToQ0</t>
  </si>
  <si>
    <t>Station Begins Dragon's Release for Flight Home</t>
  </si>
  <si>
    <t>The SpaceX Dragon capsule is un-berthed from the International Space Station after becoming the first commercial spacecraft to visit the orbiting laboratory.</t>
  </si>
  <si>
    <t>G6zoyY_ToQ0</t>
  </si>
  <si>
    <t>2012 05 30</t>
  </si>
  <si>
    <t>https://youtu.be/m2bUMAvBgW4</t>
  </si>
  <si>
    <t>NuSTAR to Hunt for Black Holes</t>
  </si>
  <si>
    <t>Scientists explain how NASA's newest mission of exploration will gather important data about one of the Universe's most interesting and perplexing phenomena.</t>
  </si>
  <si>
    <t>m2bUMAvBgW4</t>
  </si>
  <si>
    <t>https://youtu.be/uIrM2F0k_NE</t>
  </si>
  <si>
    <t>Dragon Gets Ready for Return</t>
  </si>
  <si>
    <t>NASA's Johnson Space Center hosts a news conference at which media are updated about the progress of the SpaceX Dragon mission to the International Space Station.</t>
  </si>
  <si>
    <t>uIrM2F0k_NE</t>
  </si>
  <si>
    <t>2012 05 29</t>
  </si>
  <si>
    <t>https://youtu.be/JqBI-Sz4pAA</t>
  </si>
  <si>
    <t>Kuipers Queried Via Social Media</t>
  </si>
  <si>
    <t>Expedition 31 Flight Engineer Andre Kuipers of the European Space Agency (ESA) discussed life and work aboard the international Space Station during a social media in-flight event May 29 with participants at ESA's space research center in Noordwijk, the Netherlands. Kuipers, along with space station Commander Oleg Kononenko of the Russian Federal Space Agency and Flight Engineer Don Pettit of NASA are scheduled to return to Earth in their Soyuz spacecraft for a landing in Kazakhstan on July 1.</t>
  </si>
  <si>
    <t>JqBI-Sz4pAA</t>
  </si>
  <si>
    <t>2012 05 26</t>
  </si>
  <si>
    <t>https://youtu.be/mZcwWCWDW6Q</t>
  </si>
  <si>
    <t>Enter The Dragon on This Week @NASA</t>
  </si>
  <si>
    <t>The crew of the International Space Station opened the hatch of the recently berthed SpaceX Dragon capsule, the first commercial craft to fly to the ISS. Also, Venus Transit, Fallen Heroes, Carbon-Sensing Sherpa, and more.</t>
  </si>
  <si>
    <t>mZcwWCWDW6Q</t>
  </si>
  <si>
    <t>https://youtu.be/sRP1DEpgTSI</t>
  </si>
  <si>
    <t>ISS Crew Discusses Dragon Arrival</t>
  </si>
  <si>
    <t>Aboard the International Space Station, Expedition 31 Flight Engineers Don Pettit and Joe Acaba of NASA and Flight Engineer Andre Kuipers of the European Space Agency fielded questions from reporters May 26, just hours after opening the hatch to SpaceX's Dragon vehicle, the world's first commercial cargo craft launched by the private sector to assist in the resupply of the international complex. Dragon will remain berthed to Harmony until May 31, enabling the crew to unload supplies for the station's residents before it is re-grappled and released to return to Earth for a parachute-assisted splashdown in the Pacific Ocean off the coast of southern California.</t>
  </si>
  <si>
    <t>sRP1DEpgTSI</t>
  </si>
  <si>
    <t>https://youtu.be/QCZwUohCp1o</t>
  </si>
  <si>
    <t>Dragon Hatch Opened to ISS</t>
  </si>
  <si>
    <t>Aboard the International Space Station, Expedition 31 Flight Engineer Don Pettit and Joe Acaba of NASA and European Space Agency Flight Engineer Andre Kuipers opened the hatch to SpaceX's Dragon cargo craft and entered the vehicle May 26, one day after the world's first commercial cargo spacecraft was berthed to the Earth-facing port of the Harmony module. Dragon will remain berthed to Harmony until May 31, enabling the crew to unload supplies for the station's residents before it is re-grappled and released to return to Earth for a parachute-assisted splashdown in the Pacific Ocean off the coast of southern California.</t>
  </si>
  <si>
    <t>QCZwUohCp1o</t>
  </si>
  <si>
    <t>2012 05 25</t>
  </si>
  <si>
    <t>https://youtu.be/98Wbzf7a_4o</t>
  </si>
  <si>
    <t>Grappled and Berthed on This Week @NASA</t>
  </si>
  <si>
    <t>The crew of the International Space Station uses Canadarm2 to capture SpaceX's Dragon capsule, the first commercial craft to fly to the ISS. Also, Venus Transit, Fallen Heroes, Carbon-Sensing Sherpa, and more.</t>
  </si>
  <si>
    <t>98Wbzf7a_4o</t>
  </si>
  <si>
    <t>https://youtu.be/J3Smw7rz1FU</t>
  </si>
  <si>
    <t>NASA Administrator Congratulates ISS Crew on SpaceX Milestone</t>
  </si>
  <si>
    <t>NASA Administrator Charles Bolden phones Expedition 31 crew members Don Pettit, Joe Acaba and Andre Kuipers aboard the International Space Station following their successful grappling and berthing to the orbiting laboratory of SpaceX's uncrewed Dragon capsule on May 25, 2012. Dragon is the first commercial spacecraft to travel to the ISS.</t>
  </si>
  <si>
    <t>J3Smw7rz1FU</t>
  </si>
  <si>
    <t>https://youtu.be/mTdxIS8J_NI</t>
  </si>
  <si>
    <t>SpaceX Capsule Grappled, Berthed to ISS</t>
  </si>
  <si>
    <t>Aboard the International Space Station, Expedition 31 Flight Engineer Don Pettit of NASA and European Space Agency Flight Engineer Andre Kuipers used the station's Canadarm2 robotic arm to grapple and berth SpaceX's Dragon cargo craft to the Earth-facing port of the Harmony module May 25, three days after the spacecraft was launched from the Cape Canaveral Air Force Station in Florida on a history-making mission as the first commercial vehicle to deliver cargo to the outpost. Dragon will spend six days berthed to Harmony, enabling the crew to unload supplies for the station's residents before it is re-grappled and released to return to Earth for a parachute-assisted splashdown in the Pacific Ocean off the coast of southern California.</t>
  </si>
  <si>
    <t>mTdxIS8J_NI</t>
  </si>
  <si>
    <t>https://youtu.be/YjuvIlskUf4</t>
  </si>
  <si>
    <t>SpaceX Progress Updated for Media</t>
  </si>
  <si>
    <t>Mission milestones of the first commercial spaceflight to visit the International Space Station are recapped at NASA's Johnson Space Center in Texas.</t>
  </si>
  <si>
    <t>YjuvIlskUf4</t>
  </si>
  <si>
    <t>2012 05 24</t>
  </si>
  <si>
    <t>https://youtu.be/ggISl9UZc6o</t>
  </si>
  <si>
    <t>ScienceCasts  Partial Eclipse of the Strawberry Moon</t>
  </si>
  <si>
    <t>On Monday, June 4th, the Moon will pass through the shadow of Earth, producing a partial lunar eclipse visible across the Pacific from China to the United States.</t>
  </si>
  <si>
    <t>ggISl9UZc6o</t>
  </si>
  <si>
    <t>https://youtu.be/rFBxUz9ROuk</t>
  </si>
  <si>
    <t>SpaceX Mission Moving On</t>
  </si>
  <si>
    <t>The status of the SpaceX mission is updated during a briefing at NASA's Johnson Space Center on May 24. The demonstration flight of the uncrewed Dragon capsule is the first commercial spacecraft journeying to the International Space Station.</t>
  </si>
  <si>
    <t>rFBxUz9ROuk</t>
  </si>
  <si>
    <t>https://youtu.be/jtN2FNpf0lw</t>
  </si>
  <si>
    <t>SpaceX Flies Under ISS</t>
  </si>
  <si>
    <t>The SpaceX Dragon spacecraft launched by the Falcon 9 rocket on May 22 is seen flying under the International Space Station at a distance of about 1.5 miles on May 24. While in this ISS "zone," tests verified rendezvous and communications  capabilities  between  the uncrewed capsule and the orbiting laboratory.</t>
  </si>
  <si>
    <t>jtN2FNpf0lw</t>
  </si>
  <si>
    <t>2012 05 23</t>
  </si>
  <si>
    <t>https://youtu.be/MO-nVZ-QZJk</t>
  </si>
  <si>
    <t xml:space="preserve">Who Is Alex Trebek </t>
  </si>
  <si>
    <t>That's the correct question to the NASA TV answer, "This popular television game show celebrity hosts a public service announcement pointing out that much of the technology we rely on in our daily lives comes from technologies developed by NASA for space exploration!"</t>
  </si>
  <si>
    <t>MO-nVZ-QZJk</t>
  </si>
  <si>
    <t>2012 05 22</t>
  </si>
  <si>
    <t>https://youtu.be/6xqOUWjLHao</t>
  </si>
  <si>
    <t>Scott Carpenter &amp; Aurora 7</t>
  </si>
  <si>
    <t>Fifty years later, the flight of the fourth American in space (and second to orbit the Earth) is celebrated in this video tribute to Mercury astronaut Scott Carpenter produced by NASA Television.</t>
  </si>
  <si>
    <t>6xqOUWjLHao</t>
  </si>
  <si>
    <t>https://youtu.be/L8mpKnCm1JM</t>
  </si>
  <si>
    <t>NASA Asian-American History Month Profile -- Suren Singhal</t>
  </si>
  <si>
    <t>Suren Singhal is Deputy Manager of the Materials &amp; Processes Laboratory at the Marshall Space Flight Center in Huntsville, Alabama. A native of Agra, India, he moved to the United States in 1973 after earning a bachelor's degree in mechanical engineering from the Indian Institute of Technology, Kanpur. He started his NASA career at the Glenn Research Center in Cleveland, Ohio as a contractor. He served as Director of Aeropropulsion, Director of Structures &amp; Materials, Director of Test Facilities, and then as the Deputy General Manager of Glenn's engineering contract.  After 13 years, he moved to the Marshall Center to take a position as a civil service employee. His work and leadership have impacted nearly every major NASA program including the Space Shuttle, International Space Station, NASA's aeronautics research, and now contributes to the development of the next generation of space vehicle, the Space Launch System.</t>
  </si>
  <si>
    <t>L8mpKnCm1JM</t>
  </si>
  <si>
    <t>https://youtu.be/NZU1ak6BdnY</t>
  </si>
  <si>
    <t>NASA Asian-American History Month Profile -- Fran Lawas-Grodek</t>
  </si>
  <si>
    <t>Fran Lawas-Grodek is a computer engineer of the Office of the Chief Information Officer, and has worked at GRC for 29 years.  Born and raised in the Cleveland OH area as a first generation Filipino-American, Fran attended Cleveland State University where she obtained her Bachelor of Science in Computer Science after switching majors from Accounting.  Just before graduation, Fran was immediately hired to work for NASA Lewis Research Center during a mass fresh-out hire, where her experience and training with the IBM Job Control Language, database technology, and punch cards made her an asset for the business data processing branch, as they embarked upon a large migration to new IBM-compatible mainframes and database management systems from their old COBOL systems on the Univac mainframe.</t>
  </si>
  <si>
    <t>NZU1ak6BdnY</t>
  </si>
  <si>
    <t>https://youtu.be/Mww8LPoGhgE</t>
  </si>
  <si>
    <t>Falcon 9 and Dragon Soar on This Week @NASA</t>
  </si>
  <si>
    <t>SpaceX successfully launched its Falcon 9 rocket and unmanned Dragon spacecraft from Florida's Cape Canaveral Air Force Station early Tuesday morning on a demonstration flight to the International Space Station. This demonstration flight calls for an extensive set of tests requiring the Dragon spacecraft to show that it can move precisely in orbit and approach the space station carefully. If the tests are successful, plans call for Dragon to move close enough to be grappled by the station's robotic arm and berthed to the orbiting laboratory. The flight is the first commercial venture to the ISS. Meanwhile, the three newest residents of the International Space Station were greeted by their Expedition 31 crewmates after their Soyuz capsule docked safely with the orbiting laboratory following its two day-plus journey from Kazakhstan. Soyuz commander Gennady Padalka, NASA flight engineer Joe Acaba, and Russian flight engineer Sergei Revin are slated to spend the next five months on the station. Expedition 31 will conclude, and 32 will begin, when Oleg Kononenko, Andre Kuipers, and Don Pettit return to Earth on July first after spending more than six months aboard the ISS. Also, Extreme Temperature Heat Shield, More Tests for Orion's Launch System Component, The State of Alabama celebrates NASA and more.</t>
  </si>
  <si>
    <t>Mww8LPoGhgE</t>
  </si>
  <si>
    <t>https://youtu.be/hJNNiYPyAeQ</t>
  </si>
  <si>
    <t>SPACEX NASA DISCUSS LAUNCH OF FALCON 9 ROCKET AND DRAGON CAPSULE</t>
  </si>
  <si>
    <t>During a press briefing at The Kennedy Space Center on May 22, SpaceX and NASA officials discussed the launch of the SpaceX Falcon 9 rocket and Dragon capsule on a demonstration flight to the International Space Station. Falcon 9 and Dragon lifted off Tuesday from Cape Canaveral Air Force Station in Florida at 3:44 a.m. EDT. On Thursday, May 24, Dragon will perform a flyby of the space station at a distance of approximately 1.5 miles to validate the operation of sensors and flight systems necessary for a safe rendezvous and approach. Following analysis of the flyby by NASA and SpaceX managers, the Dragon capsule will be cleared to rendezvous and berth with the space station on Friday, May 25, marking the first time a commercial company has attempted this feat.</t>
  </si>
  <si>
    <t>hJNNiYPyAeQ</t>
  </si>
  <si>
    <t>https://youtu.be/-0wRJGGPBUk</t>
  </si>
  <si>
    <t>NASA ADMINISTRATOR TALKS WITH MEDIA AFTER SPACEX LAUNCH</t>
  </si>
  <si>
    <t>NASA Administrator Charles Bolden addressed media representatives (Tuesday May 22) at the Kennedy Space Center in Florida following SpaceX NASA demonstration flight launch to the International Space Station.</t>
  </si>
  <si>
    <t>-0wRJGGPBUk</t>
  </si>
  <si>
    <t>https://youtu.be/ZHjPMg-Lin8</t>
  </si>
  <si>
    <t>SPACEX LAUNCHES DEMONSTRATION FLIGHT TOWARDS ISS</t>
  </si>
  <si>
    <t>On Tuesday, May 22, SpaceX launched a Falcon 9 rocket carrying a Dragon capsule on a demonstration flight towards the International Space Station. The launch occurred at 3:44 a.m. EDT from Space Launch Complex 40 at Cape Canaveral Air Force Station in Florida.
During the flight, the Dragon capsule will conduct a series of check-out procedures to test and prove its systems, including the capability to rendezvous and berth with the space station. Planned evaluations include a flyby of the station at a distance of approximately 1.5 miles to validate the operation of sensors and flight systems necessary for a safe rendezvous and approach. The spacecraft also will demonstrate the ability to abort the rendezvous. Once Dragon successfully proves these capabilities, it will be cleared to berth with the space station.</t>
  </si>
  <si>
    <t>ZHjPMg-Lin8</t>
  </si>
  <si>
    <t>2012 05 19</t>
  </si>
  <si>
    <t>https://youtu.be/tUNkX94TRgU</t>
  </si>
  <si>
    <t>Dragon's Demo on This Week @NASA</t>
  </si>
  <si>
    <t>The scheduled May 19th launch of the SpaceX Falcon 9 rocket and Dragon spacecraft on the first commercial venture to the International Space Station was aborted with t-minus zero-point-five seconds left in the countdown. Early data shows that high chamber pressure in Engine #5 caused a cutoff of all nine engines at T- 0.5 seconds. SpaceX will continue to look at the data and inspect the engine before setting a new launch date. The next possible opportunity is May 22 from Cape Canaveral Air Force Station in Florida. Meanwhile, the three newest residents of the International Space Station were greeted by their Expedition 31 crewmates after their Soyuz capsule docked safely with the orbiting laboratory following its two day-plus journey from Kazakhstan. Soyuz commander Gennady Padalka, NASA flight engineer Joe Acaba, and Russian flight engineer Sergei Revin are slated to spend the next five months on the station. Expedition 31 will conclude, and 32 will begin, when Oleg Kononenko, Andre Kuipers, and Don Pettit return to Earth on July first after spending more than six months aboard the ISS. Also, Extreme Temperature Heat Shield, More Tests for Orion's Launch System Component, The State of Alabama celebrates NASA and more.</t>
  </si>
  <si>
    <t>tUNkX94TRgU</t>
  </si>
  <si>
    <t>https://youtu.be/nV_JqBOeXMk</t>
  </si>
  <si>
    <t>SPACEX NASA DISCUSS LAUNCH ABORT OF FALCON 9 ROCKET</t>
  </si>
  <si>
    <t>During a press briefing at The Kennedy Space Center on May 19, SpaceX President Gwynne Shotwell and NASA Commercial Crew and Cargo Program Manager Alan Lindenmoyer discussed the launch abort of the SpaceX Falcon 9 rocket and Dragon capsule on a demonstration flight to the International Space Station. Early data shows that high chamber pressure in Engine #5 caused a cutoff of all nine engines at T- 0.5 seconds. SpaceX will continue to look at the data and inspect the engine before setting a new launch date. The next possible opportunity is May 22 from Cape Canaveral Air Force Station in Florida.</t>
  </si>
  <si>
    <t>nV_JqBOeXMk</t>
  </si>
  <si>
    <t>https://youtu.be/szlGrFBclXQ</t>
  </si>
  <si>
    <t>SPACEX ABORTS LAUNCH OF FALCON 9 ROCKET</t>
  </si>
  <si>
    <t>On Saturday, May 19, SpaceX aborted the planned launch of its Falcon 9 rocket carrying a Dragon capsule on a demonstration flight toward the International Space Station. Early data shows that high chamber pressure in Engine #5 caused a cutoff of all nine engines at T- 0.5 seconds. SpaceX will continue to look at the data and inspect the engine before setting a new launch date. The next possible opportunity is May 22 from Cape Canaveral Air Force Station in Florida. Includes footage of launch abort and interview excerpts from Post-scrub briefing at NASA's Kennedy Space Center.</t>
  </si>
  <si>
    <t>szlGrFBclXQ</t>
  </si>
  <si>
    <t>2012 05 18</t>
  </si>
  <si>
    <t>https://youtu.be/HHgHW4ZqrjA</t>
  </si>
  <si>
    <t>New Expedition Crew and Dragon's Demo Flight on This Week @NASA</t>
  </si>
  <si>
    <t>The three newest residents of the International Space Station were greeted by their Expedition 31 crewmates after their Soyuz capsule docked safely with the orbiting laboratory following its two day-plus journey from Kazakhstan. Soyuz commander Gennady Padalka, NASA flight engineer Joe Acaba, and Russian flight engineer Sergei Revin are slated to spend the next five months on the station. Expedition 31 will conclude, and 32 will begin, when Oleg Kononenko, Andre Kuipers, and Don Pettit return to Earth on July first after spending more than six months aboard the ISS. Meanwhile, the launch of the first commercial venture to the International Space Station is a big milestone for NASA and Space Exploration Technologies Corporation, or SpaceX, the company whose Falcon 9 rocket and Dragon spacecraft endeavors to carry out the demonstration flight to the ISS. Also, Extreme Temperature Heat Shield, More Tests for Orion's Launch System Component, The State of Alabama celebrates NASA and more.</t>
  </si>
  <si>
    <t>HHgHW4ZqrjA</t>
  </si>
  <si>
    <t>https://youtu.be/r_xvzwPni5I</t>
  </si>
  <si>
    <t>NASA Spacex Discuss Upcoming Launch and Mission To ISS</t>
  </si>
  <si>
    <t>Officials from NASA and SpaceX held a press briefing at the Kennedy Space Center to discuss the second SpaceX demonstration launch for NASA's Commercial Orbital Transportation Services (COTS), scheduled for liftoff on Saturday, May 19. The launch of the Falcon 9 rocket carrying a Dragon capsule will occur from Space Launch Complex 40 at Cape Canaveral Air Force Station in Florida. There is a single instantaneous launch opportunity at 4:55 a.m. EDT. NASA Television launch commentary from Cape Canaveral begins at 3:30 a.m.
During the flight, SpaceX's Dragon capsule will conduct a series of check-out procedures to test and prove its systems, including the capability to rendezvous and berth with the International Space Station.</t>
  </si>
  <si>
    <t>r_xvzwPni5I</t>
  </si>
  <si>
    <t>https://youtu.be/jjutZLmKchs</t>
  </si>
  <si>
    <t>NASA SpaceX Hold NASA Social for Falcon 9 Launch</t>
  </si>
  <si>
    <t>NASA and Space Exploration Technologies invited a group of their social media followers to a NASA Social at NASA's Kennedy Space Center in Florida. The event was in anticipation of the launch of SpaceX's second Commercial Orbital Transportation Services (COTS) demonstration flight. SpaceX's Falcon 9 rocket is targeted to lift off at 4:55 a.m. EDT on May 19, in an attempt to become the first commercial company to send a spacecraft to the International Space Station.</t>
  </si>
  <si>
    <t>jjutZLmKchs</t>
  </si>
  <si>
    <t>2012 05 17</t>
  </si>
  <si>
    <t>https://youtu.be/CAb4RgqwW30</t>
  </si>
  <si>
    <t>ScienceCasts  The 2012 Transit of Venus</t>
  </si>
  <si>
    <t>It won't happen again until December 2117. On June 5th, 2012, Venus will transit the face of the sun in an event of both historical and observational importance. The best places to watch are in the south Pacific, but travel is not required. The event will also be visible around sunset from the USA.</t>
  </si>
  <si>
    <t>CAb4RgqwW30</t>
  </si>
  <si>
    <t>https://youtu.be/Qr6JkzUzBgk</t>
  </si>
  <si>
    <t>Station Hatch Opens on Space Travelling Trio</t>
  </si>
  <si>
    <t>A few hours after docking their Soyuz spacecraft with the International Space Station, Gennady Padalka, Joe Acaba and Sergei Revin opened hatches and were greeted by three crew members who have been on the  outpost since December; station Commander Oleg Kononenko, NASA Flight Engineer Don Pettit and European Space Agency Flight Engineer Andre Kuipers. The new arrivals also received congratulatory calls and best wishes from American and Russian space officials and their families gathered at the Russian Mission Control Center in Korolev, Russia, outside Moscow.</t>
  </si>
  <si>
    <t>Qr6JkzUzBgk</t>
  </si>
  <si>
    <t>https://youtu.be/neZkBzaGeOY</t>
  </si>
  <si>
    <t>New Crewmates Arrive at ISS</t>
  </si>
  <si>
    <t>After launching in their Soyuz TMA-04M spacecraft, Expedition 31 Soyuz Commander Gennady Padalka, NASA Flight Engineer Joe Acaba and Flight Engineer Sergei Revin arrived at the International Space Station on May 17, docking their craft to the Poisk module on the Russian segment of the complex.</t>
  </si>
  <si>
    <t>neZkBzaGeOY</t>
  </si>
  <si>
    <t>2012 05 16</t>
  </si>
  <si>
    <t>https://youtu.be/9QsjlRxwarw</t>
  </si>
  <si>
    <t>Station Crew Speaks with European YouTubers</t>
  </si>
  <si>
    <t>Aboard the International Space Station, Expedition 31 Flight Engineer Andre￼ Kuipers of the European Space Agency and Flight Engineer Don Pettit of NASA discussed scientific research being conducted on the orbital laboratory and other aspects of life in space during an in-flight event with participants at the European Astronaut Center in Cologne, Germany who are competing in a European YouTube "Spacelab" contest.  The group gathered. Pettit, Kuipers and Russian crewmate and Expedition 31 Commander Oleg Kononenko are scheduled to return to Earth in their Soyuz TMA-03M spacecraft on July 1.</t>
  </si>
  <si>
    <t>9QsjlRxwarw</t>
  </si>
  <si>
    <t>2012 05 15</t>
  </si>
  <si>
    <t>https://youtu.be/WGJXvDcBut8</t>
  </si>
  <si>
    <t>New Crew to Space Station on This Week @NASA</t>
  </si>
  <si>
    <t>The Russian Soyuz spacecraft carrying Expedition 31 Soyuz Commander Gennady Padalka, NASA Flight Engineer Joe Acaba and Flight Engineer Sergei Revin is shown launching from the Baikonur Cosmodrome in Kazakhstan to the International Space Station. There, Padalka, Acaba and Revin are joining up with their Expedition 31 crewmates already aboard the ISS, Commander Oleg Kononenko, NASA Flight Engineer Don Pettit and European Space Agency Flight Engineer Andre Kuipers; they've been on the outpost since December. Also, SpaceX continues its preparations for the planned May 19 launch of the Falcon 9 rocket and unmanned Dragon spacecraft to the International Space Station, new findings about the asteroid Vesta by NASA's DAWN spacecraft and more!</t>
  </si>
  <si>
    <t>WGJXvDcBut8</t>
  </si>
  <si>
    <t>https://youtu.be/QGewghzJ48Q</t>
  </si>
  <si>
    <t>Karen Gundy-Burlet</t>
  </si>
  <si>
    <t>Karen Gundy-Burlet from NASA Ames Research Center tells how she got interested in STEM (Science, Technology, Engineering, and Math) fields.</t>
  </si>
  <si>
    <t>QGewghzJ48Q</t>
  </si>
  <si>
    <t>https://youtu.be/UaZX1vuSe2M</t>
  </si>
  <si>
    <t>Julie Kramer White</t>
  </si>
  <si>
    <t>Julie Kramer White from NASA Johnson Space Center tells her story of how she got a career in a STEM (Science, Technology, Engineering, and Math) field.</t>
  </si>
  <si>
    <t>UaZX1vuSe2M</t>
  </si>
  <si>
    <t>https://youtu.be/k64UY0vRPIE</t>
  </si>
  <si>
    <t>Expedition 31 Trio Blasts Off for International Space Station</t>
  </si>
  <si>
    <t>NASA Flight Engineer Joseph Acaba, Russian Soyuz Commander Gennady Padalka and Flight Engineer Sergei Revin lifted off for the International Space Station at 11:01 p.m. EDT Monday, May 14 (9:01 a.m. Baikonur time on May 15), from the Baikonur Cosmodrome in Kazakhstan.
Acaba, Padalka and Revin are scheduled to dock their Soyuz TMA-04M spacecraft to the Poisk module of the station at 12:38 a.m. Thursday, May 17. They will join Expedition 31 Commander Oleg Kononenko of the Russian Federal Space Agency and Flight Engineers Don Pettit of NASA and André Kuipers of the European Space Agency, who have been aboard the orbiting laboratory since December 23, 2011. The six astronauts and cosmonauts will work together for about two months.</t>
  </si>
  <si>
    <t>k64UY0vRPIE</t>
  </si>
  <si>
    <t>2012 05 14</t>
  </si>
  <si>
    <t>https://youtu.be/6EpKaP18Leo</t>
  </si>
  <si>
    <t>EXPEDITION 31 CREW MEETS OFFICIALS AND REPORTERS AS LAUNCH APPROACHES</t>
  </si>
  <si>
    <t>Expedition 31 Soyuz Commander Gennady Padalka, NASA Flight Engineer Joe Acaba and Flight Engineer Sergei Revin appeared before the Russian State Commission on May 14 in Baikonur, Kazakhstan. The commission gave its final approval for the crew's launch May 15 local time to the International Space Station. The crew also conducted a final prelaunch news conference at their Cosmonaut Hotel crew quarters as they prepared for liftoff in the Soyuz TMA-04M spacecraft. The trio will spend four months on the station. Also featured in the video are the backup crew members, Russian Soyuz Commander Oleg Novitskiy, NASA Flight Engineer Kevin Ford and Flight Engineer Evgeny Tarelkin.</t>
  </si>
  <si>
    <t>6EpKaP18Leo</t>
  </si>
  <si>
    <t>https://youtu.be/DBw9Mas5HdM</t>
  </si>
  <si>
    <t>Space Shuttle Enterprise Removed from 747 Carrier Aircraft</t>
  </si>
  <si>
    <t>At John F. Kennedy (JFK) International Airport in New York, space shuttle Enterprise was removed from NASA's 747 Shuttle Carrier Aircraft (SCA) early Sunday morning. Enterprise will be placed on a barge that will move by tugboat up the Hudson River to the Intrepid Sea, Air &amp; Space Museum in June. The shuttle will be lifted by crane and placed on the flight deck of the Intrepid, where it will be on exhibit to the public starting this summer in a temporary climate-controlled pavilion. The Intrepid continues to work on a permanent exhibit facility to showcase Enterprise that will enhance the museum's space-related exhibits and education curriculum.</t>
  </si>
  <si>
    <t>DBw9Mas5HdM</t>
  </si>
  <si>
    <t>2012 05 13</t>
  </si>
  <si>
    <t>https://youtu.be/FUwZPaw4F9A</t>
  </si>
  <si>
    <t>THE EXPEDITION 31 SOYUZ ROCKET MOVES TO ITS LAUNCH PAD</t>
  </si>
  <si>
    <t>The Soyuz TMA-04M spacecraft and its booster were moved to the launch pad at the Baikonur Cosmodrome in Kazakhstan on a railcar on May 13, for final preparations prior to launch to the International Space Station on May 15 local time. The Soyuz TMA-04M will carry Expedition 31 Soyuz Commander Gennady Padalka, NASA Flight Engineer Joe Acaba and Flight Engineer Sergei Revin. The trio will spend four months on the outpost, joining station Commander Oleg Kononenko, NASA Flight Engineer Don Pettit and European Space Agency Flight Engineer Andre Kuipers, who have been in orbit since December. The footage includes video of the Soyuz spacecraft's mating to its Soyuz booster rocket in Baikonur on May 12, and interviews with Eric Boe, Deputy Chief of the Astronaut Office, JSC, and Kirk Shireman, ISS Deputy Program Manager.</t>
  </si>
  <si>
    <t>FUwZPaw4F9A</t>
  </si>
  <si>
    <t>2012 05 11</t>
  </si>
  <si>
    <t>https://youtu.be/nS3tEzaTSlM</t>
  </si>
  <si>
    <t>Latest Update on New Space Station Crew on This Week @NASA</t>
  </si>
  <si>
    <t>Activities for new Expedition 31 crewmembers, Soyuz Commander Gennady Padalka, NASA Flight Engineer Joe Acaba and Flight Engineer Sergei Revin include a pre-launch fit check in a Soyuz capsule at the Baikonur Cosmodrome in Kazakhstan, the raising of flags outside the Cosmonaut Hotel crew quarters and launch to the orbiting laboratory to meet up with NASA Astronaut Don Pettit, Cosmonaut Oleg Kononenko and Andre Kuipers of the European Space Agency. Also, SpaceX continues its preparations for the planned May 19 launch of the Falcon 9 rocket and unmanned Dragon spacecraft to the International Space Station, new findings about the asteroid Vesta by NASA's DAWN spacecraft and more!</t>
  </si>
  <si>
    <t>nS3tEzaTSlM</t>
  </si>
  <si>
    <t>https://youtu.be/7Apu0brG69g</t>
  </si>
  <si>
    <t>NASA Asian-American History Month Profile -- Janejit Gensler</t>
  </si>
  <si>
    <t>Janejit Gensler is the technical communications lead for the ISS External Integration Office at NASA's Johnson Space Center. She provides technical support to the ISS Program, NASA Headquarters, Education, and Public Affairs by compiling responses to technical inquiries. Gensler serves as Executive Technical Administrator for the Space Station Control Board and is the Lead ISS Program Integrator for a variety of boards and commissions at NASA Headquarters. She also helps establish partnerships between NASA and external entities through the development of Space Act Agreements. Gensler holds a bachelor of science degree in chemical engineering from the University of Texas and has worked at JSC for twelve years.</t>
  </si>
  <si>
    <t>7Apu0brG69g</t>
  </si>
  <si>
    <t>https://youtu.be/THigU1Q2D7Y</t>
  </si>
  <si>
    <t>NASA Asian-American History Month Profile -- Daphne Dador</t>
  </si>
  <si>
    <t>Daphne Dador joined NASA as a Legislative Affairs Specialist at the Office of Legislative &amp; Intergovernmental Affairs (OLIA) at NASA Headquarters in Washington, D.C., in September 2010.  OLIA's mission is to provide executive leadership, direction, and coordination of all communications and relationships related to legislative issues between NASA and the U.S. Congress, state and local government, and space-related associations and citizen's groups. As an active member of the space community, Daphne has volunteered with a variety of national and international space-related organizations such as Women in Aerospace, the American Institute for Aeronautics and Astronautics, the International Space University-DC-Alumni Group, the Space Generation Congress, and Yuri's Night.  In 2004, she founded the George Washington University Space Society. Committed to representing the space community and its needs Daphne hopes to inspire the next generation of space professionals.  She is a native northern Californian and a second-generation Filipino-American.</t>
  </si>
  <si>
    <t>THigU1Q2D7Y</t>
  </si>
  <si>
    <t>https://youtu.be/_0G2V6-m70E</t>
  </si>
  <si>
    <t>NASA Asian-American History Month Profile -- Allen Chen</t>
  </si>
  <si>
    <t>Allen Chen is a systems engineer in the Entry, Descent, and Landing (EDL) Systems and Advanced Technologies group at NASA's Jet Propulsion Laboratory, Pasadena, Calif. (JPL).  On the Mars Science Laboratory (MSL) team, he is the lead for EDL operations and Flight Dynamics, co-leads the joint science/engineering Mars atmosphere characterization team.  Chen has been a member of the MSL EDL Systems Engineering Team and the MSL Flight System Systems Engineering Team since his arrival at JPL in 2002.  He also worked on the Mars Exploration Rovers project, performing EDL reconstruction analysis and testing.  He holds a bachelor's and master's degree in Aeronautics and Astronautics from the Massachusetts Institute of Technology, Cambridge, Mass. and an M.B.A. from the University of California, Los Angeles.</t>
  </si>
  <si>
    <t>_0G2V6-m70E</t>
  </si>
  <si>
    <t>https://youtu.be/TAsHOqVswEw</t>
  </si>
  <si>
    <t>ScienceCasts  Don't Judge a Moon by its Cover</t>
  </si>
  <si>
    <t>Superficially, Saturn's moon Phoebe doesn't look much like a planet, but on the inside, the little gray moon has a lot in common with worlds like Earth.</t>
  </si>
  <si>
    <t>TAsHOqVswEw</t>
  </si>
  <si>
    <t>https://youtu.be/_Mpm1UPnJ4M</t>
  </si>
  <si>
    <t>Next ISS Crew Prepares for Launch in Kazakhstan</t>
  </si>
  <si>
    <t>At the Baikonur Cosmodrome in Kazakhstan, Expedition 31 Soyuz Commander Gennady Padalka, NASA Flight Engineer Joe Acaba and Flight Engineer Sergei Revin participated in their final unsuited fit check in the Soyuz TMA-04M spacecraft and conducted other traditional activities on May 11, as they prepared for launch to the International Space Station on May 15 local time. The video also features the backup crew members, Russian Soyuz Commander Oleg Novitskiy, NASA Flight Engineer Kevin Ford and Flight Engineer Evgeny Tarelkin.</t>
  </si>
  <si>
    <t>_Mpm1UPnJ4M</t>
  </si>
  <si>
    <t>2012 05 10</t>
  </si>
  <si>
    <t>https://youtu.be/JNIbuEqRPTU</t>
  </si>
  <si>
    <t>NASA's Dawn Defines Vesta's Role in Solar System History</t>
  </si>
  <si>
    <t>During a NASA Television Science briefing, scientists discussed the findings of the first global analysis of the giant asteroid Vesta by NASA's Dawn spacecraft. The Dawn mission has confirmed Vesta's status as a special fossil of the early solar system and revealed a more varied, diverse world than originally thought. Dawn has shown Vesta is the only known intact, layered planetary building block with an iron core surviving from the earliest days of the solar system. It therefore more closely resembles a small planet or Earth's moon, not another asteroid.</t>
  </si>
  <si>
    <t>JNIbuEqRPTU</t>
  </si>
  <si>
    <t>https://youtu.be/EYOl9PdBrfw</t>
  </si>
  <si>
    <t>Expedition 31 Crew Prepares for Launch in Kazakhstan</t>
  </si>
  <si>
    <t>At the Baikonur Cosmodrome in Kazakhstan, Expedition 31 Soyuz Commander Gennady Padalka, NASA Flight Engineer Joe Acaba and Flight Engineer Sergei Revin participated in a variety of activities, as they prepared for launch to the International Space Station in their Soyuz TMA-04M spacecraft. The footage includes the crew's arrival in Baikonur, suited fit checks in the Soyuz spacecraft, the raising of flags outside the Cosmonaut Hotel crew quarters, and other traditional activities. The video also features the backup crew members, Russian Soyuz Commander Oleg Novitskiy, NASA Flight Engineer Kevin Ford and Flight Engineer Evgeny</t>
  </si>
  <si>
    <t>EYOl9PdBrfw</t>
  </si>
  <si>
    <t>https://youtu.be/_Iz4pNRU_2s</t>
  </si>
  <si>
    <t>NASA Flight Controller Talks Space With Students</t>
  </si>
  <si>
    <t>NASA Environmental Control &amp; Life Support (ECLSS) Officer Jesse Bazley answers questions from 4th-6th grade students at Corpus Christi Catholic School in Chambersburg, PA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</si>
  <si>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_Iz4pNRU_2s</t>
  </si>
  <si>
    <t>https://youtu.be/TPW6kRJQCfE</t>
  </si>
  <si>
    <t>Astronaut Dan Burbank Conducts Satellite Interviews</t>
  </si>
  <si>
    <t>Just back from his command of the International Space Station, NASA astronaut Dan Burbank will conducted live satellite interviews on Thursday, May 10.
Burbank and his crewmates, Expedition 30 Flight Engineers Anton Shkaplerov and Anatoly Ivanishin of the Russian Federal Space Agency, returned to Earth in their Soyuz TMA-22 spacecraft at 6:45 a.m. on April 27. The crew members spent the majority of their time aboard the complex performing science experiments and routine maintenance. During his third space flight, Burbank completed 165 days in space as a member of the Expedition 29 and 30 crews. He has performed one spacewalk and spent 189 days in space. Burbank is a native of Yarmouthport, Mass., and a 1985 graduate of the United States Coast Guard Academy. After earning his commission, Burbank served in various roles as a Coast Guard officer before NASA selected him as an astronaut in 1996. He received a master of science degree from Embry-Riddle Aeronautical University in 1990.</t>
  </si>
  <si>
    <t>TPW6kRJQCfE</t>
  </si>
  <si>
    <t>2012 05 08</t>
  </si>
  <si>
    <t>https://youtu.be/eCXJMCSyZbw</t>
  </si>
  <si>
    <t>Station Crew Member Discusses View Of Earth From Space</t>
  </si>
  <si>
    <t>Expedition 31 Flight Engineer André Kuipers of the European Space Agency discussed his view of Earth from the International Space Station and scientific research pertinent to the environment with attendees of an environmental conference in Rotterdam, the Netherlands, during an in-flight interview May 8, 2012.</t>
  </si>
  <si>
    <t>eCXJMCSyZbw</t>
  </si>
  <si>
    <t>2012 05 07</t>
  </si>
  <si>
    <t>https://youtu.be/OoFaRCkegIQ</t>
  </si>
  <si>
    <t>Shuttle Veterans named to Hall of Fame on This Week @NASA</t>
  </si>
  <si>
    <t>The 2012 U.S. Astronaut Hall of Fame has three new members. During an induction ceremony held at the Kennedy Space Center, Franklin Chang Díaz, Kevin Chilton and Charles Precourt joined an elite group of American space heroes. Chang Díaz flew on seven space shuttle flights and logged more than 16-hundred hours in space, Chilton was the pilot on STS-49, the first flight of space shuttle Endeavour and was the commander of STS-76 and Precourt flew on four space shuttle missions, as a mission specialist, a pilot and a commander. This is the eleventh group of space shuttle astronauts named to the Hall of Fame. Earlier inductees represent the Mercury, Gemini, Apollo, Skylab and Apollo-Soyuz programs. There are now 82 space explorers enshrined in the Astronaut Hall of Fame. Also, NASA commercial partner, SpaceX conducted a test firing of its Falcon 9 rocket on the pad at Space Launch Complex 40 at Cape Canaveral Air Force Station in Florida. The successful test clears the way for Falcon 9's upcoming demonstration flight to the ISS as part of NASA's plan for private companies to take over cargo delivery to the orbiting complex, the next ISS Crew, Expedition 31 Soyuz Commander Gennady Padalka, NASA Flight Engineer Joe Acaba and Flight Engineer Sergei Revin participated in traditional ceremonies at the Gagarin Cosmonaut Training Center in Star City, Russia before departing for the Baikonur Cosmodrome in Kazakhstan to complete training for their launch to the International Space Station aboard a Soyuz spacecraft later this month and more!</t>
  </si>
  <si>
    <t>OoFaRCkegIQ</t>
  </si>
  <si>
    <t>2012 05 05</t>
  </si>
  <si>
    <t>https://youtu.be/RVfr4uZSqZ4</t>
  </si>
  <si>
    <t>2012 U.S. Astronaut Hall of Fame Induction</t>
  </si>
  <si>
    <t>On Saturday May 5, the 2012 U.S. Astronaut Hall of Fame ceremony was held at the Kennedy Space Center. Franklin R. Chang Díaz, Kevin P. Chilton and Charles J. Precourt joined an elite group of American space heroes as they were inducted into the U.S. Astronaut Hall of Fame at Kennedy Space Center Visitor Complex. This is the eleventh group of space shuttle astronauts named to the U.S. Astronaut Hall of Fame. Earlier inductees represent the Mercury, Gemini, Apollo, Skylab and Apollo-Soyuz programs.  The addition of Dr. Chang Díaz, a veteran of seven space shuttle flights who has logged more than 1,601 hours in space; Gen. Chilton, the pilot on space shuttle Endeavour's maiden voyage and the commander of STS-76; and Col. Precourt, who served as shuttle mission specialist, pilot and spacecraft commander, will bring the number of space explorers enshrined in the Hall of Fame to 82.</t>
  </si>
  <si>
    <t>RVfr4uZSqZ4</t>
  </si>
  <si>
    <t>2012 05 04</t>
  </si>
  <si>
    <t>https://youtu.be/q99Lv66eiVk</t>
  </si>
  <si>
    <t>SpaceX Rocket Test Fired on This Week @NASA</t>
  </si>
  <si>
    <t>NASA commercial partner, SpaceX, is a step closer on its planned journey to the International Space Station. After its rollout to Space Launch Complex 40 at Cape Canaveral Air Force Station in Florida, the SpaceX Falcon 9 rocket was lifted into place for a static engine fire test simulating launch. The exercise ended with all nine engines firing at full power for two seconds. The successful test clears the way for Falcon 9's upcoming demonstration flight to the ISS as part of NASA's plan for private companies to take over cargo delivery to the orbiting complex. Also, Expedition 31 Soyuz Commander Gennady Padalka, NASA Flight Engineer Joe Acaba and Flight Engineer Sergei Revin participated in traditional ceremonies at the Gagarin Cosmonaut Training Center in Star City, Russia before departing for the Baikonur Cosmodrome in Kazakhstan to complete training for their launch to the International Space Station aboard a Soyuz spacecraft later this month and more!</t>
  </si>
  <si>
    <t>q99Lv66eiVk</t>
  </si>
  <si>
    <t>https://youtu.be/VLkKadCo0Mk</t>
  </si>
  <si>
    <t>Station Crew Discusses Life In Space With News Media</t>
  </si>
  <si>
    <t>Aboard the International Space Station, Expedition 31 Flight Engineers Don Pettit of NASA and Andre Kuipers of the European Space Agency discussed the status of their mission and the upcoming flight of the SpaceX/Dragon spacecraft, the first commercially-owned cargo ship to fly to the complex, during a pair of in-flight interviews May 4 with Fox News Radio Network and CBS News.</t>
  </si>
  <si>
    <t>VLkKadCo0Mk</t>
  </si>
  <si>
    <t>2012 05 03</t>
  </si>
  <si>
    <t>https://youtu.be/s2Ho8seXwQg</t>
  </si>
  <si>
    <t>ScienceCasts  A Star Turns Inside Out</t>
  </si>
  <si>
    <t>NASA's Chandra X-ray Observatory has mapped the debris of a supernova and discovered that the explosion may have turned the original star inside out. Peering into the heart of the inverted star, astronomers have found the atoms of life itself.</t>
  </si>
  <si>
    <t>s2Ho8seXwQg</t>
  </si>
  <si>
    <t>https://youtu.be/ugdWb4k4fws</t>
  </si>
  <si>
    <t>NASA Spacewalk Trainer Talks Space With Students</t>
  </si>
  <si>
    <t>NASA Extra Vehicular Activity (EVA), or Spacewalk Officer Glenda Brown answers questions from 8th grade students at Victory Lakes Intermediate School in League City, TX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t>
  </si>
  <si>
    <t>ugdWb4k4fws</t>
  </si>
  <si>
    <t>2012 05 02</t>
  </si>
  <si>
    <t>https://youtu.be/qm6B3s12VLI</t>
  </si>
  <si>
    <t>Change of Command aboard Space Station On This Week @NASA</t>
  </si>
  <si>
    <t>NASA astronaut and Expedition 30 Commander Dan Burbank officially transferred the helm of the orbiting outpost to Russian cosmonaut, Oleg Kononenko who, along with NASA astronaut Don Pettit and Andre Kuipers of the European Space Agency, has now begun Expedition 31. Two days later, Burbank and his Expedition 30 crewmates, Russian cosmonauts Anton Shkaplerov and Anatoly Ivanishin, said their farewells, climbed into their Soyuz TMA-22 spacecraft and departed the station for the trip back to Earth. After a five-and-a-half month stay onboard the ISS, Burbank, Shkaplerov and Ivanishin landed safely in Kazakhstan.
Meanwhile, the other three members of Expedition 31, NASA Flight Engineer Joe Acaba, and his Russian crewmates, Soyuz Commander Gennady Padalka and Flight Engineer Sergei Revin, participated in pre-launch activities at the Gagarin Cosmonaut Training Center in Star City, Russia. The trio is scheduled to launch to the ISS on a Soyuz spacecraft on May 15 to join Pettit, Kuipers and Kononenko. Also, Space Shuttle Enterprise is flown to The Big Apple, the next-generation J-2X Engine is ready for more tests, Snowballs make waves in Saturn's outer ring and more!</t>
  </si>
  <si>
    <t>qm6B3s12VLI</t>
  </si>
  <si>
    <t>https://youtu.be/3SET3iOVw5g</t>
  </si>
  <si>
    <t>Inside the International Space Station Episode 4 Chapter 3 - Comet Lovejoy</t>
  </si>
  <si>
    <t>Expedition 30 astronauts Dan Burbank and Don Pettit saw and photographed Comet Lovejoy but weren't sure what it was, at first.</t>
  </si>
  <si>
    <t>3SET3iOVw5g</t>
  </si>
  <si>
    <t>https://youtu.be/W-fBBKvtN7g</t>
  </si>
  <si>
    <t>Expedition 31 Crew Departs for Kazakh Launch Site</t>
  </si>
  <si>
    <t>Expedition 31 Soyuz Commander Gennady Padalka, NASA Flight Engineer Joe Acaba and Flight Engineer Sergei Revin participated in traditional ceremonies at the Gagarin Cosmonaut Training Center in Star City, Russia, outside of Moscow on May 2.  Afterward, they departed for the Baikonur Cosmodrome in Kazakhstan to complete training for their launch to the International Space Station in the Soyuz TMA-04M spacecraft on May 15. After arriving in Baikonur, they were scheduled to conduct a series of prelaunch activities over the next two weeks as they prepare for liftoff to the orbital outpost.</t>
  </si>
  <si>
    <t>W-fBBKvtN7g</t>
  </si>
  <si>
    <t>2012 05 01</t>
  </si>
  <si>
    <t>https://youtu.be/xSlNgPG-TkI</t>
  </si>
  <si>
    <t>Aboard the International Space Station, Expedition 31 Flight Engineers Don Pettit of NASA and Andre Kuipers of the European Space Agency discussed the status of their mission and the upcoming flight of the SpaceX/Dragon spacecraft, the first commercially-owned cargo ship to fly to the complex, during a pair of in-flight interviews May 1 with KRLA Radio, Los Angeles and the Associated Press.</t>
  </si>
  <si>
    <t>xSlNgPG-TkI</t>
  </si>
  <si>
    <t>2012 04 30</t>
  </si>
  <si>
    <t>https://youtu.be/E0pckVd6EjA</t>
  </si>
  <si>
    <t>Spacex Falcon 9 Rocket Performs Launch Dress Rehearsal</t>
  </si>
  <si>
    <t>The SpaceX Falcon 9 rocket was rolled to the company's Space Launch Complex 40 at the Cape Canaveral Air Force Station, Fla., on April 29. The rocket then was lifted into place for a static fire test of the rocket's Merlin engines on April 30. Time lapse video also captured the preparations for the launch rehearsal on April 29.
During the test, SpaceX engineers ran through all countdown processes as though it were launch day. The exercise ended with all nine engines firing at full power for two seconds. The test validated systems for the upcoming launch of Falcon 9 on a demonstration mission as part of NASA's plan for private companies to launch cargo safely to the International Space Station.</t>
  </si>
  <si>
    <t>E0pckVd6EjA</t>
  </si>
  <si>
    <t>2012 04 28</t>
  </si>
  <si>
    <t>https://youtu.be/zZ7QP7cb0Sw</t>
  </si>
  <si>
    <t>NASA Transports Space Shuttle Enterprise to New York</t>
  </si>
  <si>
    <t>On Friday, April 27 Enterprise, the first NASA space shuttle was transported atop a 747 Shuttle Carrier Aircraft from Dulles International Airport, near Washington, D.C. to New York's John F. Kennedy International Airport. Enterprise eventually will be displayed at New York's Intrepid Sea, Air and Space Museum. Though Enterprise, the first space shuttle orbiter never flew in space, it was crucial to the Space Shuttle Program because its series of approach and landing tests in 1977 proved the orbiter could fly in the atmosphere and land like an airplane, except without power -- like a glider. Includes footage of Enterprise on the ground at Dulles and takeoff from Dulles.</t>
  </si>
  <si>
    <t>zZ7QP7cb0Sw</t>
  </si>
  <si>
    <t>https://youtu.be/S-qGgpljcso</t>
  </si>
  <si>
    <t>Warm Welcome in Kazakhstan and Russia for Expedition 30</t>
  </si>
  <si>
    <t>Expedition 30 Commander Dan Burbank of NASA, Russian Soyuz Commander Anton Shkaplerov and Flight Engineer Anatoly Ivanishin were greeted in a traditional ceremony at the airport in Kustanai, Kazakhstan on April 27, 2012, hours after landing in their Soyuz TMA-22 spacecraft on the steppe of Kazakhstan. After the ceremony, the crew split up, with Shkaplerov and Ivanishin returning to their training base in Star City, Russia, while Burbank boarded a NASA plane in Kustanai to return to the Johnson Space Center in Houston. The trio completed almost six months aboard the International Space Station following a launch in November. The footage includes an interview conducted with Burbank in Kustanai before beginning his trip home to Houston.</t>
  </si>
  <si>
    <t>S-qGgpljcso</t>
  </si>
  <si>
    <t>https://youtu.be/2YOqEaEDh9M</t>
  </si>
  <si>
    <t>2YOqEaEDh9M</t>
  </si>
  <si>
    <t>2012 04 27</t>
  </si>
  <si>
    <t>https://youtu.be/-JyETCfuq8Q</t>
  </si>
  <si>
    <t>ScienceCasts  Amateur Scientists Discover Galactic Bubbles</t>
  </si>
  <si>
    <t>Amateur scientists have made a effervescent discovery: The Milky Way Galaxy is bubbling like a glass of champagne.
Visit http://science.nasa.gov/ for more.</t>
  </si>
  <si>
    <t>-JyETCfuq8Q</t>
  </si>
  <si>
    <t>https://youtu.be/T266Q8as4UA</t>
  </si>
  <si>
    <t>Expedition 30 Crew Returns to Earth</t>
  </si>
  <si>
    <t>Expedition 30 Commander Dan Burbank of NASA, Russian Soyuz Commander Anton Shkaplerov and Flight Engineer Anatoly Ivanishin landed safely on the steppe of Kazakhstan on April 27, 2012, after bidding farewell to the Expedition 31 crew and undocking their Soyuz TMA-22 spacecraft from the International Space Station.  The trio completed almost six months in space following a launch in November. They are shown being assisted into reclining chairs by Russian personnel and beginning their adaptation to gravity after they were extracted from their capsule in Kazakhstan.</t>
  </si>
  <si>
    <t>T266Q8as4UA</t>
  </si>
  <si>
    <t>https://youtu.be/LoFCtYvxyHQ</t>
  </si>
  <si>
    <t>Expedition 30 Crew Lands Safely in Kazakhstan</t>
  </si>
  <si>
    <t>The Soyuz TMA-22 spacecraft carrying Expedition 30 Commander Dan Burbank of NASA, Russian Soyuz Commander Anton Shkaplerov and Flight Engineer Anatoly Ivanishin, landed safely in Kazakhstan on April 27, 2012. The crew returned to Earth following a nearly six month stay aboard the International Space Station.</t>
  </si>
  <si>
    <t>LoFCtYvxyHQ</t>
  </si>
  <si>
    <t>https://youtu.be/_iJJIFnjaIc</t>
  </si>
  <si>
    <t>Expedition 30 Crew Leaves Space Station</t>
  </si>
  <si>
    <t>Expedition 30 Commander Dan Burbank of NASA, Russian Soyuz Commander Anton Shkaplerov and Flight Engineer Anatoly Ivanishin bid farewell to the Expedition 31 crew and undocked their Soyuz TMA-22 spacecraft from the International Space Station for the return trip back to Earth. The trio completed almost six months in space following a launch in November.</t>
  </si>
  <si>
    <t>_iJJIFnjaIc</t>
  </si>
  <si>
    <t>https://youtu.be/-XeSM3C1NRM</t>
  </si>
  <si>
    <t>Expedition 30 prepares to leave Space Station</t>
  </si>
  <si>
    <t>Moments after bidding farewell to the Expedition 31 crew onboard the International Space Station, Expedition 30 Commander Dan Burbank of NASA, Russian Soyuz Commander Anton Shkaplerov and Flight Engineer Anatoly Ivanishin closed the hatch on their Soyuz TMA-22 spacecraft in preparation for their return trip to Earth. The trio completed almost six months in space following a launch in November.</t>
  </si>
  <si>
    <t>-XeSM3C1NRM</t>
  </si>
  <si>
    <t>https://youtu.be/VvgIBVaauHs</t>
  </si>
  <si>
    <t>Amy Brzezinksi, an Onboard Data Interfaces and Network (ODIN) flight controller in the International Space Station Flight Control Room, answers questions from 6th graders at Coppell Middle School West in Coppell, Texas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</si>
  <si>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VvgIBVaauHs</t>
  </si>
  <si>
    <t>2012 04 25</t>
  </si>
  <si>
    <t>https://youtu.be/2i19UVw_Si4</t>
  </si>
  <si>
    <t>Expedition 30 Hands Over the Space Station to Expedition 3</t>
  </si>
  <si>
    <t>The reins of the International Space Station were passed from Expedition 30 Commander Dan Burbank of NASA to cosmonaut Oleg Kononenko during a ceremony on April 25. Kononenko and Flight Engineers Don Pettit of NASA and Andre Kuipers of the European Space Agency arrived at the station on Dec. 23, 2011, and will remain in orbit until July. They will be joined on May 17 by oncoming Expedition 31 crew members Joe Acaba of NASA and Gennady Padalka and Sergei Revin of the Russian Federal Space Agency. Burbank and Russian Flight Engineers Anton Shkaplerov and Anatoly Ivanishin returned to Earth in their Soyuz TMA-22 spacecraft on April 30, making a parachute-assisted landing on the steppe of Kazakhstan.</t>
  </si>
  <si>
    <t>2i19UVw_Si4</t>
  </si>
  <si>
    <t>https://youtu.be/1iD9zPNL5U0</t>
  </si>
  <si>
    <t>Expedition 31 Crew Meets the Media and Conducts Traditional Ceremonies</t>
  </si>
  <si>
    <t>Expedition 31 Soyuz Commander Gennady Padalka, NASA Flight Engineer Joe Acaba and Flight Engineer Sergei Revin, along with Expedition 31 backup crewmembers Kevin Ford, Evgeny Tarelkin and Oleg Novitskiy, fielded questions from the media at their training base at the Gagarin Cosmonaut Training Center in Star City, Russia, outside Moscow on April 25 ,2012. They later participated in traditional ceremonies also at the Gagarin Cosmonaut Training Center, including  a visit to the Yuri Gagarin museum where Padalka signed a traditional cosmonauts' log, and the laying of flowers at a statue of Yuri Gagarin, the first human in space. The events were part of traditional activities conducted in advance of the launch of Padalka, Acaba and Revin to the International Space Station on May 15.</t>
  </si>
  <si>
    <t>1iD9zPNL5U0</t>
  </si>
  <si>
    <t>https://youtu.be/pBPUBHyArxk</t>
  </si>
  <si>
    <t>Tar Heels Talk  Space' with ISS Crew</t>
  </si>
  <si>
    <t>Expedition 30 Commander Dan Burbank of NASA and Flight Engineers Don Pettit of NASA and Andre Kuipers of the European Space Agency discuss life and work aboard the International Space Station during a question and answer session with students gathered in Durham, N.C., April 25 as part of the space station program's "Destination: Station" traveling exhibit touring the Research Triangle area of the Tarheel State.</t>
  </si>
  <si>
    <t>pBPUBHyArxk</t>
  </si>
  <si>
    <t>2012 04 24</t>
  </si>
  <si>
    <t>https://youtu.be/Ga-ZNd2ZgDQ</t>
  </si>
  <si>
    <t>Expedition 31 32 Crew's Final Training at Star City</t>
  </si>
  <si>
    <t>Expedition 31 Soyuz Commander Gennady Padalka, NASA Flight Engineer Joe Acaba and Flight Engineer Sergei Revin conducted Soyuz vehicle final qualification training at the Gagarin Cosmonaut Training Center in Star City, Russia on April 24 in advance of their final approval for launch to the International Space Station. Padalka, Acaba and Revin are scheduled to fly to the launch site at the Baikonur Cosmodrome in Kazakhstan on May 2 to prepare for their May 15 liftoff in the Soyuz TMA- 04M spacecraft. Also shown is the Expedition 31 backup crew of Kevin Ford, Evgeny Tarelkin and Oleg Novitskiy, conducting ISS Russian Segment final qualification training also at the Gagarin Cosmonaut Training Center on April 24.</t>
  </si>
  <si>
    <t>Ga-ZNd2ZgDQ</t>
  </si>
  <si>
    <t>https://youtu.be/4eM1sFzVWfA</t>
  </si>
  <si>
    <t xml:space="preserve">Andre Answers Students on  Spaceship Earth </t>
  </si>
  <si>
    <t>Expedition 30 Flight Engineer Andre Kuipers of the European Space Agency discusses with European students involved in the "Spaceship Earth" educational initiative life and work aboard the International Space Station during an in-flight question and answer session on April 24.</t>
  </si>
  <si>
    <t>4eM1sFzVWfA</t>
  </si>
  <si>
    <t>2012 04 23</t>
  </si>
  <si>
    <t>https://youtu.be/Kfp29h20y-o</t>
  </si>
  <si>
    <t>NASA Celebrates Earth Day 2012 in the Washington Area</t>
  </si>
  <si>
    <t>NASA is taking part in the celebration of Earth Day's 42nd anniversary on the National Mall in Washington from April 20 through April 22. The agency's involvement includes three consecutive days of activities and exhibits open to the public. Additional activities are scheduled at nearby NASA Goddard Space Flight Center in Greenbelt, Md.</t>
  </si>
  <si>
    <t>Kfp29h20y-o</t>
  </si>
  <si>
    <t>https://youtu.be/CYPB3XwUI3U</t>
  </si>
  <si>
    <t>Discovery's Final Journey</t>
  </si>
  <si>
    <t>To a recording of the "Washington Post March" by the U.S. Marine Corps Band, the highlights of orbiter Discovery's final ferry flight atop NASA 905, the Shuttle Carrier Aircraft, from the Kennedy Space Center in Florida to Dulles International Airport outside Washington on April 17, 2012. Includes video of the aircrafts' flyover of the metropolitan D.C. area just prior to landing. (This piece was an element of the "Welcome Discovery" program held at the Smithsonian National Air and Space Museum's Udvar-Hazy Center on April 19 and televised live on NASA TV.)</t>
  </si>
  <si>
    <t>CYPB3XwUI3U</t>
  </si>
  <si>
    <t>https://youtu.be/zKynhsqvgCA</t>
  </si>
  <si>
    <t>Astronaut Mike Foreman answers questions from 5th graders at Berry Elementary School in Houston, TX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</si>
  <si>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zKynhsqvgCA</t>
  </si>
  <si>
    <t>2012 04 22</t>
  </si>
  <si>
    <t>https://youtu.be/-aDM0gVZXrs</t>
  </si>
  <si>
    <t>Russian Cargo Ship Docks to Space Station</t>
  </si>
  <si>
    <t>On April 22 at 10:39 a.m. EDT, the ISS Progress 47 cargo craft docked to the Pirs docking compartment of the International Space Station. Progress 47 launched from the Baikonur Cosmodrome in Kazakhstan on April 20, loaded with 2.5 tons of food, fuel and supplies for the six crew members aboard the orbiting laboratory.</t>
  </si>
  <si>
    <t>-aDM0gVZXrs</t>
  </si>
  <si>
    <t>2012 04 21</t>
  </si>
  <si>
    <t>https://youtu.be/UeK37okqAMU</t>
  </si>
  <si>
    <t>Discovery Travels to Space on This Week @NASA</t>
  </si>
  <si>
    <t>Flying atop NASA's Space Shuttle Carrier (SCA), orbiter Discover traveled from the Kennedy Space Center to its new space at the Smithsonian National Air and Space Museum's Udvar-Hazy Center outside Washington, D.C. Also, targeting beyond Earth orbit, and more!</t>
  </si>
  <si>
    <t>UeK37okqAMU</t>
  </si>
  <si>
    <t>2012 04 20</t>
  </si>
  <si>
    <t>https://youtu.be/Jmyq3TfYMsk</t>
  </si>
  <si>
    <t>Russian Cargo Ship Launches to Space Station</t>
  </si>
  <si>
    <t>On April 20, an ISS Progress 47 cargo craft launched from the Baikonur Cosmodrome in Kazakhstan, loaded with 2.5 tons of food, fuel and supplies for the six crew members aboard the orbiting laboratory. Expedition 30 Commander Dan Burbank of NASA and his five crewmates will monitor events as the Progress 47 automatically docks to the Pirs docking compartment at 9:40 a.m. Sunday, April 22.</t>
  </si>
  <si>
    <t>Jmyq3TfYMsk</t>
  </si>
  <si>
    <t>https://youtu.be/r-kWEUp7WFM</t>
  </si>
  <si>
    <t>Discovery De-Mated from Shuttle Carrier</t>
  </si>
  <si>
    <t>Video of orbiter Discovery being detached from NASA 905, the agency's Shuttle Carrier Aircraft (SCA), at Apron W of Dulles International Airport outside Washington, D.C. during the early morning hours of April 19, 2012.</t>
  </si>
  <si>
    <t>r-kWEUp7WFM</t>
  </si>
  <si>
    <t>https://youtu.be/QSULwrdHF_g</t>
  </si>
  <si>
    <t>NASA Transfers Space Shuttle to NASM</t>
  </si>
  <si>
    <t>QSULwrdHF_g</t>
  </si>
  <si>
    <t>https://youtu.be/UD5VViT08ME</t>
  </si>
  <si>
    <t>ScienceCasts  Here Comes Solar Maximum</t>
  </si>
  <si>
    <t>Solar storms and Northern Lights are in the offing as the sun approaches Solar Max, expected in mid-to-late 2013. Recently, Earth's defenses were tested by a volley of strong eruptions. Find out what happened in this week's explosive ScienceCast.</t>
  </si>
  <si>
    <t>UD5VViT08ME</t>
  </si>
  <si>
    <t>2012 04 19</t>
  </si>
  <si>
    <t>https://youtu.be/SAaV9rBSJ98</t>
  </si>
  <si>
    <t>Space Shuttle Enterprise makes way for Discovery at Smithsonian</t>
  </si>
  <si>
    <t>On April 19, Space Shuttle Enterprise was rolled out of the James S. McDonnell Space Hangar at the Smithsonian's Steven F. Udvar-Hazy Center in Chantilly, Virginia. The Space Shuttle Discovery will replace Enterprise at Udvar-Hazy. Enterprise is scheduled to be flown to New York, where it will be displayed at the Intrepid Sea, Air and Space Museum. Though Enterprise, the first space shuttle orbiter never flew in space, it was crucial to the Space Shuttle Program because its series of approach and landing tests in 1977 proved the orbiter could fly in the atmosphere and land like an airplane, except without power -- like a glider.</t>
  </si>
  <si>
    <t>SAaV9rBSJ98</t>
  </si>
  <si>
    <t>https://youtu.be/hyVYX9VsWVo</t>
  </si>
  <si>
    <t>Russian Cargo Ship Leaves Space Station</t>
  </si>
  <si>
    <t>A Russian Progress cargo ship left the International Space Station (ISS) on Thursday, April 19. ISS Progress 46, which arrived at the station in January undocked from the Pirs docking compartment carrying trash and other disposable items. Russian flight controllers will command the resupply ship to leave the station for several days of tests, then send it to burn up in the Earth's atmosphere over the Pacific Ocean. On April 20, the ISS Progress 47, a new cargo craft will launch from the Baikonur Cosmodrome in Kazakhstan, loaded with 2.5 tons of food, fuel and supplies for the six crew members aboard the orbiting laboratory.</t>
  </si>
  <si>
    <t>hyVYX9VsWVo</t>
  </si>
  <si>
    <t>https://youtu.be/sbYrQrVPA24</t>
  </si>
  <si>
    <t>Discovery Arrives on This Week @ NASA</t>
  </si>
  <si>
    <t>Escorted by a NASA T-38 jet, Space Shuttle Discovery -- atop the NASA 905 Shuttle Carrier Aircraft, made its much anticipated arrival in the Washington, D.C. metro area. It was the thirty-eighth and final time Discovery has traveled piggyback on the modified Boeing 747 -- and undoubtedly the most anticipated.  Onlookers gathered on rooftops, along the National Mall -- wherever they could ... to catch a glimpse of the iconic shuttle as it was flown overhead. After a series of flyovers, The SCA and the most prolific space shuttle in history made a picture-perfect landing at Dulles International Airport in advance of its induction into the Smithsonian -- and display at the Udvar-Hazy Center in Northern Virginia. Following delivery of Discovery, NASA 905 will ferry Enterprise from Udvar-Hazy to the Intrepid Museum in New York City. Endeavour is scheduled to be similarly moved to the California Science Center in Los Angeles later this year. Also, three of the six crew members aboard the International Space Station talked with reporters during a NASA Television news conference, Seeking Healthy Spaceflight at a new space medicine facility in Houston, a festival in the California desert shows how the extreme conditions there helps NASA prepare for surface exploration of Mars, a New Spot for astronaut TJ Creamer and more.</t>
  </si>
  <si>
    <t>sbYrQrVPA24</t>
  </si>
  <si>
    <t>2012 04 17</t>
  </si>
  <si>
    <t>https://youtu.be/07oW8O_9Mw0</t>
  </si>
  <si>
    <t>Discovery Flyovers Delight D.C. Area as Seen from a T-38 Chase Aircraft</t>
  </si>
  <si>
    <t>Space Shuttle Discovery, atop its Shuttle Carrier Aircraft, NASA 905, is shown from various vantage points around the National Capital region on April 17 on the final leg of its ferry flight from NASA's Kennedy Space Center in Florida to Dulles International Airport in Virginia.</t>
  </si>
  <si>
    <t>07oW8O_9Mw0</t>
  </si>
  <si>
    <t>https://youtu.be/GL_snhngIKU</t>
  </si>
  <si>
    <t>Discovery Flyovers Delight D.C. Area as Seen from a T-38 Jet</t>
  </si>
  <si>
    <t>GL_snhngIKU</t>
  </si>
  <si>
    <t>https://youtu.be/V1bVxVTiZGE</t>
  </si>
  <si>
    <t>Discovery Flyovers Delight D.C. Area as Seen from a National Park Service Helicopter</t>
  </si>
  <si>
    <t>V1bVxVTiZGE</t>
  </si>
  <si>
    <t>https://youtu.be/nL7pBbvHLhY</t>
  </si>
  <si>
    <t>Discovery Flyovers Delight D.C. Area as Seen From Goddard Space Flight Center</t>
  </si>
  <si>
    <t>nL7pBbvHLhY</t>
  </si>
  <si>
    <t>https://youtu.be/4M7pePzV_cE</t>
  </si>
  <si>
    <t>Discovery Flyovers Delight D.C. Area as Seen From Hains Point</t>
  </si>
  <si>
    <t>4M7pePzV_cE</t>
  </si>
  <si>
    <t>https://youtu.be/xYTY_yHr9rY</t>
  </si>
  <si>
    <t>Discovery Flyovers Delight D.C. Area as Seen From the Canadian Embassy</t>
  </si>
  <si>
    <t>xYTY_yHr9rY</t>
  </si>
  <si>
    <t>https://youtu.be/2bPA5G0X5Fo</t>
  </si>
  <si>
    <t>Discovery Departs Kennedy Space Center Enroute to Washington D.C.</t>
  </si>
  <si>
    <t>Space Shuttle Discovery, atop its Shuttle Carrier Aircraft, NASA 905, as it departs on its ferry flight from NASA's Kennedy Space Center in Florida to Dulles International Airport in Virginia.</t>
  </si>
  <si>
    <t>2bPA5G0X5Fo</t>
  </si>
  <si>
    <t>https://youtu.be/XcumBFCxu3E</t>
  </si>
  <si>
    <t>Discovery Flyovers Delight D.C. Area as Seen From Top of the Town, Rosslyn, VA</t>
  </si>
  <si>
    <t>XcumBFCxu3E</t>
  </si>
  <si>
    <t>https://youtu.be/KZIkkfWpvzA</t>
  </si>
  <si>
    <t>Discovery Flyovers Delight D.C. Area as Seen From the National Mall</t>
  </si>
  <si>
    <t>KZIkkfWpvzA</t>
  </si>
  <si>
    <t>https://youtu.be/pCiX21pLOsY</t>
  </si>
  <si>
    <t>Discovery Flyovers Delight D.C. Area as Seen at Dulles Airport</t>
  </si>
  <si>
    <t>pCiX21pLOsY</t>
  </si>
  <si>
    <t>https://youtu.be/4pE2y5dtY_Q</t>
  </si>
  <si>
    <t>Discovery Flyovers Delight D.C. Area as Seen From NASA Headquarters</t>
  </si>
  <si>
    <t>4pE2y5dtY_Q</t>
  </si>
  <si>
    <t>https://youtu.be/WbRVKpJ0ZsU</t>
  </si>
  <si>
    <t>Discovery Arrival Ceremony at Dulles</t>
  </si>
  <si>
    <t>NASA Deputy Administrator Lori Garver heads a list of dignitaries on hand to greet the NASA 905 crew after ferrying orbiter Discovery from NASA's Kennedy Space Center to Dulles on Apr. 17.</t>
  </si>
  <si>
    <t>WbRVKpJ0ZsU</t>
  </si>
  <si>
    <t>https://youtu.be/caKrNA1l1MI</t>
  </si>
  <si>
    <t>Shuttle Discovery Lands at Dulles</t>
  </si>
  <si>
    <t>The Shuttle Carrier Aircraft ferrying orbiter Discovery lands at Dulles International Airport on Apr. 17 following its journey from NASA's Kennedy Space Center.</t>
  </si>
  <si>
    <t>caKrNA1l1MI</t>
  </si>
  <si>
    <t>https://youtu.be/jyoMwKcWjko</t>
  </si>
  <si>
    <t>Discovery Arrival At Dulles Airport</t>
  </si>
  <si>
    <t>The Shuttle Carrier Aircraft ferrying orbiter Discovery performs a flyby at Dulles International Airport on Apr. 17 following its journey from NASA's Kennedy Space Center.</t>
  </si>
  <si>
    <t>jyoMwKcWjko</t>
  </si>
  <si>
    <t>https://youtu.be/bgYFgAMJskg</t>
  </si>
  <si>
    <t>NASA Features FameLab Finalists</t>
  </si>
  <si>
    <t>The finals of the NASA-sponsored Astrobiology FameLab showcase up-and-coming new scientists who've honed their skills in communicating complex scientific concepts. Held at the Georgia Tech Hotel and Conference Center in Atlanta. Nichelle Nichols, known for her portrayal of Lt. Uhura in the original "Star Trek" television series, serves as host.</t>
  </si>
  <si>
    <t>bgYFgAMJskg</t>
  </si>
  <si>
    <t>2012 04 15</t>
  </si>
  <si>
    <t>https://youtu.be/DdWUWZuOStc</t>
  </si>
  <si>
    <t>Shuttle Discovery Attached to Shuttle Carrier Aircraft</t>
  </si>
  <si>
    <t>Space shuttle Discovery was lifted and placed atop the Shuttle Carrier Aircraft at NASA Kennedy Space Center's Shuttle Landing Facility mate/demate device in the early morning hours of April 15 in preparation for its ride to Washington Dulles International Airport on April 17. 
Discovery is set to depart just after sunrise and arrive in the Washington, D.C. area around 10 a.m.  After arriving at Dulles, Discovery will be moved on April 19 to the nearby Smithsonian National Air and Space Museum's Udvar-Hazy Center for permanent public display.</t>
  </si>
  <si>
    <t>DdWUWZuOStc</t>
  </si>
  <si>
    <t>2012 04 14</t>
  </si>
  <si>
    <t>https://youtu.be/6dcyiPK-vx4</t>
  </si>
  <si>
    <t>NASA Kicks-Off 2012 Great Moonbuggy Race</t>
  </si>
  <si>
    <t>NASA kicked off the 19th annual Great Moonbuggy Race in Huntsville, Ala., on April 13, 2012. The two-day annual race is organized by NASA's Marshall Space Flight Center and held at the U.S. Space &amp; Rocket Center. Since 1994, NASA has challenged student teams to build and race human-powered rovers of their own design. These fast, lightweight moonbuggies address many of the same engineering challenges overcome by Apollo-era lunar rover developers at Marshall in the late 1960s. The rocket center's challenging, looping, curving half-mile course of gravel embankments, sand pits and obstacles mimics lunar craters and ancient, fossilized lava flows. The course gives racers a realistic moon-traversing experience -- minus the airlessness and weightlessness.</t>
  </si>
  <si>
    <t>6dcyiPK-vx4</t>
  </si>
  <si>
    <t>2012 04 13</t>
  </si>
  <si>
    <t>https://youtu.be/mL4JUPpJw1s</t>
  </si>
  <si>
    <t>Discovery Ferry Preps on This Week @ NASA</t>
  </si>
  <si>
    <t>NASA 905, the remaining Shuttle Carrier Aircraft, flew from the Dryden Flight Research Center to Kennedy Space Center to begin the process of delivering each of three space shuttle orbiters to its final resting place. Discovery is the first shuttle scheduled for a final ferry flight atop the modified 747. The orbiter is scheduled to be delivered to the Smithsonian National Air and Space Museum's Udvar-Hazy Center outside Washington, D.C. Following delivery of Discovery, NASA 905 will ferry Enterprise from Udvar-Hazy to the Intrepid Museum in New York City. Endeavour is scheduled to be similarly moved to the California Science Center in Los Angeles later this year. Also, three of the six crew members aboard the International Space Station talked with reporters during a NASA Television news conference, Seeking Healthy Spaceflight at a new space medicine facility in Houston, a festival in the California desert shows how the extreme conditions there helps NASA prepare for surface exploration of Mars, a New Spot for astronaut TJ Creamer and more.</t>
  </si>
  <si>
    <t>mL4JUPpJw1s</t>
  </si>
  <si>
    <t>https://youtu.be/p0heftXWkVU</t>
  </si>
  <si>
    <t>Station Crew Discusses Science with National Public Radio</t>
  </si>
  <si>
    <t>Expedition 30 Commander Dan Burbank of NASA and Flight Engineer Don Pettit of NASA discussed the scope of scientific research and other aspects of life and work on the on the International Space Station during an in-flight interview with Ira Flatow of National Public Radio's "Science Friday" program on April 13.</t>
  </si>
  <si>
    <t>p0heftXWkVU</t>
  </si>
  <si>
    <t>https://youtu.be/i0QBYlU3st0</t>
  </si>
  <si>
    <t>NASA Astronaut Talks Space With Students</t>
  </si>
  <si>
    <t>Astronaut Dottie Metcalf-Lindenburger answers questions from 8th graders at Heritage Middle School in Meridian, Idaho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</si>
  <si>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i0QBYlU3st0</t>
  </si>
  <si>
    <t>2012 04 12</t>
  </si>
  <si>
    <t>https://youtu.be/x1D2qF3bL0k</t>
  </si>
  <si>
    <t>ScienceCasts  April is the Cruelest Month</t>
  </si>
  <si>
    <t>One year after the historic tornado outbreak of April 27-28, 2011, researchers say they've learned a few things about deadly twisters. This week's ScienceCast presents some of the scientific findings that emerged from the swath of destruction.
Visit http://science.nasa.gov/ for more.</t>
  </si>
  <si>
    <t>x1D2qF3bL0k</t>
  </si>
  <si>
    <t>2012 04 11</t>
  </si>
  <si>
    <t>https://youtu.be/nr5to_r25Ug</t>
  </si>
  <si>
    <t>Station Crew Discusses Life in Space with the News Media</t>
  </si>
  <si>
    <t>Expedition 30 Commander Dan Burbank of NASA, Flight Engineer Don Pettit of NASA and European Space Agency Flight Engineer Andre Kuipers discussed the progress of their mission on the International Space Station, their research, the upcoming landing of half of the residents on the outpost and next month's scheduled arrival of the first commercially launched cargo ship to the complex in a crew news conference conducted on April 11.</t>
  </si>
  <si>
    <t>nr5to_r25Ug</t>
  </si>
  <si>
    <t>https://youtu.be/L_LPrxAV7OE</t>
  </si>
  <si>
    <t>NASA Doctor Discusses Providing Medical Care to Astronauts in Space</t>
  </si>
  <si>
    <t>In an interview aired on NASA Television during the International Space Station Update hour, NASA Flight Surgeon Ed Powers discussed how flight doctors work with crew members on board the station to keep the astronauts healthy. Powers also talked about some of the difficulties encountered in diagnosing patients who are not there in person and about the impacts of space medicine to life here on earth.</t>
  </si>
  <si>
    <t>L_LPrxAV7OE</t>
  </si>
  <si>
    <t>2012 04 06</t>
  </si>
  <si>
    <t>https://youtu.be/a1Y6mdKfMn4</t>
  </si>
  <si>
    <t>Senator, Symposium and Supersonic Sled on This Week @NASA</t>
  </si>
  <si>
    <t>Senator Barbara Mikulski of Maryland is honored in her hometown of Baltimore when the Space Telescope Science Institute renames its data archive center for the longest-serving woman in the history of the U.S. Congress. The archive holds a variety of astronomical data sets, primarily in the optical, ultraviolet, and near-infrared as observed by 16 NASA telescopes including the Hubble Space Telescope, Kepler, and the Galaxy Explorer. Also, leaders meet at the annual Goddard Memorial Symposium to discuss wide-ranging space-related topics. Plus, NASA tech chief at Langley; SLS one step closer; supersonic sled; IMAX cameras find new space; lunar atmosphere; 3D precip; NASA's Heineman Prize winner; Mars Odyssey; and STS-110.</t>
  </si>
  <si>
    <t>a1Y6mdKfMn4</t>
  </si>
  <si>
    <t>https://youtu.be/80T8CBUHoL0</t>
  </si>
  <si>
    <t>ScienceCasts  A Wonderful Night in April</t>
  </si>
  <si>
    <t>NASA ScienceCasts SMD "Science Mission Directorate" "Science@NASA News" "Lyrid meteor shower" Mars Saturn "Comet Thatcher" "backyard astronomy" "new Moon"</t>
  </si>
  <si>
    <t>80T8CBUHoL0</t>
  </si>
  <si>
    <t>2012 04 05</t>
  </si>
  <si>
    <t>https://youtu.be/VQ4sG3rwKuw</t>
  </si>
  <si>
    <t>ISS Flight Controller Talks Space with Students</t>
  </si>
  <si>
    <t>International Space Station Flight Controller Todd Quasny answers questions from 5th and 6th grade students at Northeast Nodaway in Ravenwood, Missouri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</si>
  <si>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VQ4sG3rwKuw</t>
  </si>
  <si>
    <t>https://youtu.be/UtAG9Lt0OrQ</t>
  </si>
  <si>
    <t>Kuipers  Drops In  on Hometown From Space</t>
  </si>
  <si>
    <t>Aboard the International Space Station, European Space Agency astronaut and Expedition 30 Flight Engineer Andre Kuipers discussed the progress of his mission during an in-flight interview on April 5 with guests, students and dignitaries gathered at the Artis Planetarium in his hometown of Amsterdam. The Artis Planetarium is located at the Artis Zoo and Museum in the city's center.</t>
  </si>
  <si>
    <t>UtAG9Lt0OrQ</t>
  </si>
  <si>
    <t>2012 04 03</t>
  </si>
  <si>
    <t>https://youtu.be/yGwN4E4vKpc</t>
  </si>
  <si>
    <t>NASA Centers rumble in FIRST Robotics Regional action</t>
  </si>
  <si>
    <t>The annual FIRST Robotics competition is in full swing with some 60-thousand high school students competing in regional challenges using robots they built in six weeks from a common kit of parts. NASA is the largest sponsor of the national FIRST program, supporting five regional competitions and more than 280 teams. Since January, high school FIRST Robotics teams across the country have worked tirelessly to build, program and test robots in preparation for this year's challenge called Rebound Rumble.</t>
  </si>
  <si>
    <t>yGwN4E4vKpc</t>
  </si>
  <si>
    <t>https://youtu.be/ZmvRgcDfDDc</t>
  </si>
  <si>
    <t>Texas Students Link Up with ISS</t>
  </si>
  <si>
    <t>More than 100 sixth-, seventh- and eighth-grade students from the O. Henry Middle School in Austin, Texas, learn about living and working in space by asking questions of Expedition 30 Commander Dan Burbank and Flight Engineers Don Pettit and Andre Kuipers aboard the International Space Station on Tuesday, April 3.</t>
  </si>
  <si>
    <t>ZmvRgcDfDDc</t>
  </si>
  <si>
    <t>2012 03 30</t>
  </si>
  <si>
    <t>https://youtu.be/jd5aGcT5d0o</t>
  </si>
  <si>
    <t xml:space="preserve">NASA Science Chief Starts  Rumble </t>
  </si>
  <si>
    <t>Former astronaut John Grunsfeld, now NASA's Associate Administrator for Science, helps kickoff the Washington regional FIRST robotics competition at the D.C. Convention Center. FIRST, "For Inspiration and Recognition of Science and Technology," has more than 50-thousand high school students competing in regional challenges using robots they built in six weeks from a common kit of parts. The national finals are slated for April 25 through 28 in St. Louis.</t>
  </si>
  <si>
    <t>jd5aGcT5d0o</t>
  </si>
  <si>
    <t>https://youtu.be/mYSiBRyDQZY</t>
  </si>
  <si>
    <t>Tech Innovation Showcase on This Week @NASA</t>
  </si>
  <si>
    <t>Administrator Charles Bolden and Deputy Administrator Lori Garver joined other NASA officials on Capitol Hill for an agency showcase called, "NASA Technology: Imagine. Innovate. Explore." Hosted by members of Congress, the event highlighted how NASA space and aeronautics technologies not only help meet the agency's goals, but also create and improve products and services that benefit life here on Earth. Also, Tech Chief visits Huntsville; Garver's STEM visit; Bolden briefs Aero boosters; ATV to ISS; Rockets pack Wallops; Buzz Lighteyar "retires; and more!</t>
  </si>
  <si>
    <t>mYSiBRyDQZY</t>
  </si>
  <si>
    <t>https://youtu.be/Wh0l6JmLjQU</t>
  </si>
  <si>
    <t xml:space="preserve">ISS Crew on  Good Day, New York </t>
  </si>
  <si>
    <t>Expedition 30 Commander Dan Burbank of NASA and NASA Flight Engineer Don Pettit discuss life and work aboard the International Space Station with anchors from WNYW-TV's "Good Day, New York" program during an in-flight interview on March 30.</t>
  </si>
  <si>
    <t>Wh0l6JmLjQU</t>
  </si>
  <si>
    <t>2012 03 29</t>
  </si>
  <si>
    <t>https://youtu.be/lLVGM6j2k3g</t>
  </si>
  <si>
    <t>International Space Station Flight Control Room Operator Angela Bauer answers questions from 7th grade students at Ruth Dowell Middle School in McKinney, Texas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</si>
  <si>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lLVGM6j2k3g</t>
  </si>
  <si>
    <t>https://youtu.be/Eojhoc7n0yA</t>
  </si>
  <si>
    <t>ScienceCasts  Getting to Know the Goldilocks Planet</t>
  </si>
  <si>
    <t>NASA's Kepler spacecraft is discovering a veritable avalanche of alien worlds. As the numbers mount, it seems to be just a matter of time before Kepler finds what astronomers are really looking for: an Earth-like planet orbiting its star in the "Goldilocks zone".</t>
  </si>
  <si>
    <t>Eojhoc7n0yA</t>
  </si>
  <si>
    <t>https://youtu.be/Fo705Wm_QKs</t>
  </si>
  <si>
    <t>Buzz Lightyear Retires to Smithsonian Museum</t>
  </si>
  <si>
    <t>The Buzz Lightyear action figure that served 15 months aboard the International Space Station before returning to Earth on Space Shuttle Discovery in September, 2009, is retiring at the Smithsonian National Air and Space Museum in Washington, D.C. 
NASA Deputy Administrator Lori Garver joined with chief creative officer of Pixar Animation Studios, John Lasseter, in presenting the action figure to the Museum on March 29, 2012. Buzz Lightyear became famous in Pixar's animated Toy Story franchise.
Buzz Lightyear will go on display later this year in the Air and Space Museum's Moving Beyond Earth gallery.</t>
  </si>
  <si>
    <t>Fo705Wm_QKs</t>
  </si>
  <si>
    <t>https://youtu.be/-RsIodI-iJI</t>
  </si>
  <si>
    <t>NASA Holds Technology Showcase on Capitol Hill</t>
  </si>
  <si>
    <t>On Wednesday March 28, NASA held a technology showcase in the Rayburn House Office Building in Washington. "NASA Technology: Imagine. Innovate. Explore," provided an opportunity to inform leaders how NASA space and aeronautics technology helps enable agency goals, while creating or improving products and services that benefit life here on Earth. NASA Administrator Charles Bolden, Deputy Administrator Lori Garver and Chief Technologist Mason Peck attended the event, along with hosting members of Congress, Dana Rohrabacher and Chaka Fattah, as well as other members interested in advancing American innovation through space technology.
Several companies and NASA centers exhibited new space technologies that provide advances in medicine, improve water quality, help design safer and more efficient airplanes and bring new solutions to everyday challenges.
More information about NASA technology and innovation is available at: http://www.nasa.gov/oct</t>
  </si>
  <si>
    <t>-RsIodI-iJI</t>
  </si>
  <si>
    <t>https://youtu.be/PorM-1F4jdo</t>
  </si>
  <si>
    <t>European Cargo Ship Delivers Supplies to the International Space Station</t>
  </si>
  <si>
    <t>The European Space Agency's "Edoardo Amaldi" Automated Transfer Vehicle-3 cargo craft automatically docked to the aft port of the International Space Station's Russian Zvezda service module on March 28, after a five-day journey that began with its launch from Kourou, French Guiana on March 23. The "Edoardo Amaldi" delivered more than 7 tons of food, fuel and supplies for the six crew members on the orbital laboratory. It is expected to remain docked to Zvezda for about six months.</t>
  </si>
  <si>
    <t>PorM-1F4jdo</t>
  </si>
  <si>
    <t>2012 03 28</t>
  </si>
  <si>
    <t>https://youtu.be/Bh5tFatnrfM</t>
  </si>
  <si>
    <t>will.i.am Talks NASA Spinoffs</t>
  </si>
  <si>
    <t>Recording artist will.i.am of the group The Black Eyed Peas, discusses some products and technologies derived from NASA research, often called "spinoffs", that have been used to improve life on Earth. A spinoff is a commercialized product that incorporates NASA technology or NASA "know how" and benefits the public. NASA transfers technology to the private sector and state and local governments by actively seeking licensees. Technology transfer promotes commercial activity, encourages economic growth, and stimulates innovation in business and commerce.</t>
  </si>
  <si>
    <t>Bh5tFatnrfM</t>
  </si>
  <si>
    <t>2012 03 27</t>
  </si>
  <si>
    <t>https://youtu.be/A7IA0MJqXjg</t>
  </si>
  <si>
    <t>NASA Administrator Speaks at Aero Club Luncheon</t>
  </si>
  <si>
    <t>On Tuesday, March 27 at the Aero Club of Washington's luncheon held at the Capital Hilton in Washington, DC, NASA Administrator Charles Bolden updated the audience on the latest NASA initiatives and the agency's Fiscal Year 2013 budget request. The Aero Club fosters interest in aeronautics and hosts regular forums to discuss issues with leaders in the field. NASA's proposed FY 2013 budget was released in February 2012. Includes b-roll and speech excerpts from Bolden. For more info: www.nasa.gov.</t>
  </si>
  <si>
    <t>A7IA0MJqXjg</t>
  </si>
  <si>
    <t>https://youtu.be/CzVJ6sFCpV8</t>
  </si>
  <si>
    <t>NASA Deputy Administrator Talks to Students about Science and Engineering</t>
  </si>
  <si>
    <t>NASA Deputy Administrator Lori Garver spoke to the students at Luther Jackson Middle School in Falls Church, Va., on Tuesday, March 27. The event is part of the USA Science and Engineering Festival's Nifty Fifty (times 2) Program. The Nifty Fifty program sends more than 100 top scientists and engineers into Washington-area schools before the festival to inspire middle and high school students' passion for science and engineering. The festival will take place April 28-29 at the Walter E. Washington Convention Center at 801 Mount Vernon Place NW in Washington. As the country's only national science festival, this venue increases public awareness about the importance of science and encourages youth to pursue careers in science and engineering. Includes b-roll and speech excerpts from Garver. For more info: www.nasa.gov    and www.usasciencefestival.org</t>
  </si>
  <si>
    <t>CzVJ6sFCpV8</t>
  </si>
  <si>
    <t>https://youtu.be/f4w0Q_16LMM</t>
  </si>
  <si>
    <t>ATREX Mission Successfully Launched from Wallops</t>
  </si>
  <si>
    <t>NASA successfully launched five suborbital sounding rockets on March 27 from its Wallops Flight Facility in Virginia as part of a study of the upper level jet stream. The first rocket was launched at 4:58 a.m. EDT and each subsequent rocket was launched 80 seconds apart. 
Each of the rockets released a chemical tracer that created milky, white clouds at the edge of space. The launches and clouds were reported to be seen from as far south as Wilmington, N.C.; west to Charlestown, W. Va.; and north to Buffalo, N.Y. 
The Anomalous Transport Rocket Experiment (ATREX) mission will gather information needed to better understand the process responsible for the high-altitude jet stream located 60 to 65 miles above the surface of the Earth. More information on the ATREX mission is available on the Internet at: http://www.nasa.gov/mission_pages/sunearth/missions/atrex.html</t>
  </si>
  <si>
    <t>f4w0Q_16LMM</t>
  </si>
  <si>
    <t>https://youtu.be/HfKdJfEGM4s</t>
  </si>
  <si>
    <t>Inside the International Space Station Episode 4 Chapter 2 - Mr. Fixit</t>
  </si>
  <si>
    <t>Expedition 30 astronauts Dan Burbank and Don Pettit discuss their varied talents, from ISS brain surgery to packing garbage.</t>
  </si>
  <si>
    <t>HfKdJfEGM4s</t>
  </si>
  <si>
    <t>2012 03 24</t>
  </si>
  <si>
    <t>https://youtu.be/Kw5zkf2ZfvA</t>
  </si>
  <si>
    <t>ORBITAL DEBRIS SAFELY PASSES INTERNATIONAL SPACE STATION</t>
  </si>
  <si>
    <t>A small piece of Cosmos 2251 satellite debris safely passed by the International Space Station at 2:38a.m. EDT, Saturday March 24 allowing the six Expedition 30 crew members onboard the orbiting complex to exit their Soyuz spacecraft and resume normal activities.
The crew sheltered in the two Soyuz spacecraft as a precaution, the third time in station history that a crew has had to shelter in place due to the possibility of a conjunction with orbital debris and the first since June 2011. NASA's Expedition 30 Commander Dan Burbank and Russian cosmonauts Anton Shkaplerov and Anatoly Ivanishin were in their Soyuz TMA-22 spacecraft attached to the Poisk module on the space-facing side of the Zvezda service module, while cosmonaut Oleg Kononenko, NASA's Don Pettit and Andre Kuipers of the European Space Agency were in their Soyuz TMA-03M spacecraft on the Earth-facing side of the Zarya module.
The piece of debris was a remnant of a Feb. 10, 2009 collision between the dormant Cosmos 2251 satellite and an operational Iridium 33 communications satellite. The collision added about 2,000 trackable items to the orbital debris catalog. At the time of closest approach, the debris was moving from left to right in front of the station at an estimated overall miss distance of between 11 and 14 kilometers and a radial miss distance of 120 meters.</t>
  </si>
  <si>
    <t>Kw5zkf2ZfvA</t>
  </si>
  <si>
    <t>2012 03 23</t>
  </si>
  <si>
    <t>https://youtu.be/QGZwqXqmsT0</t>
  </si>
  <si>
    <t>NASA Women's History Month Profile - Gemma Flores</t>
  </si>
  <si>
    <t>Gemma Flores is an architect at Dryden Flight Research Center in California. She served as the project manager for construction of the Consolidated Information Technology Center. She enjoys all aspects of her job; from planning, design, construction, operation and maintenance, Gemma states, "I like the idea of doing something really technical and being able to be creative with it." Gemma graduated in 2004 from Cal Poly, Pomona with an architecture degree.</t>
  </si>
  <si>
    <t>QGZwqXqmsT0</t>
  </si>
  <si>
    <t>https://youtu.be/42DIYPyjado</t>
  </si>
  <si>
    <t>Supply Mission to Station on This Week @ NASA</t>
  </si>
  <si>
    <t>The European Space Agency has successfully launched its third Automated Transfer Vehicle. The cargo ferry, named Edoardo Amaldi for the Italian physicist and spaceflight pioneer, was sent on its way to the International Space Station atop an Ariane 5 rocket from Europe's Spaceport in Kourou, French Guiana. The ATV brings essential supplies and propellant to the ISS, as well as the ability to re-boost the station's altitude. ATV Edoardo Amaldi follows the two highly successful supply missions carried out by ATV Jules Verne in March 2008 and ATV Johannes Kepler in February of last year. Also, members of the International Space Station's Expedition 32 crew discuss their upcoming mission aboard the orbiting laboratory with the media, Engineers at the Marshall Space Flight Center test fire a scaled down solid rocket booster for NASA's Space Launch System, or SLS, the 100th anniversary of the birth of a space pioneer and more!</t>
  </si>
  <si>
    <t>42DIYPyjado</t>
  </si>
  <si>
    <t>https://youtu.be/kP2Ut3QpgWU</t>
  </si>
  <si>
    <t>NASA Women's History Month Profile - Sandra Turner</t>
  </si>
  <si>
    <t>Sandra Turner is a support services team lead in the Office of Strategic Analysis and Communications at Marshall Space Flight Center in Huntsville, Ala.  She directs the activities of protocol specialists, event coordinators, and community and industry outreach specialists. Turner, who has certification from the Protocol School of Washington to present corporate etiquette and international protocol seminars, also directs the visitor program, astronaut visits, and ribbon-cutting and groundbreaking ceremonies.  She also manages all Marshall Center-wide events, the annual Center Director's Breakfast and the Speakers Bureau.  Prior to becoming a team lead, Turner was chief of protocol, overseeing visits by heads of state, cabinet members, congressional members, foreign dignitaries, celebrities and high ranking officials from the government, industry and academia.  She also managed the space shuttle launch guest operation for Marshall at the Kennedy Space Center.  Prior to becoming protocol officer, Turner was executive assistant to the director of Marshall Space Flight Center.</t>
  </si>
  <si>
    <t>kP2Ut3QpgWU</t>
  </si>
  <si>
    <t>https://youtu.be/EDz0AviGge0</t>
  </si>
  <si>
    <t>NASA Women's History Month Profile - Amy Mainzer</t>
  </si>
  <si>
    <t>Amy Mainzer is a research scientist at JPL. After obtaining her B.S. in physics at Stanford, she took a year off after graduation to work at Lockheed Martin, where she worked on the Spitzer Space Telescope. She was the principal investigator of a cryogenic camera called the Pointing Calibration and Reference Sensor (PCRS), which serves as the fine guidance sensor for Spitzer. She worked on Spitzer during graduate school in astronomy at Caltech. After receiving her M.S. at Caltech, she finished her Ph.D. at UCLA with Ian McLean. For her thesis, she built the First Light Camera for SOFIA and observed brown dwarfs with it. She received her Ph.D. in 2003 just before Spitzer's launch. The PCRS was the first camera to see light on Spitzer and has been operating since 2003. She joined the WISE team and JPL in 2003. As the WISE deputy project scientist, she works to ensure that WISE meets its science requirements. She is also the principal investigator of a project to enhance WISE's ability to find asteroids, known as NEOWISE.</t>
  </si>
  <si>
    <t>EDz0AviGge0</t>
  </si>
  <si>
    <t>https://youtu.be/yYoTGuQroRI</t>
  </si>
  <si>
    <t>NASA Women's History Month Profile - Jennifer Price</t>
  </si>
  <si>
    <t>Jennifer B. Price is the Advance Mission Planning Group Lead for the NASA/Johnson Space Center Mission Operations Directorate (MOD) Flight Planning Branch.  Her federal government aerospace career has spanned 30 years.  For the first seven years, she served as an Officer in the United States Air Force managing engineering specialists responsible for monitoring Department of Defense satellites and payloads.  For the next twenty-three years she has worked as an Engineering Planning Specialist in MOD, providing project management for NASA manned spaceflight programs and executing project leadership over teams of specialists participating in exploration and innovation projects.</t>
  </si>
  <si>
    <t>yYoTGuQroRI</t>
  </si>
  <si>
    <t>https://youtu.be/-DftngDMvNM</t>
  </si>
  <si>
    <t>NASA Women's History Month Profile - Lora Bailey</t>
  </si>
  <si>
    <t>Lora Bailey has worked in the Engineering Directorate at Johnson Space Center for over 25 years and has a BS in Aerospace Engineering from the University of Cincinnati and a Masters in Mechanical Engineering from Rice University.  As Project Manager, she has led numerous projects for many types of crew and vehicle equipment that have been flown and are currently used on the International Space Station, as well as a number of articles and experiments which were flown on the Space Shuttle.   She also led the post-Columbia return-to-flight effort as project manager for tile repair and repair access in EVA, which led to her innovations in developing a new tile repair method as well as developing the 3-degree-of-freedom simulator of the Space Shuttle robotic arm and the 50-foot damage inspection boom.  This simulator provided a ground test bed for astronaut evaluation of tile repair feasibility and access, which ultimately proved that tile repair could be performed using the Shuttle robotic arm and 50-foot boom, and was validated in an on-orbit flight experiment on STS-121.   The new tile repair method was developed and flew on STS-114 all subsequent Space Shuttle missions.</t>
  </si>
  <si>
    <t>-DftngDMvNM</t>
  </si>
  <si>
    <t>https://youtu.be/rZwKysRcWsY</t>
  </si>
  <si>
    <t>ISS Crew Updates Bloomberg News on Mission</t>
  </si>
  <si>
    <t>Aboard the International Space Station, Expedition 30 Commander Dan Burbank of NASA, Flight Engineer Don Pettit of NASA and European Space Agency Flight Engineer Andre Kuipers discussed the progress of their mission and life and work aboard the orbital laboratory during an in-flight interview with Bloomberg News on March 23, 2012.</t>
  </si>
  <si>
    <t>rZwKysRcWsY</t>
  </si>
  <si>
    <t>https://youtu.be/IDGVUBAeq8I</t>
  </si>
  <si>
    <t>Cargo Craft Heads to ISS</t>
  </si>
  <si>
    <t>Loaded with more than 7 tons of propellant, food, supplies and experiment hardware, the European Space Agency's "Edoardo Amaldi" Automated Transfer Vehicle cargo craft launched on an Ariane 5 rocket in the pre-dawn hours March 23, 2012 from the Arianespace launch site in the jungle of northern French Guiana bound for the International Space Station. The "Edoardo Amaldi", named after the 20th century Italian physicist, is the third in the series of European resupply vehicles for the crews on the orbital laboratory. It is scheduled to dock automatically to the aft port of the Russian Zvezda Service Module on March 28.</t>
  </si>
  <si>
    <t>IDGVUBAeq8I</t>
  </si>
  <si>
    <t>2012 03 22</t>
  </si>
  <si>
    <t>https://youtu.be/KDGpfAzCaDk</t>
  </si>
  <si>
    <t>ScienceCasts  The Surprising Power of a Solar Storm</t>
  </si>
  <si>
    <t>A flurry of solar activity in early March dumped enough heat in Earth's upper atmosphere to power every residence in New York City for two years. The heat has since dissipated, but there's more to come as the solar cycle intensifies.</t>
  </si>
  <si>
    <t>KDGpfAzCaDk</t>
  </si>
  <si>
    <t>https://youtu.be/ID36q7gBwwM</t>
  </si>
  <si>
    <t>Astronaut Al Drew Talks Space With Students</t>
  </si>
  <si>
    <t>Astronaut Benjamin "Alvin" Drew answers questions from 7th grade students at Zion Lutheran School in Dallas, Texas during a NASA Digital Learning Network (DLN) interactive broadcast. 
NASA DLN broadcasts are connecting students around the country with the live mission operations being done by the International Space Station Flight Control Team. ISS flight controllers, astronauts and scientists answer student's questions about living and working in space, how the Houston mission control center operates, and a wealth of other topics related to Science, Technology, Engineering, and Mathematics.</t>
  </si>
  <si>
    <t>ID36q7gBwwM</t>
  </si>
  <si>
    <t>2012 03 20</t>
  </si>
  <si>
    <t>https://youtu.be/TD9N_VyqXXE</t>
  </si>
  <si>
    <t>Expedition 32 33 Crew Members Discuss Next Mission</t>
  </si>
  <si>
    <t>Expedition 32/33 crew members Sunita Williams of NASA, Akihiko Hoshide of the Japan Aerospace Exploration Agency and Yuri Malenchenko of the Russian Federal Space Agency are set to launch to the orbiting outpost aboard the Soyuz TMA-05M spacecraft July 15 and return to Earth in November.</t>
  </si>
  <si>
    <t>TD9N_VyqXXE</t>
  </si>
  <si>
    <t>https://youtu.be/16rfcTbU_D4</t>
  </si>
  <si>
    <t>Press Briefed On the Next Mission to the International Space Station</t>
  </si>
  <si>
    <t>Mission Managers gave members of the media a look at the priorities and objections for the Expedition 32 and 33 space station missions, including hundreds of research experiments, a Russian spacewalk, international and commercial cargo deliveries to the station and a commercial cargo demonstration flight.  The mission is targeted to launch aboard the Soyuz TMA-05M spacecraft July 15.</t>
  </si>
  <si>
    <t>16rfcTbU_D4</t>
  </si>
  <si>
    <t>https://youtu.be/bgUhdI7-0O8</t>
  </si>
  <si>
    <t>Crew Discusses Life in Space with Connecticut Media</t>
  </si>
  <si>
    <t>Expedition 30 Commander Dan Burbank, a Connecticut native, and Flight Engineer Don Pettit discussed life and work aboard the International Space Station during an in-flight interview on March 20, 2012, with WVIT-TV in Hartford, Conn.</t>
  </si>
  <si>
    <t>bgUhdI7-0O8</t>
  </si>
  <si>
    <t>2012 03 19</t>
  </si>
  <si>
    <t>https://youtu.be/U4YIFl0_AQE</t>
  </si>
  <si>
    <t>GRAIL Doing Science on This Week @ NASA</t>
  </si>
  <si>
    <t>Ebb and Flow, NASA's Gravity Recovery And Interior Laboratory, or GRAIL spacecraft, have officially begun collecting science data as they orbit the moon. Scientists will use the information gathered by the twin spacecraft to produce a high-resolution map of the lunar gravitational field. That should provide unprecedented detail about the moon's internal structure and composition, and lead to a better understanding of how Earth and other rocky planets in the solar system formed. Science activities are expected to continue through May 29. Also, Station Science on Fire, Astronaut Cady Coleman performing center stage at the Kennedy Center, NASA Administrator Charles Bolden joins The White House to encourage engineering students to "Stay With It", "G.E.M.S." at Stennis Space Center, an honor for the late NACA test pilot Scott Crossfield and more!</t>
  </si>
  <si>
    <t>U4YIFl0_AQE</t>
  </si>
  <si>
    <t>2012 03 16</t>
  </si>
  <si>
    <t>https://youtu.be/m4qYACF3wAk</t>
  </si>
  <si>
    <t>Ebb and Flow, NASA's Gravity Recovery And Interior Laboratory, or GRAIL spacecraft, have officially begun collecting science data as they orbit the moon. Scientists will use the information gathered by the twin spacecraft to produce a high-resolution map of the lunar gravitational field. That should provide unprecedented detail about the moon's internal structure and composition, and lead to a better understanding of how Earth and other rocky planets in the solar system formed. Science activities are expected to conclude on May 29. Also, Station Science on Fire, NASA Administrator Charles Bolden joins The White House to encourage engineering students to "Stay With It", "G.E.M.S." at Stennis Space Center, an honor for the late NACA test pilot Scott Crossfield and more!</t>
  </si>
  <si>
    <t>m4qYACF3wAk</t>
  </si>
  <si>
    <t>https://youtu.be/U63O0naPtyg</t>
  </si>
  <si>
    <t>Orion's Test Flight to Perform Two Orbits</t>
  </si>
  <si>
    <t>Animation depicts the proposed test flight of the Orion spacecraft in 2014. Orion is NASA's new spacecraft that'll take humans beyond low-Earth orbit. During the test, called Exploration Flight Test-1 (EFT-1), Orion will launch from Cape Canaveral, Fla., perform two orbits, then re-enter and set down in the Pacific Ocean off the west coast of the U. S. Narrated by Jay Estes, deputy for Orion's flight test integration.</t>
  </si>
  <si>
    <t>U63O0naPtyg</t>
  </si>
  <si>
    <t>https://youtu.be/527fb3-UZGo</t>
  </si>
  <si>
    <t xml:space="preserve"> Riding the Booster  Never Sounded Better</t>
  </si>
  <si>
    <t>From launch to landing, a space shuttle's solid rocket booster journey is captured, with sound mixed and enhanced by Skywalker Sound.</t>
  </si>
  <si>
    <t>527fb3-UZGo</t>
  </si>
  <si>
    <t>2012 03 15</t>
  </si>
  <si>
    <t>https://youtu.be/A6vZMw40ArA</t>
  </si>
  <si>
    <t>ScienceCasts  Mysterious Objects at the Edge of the Electromagnetic Spectrum</t>
  </si>
  <si>
    <t>NASA's Fermi Gamma-Ray Telescope is finding hundreds of new objects at the very edge of the electromagnetic spectrum. Many of them have one thing in common: Astronomers have no idea what they are.</t>
  </si>
  <si>
    <t>A6vZMw40ArA</t>
  </si>
  <si>
    <t>https://youtu.be/3bk_WKF5gCc</t>
  </si>
  <si>
    <t>Inside the International Space Station Episode 4 Chapter 1 - Holiday Clip</t>
  </si>
  <si>
    <t>Expedition 30 astronauts Dan Burbank and Don Pettit discuss how they spent their Christmas vacation and enjoy talking to an Inside the ISS mystery guest.</t>
  </si>
  <si>
    <t>3bk_WKF5gCc</t>
  </si>
  <si>
    <t>https://youtu.be/jwpiSPdHITo</t>
  </si>
  <si>
    <t>NASA Women Honored at JPL</t>
  </si>
  <si>
    <t>In honor of Women's History Month, NASA's Jet Propulsion Laboratory hosts an event to recognize the success of women at NASA, JPL and other institutions who are working in the fields of space science, engineering and technology.</t>
  </si>
  <si>
    <t>jwpiSPdHITo</t>
  </si>
  <si>
    <t>2012 03 13</t>
  </si>
  <si>
    <t>https://youtu.be/QDMDZh8y72o</t>
  </si>
  <si>
    <t>NASA Women's History Month Profile - Dawn Davis</t>
  </si>
  <si>
    <t>Dawn Davis is an electrical engineer at NASA's John C. Stennis Space Center  where she works in the Engineering and Test Directorate. During her years with NASA, she has worked on a wide range of rocket prolusion test projects as both the lead electrical design engineer  and electrical operations engineer, including the 250K Hybrid Propulsion Demonstration Project, TRW 650K Pintle Engine Project, Integrated Powerhead Demonstrator (IPD) LOX and LH Turbopump Projects, RS84 Subscale and Battleship Pre-burner Projects, the and AJ26 Engine Test Project. She currently serves as the Lead for the Electrical Design Branch with design responsibility for the facility instrumentation, data acquisition  and control systems and electrical test support systems.</t>
  </si>
  <si>
    <t>QDMDZh8y72o</t>
  </si>
  <si>
    <t>https://youtu.be/63bAwZuxfo4</t>
  </si>
  <si>
    <t>NASA Women's History Month Profile - Lakeesha Flowers</t>
  </si>
  <si>
    <t>Lakeesha Flowers joined NASA as a graduate student co-op from the University of Central Florida (UCF) in 2006.  Since that time, she has served as a Human Resources Specialist (HRS) consulting mainly in the areas of staffing, classification, and performance management with some organizational development support, particularly in the areas of succession planning, mentoring and training, leadership development and small group facilitation.  As a management advisor, she supports the development and implementation of a strategic human resources program and has served on several Agency teams, particularly in the staffing and performance management areas.</t>
  </si>
  <si>
    <t>63bAwZuxfo4</t>
  </si>
  <si>
    <t>https://youtu.be/k7s4ubmj99U</t>
  </si>
  <si>
    <t>NASA Women's History Month Profile - Robyn Gordon</t>
  </si>
  <si>
    <t>Robyn N. Gordon serves as Director of the Center Operations Directorate at the National Aeronautics and Space Administration (NASA) John H. Glenn Research Center at Lewis Field in Cleveland, Ohio. In this capacity, she manages organizational objectives, direction, resource allocation and overall institutional functions. Gordon also coordinates and integrates activities of the institution, which cross directorate organizations. Additionally, she determines institutional issues that could affect the execution and performance of the Center's commitments.</t>
  </si>
  <si>
    <t>k7s4ubmj99U</t>
  </si>
  <si>
    <t>https://youtu.be/zL1tfSBVRVM</t>
  </si>
  <si>
    <t>NASA Celebrates Women, Aerospace and Innovation Part 1</t>
  </si>
  <si>
    <t>NASA Deputy Administrator Lori Garver delivered the keynote speech at the Women, Aerospace and Innovation event on March 8 at the George Washington University's Jack Morton Auditorium and Marvin Center in Washington, D.C. During the Women's History Month event NASA announced the release of a new series of video interviews for its Women@NASA Website.
The Women@NASA Website showcases women from diverse backgrounds, with careers at NASA, telling their stories in their own words. Featured women include astronauts, engineers, scientists and administrators. They discuss their accomplishments and offer encouragement to women and girls considering technical careers. The Website also provides information about NASA internships and career opportunities.
NASA Administrator Charles Bolden also made remarks at the event celebrating the contributions of Women to NASA's mission and emphasizing the importance of inspiring young women to enter science, technology, engineering and mathematics fields. To visit the Women@NASA website, log on to www.women.nasa.gov.</t>
  </si>
  <si>
    <t>zL1tfSBVRVM</t>
  </si>
  <si>
    <t>2012 03 12</t>
  </si>
  <si>
    <t>https://youtu.be/hYCO9_B61oA</t>
  </si>
  <si>
    <t>NASA Celebrates Women, Aerospace and Innovation Part 3</t>
  </si>
  <si>
    <t>NASA Administrator Charlie Bolden and Deputy Administrator Lori Garver helped kick off Women's History Month at an event at George Washington University in Washington.
The Women, Aerospace, and Innovation event showcased new videos from the Women@NASA website highlighting the role of women in science, technology, engineering and math at the agency.
Inspiring and engaging young females in the STEM fields was detailed in data presented by the Girl Scouts Research Institute.
You can check out more at the Women@NASA website, at www.women.nasa.gov.</t>
  </si>
  <si>
    <t>hYCO9_B61oA</t>
  </si>
  <si>
    <t>https://youtu.be/PNdsJHEDW_M</t>
  </si>
  <si>
    <t>NASA Celebrates Women, Aerospace and Innovation Part 2</t>
  </si>
  <si>
    <t>PNdsJHEDW_M</t>
  </si>
  <si>
    <t>2012 03 09</t>
  </si>
  <si>
    <t>https://youtu.be/_htxk1sv_7c</t>
  </si>
  <si>
    <t>NASA Women's History Month Profile -- Maria Nowak</t>
  </si>
  <si>
    <t>Maria Nowak works at Goddard Space Flight Center in the Optics Board Alignment/Integration Testing group. Maria describes her job as being really interesting because she does so many different things each day. Whether it be in the lab taking data or trying a new metrology technique and analyzing data.</t>
  </si>
  <si>
    <t>_htxk1sv_7c</t>
  </si>
  <si>
    <t>https://youtu.be/kWcO-bz1f3w</t>
  </si>
  <si>
    <t>NASA Women's History Month Profile -- Wanda Peters</t>
  </si>
  <si>
    <t>Wanda Peters is the Assistant Division Chief for the Mechanical Systems Division at NASA Goddard Space Flight Center. Growing up Wanda says she never imagined that she would be working for an organization that is internationally known for its accomplishments. But in this NASA Women's History Month Profile, she explains that working for NASA has been more than she ever dreamed it would be.</t>
  </si>
  <si>
    <t>kWcO-bz1f3w</t>
  </si>
  <si>
    <t>https://youtu.be/LqOEaDo7DdU</t>
  </si>
  <si>
    <t>NASA Women's History Month Profile -- Jessica Harris</t>
  </si>
  <si>
    <t>Jessica Harris is an outreach assistant for the Space Telescope Science Institute. She came to the Institute as an intern in the Student Astronomy Summer Program. As an outreach assistant in the Office of Public Outreach, Jessica has a dual role in creating outreach activities for the Virtual Astronomical Observatory (VAO) and the James Webb Space Telescope (JWST</t>
  </si>
  <si>
    <t>LqOEaDo7DdU</t>
  </si>
  <si>
    <t>https://youtu.be/HtGJSRyFmgs</t>
  </si>
  <si>
    <t>NASA Women's History Month Profile -- Alberta Moran</t>
  </si>
  <si>
    <t>For someone who learned to drive a Model T car, who saw the space shuttle and saw a man land on the moon, there's really no words to explain Alberta Moran's time at Goddard Space Flight Center. But in this NASA Women's History Month Profile Alberta, in her own words, recounts the experiences she's had during forty years of working at Goddard as an employee and a volunteer.</t>
  </si>
  <si>
    <t>HtGJSRyFmgs</t>
  </si>
  <si>
    <t>https://youtu.be/eveNwSz6734</t>
  </si>
  <si>
    <t>Women, Aerospace and Innovation on This Week @ NASA</t>
  </si>
  <si>
    <t>NASA Administrator Charlie Bolden and Deputy Administrator Lori Garver helped announce a new series of Women@NASA during a Women's History Month event at George Washington University in Washington. The Women, Aerospace, and Innovation event showcased new videos from the Women@NASA website highlighting the role of women in science, technology, engineering and math at the agency. Check out the Women@NASA website, at www.women.nasa.gov. Also, NASA successfully conducted another drop test of the Orion crew vehicle's entry, descent and landing parachutes in preparation for its orbital flight test in 2014, engineers at the Stennis Space Center have moved a J-2X engine to the A-2 Test Stand in preparation for another round of testing, SpaceX completes a "Wet Dress Rehearsal" for its upcoming Falcon 9 demonstration flight to the International Space Station, NASA helps release "Angry Birds Space" and more!</t>
  </si>
  <si>
    <t>eveNwSz6734</t>
  </si>
  <si>
    <t>https://youtu.be/5wtN9FF_jn8</t>
  </si>
  <si>
    <t>NASA's Awesome to Increase With New Rocket</t>
  </si>
  <si>
    <t>Popular Internet vlogger Hank Green of Vlogbrothers expounds on how NASA's new Space Launch System (with a way cooler name) will help scratch an item off his "bucket list" for humanity.</t>
  </si>
  <si>
    <t>5wtN9FF_jn8</t>
  </si>
  <si>
    <t>https://youtu.be/dvHQ1vV21i0</t>
  </si>
  <si>
    <t>ScienceCasts  The Super Moon of May 2012</t>
  </si>
  <si>
    <t>NASA ScienceCasts SMD "Science Mission Directorate" "Science@NASA News" "full Moon" tides perigee "moon myths" "moon illusion" "howling dogs" crime</t>
  </si>
  <si>
    <t>dvHQ1vV21i0</t>
  </si>
  <si>
    <t>2012 03 08</t>
  </si>
  <si>
    <t>https://youtu.be/kApcB7lod2s</t>
  </si>
  <si>
    <t>Space Station Crew Discusses Life in Space with CBS Radio</t>
  </si>
  <si>
    <t>Aboard the International Space Station, Expedition 30 Commander Dan Burbank of NASA and NASA Flight Engineer Don Pettit discussed the progress of their mission and the upcoming arrival of European, Russian and commercial cargo ships to the complex during an in-flight interview with the CBS Radio Network on March 8, 2012.</t>
  </si>
  <si>
    <t>kApcB7lod2s</t>
  </si>
  <si>
    <t>https://youtu.be/deAcVKv5_2I</t>
  </si>
  <si>
    <t>Angry Birds &amp; Pigs Go Weightless!!!</t>
  </si>
  <si>
    <t>In cooperation with NASA, Finland-based Rovio Entertainment, creator of the Angry Birds franchise, has announced its newest game, "Angry Birds Space." Game developers have incorporated concepts of human space exploration into the new game. From the weightlessness of space to the gravity wells of nearby planets, players use physics as they explore the various levels of the game set both on planets and in microgravity. Aboard the International Space Station, Flight Engineer Don Pettit of NASA created a video using Angry Birds Space to explain how physics works in space, including demonstrating trajectories in microgravity by catapulting an Angry Bird through the space station.</t>
  </si>
  <si>
    <t>deAcVKv5_2I</t>
  </si>
  <si>
    <t>2012 03 07</t>
  </si>
  <si>
    <t>https://youtu.be/nrQ2912Miuk</t>
  </si>
  <si>
    <t>Station Crew Discusses Life in Space for California Station Exhibition</t>
  </si>
  <si>
    <t>Expedition 30 Commander Dan Burbank of NASA and Flight Engineer Don Pettit of NASA discussed life and work aboard the International Space Station with attendees at the Tech Museum in San Jose, Calif., on March 7.  This discussion was one of several events connected to the "Destination Station" exhibit touring northern California. "Destination Station," an initiative supported by NASA's International Space Station Program, is a national awareness campaign to promote research opportunities and educate communities about activities performed on the International Space Station.</t>
  </si>
  <si>
    <t>nrQ2912Miuk</t>
  </si>
  <si>
    <t>2012 03 06</t>
  </si>
  <si>
    <t>https://youtu.be/CwiUhxL4TwM</t>
  </si>
  <si>
    <t xml:space="preserve"> Wet Dress  Completed for NASA Test Flight</t>
  </si>
  <si>
    <t>SpaceX has completed a "Wet Dress Rehearsal" on its Falcon 9 rocket for NASA's Commercial Orbital Transportation Services (COTS) demonstration flight to the International Space Station on Space Launch Complex-40 at Cape Canaveral Air Force Station, Fla. The rocket was hoisted into position on the launch pad on Feb 29, and the test began in the morning of March 1 with loading of propellants aboard the launch vehicle. A complete set of tests also was performed.  The exercise was completed by mid-afternoon. SpaceX is one of two companies under contract with NASA to provide cargo resupply of the International Space Station. The Falcon 9 with a Dragon capsule on top is targeted to launch to the station in late April.</t>
  </si>
  <si>
    <t>CwiUhxL4TwM</t>
  </si>
  <si>
    <t>2012 03 05</t>
  </si>
  <si>
    <t>https://youtu.be/80fkgZfwnk0</t>
  </si>
  <si>
    <t>European Crew Member on Space Station Discusses Life in Space with German Chancellor</t>
  </si>
  <si>
    <t>Aboard the International Space Station, Expedition 30 Flight Engineer Andre Kuipers of the European Space Agency discussed the progress of his mission with German Chancellor Angela Merkel during an in-flight call to a computer expo trade fair in Hanover, Germany, on March 5. Brazilian President Dilma Rousseff joined Merkel and other European officials for the event.</t>
  </si>
  <si>
    <t>80fkgZfwnk0</t>
  </si>
  <si>
    <t>2012 03 02</t>
  </si>
  <si>
    <t>https://youtu.be/N-1T5ZdcCxs</t>
  </si>
  <si>
    <t>Spitzer Finds Unusual Structures on This Week @ NASA</t>
  </si>
  <si>
    <t>Astronomers using data from NASA's Spitzer Space Telescope have, for the first time, discovered buckyballs in a solid form in space: around a pair of stars 65-hundred light-years from Earth. Until now, the microscopic carbon spheres had been found only in gas form. Named for their resemblance to the geodesic domes drawn by late architect Buckminster Fuller, buckyballs are made up of 60 carbon molecules arranged into a hollow sphere, like a soccer ball. Their unusual structure makes them ideal candidates for electrical and chemical applications on Earth, including superconducting materials, medicines, water purification and armor. Also, Space Agencies Leaders meet in Canada, NASA's top leaders continued with their field center visits after rollout of the president's proposed 2013 budget, The 50th anniversary celebration of John Glenn's historic Friendship 7 flight continued in Cleveland and NASA celebrates Women's History Month 2012.</t>
  </si>
  <si>
    <t>N-1T5ZdcCxs</t>
  </si>
  <si>
    <t>2012 03 01</t>
  </si>
  <si>
    <t>https://youtu.be/YqaLtJf9eGc</t>
  </si>
  <si>
    <t>ScienceCasts  Auroras Underfoot</t>
  </si>
  <si>
    <t>Lately, the International Space Station has been flying through geomagnetic storms, giving astronauts an close-up view of the aurora borealis just outside their windows.</t>
  </si>
  <si>
    <t>YqaLtJf9eGc</t>
  </si>
  <si>
    <t>2012 02 29</t>
  </si>
  <si>
    <t>https://youtu.be/N4_WXjp9Hzo</t>
  </si>
  <si>
    <t>We Are the Explorers</t>
  </si>
  <si>
    <t>Why do we explore? Simply, it is part of who we are, something we've done throughout history. NASA's new video, "We Are the Explorers," looks at that tradition of reaching for things just beyond our grasp, and how it's helping lay the foundation for our greatest journeys ahead.</t>
  </si>
  <si>
    <t>N4_WXjp9Hzo</t>
  </si>
  <si>
    <t>2012 02 28</t>
  </si>
  <si>
    <t>https://youtu.be/MVAfflk0PJU</t>
  </si>
  <si>
    <t>NASA African-American History Month Profile - Yves Lamothe</t>
  </si>
  <si>
    <t>Yves Lamothe serves as a Lead Systems Engineer at the Kennedy Space Center's Program Integration Division Technical Management Branch of the Ground Systems Development &amp; Operations Program Office. In this capacity, he is responsible for the development, integration and management of the processes required to define how the Program will execute its technical activities. The scope of his duties include providing leadership, technical expertise, integration and coordination with multiple organizations and existing Programs across the Center and the Agency.</t>
  </si>
  <si>
    <t>MVAfflk0PJU</t>
  </si>
  <si>
    <t>2012 02 27</t>
  </si>
  <si>
    <t>https://youtu.be/ybwb-W2xMGc</t>
  </si>
  <si>
    <t>Station Crew Updates the Media on Progress of Its Mission</t>
  </si>
  <si>
    <t>International Space Station Expedition 30 Flight Engineers Don Pettit of NASA and Andre Kuipers of the European Space Agency discussed life and work aboard the orbital laboratory in a series of in-flight interviews Feb. 27, with KGO-TV in San Francisco and the ABC Radio Network.</t>
  </si>
  <si>
    <t>ybwb-W2xMGc</t>
  </si>
  <si>
    <t>2012 02 24</t>
  </si>
  <si>
    <t>https://youtu.be/8wwgZRsA_eE</t>
  </si>
  <si>
    <t>NASA Honors First Two Americans in Orbit on This Week @ NASA</t>
  </si>
  <si>
    <t>The Kennedy Space Center hosted several events to celebrate 50 years of Americans in orbit. John Glenn, the first to achieve the goal, made his three-orbit flight in Friendship 7 on February 20, 1962. Three months later, fellow Mercury astronaut Scott Carpenter followed Glenn with his flight aboard Aurora 7 on May 24, 1962. Glenn and Carpenter spoke to employees and met with the media sharing stories about their adventures. Glenn also received a congratulatory message from the crew aboard The International Space Station during an in-flight call at the NASA Future Forum at the Ohio State University. Also, NASA Administrator Charles Bolden and Deputy Administrator Lori Garver visit field centers to speak with employees about the 2013 budget, testing of a future aircraft concept model, a Reduced Gravity Flight for Educators and Students, Movement on the Moon, Rockets to Race Cars and more.</t>
  </si>
  <si>
    <t>8wwgZRsA_eE</t>
  </si>
  <si>
    <t>https://youtu.be/15aAvSV8KJY</t>
  </si>
  <si>
    <t>ScienceCasts  Curiosity, The Stunt Double</t>
  </si>
  <si>
    <t>En route to the Red Planet, Mars rover Curiosity has experienced the strongest solar radiation storm since 2005. No need to be alarmed: Researchers say it's all part of Curiosity's job as a 'stunt double' for human astronauts.</t>
  </si>
  <si>
    <t>15aAvSV8KJY</t>
  </si>
  <si>
    <t>2012 02 22</t>
  </si>
  <si>
    <t>https://youtu.be/o2jGR8uIlC0</t>
  </si>
  <si>
    <t>Station Crew Discusses Life in Space With New Jersey Students</t>
  </si>
  <si>
    <t>Aboard the International Space Station, Expedition 30 Commander Dan Burbank and European Space Agency Flight Engineer Andre Kuipers fielded questions from students representing several school districts comprising the Tri-District Curriculum Consortium in Newton, N.J., during an in-flight educational event conducted on Feb. 22, 2012.</t>
  </si>
  <si>
    <t>o2jGR8uIlC0</t>
  </si>
  <si>
    <t>https://youtu.be/sR85BtWNpZA</t>
  </si>
  <si>
    <t>NASA African-American History Month Profile - Nate Boclair, III</t>
  </si>
  <si>
    <t>Nate Boclair, III is the manager of the Space Systems Operations Branch within the Mission Operations Laboratory of the Engineering Directorate at the Marshall Space Flight Center.</t>
  </si>
  <si>
    <t>sR85BtWNpZA</t>
  </si>
  <si>
    <t>https://youtu.be/DxmWaH0GaxI</t>
  </si>
  <si>
    <t>NASA African-American History Month Profile - Darrius Lewis</t>
  </si>
  <si>
    <t>Darrius Lewis is an Emergency Preparedness Officer and Continuity of Operations Program Manager at NASA Headquarters. He is responsible for overseeing the Continuity Of Operations Program at NASA Headquarters as well as the functionality of the Emergency Notification System. He is charged with strategically planning for man-made and natural disasters to minimize any impact to NASA personnel, so that NASA workers and leadership can continue to conduct the business of NASA.</t>
  </si>
  <si>
    <t>DxmWaH0GaxI</t>
  </si>
  <si>
    <t>https://youtu.be/iIUCevyU4l4</t>
  </si>
  <si>
    <t>NASA African-American History Month Profile - Karen Harper</t>
  </si>
  <si>
    <t>Karen Harper is the IT Workforce Manager for the Office of the Chief Information Officer at NASA Headquarters. She is principally responsible for ensuring the NASA IT community is able to maintain the necessary core competencies and skill balance of the IT workforce. She has held several positions at NASA Headquarters serving in management positions in the Office of the General Counsel, Office of the Administrator, and Office of Institutions and Management.</t>
  </si>
  <si>
    <t>iIUCevyU4l4</t>
  </si>
  <si>
    <t>https://youtu.be/8Mr2BTTwbkY</t>
  </si>
  <si>
    <t>First American to Orbit Earth Honored by ISS Crew</t>
  </si>
  <si>
    <t>Astronauts aboard the International Space Station sent congratulatory messages and talked with Sen. John Glenn during an in-flight call from the complex on Feb. 20, 2012, the 50th anniversary of his historic Friendship 7 space flight to become the first American to orbit the Earth.  Glenn was joined by NASA Administrator Charles Bolden during his talk with the crew that took place during the opening of NASA's Future Forum at the Ohio State University in Columbus, Ohio.</t>
  </si>
  <si>
    <t>8Mr2BTTwbkY</t>
  </si>
  <si>
    <t>2012 02 21</t>
  </si>
  <si>
    <t>https://youtu.be/aQpFcS3FeRQ</t>
  </si>
  <si>
    <t>John Glenn Talks Future Technology on This Week @ NASA</t>
  </si>
  <si>
    <t>Senator John Glenn, spoke during a NASA Future Forum at the Ohio State University, about the fundamental elements that once made America a leading innovator are their importance to the nation's future. NASA officials, University representatives and students participated in a panel discussion about NASA's role in advancing innovation, technology, science, engineering, education and the economy. The Future Forum coincided with the 50th anniversary of Glenn's historic Friendship 7 space flight. Also, NASA Briefs its 2013 Budget, the year's first test of the J-2X rocket engine, the 30th Russian Spacewalk for The International Space Station, a milestone handshake in space between humanoid and an astronaut and Science Off the Sphere.</t>
  </si>
  <si>
    <t>aQpFcS3FeRQ</t>
  </si>
  <si>
    <t>2012 02 17</t>
  </si>
  <si>
    <t>https://youtu.be/ePALXCWQjvA</t>
  </si>
  <si>
    <t>NASA BRIEFS 2013 BUDGET on This Week @ NASA</t>
  </si>
  <si>
    <t>NASA Administrator Charles Bolden and Chief Financial Officer Beth Robinson outlined the president's Fiscal Year 2013 budget proposal for NASA during a February 13th news conference at NASA Headquarters. The proposed budget would enable NASA to continue the space exploration program envisioned by President Obama, one that creates jobs and spurs the American economy well into the future while sending us farther into space than ever before. Also, the year's first test of the J-2X rocket engine, the 30th Russian Spacewalk for The International Space Station, a milestone handshake in space between humanoid and an astronaut, Science Off the Sphere, the 50th Anniversary of John Glenn's historic flight and more.</t>
  </si>
  <si>
    <t>ePALXCWQjvA</t>
  </si>
  <si>
    <t>https://youtu.be/C_CO-4fJz0M</t>
  </si>
  <si>
    <t>ScienceCasts  An Alignment of Planets</t>
  </si>
  <si>
    <t>The brightest planets in the night sky are aligning for a must-see show in late February and March 2012. Start looking tonight!</t>
  </si>
  <si>
    <t>C_CO-4fJz0M</t>
  </si>
  <si>
    <t>2012 02 16</t>
  </si>
  <si>
    <t>https://youtu.be/iK8HkV0Ge5Y</t>
  </si>
  <si>
    <t>Seventh Station  Crewmember  Conducts Historic Handshake</t>
  </si>
  <si>
    <t>Expedition 30 Commander Dan Burbank shook hands with Robonaut on February 15, 2012, aboard the International Space Station, an historic milestone that completed a two-day checkout of the machine's joints, hands and fingers as a key precursor to future robotic activity on the complex. Approximately five minutes into this video Robonaut can be seen signing the words "Hello, World" to wrap up the exercise. Robonaut is the intricate dexterous humanoid robot built and designed at NASA's Johnson Space Center in Houston, TX and launched to the station a year ago on the shuttle Discovery on that orbiter's final flight, STS-133.</t>
  </si>
  <si>
    <t>iK8HkV0Ge5Y</t>
  </si>
  <si>
    <t>2012 02 15</t>
  </si>
  <si>
    <t>https://youtu.be/_CnRVXV4Q50</t>
  </si>
  <si>
    <t>NASA African-American History Month Profile- Rhonda Baker</t>
  </si>
  <si>
    <t>Rhonda Baker is the Associate Director for Center Operations at Ames Research Center. She has been working in Federal government positions since the age of 16. She came to Ames as a procurement specialist in 1998, and worked in support of several research areas, including the NASA Astrobiology Institute (NAI). She is now the Associate Director for Center Operations at Ames Research Center.</t>
  </si>
  <si>
    <t>_CnRVXV4Q50</t>
  </si>
  <si>
    <t>https://youtu.be/ut5oWQTyAx8</t>
  </si>
  <si>
    <t>NASA African-American History Month Profile- Ester Lunnon</t>
  </si>
  <si>
    <t>Ester Lunnon is a Contracting Officer in the Institutional Procurement Office at the Johnson Space Center.</t>
  </si>
  <si>
    <t>ut5oWQTyAx8</t>
  </si>
  <si>
    <t>https://youtu.be/QSz6UITs_Cg</t>
  </si>
  <si>
    <t>NASA African-American History Month Profile- Vincent Johnson</t>
  </si>
  <si>
    <t>Vincent Lavelle Johnson is the Chief of the Logistics Division at the Johnson Space Center.</t>
  </si>
  <si>
    <t>QSz6UITs_Cg</t>
  </si>
  <si>
    <t>https://youtu.be/kbGestZ4KTA</t>
  </si>
  <si>
    <t>NASA African-American History Month Profile- John Johnson</t>
  </si>
  <si>
    <t>Dr. John Asher Johnson, a Research Scientist for NASA's Exoplanet Science Institute at Caltech, discovered the three smallest planets ever found outside our solar system; the discovery, using the Kepler space telescope, could boost the likelihood of finding habitable planets in our galaxy.</t>
  </si>
  <si>
    <t>kbGestZ4KTA</t>
  </si>
  <si>
    <t>https://youtu.be/5YOTuB4TcL0</t>
  </si>
  <si>
    <t>NASA African-American History Month Profile- Larry Cliatt</t>
  </si>
  <si>
    <t>Larry Cliatt is an Aerospace Engineer at Dryden Flight Research Center. He was the principal investigator for the Waveforms and Sonic boom Perception and Response, or WSPR, project at Dryden that was designed to help researchers understand how individuals and communities react to low-noise sonic booms. He has also been involved in a number of other aeronautics research projects during his time at Dryden.</t>
  </si>
  <si>
    <t>5YOTuB4TcL0</t>
  </si>
  <si>
    <t>https://youtu.be/2Cmh3YsUuJA</t>
  </si>
  <si>
    <t>NASA African-American History Month Profile- Aprille Ericcson</t>
  </si>
  <si>
    <t>Aprille Ericcson is the Deputy Instrument Manager for the ICESat Atlas instrument at Goddard Space Flight Center. ICESat is an Earth Observing System mission for measuring ice sheet mass balance, cloud and aerosol heights, as well as land topography and vegetation characteristics.</t>
  </si>
  <si>
    <t>2Cmh3YsUuJA</t>
  </si>
  <si>
    <t>https://youtu.be/SEbOlyngWDk</t>
  </si>
  <si>
    <t>NASA African-American History Month Profile- James Fraction</t>
  </si>
  <si>
    <t>James Fraction is an electrical engineer at NASA Goddard Space Flight Center who is working on the Magnetospheric Multiscale (MMS) mission. The Magnetospheric Multiscale (MMS) mission is a Solar Terrestrial Probes mission comprising four identically instrumented spacecraft that will use Earth's magnetosphere as a laboratory to study the microphysics of three fundamental plasma processes: magnetic reconnection, energetic particle acceleration, and turbulence.</t>
  </si>
  <si>
    <t>SEbOlyngWDk</t>
  </si>
  <si>
    <t>https://youtu.be/rUpwB4qMaMM</t>
  </si>
  <si>
    <t>Station Crew Discusses Life in Space with South Carolina Students</t>
  </si>
  <si>
    <t>International Space Station Expedition 30 Commander Dan Burbank and Flight Engineer Don Pettit discussed how they live and work on the orbital outpost with students at the Crayton Middle School in Columbia, S.C., during an in-flight educational event on Feb. 15, 2012.</t>
  </si>
  <si>
    <t>rUpwB4qMaMM</t>
  </si>
  <si>
    <t>https://youtu.be/OV5iUcdrPSE</t>
  </si>
  <si>
    <t>Meet Astronauts Mike Fossum and Cady Coleman at Smithsonian National Air and Space Museum</t>
  </si>
  <si>
    <t>OV5iUcdrPSE</t>
  </si>
  <si>
    <t>2012 02 14</t>
  </si>
  <si>
    <t>https://youtu.be/OvXQs87N624</t>
  </si>
  <si>
    <t>Ron Garan Hosts Tweetup @ NASA Headquarters</t>
  </si>
  <si>
    <t>Astronaut Ron Garan hosted a February 14 Tweetup at NASA Headquarters. The event was attended by many of the same followers Garan shared his experiences with from space via his Twitter account, @Astro_Ron. During his 164 days aboard The International Space Station, Garan and his crewmates worked on a variety of microgravity experiments and hosted two space shuttle missions, including the last shuttle to visit the station. Garan also participated in the last space-shuttle-based spacewalk during the STS-135 mission.</t>
  </si>
  <si>
    <t>OvXQs87N624</t>
  </si>
  <si>
    <t>https://youtu.be/10V3au51LWc</t>
  </si>
  <si>
    <t>Space Station Residents Share Experiences</t>
  </si>
  <si>
    <t>Excerpts of a presentation on Feb. 14 to NASA Headquarters employees and their families by three astronauts recently returned from the International Space Station. 
Cady Coleman (Expedition 26/27), Ron Garan (Expedition 27/28) and Mike Fossum (Expedition 28/29) shared highlights of their respective missions and answered questions from the audience.</t>
  </si>
  <si>
    <t>10V3au51LWc</t>
  </si>
  <si>
    <t>2012 02 13</t>
  </si>
  <si>
    <t>https://youtu.be/O-T7CZeiRqM</t>
  </si>
  <si>
    <t xml:space="preserve"> Friendship 7  Premieres Thursday at 8 p.m. on NASA TV</t>
  </si>
  <si>
    <t>The first orbital spaceflight by an American, John Glenn, on Feb. 20, 1962, is highlighted in a new, NASA Television documentary premiering this Thursday at 8 p.m. EST.</t>
  </si>
  <si>
    <t>O-T7CZeiRqM</t>
  </si>
  <si>
    <t>https://youtu.be/E-lTPK5sQAA</t>
  </si>
  <si>
    <t>50th Anniversary  John Glenn and Friendship 7</t>
  </si>
  <si>
    <t>NASA celebrates the 50th Anniversary of John Glenn's orbital space flight. Glenn's flight ushered in a new era for space travel. 
John Glenn, America's first astronaut to orbit Earth, launched aboard his Friendship 7 Mercury capsule on Feb. 20, 1962. At the end of the mission, Friendship 7 splashed down into the ocean and Glenn was honored by President John F. Kennedy and celebrated as a hero across America.</t>
  </si>
  <si>
    <t>E-lTPK5sQAA</t>
  </si>
  <si>
    <t>https://youtu.be/AbLhM94HDjY</t>
  </si>
  <si>
    <t xml:space="preserve"> Ambitious Journey </t>
  </si>
  <si>
    <t>NASA and the nation reaches out farther into space than ever before, creating new jobs right here on Earth, and inspiring a new generation of scientists, engineers and explorers.</t>
  </si>
  <si>
    <t>AbLhM94HDjY</t>
  </si>
  <si>
    <t>2012 02 10</t>
  </si>
  <si>
    <t>https://youtu.be/c6rpZXPDLhc</t>
  </si>
  <si>
    <t>Orion on the Move on This Week @ NASA</t>
  </si>
  <si>
    <t>Huntsville's U.S. Space &amp; Rocket Center was the third scheduled stopover on a cross-country journey for a test module of the Orion spacecraft. The Journey, which started from White Sands, New Mexico made stops in Oklahoma City and Dallas where Orion was placed on display. Guests were able to meet Orion and Space Launch System team members and were even able to sign their names to a piece of flight hardware. The Orion module's final destination was the Kennedy Space Center; there, it'll be one of several used by NASA to test and develop the future spacecraft. Orion's first orbital flight test is scheduled for 2014. Also, a new Blue Marble image from space -- in HD,  Grail Sees the Far Side of the Moon, how a Lincoln penny will help the Curiosity rover see better on Mars, NASA Technology news and more.</t>
  </si>
  <si>
    <t>c6rpZXPDLhc</t>
  </si>
  <si>
    <t>2012 02 09</t>
  </si>
  <si>
    <t>https://youtu.be/mxh57wwJonI</t>
  </si>
  <si>
    <t>ScienceCasts  Alien Matter in the Solar System</t>
  </si>
  <si>
    <t>"Alien matter" detected by a NASA spacecraft orbiting Earth shows that the chemical make-up of our solar system differs from that of the surrounding galaxy. Researchers discuss the possible meaning of this mismatch in this week's ScienceCast video.
Visit http://science.nasa.gov/ for more.</t>
  </si>
  <si>
    <t>mxh57wwJonI</t>
  </si>
  <si>
    <t>2012 02 08</t>
  </si>
  <si>
    <t>https://youtu.be/Z3a4gufbUOg</t>
  </si>
  <si>
    <t>Station Crew Fields Questions From YouTube Viewers</t>
  </si>
  <si>
    <t>Aboard the International Space Station, Expedition 30 Commander Dan Burbank of NASA and NASA Flight Engineer Don Pettit answered questions submitted on YouTube about life and work on the orbital laboratory during an in-flight event on Feb. 8.</t>
  </si>
  <si>
    <t>Z3a4gufbUOg</t>
  </si>
  <si>
    <t>2012 02 03</t>
  </si>
  <si>
    <t>https://youtu.be/l1PceS4yRGQ</t>
  </si>
  <si>
    <t>Matter That Matters on This Week @ NASA</t>
  </si>
  <si>
    <t>New findings by NASA's Interstellar Boundary Explorer, or IBEX spacecraft, are helping scientists learn more about the matter found between the stars in our Milky Way galaxy. IBEX, whose primary focus has been the interaction between our solar system and what lies beyond, collects data on the interactions between the heliosheath and interstellar space. The heliosheath provides our solar system with a bubble of protection from deadly cosmic radiation emanating from interstellar space. Also, an update on astronaut job applications, two well known astronauts retire, the J-2X engine meets the media, Kepler "wows" again, a Facebook game to test your NASA knowledge and more.</t>
  </si>
  <si>
    <t>l1PceS4yRGQ</t>
  </si>
  <si>
    <t>https://youtu.be/aQOVs7G3fNk</t>
  </si>
  <si>
    <t>ScienceCasts  Mission to Land on a Comet</t>
  </si>
  <si>
    <t>Europe's Rosetta spacecraft is en route to intercept a comet-- and to make history. In 2014, Rosetta will enter orbit around 67P/Churyumov-Gerasimenko and land a probe on it for a front row seat as the comet heads toward the sun</t>
  </si>
  <si>
    <t>aQOVs7G3fNk</t>
  </si>
  <si>
    <t>2012 02 02</t>
  </si>
  <si>
    <t>https://youtu.be/--xB13b1UOI</t>
  </si>
  <si>
    <t>Station Commander Talks with Students at the Coast Guard Academy</t>
  </si>
  <si>
    <t>Aboard the International Space Station, Expedition 30 Commander Dan Burbank, a retired Captain in the U.S. Coast Guard, fielded questions from students living on the Eastern seaboard during an in-flight educational event February 2, 2012 hosted at Burbank's alma mater at the U.S. Coast Guard Academy in New London, CT. Burbank has been aboard the station since mid-November.</t>
  </si>
  <si>
    <t>--xB13b1UOI</t>
  </si>
  <si>
    <t>https://youtu.be/wU2eZNbt1m0</t>
  </si>
  <si>
    <t>European Station Astronaut Discusses Fitness in Space With European Students</t>
  </si>
  <si>
    <t>During an in-flight interview on Feb. 2, 2012, International Space Station Expedition 30 Flight Engineer Andre Kuipers of the European Space Agency discussed the importance of physical fitness and how he is staying in shape during his long-duration mission with students involved in the "Mission X" fitness competition. The students are participating in various physical fitness competition challenges at a number of venues throughout Europe. Kuipers is in the midst of a scheduled five-month mission on the complex.</t>
  </si>
  <si>
    <t>wU2eZNbt1m0</t>
  </si>
  <si>
    <t>2012 02 01</t>
  </si>
  <si>
    <t>https://youtu.be/Fw0WH6guVYM</t>
  </si>
  <si>
    <t>NASA Astronaut's Challenge of Inspiration</t>
  </si>
  <si>
    <t>NASA's Associate Administrator for Education and two-time space shuttle astronaut Leland Melvin's African American History Month message reflects on space-related milestones of the past and challenges viewers to use their talents to inspire today's youth to future achievement.</t>
  </si>
  <si>
    <t>Fw0WH6guVYM</t>
  </si>
  <si>
    <t>2012 01 31</t>
  </si>
  <si>
    <t>https://youtu.be/cC1qPuCdS9I</t>
  </si>
  <si>
    <t>Scientists Discuss Space Matter</t>
  </si>
  <si>
    <t>During a press briefing, Scientists discussed new findings by NASA's Interstellar Boundary Explorer, or IBEX spacecraft which are helping fill holes in our knowledge about the matter found between the stars in our Milky Way galaxy. IBEX, whose primary focus has been the interaction between our solar system and what lies beyond, has directly sampled multiple heavy elements within this interstellar medium, the same materials of which stars, planets -- even people, are made.</t>
  </si>
  <si>
    <t>cC1qPuCdS9I</t>
  </si>
  <si>
    <t>https://youtu.be/f3NLaZPHLgE</t>
  </si>
  <si>
    <t>Station Crew Discusses Life in Space with Texas Students</t>
  </si>
  <si>
    <t>Aboard the International Space Station, Expedition 30 Commander Dan Burbank of NASA and NASA Flight Engineer Don Pettit discussed life and work aboard the complex with students at the Asa E. Low Intermediate School in Mansfield, Texas during an in-flight educational event on Jan. 31, 2012.</t>
  </si>
  <si>
    <t>f3NLaZPHLgE</t>
  </si>
  <si>
    <t>https://youtu.be/w2JC775S1hE</t>
  </si>
  <si>
    <t>STS-134  The Final Countdown</t>
  </si>
  <si>
    <t>Follow the crew of STS-134 - Commander Mark Kelly, Pilot Greg Johnson, Mission Specialists Mike Fincke, Roberto Vittori, Drew Feustel, and Greg Chamitoff - during the final mission of Space Shuttle Endeavour.</t>
  </si>
  <si>
    <t>w2JC775S1hE</t>
  </si>
  <si>
    <t>https://youtu.be/HX_GZiNog_I</t>
  </si>
  <si>
    <t>Colbert Needs His Space!</t>
  </si>
  <si>
    <t>Comedy Central pundit Stephen Colbert talks about his support for America's space program and NASA's mission of discovery and exploration that includes science research aboard the International Space Station.</t>
  </si>
  <si>
    <t>HX_GZiNog_I</t>
  </si>
  <si>
    <t>2012 01 30</t>
  </si>
  <si>
    <t>https://youtu.be/YwwVrnLWUvA</t>
  </si>
  <si>
    <t>ISS Supplies Arrive on This Week @NASA</t>
  </si>
  <si>
    <t>Russia's Progress 46 cargo ship docked to the International Space Station after a two-day journey from Kazakhstan, carrying with it almost 3 tons of equipment and supplies. Also, super solar storm. Also, Global Temperatures remain warm; a famous Star Trek actress visits a NASA center; the Zero Robotics SPHERES Challenge 2011 Finals, a fitness program teaching kids to Train Like An Astronaut and more.</t>
  </si>
  <si>
    <t>YwwVrnLWUvA</t>
  </si>
  <si>
    <t>2012 01 28</t>
  </si>
  <si>
    <t>https://youtu.be/WqciLBr6t7c</t>
  </si>
  <si>
    <t>Space Freighter Docks to ISS</t>
  </si>
  <si>
    <t>The unmanned ISS Progress 46 cargo ship docked to the Pirs Docking Compartment of the International Space Station Jan. 27 to deliver almost three tons of food, fuel and supplies for the six crew members living and working on the orbital laboratory. The Russian cargo ship linked up to Pirs two days after its launch from the Baikonur Cosmodrome in Kazakhstan.</t>
  </si>
  <si>
    <t>WqciLBr6t7c</t>
  </si>
  <si>
    <t>2012 01 27</t>
  </si>
  <si>
    <t>https://youtu.be/gR3A0IhsP48</t>
  </si>
  <si>
    <t>Super Solar Storm on This Week @NASA</t>
  </si>
  <si>
    <t>The biggest storm on the sun in years erupted on January 22 with a huge solar flare, an Earth-directed coronal mass ejection, or CME, and a burst of fast moving, highly energetic protons that, according to NOAA's Space Weather Prediction Center, caused the strongest solar radiation storm since September 2005. Also, Global Temperatures remain warm, a famous Star Trek actress visits a NASA center, The Zero Robotics SPHERES Challenge 2011 Finals, a fitness program teaching kids to Train Like An Astronaut and more.</t>
  </si>
  <si>
    <t>gR3A0IhsP48</t>
  </si>
  <si>
    <t>https://youtu.be/tBtZ54cKj3o</t>
  </si>
  <si>
    <t>ScienceCasts  Solar Eclipse in the USA</t>
  </si>
  <si>
    <t>NASA ScienceCasts SMD "Science Mission Directorate" "Science@NASA News" "La Nina" "El Nino" "solar eclipse" annular "ring of fire" "partial eclipse" "eclipse glasses" "solar filters"
Visit http://science.nasa.gov/ for more.
Timetables and maps at http://eclipse.gsfc.nasa.gov/
A "ring of fire" solar eclipse is coming to the USA this spring. It's the first annular eclipse visible from the contiguous United States in almost 18 years.</t>
  </si>
  <si>
    <t>tBtZ54cKj3o</t>
  </si>
  <si>
    <t>2012 01 25</t>
  </si>
  <si>
    <t>https://youtu.be/NuJxe8XoYW0</t>
  </si>
  <si>
    <t>Cargo Ship Launches to Space Station</t>
  </si>
  <si>
    <t>An unmanned Russian cargo ship launched from the Baikonur Cosmodrome on a two-day trip to deliver almost three tons of food, fuel and supplies to the six crew members on the International Space Station. The ISS Progress 46 resupply craft launched in near zero-degree weather from Baikonur at 6:06 p.m. EST on Jan. 25 (5:06 a.m. on Jan. 26 Baikonur time). The spacecraft is scheduled to dock to the station's Pirs Docking Compartment on Jan. 27.</t>
  </si>
  <si>
    <t>NuJxe8XoYW0</t>
  </si>
  <si>
    <t>https://youtu.be/FstovgoN4J4</t>
  </si>
  <si>
    <t>Kuipers Hails Station's Science Research</t>
  </si>
  <si>
    <t>Aboard the International Space Station, Expedition 30 Flight Engineer Andre Kuipers of the European Space Agency discussed the work being conducted on the orbital laboratory and the European Columbus module during an in-flight event with European industry leaders and students gathered in Bremen, Germany, Jan. 25. Kuipers has been aboard the station since December and is in the midst of a five-month mission punctuated by scientific research.</t>
  </si>
  <si>
    <t>FstovgoN4J4</t>
  </si>
  <si>
    <t>2012 01 24</t>
  </si>
  <si>
    <t>https://youtu.be/4oe5z1IBJBU</t>
  </si>
  <si>
    <t>Station Commander Discusses Life in Space with Coast Guard Students</t>
  </si>
  <si>
    <t>Expedition 30 Commander Dan Burbank discussed life and work aboard the International Space Station with cadets at the U.S. Coast Guard Academy in New London, Conn., during an in-flight question and answer session Jan. 24. Burbank, a retired Captain in the U.S. Coast Guard, received a bachelor of science degree in electrical engineering from the U.S. Coast Guard Academy in 1985, and from January 2007 to December 2009, he served as a Professor of Engineering at the Academy, where he taught astronomy, aerodynamics and engineering design.</t>
  </si>
  <si>
    <t>4oe5z1IBJBU</t>
  </si>
  <si>
    <t>2012 01 20</t>
  </si>
  <si>
    <t>https://youtu.be/7F_tgmWpOVs</t>
  </si>
  <si>
    <t>GRAIL Spacecraft Named on This Week @ NASA</t>
  </si>
  <si>
    <t>Students at Emily Dickinson Elementary School in Bozeman, Montana won a nationwide contest to re-name the twin Gravity Recovery And Interior Laboratory spacecraft formerly known as GRAIL-A and GRAIL-B. The winning names -- "Ebb" and "Flow". The spacecraft have been in orbit around the moon since New Year's Day -- collecting data to create a gravity map of the moon. Also, Moving Earth for the new home of Space Shuttle Atlantis, The Invention Challenge, Astronaut Cady Coleman in Cleveland, a new App to keep track of meteors and more.</t>
  </si>
  <si>
    <t>7F_tgmWpOVs</t>
  </si>
  <si>
    <t>https://youtu.be/4RUjz2TYUOk</t>
  </si>
  <si>
    <t>Station Crew Discusses Mission with AP and CNN</t>
  </si>
  <si>
    <t>The crew of The International Space Station spoke with representatives of The Associated Press and CNN during in-flight interviews on Jan. 20. With the recent arrival of Expedition 30 Flight Engineers Don Pettit, Oleg Kononenko and Andre Kuipers, the Station is now fully staffed with a six-member crew. The trio joins Expedition 30 Commander Dan Burbank and Flight Engineers Anton Shkaplerov and Anatoly Ivanishin who have been living and working on the station since Nov. 16. Pettit, Kononenko and Kuipers are scheduled to live and work aboard the orbiting laboratory until May.</t>
  </si>
  <si>
    <t>4RUjz2TYUOk</t>
  </si>
  <si>
    <t>2012 01 19</t>
  </si>
  <si>
    <t>https://youtu.be/bgoMll8MmKI</t>
  </si>
  <si>
    <t xml:space="preserve">ScienceCasts  What Happened to all the Snow </t>
  </si>
  <si>
    <t>Winter seems to have been on hold this year in some parts of the United States. Snowfall has been scarce in places that were overwhelmed with the white stuff at the same time last year. In this ScienceCast, JPL climatologist Bill Patzert explains what's going on.</t>
  </si>
  <si>
    <t>bgoMll8MmKI</t>
  </si>
  <si>
    <t>2012 01 18</t>
  </si>
  <si>
    <t>https://youtu.be/sVgu-LGiw6k</t>
  </si>
  <si>
    <t>ISS Crew News Conference on This Week @ NASA</t>
  </si>
  <si>
    <t>The next three crew members of the International Space Station talked about their upcoming mission in a news conference from the Johnson Space Center. NASA astronaut Joe Acaba and Russian cosmonauts Gennady Padalka and Sergei Revin are scheduled to launch March 29 aboard a Soyuz spacecraft. Also, a White House Visit for a NASA employee, The Super Bowl of Astronomy, Shuttle Engines on the move, the 2012 FIRST Robotics Kickoff, Hollywood Stars in Houston and more.</t>
  </si>
  <si>
    <t>sVgu-LGiw6k</t>
  </si>
  <si>
    <t>https://youtu.be/9yFziJ7J7GY</t>
  </si>
  <si>
    <t>ISS Flight Engineer Talks With Oregon Reporters</t>
  </si>
  <si>
    <t>Aboard the International Space Station, Expedition 30 Flight Engineer Don Pettit, who is a native of Oregon, fielded questions about the progress of his mission and upcoming activities with reporters from KEX Radio and KOIN-TV in Portland, Ore., during a pair of in-flight interviews on Jan. 18.</t>
  </si>
  <si>
    <t>9yFziJ7J7GY</t>
  </si>
  <si>
    <t>https://youtu.be/kduLGUgXQ2I</t>
  </si>
  <si>
    <t>kduLGUgXQ2I</t>
  </si>
  <si>
    <t>2012 01 17</t>
  </si>
  <si>
    <t>https://youtu.be/I29jwRWnN4I</t>
  </si>
  <si>
    <t>GRAIL Names Announced</t>
  </si>
  <si>
    <t>A class of fourth graders from the Emily Dickinson School in Bozeman, Mont. has helped NASA choose new names for its twin lunar orbiting spacecraft GRAIL-A and --B. The new names -- Ebb and Flow were announced during a media event at NASA headquarters in Washington. The GRAIL mission will enable scientists to better understand the moon's gravitational field as well as what goes on below its surface. The data gathered is expected to increase our knowledge about how Earth and its rocky neighbors in the inner solar system developed into the diverse worlds we see today.</t>
  </si>
  <si>
    <t>I29jwRWnN4I</t>
  </si>
  <si>
    <t>2012 01 13</t>
  </si>
  <si>
    <t>https://youtu.be/hE_2sQpr4PA</t>
  </si>
  <si>
    <t>NASA TV's Public Channel Transitioning to HD</t>
  </si>
  <si>
    <t>Beginning Feb. 17, 2012, NASA Television's Public Channel, 
the "NASA TV" most often carried by cable and satellite service 
providers, will transmit in high definition.</t>
  </si>
  <si>
    <t>hE_2sQpr4PA</t>
  </si>
  <si>
    <t>https://youtu.be/Hsw94X6ovIw</t>
  </si>
  <si>
    <t>GRAIL  Rings  in 2012 on This Week @NASA</t>
  </si>
  <si>
    <t>NASA's Gravity Recovery And Interior Laboratory mission's two spacecraft achieve lunar orbit at beginning of new year and begin their study of the moon, from crust to core. Also, FIRST season starts; Booster Day; Commander's Comet; Booms and Whispers; and Curiosity's RAD! Also, Aggies get shuttle sim; Butch &amp; The Titans; and STS-81 anniversary.</t>
  </si>
  <si>
    <t>Hsw94X6ovIw</t>
  </si>
  <si>
    <t>https://youtu.be/OQ-Co3cId3c</t>
  </si>
  <si>
    <t>ScienceCasts  Some Comets Like It Hot</t>
  </si>
  <si>
    <t>Astronomers are still scratching their heads over Comet Lovejoy, which plunged through the atmosphere of the sun in December and, against all odds, survived. The comet is now receding into the outer solar system leaving many mysteries behind.
Visit http://science.nasa.gov/science-news/science-at-nasa/2012/12jan_cometlovejoy/ for more.</t>
  </si>
  <si>
    <t>OQ-Co3cId3c</t>
  </si>
  <si>
    <t>2012 01 12</t>
  </si>
  <si>
    <t>https://youtu.be/xGp98cqlTgw</t>
  </si>
  <si>
    <t>ISS Crewmembers Share Earth Views With Weather Channel</t>
  </si>
  <si>
    <t>Aboard the International Space Station, Expedition 30 Commander Dan Burbank and Flight Engineer Don Pettit of NASA and Flight Engineer Andre Kuipers of the European Space Agency discussed their view of the wonders of Earth and natural phenomena with the Weather Channel during an in-flight interview on Jan. 12.</t>
  </si>
  <si>
    <t>xGp98cqlTgw</t>
  </si>
  <si>
    <t>2012 01 11</t>
  </si>
  <si>
    <t>https://youtu.be/GwixAyVHHU0</t>
  </si>
  <si>
    <t>ISS's Next Crew Meets Media</t>
  </si>
  <si>
    <t>The next three crew members of the International Space Station talk about their upcoming missions aboard the orbiting laboratory in a news conference from the Johnson Space Center on January 11, 2012. NASA astronaut Joe Acaba and Russian cosmonauts Gennady Padalka and Sergei Revin will continue to train ahead of their scheduled March 29 launch aboard a Soyuz spacecraft from the Baikonur Cosmodrome in Kazakhstan.</t>
  </si>
  <si>
    <t>GwixAyVHHU0</t>
  </si>
  <si>
    <t>2012 01 10</t>
  </si>
  <si>
    <t>https://youtu.be/X8kP1aZTNFo</t>
  </si>
  <si>
    <t>Kuipers Briefs Dutch Prime Minister on ISS Mission</t>
  </si>
  <si>
    <t>Aboard the International Space Station, Expedition 30 Flight Engineer Andre Kuipers of the European Space Agency discussed his first weeks on board the orbital laboratory during an in-flight conversation with Netherlands Prime Minister Mark van Rutte and other European dignitaries on January 10, 2012. Kuipers is making his second trip to the International Space Station and will remain in orbit with his crewmates until mid-May.</t>
  </si>
  <si>
    <t>X8kP1aZTNFo</t>
  </si>
  <si>
    <t>2012 01 06</t>
  </si>
  <si>
    <t>https://youtu.be/IhBcdY_o0mU</t>
  </si>
  <si>
    <t>Burbank, Pettit  In  Portland and Post</t>
  </si>
  <si>
    <t>Aboard the International Space Station, NASA astronauts Dan Burbank, who is serving as the Expedition 30 Commander and Flight Engineer Don Pettit discussed life and work aboard the orbital laboratory with reporters from KGW-TV in Portland, OR, not far Pettit's hometown of Silverton, OR, and the Huffington Post during a pair of in-flight interviews on January 6, 2012.</t>
  </si>
  <si>
    <t>IhBcdY_o0mU</t>
  </si>
  <si>
    <t>2012 01 05</t>
  </si>
  <si>
    <t>https://youtu.be/D2yhG5cZuQg</t>
  </si>
  <si>
    <t>ScienceCasts  Re-thinking an Alien World</t>
  </si>
  <si>
    <t>A distant super-Earth named "55 Cancri e" is wetter and weirder than astronomers thought possible. The discovery has researchers re-thinking the nature of alien worlds.</t>
  </si>
  <si>
    <t>D2yhG5cZuQg</t>
  </si>
  <si>
    <t>https://youtu.be/l4VuAeUO6yI</t>
  </si>
  <si>
    <t>The Truth About 2012</t>
  </si>
  <si>
    <t>NASA's David Morrison, expert on Earth impact hazards and currently the Senior Scientist at the NASA Lunar Science Institute, speaks on what are the risks to Earth in 2012. He addresses misconceptions related to the year 2012, Earth crossing objects, planetary alignment, and related myths like Nibiru. For more: http://www.nasa.gov/topics/earth/features/2012.html</t>
  </si>
  <si>
    <t>l4VuAeUO6yI</t>
  </si>
  <si>
    <t>https://youtu.be/4iSACXQS5Vc</t>
  </si>
  <si>
    <t>Kuipers Updates Countrymen on Station Mission</t>
  </si>
  <si>
    <t>Aboard the International Space Station, Expedition 30 Flight Engineer Andre Kuipers of the European Space Agency discusses the early phase of his five-month mission on the orbital laboratory with reporters from his homeland, the Netherlands, along with journalists from Luxembourg during an in-flight interview on January 5, 2012.</t>
  </si>
  <si>
    <t>4iSACXQS5Vc</t>
  </si>
  <si>
    <t>2012 01 04</t>
  </si>
  <si>
    <t>https://youtu.be/5HhvfKRCbQ8</t>
  </si>
  <si>
    <t>ISS Crew Chats with FOX News Radio, Space.com</t>
  </si>
  <si>
    <t>Aboard the International Space Station, Expedition 30 Commander Dan Burbank and Flight Engineers Don Pettit of NASA and Andre Kuipers of the European Space Agency fielded questions about the progress of their mission aboard the orbital laboratory with reporters from Space.com and the Fox News Radio Network during a pair of in-flight interviews on January 4, 2012.</t>
  </si>
  <si>
    <t>5HhvfKRCbQ8</t>
  </si>
  <si>
    <t>2012 01 03</t>
  </si>
  <si>
    <t>https://youtu.be/uxi50vrwKFs</t>
  </si>
  <si>
    <t>NASA's GRAIL Twins to Welcome 2012 at Moon</t>
  </si>
  <si>
    <t>NASA's two Gravity Recovery And Interior Laboratory (GRAIL) spacecraft are closing in on their quarry, the moon. The mission plans New Year's Eve and New Year's Day main engine burns to place the twin spacecraft in lunar orbit. http://www.nasa.gov/grail</t>
  </si>
  <si>
    <t>uxi50vrwKFs</t>
  </si>
  <si>
    <t>2011 12 27</t>
  </si>
  <si>
    <t>https://youtu.be/fRNQIiGHYuI</t>
  </si>
  <si>
    <t>fRNQIiGHYuI</t>
  </si>
  <si>
    <t>https://youtu.be/8bqkABFZnG8</t>
  </si>
  <si>
    <t>New Year's Wishes from ISS</t>
  </si>
  <si>
    <t>From aboard the International Space Station, Commander Dan Burbank and his Expedition 30 crew send their best to all for a happy and healthy 2012.</t>
  </si>
  <si>
    <t>8bqkABFZnG8</t>
  </si>
  <si>
    <t>2011 12 23</t>
  </si>
  <si>
    <t>https://youtu.be/dTBiV3nSFWI</t>
  </si>
  <si>
    <t>Expedition 30 Crew Complete on ISS</t>
  </si>
  <si>
    <t>After launching in their Soyuz TMA-03M spacecraft to the International Space Station, Russian cosmonaut and Expedition 30 Soyuz Commander Oleg Kononenko, NASA Flight Engineer Don Pettit and European Space Agency Flight Engineer Andre Kuipers arrived at the complex on Dec. 23, docking their craft to the Rassvet module on the Russian segment of the complex. A few hours after docking to the station, Kononenko, Pettit and Kuipers were greeted by three other crew members on the outpost, station Commander Dan Burbank of NASA and Russian Flight Engineers Anton Shkaplerov and Anatoly Ivanishin, who have been aboard the orbital laboratory for just over a month.</t>
  </si>
  <si>
    <t>dTBiV3nSFWI</t>
  </si>
  <si>
    <t>https://youtu.be/efToKfN51BQ</t>
  </si>
  <si>
    <t xml:space="preserve">Discovery, Innovation and New Destinations Highlight  This Year @NASA </t>
  </si>
  <si>
    <t>From understanding our Earth, to new clues about possible life elsewhere. From fostering life-changing research in space, to sharing our vision of the future with those destined to journey there. 
From the end of one monumental mission, to the beginning of a new era in the human exploration of our solar system. "This Year @NASA" looks back at the stories that made 2011 -- and help frame our path ahead.</t>
  </si>
  <si>
    <t>efToKfN51BQ</t>
  </si>
  <si>
    <t>https://youtu.be/3L1py3dP8kk</t>
  </si>
  <si>
    <t>New Crew Trio Arrives at ISS</t>
  </si>
  <si>
    <t>After launching in their Soyuz TMA-03M spacecraft to the International Space Station, Expedition 30 Soyuz Commander Oleg Kononenko, NASA Flight Engineer Don Pettit and European Space Agency Flight Engineer Andre Kuipers arrived at the complex on December 23, docking their craft to the Rassvet module on the Russian segment of the complex. A few hours after docking to the station, Kononenko, Pettit and Kuipers were greeted by three other crew members on the outpost, station Commander Dan Burbank of NASA and Russian Flight Engineers Anton Shkaplerov and Anatoly Ivanishin, who have been aboard the orbital laboratory for just over a month.</t>
  </si>
  <si>
    <t>3L1py3dP8kk</t>
  </si>
  <si>
    <t>2011 12 22</t>
  </si>
  <si>
    <t>https://youtu.be/GMA8JrNQX1Y</t>
  </si>
  <si>
    <t>NASA's Orion  From Factory to Flight</t>
  </si>
  <si>
    <t>NASA is making steady progress on building the Orion spacecraft, which will take astronauts deeper into space than ever before. Take a look at the latest achievements and milestones in "Orion: From Factory to Flight" as Orion gets ready for its first orbital test flight in 2014.</t>
  </si>
  <si>
    <t>GMA8JrNQX1Y</t>
  </si>
  <si>
    <t>https://youtu.be/scL5wNVQKGs</t>
  </si>
  <si>
    <t>Commander Dan Downlinks to Detroit</t>
  </si>
  <si>
    <t>Aboard the International Space Station, Expedition 30 Commander Dan Burbank of NASA discussed the progress of his mission aboard the orbital laboratory and the upcoming holiday season in an in-flight interview with WDIV-TV in Detroit on Dec. 22, 2011.</t>
  </si>
  <si>
    <t>scL5wNVQKGs</t>
  </si>
  <si>
    <t>2011 12 21</t>
  </si>
  <si>
    <t>https://youtu.be/tOn3K9u1JbU</t>
  </si>
  <si>
    <t>Expedition 30 Trio Launches to ISS</t>
  </si>
  <si>
    <t>Cosmonaut Oleg Kononenko, NASA Flight Engineer Don Pettit and European Space Agency Flight Engineer Andre Kuipers began five months in space with the successful launch of their Soyuz spacecraft  from the Baikonur Cosmodrome to the International Space Station. The three are joining Expedition 30 station Commander Dan Burbank of NASA and Russian Flight Engineers Anton Shkaplerov and Anatoly Ivanishin,  who've been on the outpost for just over a month.</t>
  </si>
  <si>
    <t>tOn3K9u1JbU</t>
  </si>
  <si>
    <t>2011 12 20</t>
  </si>
  <si>
    <t>https://youtu.be/GMRDlmmgD-w</t>
  </si>
  <si>
    <t>Expedition 30 Crew Meets Officials and Reporters as Launch Approaches</t>
  </si>
  <si>
    <t>Expedition 30 Soyuz Commander Oleg Kononenko, NASA Flight Engineer Don Pettit and European Space Agency Flight Engineer Andre Kuipers appeared before the Russian State Commission on December 20, 2011, in Baikonur, Kazakhstan. The commission gave its final approval for their launch December 21 to the International Space Station. The crew also conducted a final pre-launch news conference at the Cosmonaut Hotel crew quarters as they prepared for liftoff in the Soyuz TMA-03M spacecraft. The trio will spend five months on the Station. Also featured in the video are the backup crew members, Russian Soyuz Commander Yuri Malenchenko, NASA Flight Engineer Suni Williams and Japan Aerospace Exploration Agency Flight Engineer Aki Hoshide.</t>
  </si>
  <si>
    <t>GMRDlmmgD-w</t>
  </si>
  <si>
    <t>https://youtu.be/2UWFXY0hGfM</t>
  </si>
  <si>
    <t>Season's Greetings</t>
  </si>
  <si>
    <t>Season's Greeting from NASA Television</t>
  </si>
  <si>
    <t>2UWFXY0hGfM</t>
  </si>
  <si>
    <t>2011 12 19</t>
  </si>
  <si>
    <t>https://youtu.be/nWd3-oh2Dbo</t>
  </si>
  <si>
    <t>Expedition 30 Soyuz Spacecraft Integration and Rocket Roll Out to the Launch Pad</t>
  </si>
  <si>
    <t>The Soyuz TMA-03M spacecraft and its booster were moved to the launch pad at the Baikonur Cosmodrome in Kazakhstan on a railcar on December 19, 2011, for final preparations prior to launch to the International Space Station on December 21. The TMA-03M will carry Expedition 30 Soyuz Commander Oleg Kononenko, NASA Flight Engineer Don Pettit and European Space Agency Flight Engineer Andre Kuipers to the complex. The trio will spend five months on the outpost, joining station Commander Dan Burbank of NASA and Russian Flight Engineers Anton Shkaplerov and Anatoly Ivanishin, who have been in orbit for just over a month.</t>
  </si>
  <si>
    <t>nWd3-oh2Dbo</t>
  </si>
  <si>
    <t>2011 12 16</t>
  </si>
  <si>
    <t>https://youtu.be/zMtFaqXJFmc</t>
  </si>
  <si>
    <t xml:space="preserve">New Crew Sets Sights on Station on  This Week @NASA </t>
  </si>
  <si>
    <t>At the Baikonour Cosmodrome in Kazakhstan, training continues for the next residents of the International Space Station. Expedition 30 Soyuz Commander Oleg Kononenko, NASA Flight Engineer Don Pettit and European Space Agency Flight Engineer Andre Kuipers, are reviewing flight procedures and making other preparations in advance of their upcoming launch to the orbiting laboratory scheduled for on Dec. 21. Also, next-gen tests; Dawn's new orbit; and, Third Rock rolls out.Plus, Cleveland tech showcase; Explorer moves; "Sully" at the sim; FIRST Lego; "Operation Cookies," and more.</t>
  </si>
  <si>
    <t>zMtFaqXJFmc</t>
  </si>
  <si>
    <t>https://youtu.be/RkD5JprAxNQ</t>
  </si>
  <si>
    <t xml:space="preserve">Inside the ISS -  Mama, I'm Coming Home! </t>
  </si>
  <si>
    <t>In Episode 3 of "Inside the International Space Station," astronaut Mike Massimino talks with station residents Mike Fossum and Dan Burbank about Fossum's planned return to Earth, songwriting in space, and more. (Includes a special "astro cameo.")</t>
  </si>
  <si>
    <t>RkD5JprAxNQ</t>
  </si>
  <si>
    <t>https://youtu.be/cIamEABjVyA</t>
  </si>
  <si>
    <t>Next ISS Crew in Kazakhstan</t>
  </si>
  <si>
    <t>The Expedition 30/31 crew slated to lift off to the International Space Station later this month takes part in activities in Baikonur, Kazakhstan. The Soyuz spacecraft that'll take NASA Flight Engineer Don Pettit, Russian cosmonaut Oleg Kononenko, and astronaut Andre Kuipers of the European Space Agency to the station is scheduled to launch Dec. 21 from the Baikonur Cosmodrome, then dock to the orbiting laboratory two days later.</t>
  </si>
  <si>
    <t>cIamEABjVyA</t>
  </si>
  <si>
    <t>https://youtu.be/e8NLNej6mC8</t>
  </si>
  <si>
    <t>Inside the ISS - Time Lapse</t>
  </si>
  <si>
    <t>In Episode 2 of "Inside the International Space Station," Expedition 29 Commander Mike Fossum speaks from space with astronaut Mike Massimino about Fossum's amazing time lapse photography.</t>
  </si>
  <si>
    <t>e8NLNej6mC8</t>
  </si>
  <si>
    <t>2011 12 13</t>
  </si>
  <si>
    <t>https://youtu.be/DOX3GNi_oz0</t>
  </si>
  <si>
    <t>ScienceCasts  Tracking Meteoroids</t>
  </si>
  <si>
    <t>A new iPhone app just released by NASA harnesses the power of citizen scientists to track space debris around Earth.
Visit http://science.nasa.gov/ for more.</t>
  </si>
  <si>
    <t>DOX3GNi_oz0</t>
  </si>
  <si>
    <t>https://youtu.be/p7fZMYtfA8A</t>
  </si>
  <si>
    <t>ISS Commander Sends Holiday Greetings</t>
  </si>
  <si>
    <t>Aboard the International Space Station, Expedition 30 Commander Dan Burbank of NASA provides season's greetings to the world and his thoughts about being in orbit aboard the space-based laboratory with his crewmates during the holidays in a downlink message Dec. 13.</t>
  </si>
  <si>
    <t>p7fZMYtfA8A</t>
  </si>
  <si>
    <t>https://youtu.be/LEQX7IJt2x4</t>
  </si>
  <si>
    <t>Houston Media Hear from Station Commander</t>
  </si>
  <si>
    <t>Aboard the International Space Station, Expedition 30 Commander Dan Burbank of NASA discusses the progress of his mission aboard the orbital laboratory and the upcoming holiday season in an in-flight interview with KPRC-TV in Houston, TX on Dec. 13.</t>
  </si>
  <si>
    <t>LEQX7IJt2x4</t>
  </si>
  <si>
    <t>2011 12 09</t>
  </si>
  <si>
    <t>https://youtu.be/Uyc8agPJ7pQ</t>
  </si>
  <si>
    <t>NASA Future Forum  How Commercial Space Benefits U.S.</t>
  </si>
  <si>
    <t>A NASA Future Forum panel moderated by Doug King of The Museum of Flight in Seattle examines how commercial investments in space exploration and research will help build the American economy. (Part 3 of 4) Since 2008, the agency's ongoing series of Future Forums have examined how NASA's missions are a catalyst for the creation of new products and services; new businesses and industries; and high-quality, sustainable jobs while also serving as an inspiration for young people to pursue science, technology, engineering, and mathematics (STEM) education and career paths.</t>
  </si>
  <si>
    <t>Uyc8agPJ7pQ</t>
  </si>
  <si>
    <t>https://youtu.be/srNy2NKoPqk</t>
  </si>
  <si>
    <t>SpaceX Launch Set on This Week @NASA</t>
  </si>
  <si>
    <t>Space Exploration Technologies, or SpaceX, will launch its Dragon spacecraft on its second Commercial Orbital Transportation Services demonstration flight on Feb. 7, 2012. Pending completion of final safety reviews, testing and verification, SpaceX might also send Dragon to rendezvous with the International Space Station. Also, Future Forum; Kepler Confirmation; Two-Wave Tsunami; Cosmic Purgatory; and more.</t>
  </si>
  <si>
    <t>srNy2NKoPqk</t>
  </si>
  <si>
    <t>https://youtu.be/X3v-LG3lMsY</t>
  </si>
  <si>
    <t>NASA Future Forum Examines Nation's Goals in Space</t>
  </si>
  <si>
    <t>Closing remarks wrap up the Dec. 9 NASA Future Forum held at The Museum of Flight in Seattle. (Part 4 of 4) Since 2008, the agency's ongoing series of Future Forums have provided NASA leadership, technologists, scientists, and engineers an opportunity to join with local business, science, technology, and education leaders to discuss the future role of NASA in further advancing innovation, technology, science, engineering, education and the economy that benefits their community and the nation.</t>
  </si>
  <si>
    <t>X3v-LG3lMsY</t>
  </si>
  <si>
    <t>https://youtu.be/nv9wfi0Na4w</t>
  </si>
  <si>
    <t>NASA Future Forum Panel  Technology and Innovation</t>
  </si>
  <si>
    <t>How important these factors are to the future of the nation's economy is stressed by experts in a discussion moderated by NASA Deputy Chief Technologist, Joe Parrish. (Part 2 of 4) Since 2008, the agency's ongoing series of Future Forums have examined how NASA's missions are a catalyst for the creation of new products and services; new businesses and industries; and high-quality, sustainable jobs while also serving as an inspiration for young people to pursue science, technology, engineering, and mathematics (STEM) education and career paths.</t>
  </si>
  <si>
    <t>nv9wfi0Na4w</t>
  </si>
  <si>
    <t>https://youtu.be/8JL8kXpO2a0</t>
  </si>
  <si>
    <t xml:space="preserve">ScienceCasts  Smallest Terrestrial Planet </t>
  </si>
  <si>
    <t>NASA's Dawn probe, now orbiting Vesta in the asteroid belt, has found some surprising things on the giant asteroid--things that have prompted one researcher to declare Vesta "the smallest terrestrial planet."</t>
  </si>
  <si>
    <t>8JL8kXpO2a0</t>
  </si>
  <si>
    <t>https://youtu.be/anbNrKAZ3ZY</t>
  </si>
  <si>
    <t>NASA Future Forum Hosted by Seattle's Museum of Flight</t>
  </si>
  <si>
    <t>The Dec. 9 event opens with an address by NASA Deputy Administrator, Lori Garver. (Part 1 of 4) Since 2008, the agency's ongoing series of Future Forums have provided NASA leadership, technologists, scientists, and engineers an opportunity to join with local business, science, technology, and education leaders to discuss the future role of NASA in further advancing innovation, technology, science, engineering, education and the economy that benefits their community and the nation.</t>
  </si>
  <si>
    <t>anbNrKAZ3ZY</t>
  </si>
  <si>
    <t>2011 12 08</t>
  </si>
  <si>
    <t>https://youtu.be/RrqVQ_oxtb4</t>
  </si>
  <si>
    <t>Expedition 30 Crew Departs for Kazakh Launch Site</t>
  </si>
  <si>
    <t>Expedition 30 Soyuz Commander Oleg Kononenko, NASA Flight Engineer Don Pettit and European Space Agency Flight Engineer Andre Kuipers participated in traditional ceremonies at the Gagarin Cosmonaut Training Center in Star City, Russia, outside Moscow on December 8, 2011.  Afterward, they departed for the Baikonur Cosmodrome in Kazakhstan to complete training for their launch to the International Space Station in the Soyuz TMA-03M spacecraft on December 21. After arriving in Baikonur, they will conduct a series of prelaunch activities as they prepare for liftoff to the orbital outpost.</t>
  </si>
  <si>
    <t>RrqVQ_oxtb4</t>
  </si>
  <si>
    <t>2011 12 05</t>
  </si>
  <si>
    <t>https://youtu.be/MujkxjrMA2Y</t>
  </si>
  <si>
    <t>ScienceCasts  A Super-Sized Lunar Eclipse</t>
  </si>
  <si>
    <t>On Dec 10th, sky watchers in the western United States will witness a total lunar eclipse swollen to super-sized proportions by the Moon illusion.</t>
  </si>
  <si>
    <t>MujkxjrMA2Y</t>
  </si>
  <si>
    <t>2011 12 02</t>
  </si>
  <si>
    <t>https://youtu.be/vWTUGgNKG9Q</t>
  </si>
  <si>
    <t>Orion Continues to Make a Splash</t>
  </si>
  <si>
    <t>Testing continues at NASA Langley Research Center as the 18,000-pound Orion test article took its seventh splash into the Hydro Impact Basin on Dec. 1. Orion, the next deep space exploration vehicle, will carry astronauts into space, provide emergency abort capability, sustain the crew during space travel, and ensuring safe re-entry and landing.</t>
  </si>
  <si>
    <t>vWTUGgNKG9Q</t>
  </si>
  <si>
    <t>https://youtu.be/_FAPXKtj2ds</t>
  </si>
  <si>
    <t>Pre-Launch Activities for Next ISS Crew on This Week@NASA</t>
  </si>
  <si>
    <t>Expedition 30 Soyuz Commander Oleg Kononenko, NASA Flight Engineer Don Pettit and European Space Agency Flight Engineer Andre Kuipers participate in traditional ceremonies at Red Square, in Moscow in advance of their scheduled launch to the International Space Station in late December.  Also, Next Generation Spacecraft tested, A Congressional Town Hall, will.i.am watches Curiosity's launch and more.</t>
  </si>
  <si>
    <t>_FAPXKtj2ds</t>
  </si>
  <si>
    <t>https://youtu.be/tV-cyS7iIe8</t>
  </si>
  <si>
    <t>Inside the ISS</t>
  </si>
  <si>
    <t>Pilot episode 1.  Astronaut Mike Massimino speaks with Ron Garan and Mike Fossum aboard the International Space Station, confirming that even though the space shuttle has retired, NASA and the U.S. space program are alive and well.</t>
  </si>
  <si>
    <t>tV-cyS7iIe8</t>
  </si>
  <si>
    <t>https://youtu.be/I1C33rgC7X0</t>
  </si>
  <si>
    <t>Norah Jones and NASA astronaut Piers Sellers on NASA Spinoff Technology</t>
  </si>
  <si>
    <t>Much of the technology we rely on daily was developed by NASA for space exploration and then adapted or enhanced for use here on Earth. This includes many technologies used in schools, homes, cars, computers and industry. The Singer Norah Jones and astronaut Piers Sellers talk about NASA technology that increases production and use of clean energy, fuel efficiency, reduction of carbon footprints, and the study and understanding of climate change.</t>
  </si>
  <si>
    <t>I1C33rgC7X0</t>
  </si>
  <si>
    <t>https://youtu.be/cj5LTHPi5w0</t>
  </si>
  <si>
    <t>Expedition 30 Crew Meets the Media and Pays Homage at Red Square</t>
  </si>
  <si>
    <t>Expedition 30 Soyuz Commander Oleg Kononenko, NASA Flight Engineer Don Pettit and European Space Agency Flight Engineer Andre Kuipers participated in traditional ceremonies at Red Square in Moscow on December 1, 2011, laying flowers at the Kremlin Wall as they paid tribute to iconic Russian officials buried there.  The ceremony is part of traditional activities conducted in advance of their launch to the International Space Station on December 21. Prior to that, they fielded questions from the media at their training base at the Gagarin Cosmonaut Training Center in Star City, Russia, outside Moscow.</t>
  </si>
  <si>
    <t>cj5LTHPi5w0</t>
  </si>
  <si>
    <t>2011 11 30</t>
  </si>
  <si>
    <t>https://youtu.be/kX_w4mUlvjQ</t>
  </si>
  <si>
    <t>Space Shuttle  The Final Flight</t>
  </si>
  <si>
    <t>Commander Chris Ferguson, Pilot Doug Hurley, and Mission Specialists Rex Walheim and Sandy Magnus share their experiences during STS-135, the final mission of Atlantis and the Space Shuttle Program.  The STS-135 crew also offers historical account of the Space Shuttle Program's legacy, with a special appearance by astrophysicist Dr. Neil deGrasse Tyson.</t>
  </si>
  <si>
    <t>kX_w4mUlvjQ</t>
  </si>
  <si>
    <t>2011 11 29</t>
  </si>
  <si>
    <t>https://youtu.be/ytQ0bYcIX-c</t>
  </si>
  <si>
    <t>Station Commander Discusses Life and Work in Orbit with Florida Media</t>
  </si>
  <si>
    <t>Aboard the International Space Station, Expedition 30 Commander Dan Burbank discussed the first weeks of his four-month mission on the complex with a reporter from cable news outlet Bay News 9 in St. Petersburg, Fla., during an in-flight interview on Nov. 29.</t>
  </si>
  <si>
    <t>ytQ0bYcIX-c</t>
  </si>
  <si>
    <t>2011 11 26</t>
  </si>
  <si>
    <t>https://youtu.be/psWbhnqz1l0</t>
  </si>
  <si>
    <t>MSL's Mars Trajectory Confirmed During Post-Launch Briefing</t>
  </si>
  <si>
    <t>Held two hours after the launch of NASA's Curiosity rover, scientists and engineers confirm that the Mars Science Laboratory is on its way to the Red Planet. MSL is expected to reach Mars next August.</t>
  </si>
  <si>
    <t>psWbhnqz1l0</t>
  </si>
  <si>
    <t>https://youtu.be/WzA1Uciv7VQ</t>
  </si>
  <si>
    <t>Mars Rover Launches on This Week @NASA</t>
  </si>
  <si>
    <t>The NASA Mars Science Laboratory launched from the Cape Canaveral Air Force Station in Florida, beginning its journey to the Red Planet. When it arrives at Gale Crater next August, Curiosity rover's ten instruments will investigate whether that area of Mars could ever have sustained microbial life. Also, ISS spinoff; Bolden on tour: lander test; best of the feds; money saver; high-flying feast, and more.</t>
  </si>
  <si>
    <t>WzA1Uciv7VQ</t>
  </si>
  <si>
    <t>https://youtu.be/jEXoMpmfJcM</t>
  </si>
  <si>
    <t>Mars Science Laboratory Lifts Off for Red Planet</t>
  </si>
  <si>
    <t>NASA's Curiosity rover has begun the journey to Mars after its Atlas V rocket launched successfully from the Cape Canaveral Air Force Station on Nov. 26. Ten instruments aboard MSL will provide new data about whether the area within and around Mars' Gale Crater could ever have supported microbial life. The Mars Science Laboratory is expected to reach Mars next August.</t>
  </si>
  <si>
    <t>jEXoMpmfJcM</t>
  </si>
  <si>
    <t>https://youtu.be/9kcv4DQhft0</t>
  </si>
  <si>
    <t>All A-Twitter About Curiosity</t>
  </si>
  <si>
    <t>Users of the social medium, Twitter, hold a "Tweet-Up" at the Kennedy Space Center to hear and share details from scientists and engineers about the Mars Science Laboratory mission scheduled to liftoff Nov. 26.</t>
  </si>
  <si>
    <t>9kcv4DQhft0</t>
  </si>
  <si>
    <t>2011 11 25</t>
  </si>
  <si>
    <t>https://youtu.be/2lLTP4yxcTA</t>
  </si>
  <si>
    <t>Why Mars Excites and Inspires Us</t>
  </si>
  <si>
    <t>A NASA science briefing at the Kennedy Space Center tries to answer these questions and more, including how the Curiosity rover will help fuel our interest in the Red Planet.</t>
  </si>
  <si>
    <t>2lLTP4yxcTA</t>
  </si>
  <si>
    <t>https://youtu.be/TIs8GPgq_0I</t>
  </si>
  <si>
    <t>Mars Rover Ready on This Week @NASA</t>
  </si>
  <si>
    <t>The NASA Mars Science Laboratory is on the launch pad at the Cape Canaveral Air Force Station in Florida, ready to begin its journey to the Red Planet. When it arrives at Gale Crater next August, Curiosity rover's ten instruments will investigate whether that area of Mars could ever have sustained microbial life. Also, ISS spinoff; Bolden on tour: lander test; best of the feds; money saver; high-flying feast, and more.</t>
  </si>
  <si>
    <t>TIs8GPgq_0I</t>
  </si>
  <si>
    <t>2011 11 23</t>
  </si>
  <si>
    <t>https://youtu.be/wOfuKrJYpqU</t>
  </si>
  <si>
    <t>Curiosity to Search for Signs of Life</t>
  </si>
  <si>
    <t>The Mars Science Laboratory's Mission Science Briefing is held at the Kennedy Space Center to update media on the goals of NASA's next rover bound for the Red Planet. Ten instruments aboard MSL will provide new data about whether the area within and around Mars' Gale Crater could ever have supported microbial life.</t>
  </si>
  <si>
    <t>wOfuKrJYpqU</t>
  </si>
  <si>
    <t>https://youtu.be/J2mDVCSVnYo</t>
  </si>
  <si>
    <t>Rocket and Rover Ready for Flight</t>
  </si>
  <si>
    <t>NASA's next Mars rover, Curiosity, is poised atop the United Launch Alliance Atlas V rocket that will launch it on its way toward the Red Planet. The rover, officially known as the Mars Science Laboratory,  and Atlas V were prepared for launch at NASA's Kennedy Space Center in Florida over the past six months. The launch vehicle and spacecraft stand ready for liftoff from Cape Canaveral Air Force Station's Space Launch Complex 41.</t>
  </si>
  <si>
    <t>J2mDVCSVnYo</t>
  </si>
  <si>
    <t>https://youtu.be/Ee3hBkCs4O0</t>
  </si>
  <si>
    <t>Day of Thanks Celebrated in Space</t>
  </si>
  <si>
    <t>What the Expedition 30 crew will be eating 220 miles above the Earth to help celebrate this year's Thanksgiving aboard the International Space Station.</t>
  </si>
  <si>
    <t>Ee3hBkCs4O0</t>
  </si>
  <si>
    <t>https://youtu.be/7ZktPYY6_84</t>
  </si>
  <si>
    <t>ScienceCasts  Terrifying Auroras</t>
  </si>
  <si>
    <t>A distant world is being hit by solar storms so ferocious, the entire planet is probably enveloped in auroras. Researchers speculate that the display is probably as beautiful as it is terrifying.</t>
  </si>
  <si>
    <t>7ZktPYY6_84</t>
  </si>
  <si>
    <t>https://youtu.be/0-Knwsw2fSI</t>
  </si>
  <si>
    <t>ScienceCasts  The Great Lakes of Europa</t>
  </si>
  <si>
    <t>Scientists studying data from NASA's Galileo probe have discovered what appears to be a body of liquid water the volume of the North American Great Lakes locked inside the icy shell of Jupiter's moon Europa. This improves the odds that Europa is a habitat for extraterrestrial life.</t>
  </si>
  <si>
    <t>0-Knwsw2fSI</t>
  </si>
  <si>
    <t>https://youtu.be/iRhoYm7Fqrg</t>
  </si>
  <si>
    <t>Thanksgiving in Space for New ISS Commander</t>
  </si>
  <si>
    <t>Aboard the International Space Station, the new Commander of the complex, NASA's Dan Burbank, discuss the start of his four months on the orbital laboratory, and how he and his crewmates are spending Thanksgiving in an in-flight interview November 23, 2011 with reporters from CBS News.</t>
  </si>
  <si>
    <t>iRhoYm7Fqrg</t>
  </si>
  <si>
    <t>https://youtu.be/otlbX8ky4yw</t>
  </si>
  <si>
    <t>Curiosity Ready to Rove Mars</t>
  </si>
  <si>
    <t>The Mars Science Laboratory Curiosity rover is poised to liftoff on an Atlas V rocket bound for the red planet on an exploration mission unprecedented in goals and machinery. The wheeled robot is carrying a suite of 10 instruments and even a laser to research the Martian past.</t>
  </si>
  <si>
    <t>otlbX8ky4yw</t>
  </si>
  <si>
    <t>2011 11 22</t>
  </si>
  <si>
    <t>https://youtu.be/eHBFR1biJX8</t>
  </si>
  <si>
    <t>Return to Fragile Oasis</t>
  </si>
  <si>
    <t>The Expedition 28 crew photographed this series of time lapse sequences aboard the International Space Station.  As the Earth and sky pass through the frame, the sequences capture a number of phenomena, including meteorites, lightning storms, and auroras.  Set to the song "Down to Earth," by Peter Gabriel, the video represents the view astronauts have as they return to Earth after departing the ISS.</t>
  </si>
  <si>
    <t>eHBFR1biJX8</t>
  </si>
  <si>
    <t>https://youtu.be/uYAjudD51EY</t>
  </si>
  <si>
    <t>Scientists Seek Signs of Life in the Universe</t>
  </si>
  <si>
    <t>NASA scientists discuss how and what they're looking for to determine whether extraterrestrial life exists. The Mars Science Laboratory is scheduled to arrive at the Red Planet next August.</t>
  </si>
  <si>
    <t>uYAjudD51EY</t>
  </si>
  <si>
    <t>https://youtu.be/_QIESV73OJA</t>
  </si>
  <si>
    <t>Safe Landing for Soyuz on This Week @NASA</t>
  </si>
  <si>
    <t>Expedition 29 Commander Mike Fossum of NASA, Russian Soyuz Commander Sergei Volkov and Japan Aerospace Exploration Agency Flight Engineer Satoshi Furukawa landed safely on the steppe of Kazakhstan only hours after bidding farewell to the Expedition 30 crew and undocking their Soyuz spacecraft from the International Space Station. Also, Glenn and Apollo 11 crew get Gold Medal; new astros online application; Europan ocean; recycling and shredding; and more.</t>
  </si>
  <si>
    <t>_QIESV73OJA</t>
  </si>
  <si>
    <t>https://youtu.be/W_3FHecSOHE</t>
  </si>
  <si>
    <t>Returning Station Residents Talk of Journey Home</t>
  </si>
  <si>
    <t>Post-landing interviews with Expedition 29 Commander Mike Fossum of NASA and Flight Engineer Satoshi Furukawa of Japan, and the return of Cosmonaut Sergei Volkov to Chkalovsky Airfield near Star City, Russia are among the post-landing highlights.</t>
  </si>
  <si>
    <t>W_3FHecSOHE</t>
  </si>
  <si>
    <t>https://youtu.be/fORo5XeK4DU</t>
  </si>
  <si>
    <t>Soyuz Landing Highlights from Kazakhstan</t>
  </si>
  <si>
    <t>The landing and post-landing activities in Kazakhstan of the Soyuz spacecraft and its crew of Mike Fossum, Satoshi Furukawa and Sergei Volkov are highlighted.</t>
  </si>
  <si>
    <t>fORo5XeK4DU</t>
  </si>
  <si>
    <t>https://youtu.be/UKwa1jbMS40</t>
  </si>
  <si>
    <t>Soyuz Undocks From ISS</t>
  </si>
  <si>
    <t>The spacecraft carrying Expedition 29 members Mike Fossum, Satoshi Furukawa and Sergei Volkov undocks from the International Space Station as it begins its return to Earth.</t>
  </si>
  <si>
    <t>UKwa1jbMS40</t>
  </si>
  <si>
    <t>2011 11 21</t>
  </si>
  <si>
    <t>https://youtu.be/syunkxkacLA</t>
  </si>
  <si>
    <t>Adieus Bid as Space Station Hatch Closes</t>
  </si>
  <si>
    <t>Mike Fossum, Satoshi Furukawa and Sergei Volkov share farewells with the three members of the Expedition 30 crew remaining on the ISS as they prepare to return to Earth aboard take their Soyuz spacecraft.</t>
  </si>
  <si>
    <t>syunkxkacLA</t>
  </si>
  <si>
    <t>https://youtu.be/zwNbMv_Pujc</t>
  </si>
  <si>
    <t>NASA Spinoffs Benefit All of Us (Including Santa!)</t>
  </si>
  <si>
    <t>Elf 6409EF from Sony Pictures new film, "Arthur Christmas," cites how spinoffs of NASA-developed space technologies are making our lives better here on Earth.</t>
  </si>
  <si>
    <t>zwNbMv_Pujc</t>
  </si>
  <si>
    <t>https://youtu.be/bXkUenG3izQ</t>
  </si>
  <si>
    <t xml:space="preserve">Mars  What Do We Know </t>
  </si>
  <si>
    <t>As the launch of NASA's Mars Science Laboratory draws nearer, scientists provide a general overview of what's known about the Red Planet, and what we hope to learn with the Curiosity rover. MSL is now scheduled to liftoff from the Cape Canaveral Air Force Station on Nov. 26.</t>
  </si>
  <si>
    <t>bXkUenG3izQ</t>
  </si>
  <si>
    <t>https://youtu.be/8DuBCAF6vE4</t>
  </si>
  <si>
    <t>Burbank Assumes Command of ISS</t>
  </si>
  <si>
    <t>The reins of the International Space Station were passed from Expedition 29 Commander Mike Fossum of NASA to his NASA colleague, newly arrived Expedition 30 Commander Dan Burbank in a ceremony on the complex on November 20, 2011. Burbank and Russian Flight Engineers Anton Shkaplerov and Anatoly Ivanishin arrived on the station on November 16 for an expedited handover with Fossum, Russian Flight Engineer Sergei Volkov and Japan Aerospace Exploration Agency Flight Engineer Satoshi Furukawa, who will return to Earth in their Soyuz TMA-02M spacecraft on November 22 for a parachute-assisted landing on the steppe of Kazakhstan.</t>
  </si>
  <si>
    <t>8DuBCAF6vE4</t>
  </si>
  <si>
    <t>2011 11 18</t>
  </si>
  <si>
    <t>https://youtu.be/6qSktYoxsxo</t>
  </si>
  <si>
    <t>New ISS Crew Settles In on This Week @NASA</t>
  </si>
  <si>
    <t>NASA astronaut Dan Burbank and Russian cosmonauts Anton Shkaplerov and Anatoly Ivanishin are acquainting themselves with their accommodations aboard the International Space Station. Also, Glenn and Apollo 11 crew get Gold Medal; new astros online application; Europan ocean; recycling and shredding; and more.</t>
  </si>
  <si>
    <t>6qSktYoxsxo</t>
  </si>
  <si>
    <t>https://youtu.be/f-yyMM5c6J0</t>
  </si>
  <si>
    <t>NASA's Mobile Launcher Moved to Launch Pad</t>
  </si>
  <si>
    <t>The mobile launcher that'll support NASA's Space Launch System (SLS) has moved from the Vehicle Assembly Building to Launch Pad 39B at the Kennedy Space Center in Florida. The 355-foot-tall ML, which took about two years to construct, is 
being modified to support the heavy-lift rocket that will launch astronauts farther into space than ever before. SLS also will create high-quality jobs here at home, and provide the cornerstone for America's future human space exploration efforts.</t>
  </si>
  <si>
    <t>f-yyMM5c6J0</t>
  </si>
  <si>
    <t>2011 11 17</t>
  </si>
  <si>
    <t>https://youtu.be/1PNzPh1jJhE</t>
  </si>
  <si>
    <t>Space Station Astronauts Talk to Houston Media</t>
  </si>
  <si>
    <t>Aboard the International Space Station, Expedition 29 Commander Mike Fossum and Flight Engineer Dan Burbank talk to KHOU-TV in Houston about life and work aboard the space station during an in-flight interview.</t>
  </si>
  <si>
    <t>1PNzPh1jJhE</t>
  </si>
  <si>
    <t>2011 11 16</t>
  </si>
  <si>
    <t>https://youtu.be/ldzRCO55cUw</t>
  </si>
  <si>
    <t>Jupiter Moon's Subsurface Ocean of Water</t>
  </si>
  <si>
    <t>Data from a previous NASA planetary mission, Galileo, have provided scientists evidence of what appears to be a body of liquid water just beneath the icy surface of Jupiter's moon, Europa. The data suggest that, not only is the volume of this Europan subsurface ocean similar to that of the North American Great Lakes, but also that there is significant exchange between the moon's icy shell and the ocean beneath.</t>
  </si>
  <si>
    <t>ldzRCO55cUw</t>
  </si>
  <si>
    <t>https://youtu.be/YKnyE1Fa1Mw</t>
  </si>
  <si>
    <t>NASA Legends Awarded Congressional Gold Medal</t>
  </si>
  <si>
    <t>The Gold Medal, Congress's highest expression of national appreciation for distinguished achievements and contributions, was presented to four storied NASA astronauts: John Glenn, Neil Armstrong, Michael Collins, and Buzz Aldrin on Nov. 16, 2011. The award ceremony in the Capitol Rotunda was hosted by House and Senate leaders of both parties. (Includes excerpts of speeches by Neil Armstrong, John Glenn and NASA Administrator Charles Bolden, plus video of Glenn's Friendship 7 and the Apollo 11 missions.) Glenn was the first American to orbit the Earth, achieving the feat onboard Friendship 7 on February 20, 1962.  On July 20, 1969, Armstrong and Aldrin became the first humans to set foot on the Moon, while Collins piloted Apollo 11's command module.</t>
  </si>
  <si>
    <t>YKnyE1Fa1Mw</t>
  </si>
  <si>
    <t>https://youtu.be/9DP0O8uBm68</t>
  </si>
  <si>
    <t>NASA Heroes Awarded Congressional Gold Medal</t>
  </si>
  <si>
    <t>The Gold Medal, Congress's highest expression of national appreciation for distinguished achievements and contributions, is presented to four storied NASA astronauts: John Glenn, Neil Armstrong, Michael Collins, and Buzz Aldrin. The Capitol Hill award ceremony was hosted by House and Senate leaders of both parties.</t>
  </si>
  <si>
    <t>9DP0O8uBm68</t>
  </si>
  <si>
    <t>https://youtu.be/iDwd701cXxk</t>
  </si>
  <si>
    <t>Station Welcomes Three New Residents</t>
  </si>
  <si>
    <t>Following the hatch opening of their Soyuz spacecraft, NASA astronaut Dan Burbank and cosmonauts Anton Shkaplerov and Anatoly Ivanishin are greeted by Expedition 29 Commander Mike Fossum, JAXA's Satoshi Furukawa, and cosmonaut Sergei Volkov aboard the International Space Station.</t>
  </si>
  <si>
    <t>iDwd701cXxk</t>
  </si>
  <si>
    <t>https://youtu.be/T4axdEwLguE</t>
  </si>
  <si>
    <t>Media Updated at Post-docking News Conference</t>
  </si>
  <si>
    <t>Russia's Mission Control in Korolev hosts a news briefing following the successful docking of the Soyuz spacecraft carrying three new residents to the International Space Station.</t>
  </si>
  <si>
    <t>T4axdEwLguE</t>
  </si>
  <si>
    <t>https://youtu.be/9y8-ajXQ0nc</t>
  </si>
  <si>
    <t>The Soyuz spacecraft carrying NASA astronaut Dan Burbank and cosmonauts and fellow Expedition 29/30 members Anton Shkaplerov and Anatoly Ivanishin hooks up with the International Space Station two days after their liftoff from the Baikonur Cosmodrome in Kazakhstan.</t>
  </si>
  <si>
    <t>9y8-ajXQ0nc</t>
  </si>
  <si>
    <t>2011 11 15</t>
  </si>
  <si>
    <t>https://youtu.be/dy7ounc7GB8</t>
  </si>
  <si>
    <t>New Application Process Unveiled for Astronaut Class</t>
  </si>
  <si>
    <t>NASA unveils its new, online method of taking applications for its Astronaut Class of 2013. The Website is at the Office of Personnel Management's USAJobs.gov. To learn more: www.astronauts.nasa.gov</t>
  </si>
  <si>
    <t>dy7ounc7GB8</t>
  </si>
  <si>
    <t>https://youtu.be/6KlNJ2scxcw</t>
  </si>
  <si>
    <t xml:space="preserve">What's Up @NASA </t>
  </si>
  <si>
    <t>NASA enters the next era of spaceflight that includes developing plans to build a new rocket to send astronauts beyond low Earth orbit.
The Space Launch System, or  SLS, will power the Orion spacecraft to whatever destination NASA chooses, whether it be a near-Earth asteroid, the moon, or Mars.</t>
  </si>
  <si>
    <t>6KlNJ2scxcw</t>
  </si>
  <si>
    <t>https://youtu.be/dyT0iKqYg0g</t>
  </si>
  <si>
    <t>NASA Recruits New Astronauts Via Web</t>
  </si>
  <si>
    <t>NASA unveils its new, online application process for those wishing to become NASA astronauts. In this video that appears on the application site, Administrator and former astronaut Charles Bolden urges candidates to join NASA's astronauts Class of 2013 and be part of our nation's future space exploration effort. To learn more: www.astronauts.nasa.gov</t>
  </si>
  <si>
    <t>dyT0iKqYg0g</t>
  </si>
  <si>
    <t>2011 11 14</t>
  </si>
  <si>
    <t>https://youtu.be/REY8JbGtLMg</t>
  </si>
  <si>
    <t>Station's Next Hook-Up on This Week @NASA</t>
  </si>
  <si>
    <t>Astronaut Dan Burbank and cosmonauts Anatoly Ivinishin and Anton Shkaplerov are scheduled to hook up with fellow Expedition 29 crew members Mike Fossum, Sergei Volkov and Satoshi Furukawa aboard the International Space Station on Nov. 16 following their Soyuz spacecraft's launch on Nov. 13, Eastern. Also, students and the Commander; MSL ready; new tests for Orion spacecraft, J2-X engine; asteroid flyby; and more.</t>
  </si>
  <si>
    <t>REY8JbGtLMg</t>
  </si>
  <si>
    <t>https://youtu.be/-LwNaMMMFws</t>
  </si>
  <si>
    <t>Expedition 29 Launches to the Space Station</t>
  </si>
  <si>
    <t>Expedition 29 Soyuz Commander Anton Shkaplerov, NASA Flight Engineer Dan Burbank and Russian Flight Engineer Anatoly Ivanishin launched on the Russian Soyuz TMA-22 spacecraft on November 14, 2011, (November 13 in the United States) from the Baikonur Cosmodrome in Kazakhstan to begin a two-day journey to the International Space Station. The trio will dock to the station on November 15, U.S. time, to start a five and a half month tour on the complex, joining station Commander Mike Fossum of NASA, Russian Flight Engineer Sergei Volkov and Japan Aerospace Exploration Agency Flight Engineer Satoshi Furukawa, who have been on the outpost since June.</t>
  </si>
  <si>
    <t>-LwNaMMMFws</t>
  </si>
  <si>
    <t>2011 11 12</t>
  </si>
  <si>
    <t>https://youtu.be/u0Q86S7hYO0</t>
  </si>
  <si>
    <t>Expedition 29 Crew Gets Final Approval for Launch</t>
  </si>
  <si>
    <t>Expedition 29 Soyuz Commander Anton Shkaplerov, NASA Flight Engineer Dan Burbank and Russian Flight Engineer Anatoly Ivanishin appeared before the Russian State Commission on November 12, 2011, in Baikonur, Kazakhstan. The commission gave its final approval for their launch. The crew also conducted a final pre-launch news conference at the Cosmonaut Hotel crew quarters and prepared for liftoff on November 14, Baikonur time, in the Soyuz TMA-22 spacecraft. The trio will begin a five and a half month mission on the International Space Station. Also featured in the video are the backup crew members, Russian Soyuz Commander Gennady Padalka, NASA Flight Engineer Joe Acaba and Russian Flight Engineer Sergei Revin.</t>
  </si>
  <si>
    <t>u0Q86S7hYO0</t>
  </si>
  <si>
    <t>2011 11 11</t>
  </si>
  <si>
    <t>https://youtu.be/bbTKRPnYaZc</t>
  </si>
  <si>
    <t>Soyuz Rocket Moves To Launch Pad</t>
  </si>
  <si>
    <t>The Soyuz TMA-22 spacecraft and its booster were moved to the launch pad at the Baikonur Cosmodrome in Kazakhstan on a railcar on November 11, 2011, for final preparations prior to launch to the International Space Station on November 14, Baikonur time. The TMA-22 will carry Soyuz Commander Anton Shkaplerov, Expedition 30 Commander Dan Burbank of NASA and Russian Flight Engineer Anatoly Ivanishin to the complex. The trio will spend almost five months on the station. The video includes interviews with Mike Barratt, NASA's Deputy Chief Astronaut and William Gerstenmaier, NASA's Associate Administrator for Human Exploration Operations.</t>
  </si>
  <si>
    <t>bbTKRPnYaZc</t>
  </si>
  <si>
    <t>2011 11 10</t>
  </si>
  <si>
    <t>https://youtu.be/I2WUz8hpOkI</t>
  </si>
  <si>
    <t>New Mars Rover Mission Remains on Target (Now 11 26)</t>
  </si>
  <si>
    <t>Scientists and engineers on NASA's Mars Science Laboratory team provide a comprehensive status update of NASA's latest robotic mission to the Red Planet. The launch of MSL's Curiosity rover has since moved to Nov. 26 from Cape Canaveral Air Force Station in Florida at 10:02am EST.</t>
  </si>
  <si>
    <t>I2WUz8hpOkI</t>
  </si>
  <si>
    <t>https://youtu.be/YBr7P0D6Kkk</t>
  </si>
  <si>
    <t>NASA Administrator Issues Veterans Day Message</t>
  </si>
  <si>
    <t>Administrator and former Marine, Charles Bolden, asks the NASA Family to join in remembering the contributions of our men and women in the armed services.</t>
  </si>
  <si>
    <t>YBr7P0D6Kkk</t>
  </si>
  <si>
    <t>https://youtu.be/EUBqARUjYvM</t>
  </si>
  <si>
    <t>ISS Commander Salutes America's Veterans</t>
  </si>
  <si>
    <t>On behalf of the Expedition 29 crew aboard the International Space Station, commander Mike Fossum thanks the nation's veterans for their service to their country.</t>
  </si>
  <si>
    <t>EUBqARUjYvM</t>
  </si>
  <si>
    <t>https://youtu.be/BBl65R8a0XQ</t>
  </si>
  <si>
    <t>ScienceCasts  Mystery of the Lunar Ionosphere</t>
  </si>
  <si>
    <t>How can a world without air have an ionosphere? Somehow the Moon has done it. Lunar researchers have been struggling with this mystery for years, and they may have finally found a solution.</t>
  </si>
  <si>
    <t>BBl65R8a0XQ</t>
  </si>
  <si>
    <t>https://youtu.be/PWnwIW3JHH4</t>
  </si>
  <si>
    <t>ISS's Next Residents in Kazakhstan</t>
  </si>
  <si>
    <t>With their upcoming launch drawing nearer, astronaut Dan Burbank and cosmonauts Anatoly Ivinishin and Anton Shkaplerov participate in activities at the Baikonur Cosmodrome, Kazakhstan.  The three are scheduled to hook up with fellow Expedition 29 crew members Mike Fossum, Sergei Volkov and Satoshi Furukawa aboard the International Space Station on Nov. 16 following their Soyuz spacecraft's launch from Baikonur on Nov. 13, eastern time.</t>
  </si>
  <si>
    <t>PWnwIW3JHH4</t>
  </si>
  <si>
    <t>2011 11 09</t>
  </si>
  <si>
    <t>https://youtu.be/v7yngnjivQ4</t>
  </si>
  <si>
    <t>NASA Assesses Rocket Engine Test Results</t>
  </si>
  <si>
    <t>NASA engineers and officials discuss with media the just-completed, 500-second test firing of the J-2X rocket engine at the Stennis Space Center on Nov. 9.</t>
  </si>
  <si>
    <t>v7yngnjivQ4</t>
  </si>
  <si>
    <t>https://youtu.be/MjQ0j1a9RcA</t>
  </si>
  <si>
    <t>J-2X Engine Tested at Stennis</t>
  </si>
  <si>
    <t>Another key component of NASA's new Space Launch System, the J-2X rocket engine, is put to a 500-second firing test at NASA's Stennis Space Center on Nov. 9 The J-2X rocket engine will help carry the Orion spacecraft and its crew, cargo, equipment and science experiments beyond Earth orbit. The new SLS, heavy-lift rocket will be safe, affordable and sustainable, and help NASA explore deep space.</t>
  </si>
  <si>
    <t>MjQ0j1a9RcA</t>
  </si>
  <si>
    <t>https://youtu.be/2VtQC9VnS_Q</t>
  </si>
  <si>
    <t>Latest Orion Drop Test Conducted at Langley</t>
  </si>
  <si>
    <t>The latest in a series of so-called "drop tests" of a 22,000-pound Orion spacecraft test article was conducted Nov. 8 at the NASA Langley Research Center's new $1.7 million Hydro Impact Basin facility. The addition of a flotation collar in future tests slated through year's end will keep the Orion upright in the water.</t>
  </si>
  <si>
    <t>2VtQC9VnS_Q</t>
  </si>
  <si>
    <t>https://youtu.be/F0vSIJBfUl8</t>
  </si>
  <si>
    <t>Late-Season Tropical Storm Sean Approaches Bermuda</t>
  </si>
  <si>
    <t>An animation of NOAA GOES-13 satellite observations from November 7 at 11:45 a.m. EST through Nov. 9 at 12:31 p.m. EST shows the movement of late-season Tropical Storm Sean approaching Bermuda in the western Atlantic Ocean. The GOES-13 cloud images are overlaid on a true-color NASA/MODIS map.</t>
  </si>
  <si>
    <t>F0vSIJBfUl8</t>
  </si>
  <si>
    <t>https://youtu.be/PZlTbVuUgX0</t>
  </si>
  <si>
    <t>Animation Outlines New Exploration Test Flight</t>
  </si>
  <si>
    <t>The newly-proposed Exploration Test Flight, or EFT-1, of NASA's uncrewed Orion spacecraft planned for an orbital flight in 2014 is shown in this animation produced at the Johnson Space Center.</t>
  </si>
  <si>
    <t>PZlTbVuUgX0</t>
  </si>
  <si>
    <t>2011 11 08</t>
  </si>
  <si>
    <t>https://youtu.be/CJvvb6jfe3w</t>
  </si>
  <si>
    <t>D.C. Students Speak with ISS Commander</t>
  </si>
  <si>
    <t>Expedition 29 Commander Mike Fossum discussed life and work aboard the International Space Station with students gathered at the Department of Education in Washington, D.C., on Nov. 8, 2011, as a highlight of activities associated with International Education Week. Participating in the in-flight call were Deputy Secretary of Education Tony Miller and NASA's Associate Administrator for Education Leland Melvin. Fossum, who has been in orbit since June, will return to Earth in two weeks with his crewmates on a Russian Soyuz spacecraft, landing on the steppe of Kazakhstan.</t>
  </si>
  <si>
    <t>CJvvb6jfe3w</t>
  </si>
  <si>
    <t>https://youtu.be/kglk3bdaImc</t>
  </si>
  <si>
    <t>NASA Proposes New Orion Test Flight</t>
  </si>
  <si>
    <t>NASA team members at the Michoud Assembly Facility in New Orleans are building the Orion flight test vehicle currently planned for an uncrewed orbital flight in 2014. The flight test will verify important systems onboard the spacecraft as it re-enters the Earth's atmosphere at speeds required for returning from deep space exploration targets. Construction of the Orion multi-purpose crew vehicle began in September of this year; completion is expected in early 2012.</t>
  </si>
  <si>
    <t>kglk3bdaImc</t>
  </si>
  <si>
    <t>2011 11 04</t>
  </si>
  <si>
    <t>https://youtu.be/R8hvFOpxehA</t>
  </si>
  <si>
    <t>Mars Science Laboratory Moves to Launch Complex</t>
  </si>
  <si>
    <t>The Mars Science Laboratory (MSL) Curiosity rover was rolled out of its processing facility on Nov. 3 atop the payload transporter at NASA's Kennedy Space Center, Fla.  Once at Cape Canaveral Air Force Station's Space Launch Complex 41, MSL was hoisted atop the Atlas V rocket for its upcoming mission to the Red Planet. Curiosity has ten science instruments with which to search for evidence whether Mars has had environments and chemical ingredients for microbial life. The rover will use a laser to look inside rocks and release gases for a spectrometer to analyze and return the resulting data to Earth. MSL is now targeted for liftoff on Nov. 26.</t>
  </si>
  <si>
    <t>R8hvFOpxehA</t>
  </si>
  <si>
    <t>https://youtu.be/pbz5J3O2gyU</t>
  </si>
  <si>
    <t>Bolden Addresses NASA Small Business Symposium</t>
  </si>
  <si>
    <t>Administrator Charles Bolden provides his keynote comments to NASA's 4th Annual Small Business Symposium and Awards Ceremony held in Dulles, Va. (outside Washington) on Nov. 3. The two-day conference informs company executives and employment specialists about opportunities the agency provides for contributing to the agency's exploration and science missions, and other programs.</t>
  </si>
  <si>
    <t>pbz5J3O2gyU</t>
  </si>
  <si>
    <t>https://youtu.be/cxMe8PFaAOY</t>
  </si>
  <si>
    <t>New Deal for Space Craft Construction at Kennedy Space Center tops This Week @ NASA</t>
  </si>
  <si>
    <t>Other stories featured include the successful journey of the Russian Progress 45 cargo ship to the International Space Station with food and supplies for the station crew, a visit to The White House by the crew of Space Shuttle Atlantis -- following completion of the final Space Shuttle mission -- STS-135, NASA awards are handed out in the areas of scientific achievement and small business contributions to space exploration and other stories.</t>
  </si>
  <si>
    <t>cxMe8PFaAOY</t>
  </si>
  <si>
    <t>https://youtu.be/0kb57v9dZJo</t>
  </si>
  <si>
    <t>NASA's Fermi Telescope Finds Youngest Millisecond Pulsar</t>
  </si>
  <si>
    <t>The Fermi Gamma-ray Space Telescope has discovered the youngest known millisecond gamma-ray pulsar in an old globular cluster of stars. A pulsar is a type of neutron star that emits electromagnetic energy at periodic intervals; a millisecond pulsar does soe every one- to ten-milliseconds, or one one-thousandth of a second.. A neutron star is the closest thing to a black hole that astronomers can observe directly, crushing half a million times more mass than Earth into a sphere no larger than a city. This matter is so compressed that even a teaspoonful weighs as much as Mount Everest. Recent discoveries of more gamma-ray pulsars have pushed their number past 100.</t>
  </si>
  <si>
    <t>0kb57v9dZJo</t>
  </si>
  <si>
    <t>2011 11 03</t>
  </si>
  <si>
    <t>https://youtu.be/s5ZymKzCVsM</t>
  </si>
  <si>
    <t>ScienceCasts  Stellar Extremophiles</t>
  </si>
  <si>
    <t>A NASA space telescope named "GALEX" has found stars forming in extreme galactic environments, places where researchers thought stars should not be. The finding could affect astronomy much as the discovery of microbial extremophiles affected biology in the 1970s.</t>
  </si>
  <si>
    <t>s5ZymKzCVsM</t>
  </si>
  <si>
    <t>https://youtu.be/65RrRQ2E7Xs</t>
  </si>
  <si>
    <t>Fossum Chats with Houston Chronicle</t>
  </si>
  <si>
    <t>Expedition 29 commander Mike Fossum downlinks from the International Space Station with a reporter from the Houston Chronicle to update his mission aboard the orbiting laboratory.</t>
  </si>
  <si>
    <t>65RrRQ2E7Xs</t>
  </si>
  <si>
    <t>https://youtu.be/_xUlhaFKjsE</t>
  </si>
  <si>
    <t>PROJECT  HUMANS TO MARS</t>
  </si>
  <si>
    <t>Dr. Jesco von Puttkamer, Space Operations Mission Directorate, reviews 60 years of manned Mars mission analyses conducted at NASA and in Russia, starting from the historical first study, "The Mars Project," by Dr. Wernher von Braun and colleagues in 1948.</t>
  </si>
  <si>
    <t>_xUlhaFKjsE</t>
  </si>
  <si>
    <t>2011 11 02</t>
  </si>
  <si>
    <t>https://youtu.be/e_4BQCS1XZs</t>
  </si>
  <si>
    <t>Three days after launching on its Soyuz booster rocket, the Russian ISS Progress 45 cargo ship docked to the International Space Station Nov. 2, 2011, delivering almost three tons of food, fuel and supplies to the residents of the complex. The unmanned resupply ship automatically linked up to the Pirs Docking Compartment on the Russian segment of the station after launching from the Baikonur Cosmodrome in Kazakhstan on Oct. 30 in a successful comeback from the failure of a similar Soyuz booster on Aug. 24 that resulted in the loss of the ISS Progress 44 cargo ship.</t>
  </si>
  <si>
    <t>e_4BQCS1XZs</t>
  </si>
  <si>
    <t>2011 10 31</t>
  </si>
  <si>
    <t>https://youtu.be/4bj831dCzVk</t>
  </si>
  <si>
    <t>New NASA Deal  A Boost For Space Coast Facility</t>
  </si>
  <si>
    <t>An innovative agreement announced Oct. 31 between NASA and Space Florida, the aerospace economic development agency of the state of Florida, will create new jobs at the Kennedy Space Center. Under a 15-year use permit deal, Space Florida will occupy, use and modify KSC's Orbiter Processing Facility (OPF) 3. Space Florida is leasing OPF-3 to the Boeing Company to manufacture and test the company's Crew Space Transportation (CST-100) spacecraft, creating as many as 550 jobs.</t>
  </si>
  <si>
    <t>4bj831dCzVk</t>
  </si>
  <si>
    <t>https://youtu.be/GOclsLhvzdY</t>
  </si>
  <si>
    <t>Expedition 29 Crew Departs for Kazakh Launch Site</t>
  </si>
  <si>
    <t>Expedition 29 Soyuz Commander Anton Shkaplerov, NASA Flight Engineer Dan Burbank and Russian Flight Engineer Anatoly Ivanishin participated in traditional ceremonies at the Gagarin Cosmonaut Training Center in Star City, Russia on October 31, 2011.  Afterward, they departed for the Baikonur Cosmodrome in Kazakhstan to complete training for their launch to the International Space Station in the Soyuz TMA-22 spacecraft on November 14, Baikonur time.</t>
  </si>
  <si>
    <t>GOclsLhvzdY</t>
  </si>
  <si>
    <t>2011 10 30</t>
  </si>
  <si>
    <t>https://youtu.be/cJcMvUNIAhc</t>
  </si>
  <si>
    <t>Successful Launch for Soyuz Flight</t>
  </si>
  <si>
    <t>Riding atop its Soyuz booster rocket, the Russian ISS Progress 45 cargo ship launched successfully from the Baikonur Cosmodrome in Kazakhstan at 6:11 a.m. EDT (4:11 p.m. Baikonur time) on Oct. 30, 2011, bound for the International Space Station. It was the first launch of the Soyuz booster that is used for Progress and manned Soyuz launches since a third stage failure of another Soyuz rocket resulted in the loss of the ISS Progress 44 resupply craft on Aug. 24. Progress 45, carrying almost three tons of food, fuel and supplies for the residents of the station, is scheduled to link up automatically to the Pirs Docking Compartment on the complex on Nov. 2.</t>
  </si>
  <si>
    <t>cJcMvUNIAhc</t>
  </si>
  <si>
    <t>2011 10 28</t>
  </si>
  <si>
    <t>https://youtu.be/Q9B9MlfvqVM</t>
  </si>
  <si>
    <t>ScienceCasts  A Star with Spiral Arms</t>
  </si>
  <si>
    <t>Using a Japanese telescope, NASA-supported researchers have found the first clear case of a star with spiral arms.</t>
  </si>
  <si>
    <t>Q9B9MlfvqVM</t>
  </si>
  <si>
    <t>https://youtu.be/WCCIAeh4_Zk</t>
  </si>
  <si>
    <t>The launch of NASA's newest Earth-observing satellite, NPP is the top story on This Week @NASA.</t>
  </si>
  <si>
    <t>This episode also features stories on the Expedition 29 crew as they prepare for the November flight to the International Space Station, the latest in a series of tests to certify the Orion spacecraft's readiness for water landings, a look at the most complete digital topographic map of Earth ever produced, and the James Webb Telescope pleases the crowd at the Baltimore Harbor.</t>
  </si>
  <si>
    <t>WCCIAeh4_Zk</t>
  </si>
  <si>
    <t>https://youtu.be/QYWdLUxLlnc</t>
  </si>
  <si>
    <t>NASA Press Briefing on Successful NPP Launch</t>
  </si>
  <si>
    <t>NASA's NPOESS Preparatory Project (NPP) spacecraft reached orbit on Friday, Oct. 28, after launch onboard a Delta II rocket from Vandenberg Air Force Base in California at 5:48 a.m. EDT. The mission will provide critical data to advance climate change research and weather forecasting. Officials from NASA and the National Oceanic and Atmospheric Administration discussed the launch and health of the spacecraft at a press briefing this morning at Vandenberg.</t>
  </si>
  <si>
    <t>QYWdLUxLlnc</t>
  </si>
  <si>
    <t>https://youtu.be/2cDSD60qSz0</t>
  </si>
  <si>
    <t>New Weather Satellite in Orbit</t>
  </si>
  <si>
    <t>The National Polar-orbiting Operational Environmental Satellite System Preparatory Project, or NPP, was launched from Vandenberg Air Force Base in California on Oct. 28, heralding a new era of climate change science and weather forecasting for the United States.</t>
  </si>
  <si>
    <t>2cDSD60qSz0</t>
  </si>
  <si>
    <t>2011 10 27</t>
  </si>
  <si>
    <t>https://youtu.be/x-4JTTQ4FAU</t>
  </si>
  <si>
    <t>NASA wishes you a spooktacular Halloween!</t>
  </si>
  <si>
    <t>x-4JTTQ4FAU</t>
  </si>
  <si>
    <t>https://youtu.be/FhY3zGFlw_Q</t>
  </si>
  <si>
    <t>NPP West Coast Tweetup</t>
  </si>
  <si>
    <t>NASA hosted a tweetup for 25 of its Twitter followers on Thursday, Oct. 27, at Vandenberg Air Force Base in California for the launch of the first of a new generation of global Earth-observing satellites. 
The tweetup provided NASA Twitter followers the opportunity to speak with NASA and NPP mission scientists and managers, interact with each other and NASA's social media team, and, if all goes as scheduled, view the NPP spacecraft launch.</t>
  </si>
  <si>
    <t>FhY3zGFlw_Q</t>
  </si>
  <si>
    <t>https://youtu.be/u6UJxP3n0Lw</t>
  </si>
  <si>
    <t>Furukawa Talks With Takayama</t>
  </si>
  <si>
    <t>ISS Flight Engineer Satoshi Furukawa spoke with residents of his native Japan's Takayama Village, and the Saga Newspaper in a special educational downlink on Oct. 26.</t>
  </si>
  <si>
    <t>u6UJxP3n0Lw</t>
  </si>
  <si>
    <t>https://youtu.be/UcjM2GhMD-E</t>
  </si>
  <si>
    <t>ElaNa CubeSat Media Briefing</t>
  </si>
  <si>
    <t>NASA news briefing from Vandenberg Air Force Base in California on Wednesday, Oct. 26, to discuss the launch of NASA's Educational Launch of Nanosatellite (ELaNa) mission on Oct. 28 aboard NPP's Delta II rocket.</t>
  </si>
  <si>
    <t>UcjM2GhMD-E</t>
  </si>
  <si>
    <t>https://youtu.be/DwsQQtKFmz0</t>
  </si>
  <si>
    <t>ISS Cameras Capture New Views of Hurricane Rina</t>
  </si>
  <si>
    <t>From an altitude of 248 miles, external cameras on the International Space Station captured new views of Hurricane Rina at 3:18 p.m. EDT on Oct. 26, 2011, as the storm churned 180 miles south-southeast of Cozumel, Mexico. At the time the ISS passed overhead, Rina had been downgraded to a Category 1 hurricane, packing winds of 85 miles an hour. The National Hurricane Center is forecasting Rina to turn to the northeast toward the northwest coast of Cuba over the weekend after it passes north of the Yucatan Peninsula.</t>
  </si>
  <si>
    <t>DwsQQtKFmz0</t>
  </si>
  <si>
    <t>2011 10 26</t>
  </si>
  <si>
    <t>https://youtu.be/zsATmjG79ew</t>
  </si>
  <si>
    <t>Senator Barbara Mikulski Opens Webb Telescope Exhibit</t>
  </si>
  <si>
    <t>With luminaries from political, science and technology fields looking on, NASA's Deputy Administrator Lori Garver joined U.S. Sen. Barbara Mikulski (D-Md.)  for a special dedication and ribbon cutting ceremony of a permanent exhibit of NASA's James Webb Space Telescope at the Maryland Science Center in Baltimore.</t>
  </si>
  <si>
    <t>zsATmjG79ew</t>
  </si>
  <si>
    <t>https://youtu.be/nnUSnZDY7yE</t>
  </si>
  <si>
    <t>NPP Science Media Briefing</t>
  </si>
  <si>
    <t>NASA news briefing from Vandenberg Air Force Base in California on Wednesday, Oct. 26, to discuss the science objectives of the NPP satellite mission, NASA's first satellite dedicated to advancing both climate research and weather forecasting.</t>
  </si>
  <si>
    <t>nnUSnZDY7yE</t>
  </si>
  <si>
    <t>https://youtu.be/nlQNIPBc6TY</t>
  </si>
  <si>
    <t>NPP Team Holds Prelaunch News Conference</t>
  </si>
  <si>
    <t>Live from Vandenberg AFB in Calif., scientists and engineers answer questions about the scheduled Oct.28 launch of the National Polar-orbiting Operational Environmental Satellite System Preparatory Project, or NPP. Data from NPP will enable the National Oceanic and Atmospheric Administration to continue issuing accurate forecasts and provide advance warning for severe weather. NPP also will extend critical long-term data sets that advance Earth system science and applications supported by NASA, NOAA, and other U.S. agencies.</t>
  </si>
  <si>
    <t>nlQNIPBc6TY</t>
  </si>
  <si>
    <t>https://youtu.be/vyWm3JJT_k0</t>
  </si>
  <si>
    <t>Garver Delivers Keynote at International Symposium on This Week at NASA</t>
  </si>
  <si>
    <t>Top Stories on This Week At NASA. Three new flight directors at Mission Control in Houston. The latest on micro-gravity experiments aboard the ISS, Lifetime achievement awards for the Mars Rovers and Two Governors tour NASA facilities.</t>
  </si>
  <si>
    <t>vyWm3JJT_k0</t>
  </si>
  <si>
    <t>2011 10 25</t>
  </si>
  <si>
    <t>https://youtu.be/qVsIp5G_Yms</t>
  </si>
  <si>
    <t>Hurricane Rina Caught on ISS Cameras</t>
  </si>
  <si>
    <t>External cameras on the International Space Station captured views of Hurricane Rina at 2:39 p.m. EDT on Oct. 25, 2011, as the complex flew 248 miles over the Caribbean Sea east of Belize. The late season hurricane, which continues to intensify, was located 300 miles east-southeast of Chetumal, Mexico, barely moving west-northwest at a glacial three miles an hour. Rina is packing winds of 105 miles an hour, and is forecast to intensify to a major hurricane as it approaches the Yucatan Peninsula. Hurricane warnings have been issued for the Yucatan from north of Punta Gruesa, Mexico, to Cancun.</t>
  </si>
  <si>
    <t>qVsIp5G_Yms</t>
  </si>
  <si>
    <t>https://youtu.be/Ot2I9ahOjGY</t>
  </si>
  <si>
    <t>Space Station Commander Takes Questions from CNN, MSNBC</t>
  </si>
  <si>
    <t>Expedition 29 Commander Mike Fossum discussed the progress of his mission aboard the International Space Station and the upcoming launches of a Russian Progress cargo craft and the next trio of station residents with reporters from CNN and MSNBC during a pair of in-flight interviews on Oct. 25, 2011.</t>
  </si>
  <si>
    <t>Ot2I9ahOjGY</t>
  </si>
  <si>
    <t>2011 10 24</t>
  </si>
  <si>
    <t>https://youtu.be/6tBVSyDNboQ</t>
  </si>
  <si>
    <t>Next ISS Crew Meets Media and Visits Red Square</t>
  </si>
  <si>
    <t>Expedition 29 Soyuz Commander Anton Shkaplerov, NASA Flight Engineer Dan Burbank and Russian Flight Engineer Anatoly Ivanishin fielded questions from the media at their training base at the Gagarin Cosmonaut Training Center in Star City, Russia, outside Moscow on October 24, 2011.  After that, they participated in traditional ceremonies at Red Square in Moscow, laying flowers at the Kremlin Wall as they paid tribute to iconic Russian officials buried there.  The ceremony is part of traditional activities conducted in advance of their launch to the International Space Station on November 14, Kazakhstan time.</t>
  </si>
  <si>
    <t>6tBVSyDNboQ</t>
  </si>
  <si>
    <t>https://youtu.be/uWvgWuVwpKg</t>
  </si>
  <si>
    <t>Hurricane Rina Develops in Caribbean</t>
  </si>
  <si>
    <t>An animation of NOAA's GOES-13 satellite observations shows the development of Hurricane Rina from the low pressure area called System 96L (bottom, center) in the western Caribbean Sea. GOES-13 cloud images are overlaid on a true-color NASA/MODIS map. The observations date from October 22 at 8:45 a.m. EDT through Oct. 24 at 7:45 a.m. EDT; Rina formally became a Tropical Storm at 10 p.m. EDT on Oct. 23, and a hurricane later on Oct. 24.</t>
  </si>
  <si>
    <t>uWvgWuVwpKg</t>
  </si>
  <si>
    <t>2011 10 21</t>
  </si>
  <si>
    <t>https://youtu.be/eZbX95fqPmM</t>
  </si>
  <si>
    <t>eZbX95fqPmM</t>
  </si>
  <si>
    <t>https://youtu.be/yi391opiZ0A</t>
  </si>
  <si>
    <t>Alabama Middle Schoolers Talk with Station Commander</t>
  </si>
  <si>
    <t>Aboard the International Space Station, Expedition 29 Commander Mike Fossum discussed life and work aboard the orbital laboratory with Birmingham, Ala. middle school students gathered at the city's Carver High School during an in-flight educational event October 21, 2011 attended by Rep. Terri Sewell (D-AL), whose district includes Birmingham.</t>
  </si>
  <si>
    <t>yi391opiZ0A</t>
  </si>
  <si>
    <t>https://youtu.be/UbxL_Ub9B64</t>
  </si>
  <si>
    <t>ScienceCasts  The Sleepy Hollows of Mercury</t>
  </si>
  <si>
    <t>NASA's MESSENGER probe has discovered a surprise on Mercury: Something is digging "hollows" in the surface of the innermost planet.</t>
  </si>
  <si>
    <t>UbxL_Ub9B64</t>
  </si>
  <si>
    <t>2011 10 19</t>
  </si>
  <si>
    <t>https://youtu.be/8-ZEGrmluNM</t>
  </si>
  <si>
    <t>ISS Commander Briefs Media on Upcoming Events</t>
  </si>
  <si>
    <t>Aboard the International Space Station, Expedition 29 Commander Mike Fossum discussed the progress of his mission on the orbital laboratory and upcoming launches of the next Russian Progress cargo ship and the next trio of residents for the complex during a pair of in-flight interviews with Space.com and the ABC Radio Network on October 19, 2011.</t>
  </si>
  <si>
    <t>8-ZEGrmluNM</t>
  </si>
  <si>
    <t>2011 10 17</t>
  </si>
  <si>
    <t>https://youtu.be/gNpH0kBmtFQ</t>
  </si>
  <si>
    <t>ScienceCasts  600 Mysteries in the Night Sky</t>
  </si>
  <si>
    <t>The Fermi Gamma-ray Space Telescope recently produced a map of the night sky. Out of 1873 new sources, nearly 600 were complete mysteries. In this week's ScienceCast, researchers speculate on the nature of the mystery objects - including the possibility that they are made of dark matter.</t>
  </si>
  <si>
    <t>gNpH0kBmtFQ</t>
  </si>
  <si>
    <t>2011 10 14</t>
  </si>
  <si>
    <t>https://youtu.be/psO0Y6vImMA</t>
  </si>
  <si>
    <t>Bolden Leads Launcher Tour on This Week@NASA</t>
  </si>
  <si>
    <t>NASA Administrator Charlie Bolden took media members on a tour of the newmobile launcher at the Kennedy Space Center that'll be used to help send astronauts and cargo beyond low-Earth orbit. Also, Endeavour's title; picture pitches; Mars rover movie; and more.</t>
  </si>
  <si>
    <t>psO0Y6vImMA</t>
  </si>
  <si>
    <t>2011 10 13</t>
  </si>
  <si>
    <t>https://youtu.be/OMc7GHIsfk0</t>
  </si>
  <si>
    <t>Atlantis Crew at NASA Headquarters</t>
  </si>
  <si>
    <t>The four-member crew of STS-135 presents highlights of its mission to the International Space Station to agency employees at its Washington, D.C. headquarters on Oct. 13. Atlantis Commander Chris Ferguson, Pilot Doug Hurley, and Mission Specialists Sandy Magnus and Rex Walheim were the last astronauts to fly aboard a space shuttle.</t>
  </si>
  <si>
    <t>OMc7GHIsfk0</t>
  </si>
  <si>
    <t>https://youtu.be/vwrrnrp3rTE</t>
  </si>
  <si>
    <t>Station Resident Talks with Pacific Students</t>
  </si>
  <si>
    <t>Aboard the International Space Station, Expedition 29 Flight Engineer Satoshi Furukawa of the Japan Aerospace and Exploration Agency discussed his mission with students gathered at the Japan-Pacific Information and Communications Technology Center located at the University of the South Pacific in Suva, Fiji, during an in-flight educational event on Oct. 13, 2011. Furukawa is scheduled to return to Earth in a Russian Soyuz spacecraft on Nov. 22 after almost six months in space.</t>
  </si>
  <si>
    <t>vwrrnrp3rTE</t>
  </si>
  <si>
    <t>https://youtu.be/xI4rKSsAbH4</t>
  </si>
  <si>
    <t>Final Shuttle Crew Visits Smithsonian</t>
  </si>
  <si>
    <t>The Atlantis crew of STS-135 speaks with and presents mission highlights to an enthusiastic group of more than 500 people inside the Smithsonian National Air &amp; Space Museum's "Moving Beyond Earth" gallery in Washington, D.C.</t>
  </si>
  <si>
    <t>xI4rKSsAbH4</t>
  </si>
  <si>
    <t>https://youtu.be/3J--96zTgJg</t>
  </si>
  <si>
    <t>NASA Transfers Endeavour Title to California Science Center</t>
  </si>
  <si>
    <t>NASA transferred title and ownership of space shuttle Endeavour (CSC) during a ceremony Oct. 11 at the center in Los Angeles. The transfer is the first step toward CSC receiving Endeavour in the latter half of 2012. 
CSC is one of four institutions nationwide to receive a shuttle. After display preparation and post-mission work are complete, NASA will deliver Endeavour on the 747 shuttle carrier aircraft to Los Angeles International Airport. 
From there, the shuttle will be driven through the streets of Los Angeles to its destination at the Science Center in Exposition Park.</t>
  </si>
  <si>
    <t>3J--96zTgJg</t>
  </si>
  <si>
    <t>2011 10 12</t>
  </si>
  <si>
    <t>https://youtu.be/fkV_r8pxhbI</t>
  </si>
  <si>
    <t>New Satellite to Monitor Earth's Climate, Changes</t>
  </si>
  <si>
    <t>In a media briefing held at NASA Headquarters, Washington on Oct. 12, scientists discuss the upcoming launch of NASA's National Polar-Orbiting Operational Environmental Satellite System Preparatory Project and how, once in polar orbit, the craft will provide long-term monitoring of how our Earth and climate are changing.  NPP is scheduled to launch Oct. 27 from Vandenberg Air Force Base in California.</t>
  </si>
  <si>
    <t>fkV_r8pxhbI</t>
  </si>
  <si>
    <t>https://youtu.be/IVoXpBEwFyY</t>
  </si>
  <si>
    <t>Rover's Eye View of Three-Year Trek on Mars</t>
  </si>
  <si>
    <t>During the three-year trek of NASA's Mars Rover Opportunity from Victoria crater to Endeavour crater, rover planners captured a horizon photograph at the end of each drive. 309 images taken during the 13-mile journey appear in this video.</t>
  </si>
  <si>
    <t>IVoXpBEwFyY</t>
  </si>
  <si>
    <t>https://youtu.be/CuHuoad7b8k</t>
  </si>
  <si>
    <t>Fossum Chats with Hometown Media from Orbit</t>
  </si>
  <si>
    <t>Expedition 29 Commander Mike Fossum, a native of McAllen, Texas, discussed his work and research aboard the International Space Station with reporters from nearby hometown television stations KRGV-TV in Weslaco and KVEO-TV in Brownsville, during a pair of in-flight interviews on Oct. 11, 2011. Fossum is scheduled to return to Earth in a Russian Soyuz spacecraft on Nov. 22 after almost six months in space.</t>
  </si>
  <si>
    <t>CuHuoad7b8k</t>
  </si>
  <si>
    <t>https://youtu.be/R8l-1j-kZo8</t>
  </si>
  <si>
    <t>NASA Administrator at Community Leaders Breakfast at Kennedy</t>
  </si>
  <si>
    <t>Charlie Bolden, Kennedy Space Center Director Robert Cabana and other Kennedy managers took part in the annual Community Leaders Breakfast on Oct. 11 at Kennedy Space Center Visitor Complex in Florida.
‪Several hundred community leaders, business executives, educators, community organizers, and state and local government leaders heard about the future of NASA and Kennedy's role in it.</t>
  </si>
  <si>
    <t>R8l-1j-kZo8</t>
  </si>
  <si>
    <t>https://youtu.be/Yf1NAwSoE6s</t>
  </si>
  <si>
    <t>NASA Administrator Bolden Tours Agency's New Mobile Launcher at Kennedy</t>
  </si>
  <si>
    <t>NASA Administrator Charlie Bolden led media on a tour of the agency's new mobile launcher at Kennedy Space Center, Fla., on Oct. 11. He was joined by Kennedy Center Director Robert Cabana and other Kennedy management as they discussed NASA's Space Launch System (SLS), the heavy-lift rocket that will take astronauts farther into space than ever before, create high-quality jobs here at home and provide the cornerstone for America's future human space exploration efforts. NASA announced plans for the development of the SLS in September. It will carry NASA's Orion spacecraft, cargo, equipment and science experiments to space -- providing a safe, affordable and sustainable means of reaching the moon, asteroids and other destinations in the solar system.</t>
  </si>
  <si>
    <t>Yf1NAwSoE6s</t>
  </si>
  <si>
    <t>2011 10 07</t>
  </si>
  <si>
    <t>https://youtu.be/O0sL7mGsDpU</t>
  </si>
  <si>
    <t>World's Largest Aviation Prize Awarded on This Week@NASA</t>
  </si>
  <si>
    <t>NASA has awarded the first place prize of $1.3M to Team Pipistrel in its Green Flight Challenge. Both Pipistrel, and second-place eGenius, flew all-electric aircraft at more than 375 miles on the equivalent of one gallon of fuel. Also, ISS Preps, Nobel Prize; Earth and comet water; ozone depletion; SpaceFarm7, and more.</t>
  </si>
  <si>
    <t>O0sL7mGsDpU</t>
  </si>
  <si>
    <t>https://youtu.be/hyS81PPCErY</t>
  </si>
  <si>
    <t>ScienceCasts  Draconid Meteor Outburst</t>
  </si>
  <si>
    <t>Forecasters say Earth is heading for a stream of dust from Comet 21P/Giacobini-Zinner. A close encounter with the comet's fragile debris could spark a meteor outburst over parts of our planet on October 8th.</t>
  </si>
  <si>
    <t>hyS81PPCErY</t>
  </si>
  <si>
    <t>2011 10 06</t>
  </si>
  <si>
    <t>https://youtu.be/S6RKyIIyOqM</t>
  </si>
  <si>
    <t>NASA's NPP Satellite to Expand Earth's Watch</t>
  </si>
  <si>
    <t>NASA's NPP mission will continue collecting critical climate data to help scientists unravel the mysteries of climate change. This overview features TV meteorologists Topper Shutt (WUSA-TV), Veronica Johnson (WRC-TV) and Justin Berk (WMAR-TV) explaining why NPP will be important to all of us here on Earth.</t>
  </si>
  <si>
    <t>S6RKyIIyOqM</t>
  </si>
  <si>
    <t>https://youtu.be/VkCyzw88r_E</t>
  </si>
  <si>
    <t>Station Crew Discusses Life in Space With CBS News</t>
  </si>
  <si>
    <t>Aboard the International Space Station, Expedition 29 Commander Mike Fossum and Flight Engineer Satoshi Furukawa answered questions about the progress of their mission and upcoming activities involving the launches of unmanned Progress resupply and manned Soyuz spacecraft to the complex during an in-flight interview with reporters from CBS News on Oct. 6, 2011.</t>
  </si>
  <si>
    <t>VkCyzw88r_E</t>
  </si>
  <si>
    <t>2011 10 04</t>
  </si>
  <si>
    <t>https://youtu.be/BsxL_B5_rO0</t>
  </si>
  <si>
    <t>And the Green Flight Aviation Award Goes To...</t>
  </si>
  <si>
    <t>NASA  awards CAFE Green Flight Challenge winners, team Pipistrel-USA.com of State College, Pa. the largest prize in aviation history, $1.35 million.  The contest was created to inspire the development of more fuel-efficient aircraft and spark the start of a 
new electric airplane industry. Fourteen teams originally registered for the competition which took place over the 
Charles M. Schulz Sonoma County Airport in Santa Rosa, Calif.  The second place prize of $120,000 went to team eGenius, of Ramona, Calif.</t>
  </si>
  <si>
    <t>BsxL_B5_rO0</t>
  </si>
  <si>
    <t>2011 09 30</t>
  </si>
  <si>
    <t>https://youtu.be/0AvtBkZdiME</t>
  </si>
  <si>
    <t>Asteroid News from NASA's WISE Satellite Headlines the Latest Episode of This week at NASA</t>
  </si>
  <si>
    <t>Also: Deputy Administrator Lori Garver delivers keynote at Space Launch System Industry Day; flight teams compete for the title, most fuel-efficient aircraft in the world, James Webb Space Telescope gets a new coat; President Obama visit Ames' Moffett Field; Casualty Drills at Wallops; Dryden honors shuttle workers; Profile: Astronomer Rosa Diaz, and three 135 crew members visit Glenn.</t>
  </si>
  <si>
    <t>0AvtBkZdiME</t>
  </si>
  <si>
    <t>2011 09 29</t>
  </si>
  <si>
    <t>https://youtu.be/m3NDbu5Y8c4</t>
  </si>
  <si>
    <t>NASA Finds Fewer Asteroids Near Earth</t>
  </si>
  <si>
    <t>A sky survey conducted by NASA's Wide-Field Infrared Survey Explorer, or WISE satellite, has found there are fewer asteroids in Earth's vicinity than previously believed and that NASA has already found more than 90% of 1 kilometer asteroids that are near Earth. The news briefing held at NASA Headquarters in Washington on Sept. 29 also revealed that WISE has provided more accurate estimates of asteroid sizes for research</t>
  </si>
  <si>
    <t>m3NDbu5Y8c4</t>
  </si>
  <si>
    <t>https://youtu.be/uqZVf08nEYc</t>
  </si>
  <si>
    <t>ScienceCasts  The Strange Attraction of Gale Crater</t>
  </si>
  <si>
    <t>NASA's newest rover Curiosity is getting ready to leave Earth. It's destination: Gale crater on Mars. Today's story from Science@NASA explains the attraction of this Martian crater with a strangely-sculpted mountain the middle.</t>
  </si>
  <si>
    <t>uqZVf08nEYc</t>
  </si>
  <si>
    <t>2011 09 28</t>
  </si>
  <si>
    <t>https://youtu.be/tAwTJPUHkEs</t>
  </si>
  <si>
    <t>Station Crew Member Questioned by Japanese Media</t>
  </si>
  <si>
    <t>Aboard the International Space Station, Expedition 29 Flight Engineer Satoshi Furukawa of the Japan Aerospace Exploration Agency discussed the progress of his mission and the research being conducted on orbit during an in-flight interview Sept. 28 with Tensai-TV and NHK in Japan.</t>
  </si>
  <si>
    <t>tAwTJPUHkEs</t>
  </si>
  <si>
    <t>2011 09 27</t>
  </si>
  <si>
    <t>https://youtu.be/yiTstmr1WHo</t>
  </si>
  <si>
    <t>ISS Commander Chats with Hispanic Students</t>
  </si>
  <si>
    <t>From Aboard the International Space Station, Expedition 29 Commander Mike Fossum answered questions during an educational in-flight event on Sept. 27 with students gathered at the Hispanic Engineering, Science and Technology Conference at the University of Texas-Pan American in Edinburgh, Texas, about research being conducted on the orbital laboratory and life on the outpost.</t>
  </si>
  <si>
    <t>yiTstmr1WHo</t>
  </si>
  <si>
    <t>https://youtu.be/s5-R-HjWEUA</t>
  </si>
  <si>
    <t>Aquarius Satellite Sees Seas' Salt and More on This Week @NASA</t>
  </si>
  <si>
    <t>This Week at NASA highlights the new Aquarius instrument's first global map, a sit-down with the Expedition 30/31 crew, student views of the SOFIA Observatory, the Boy Scouts  Robotics Merit Badge,  a cutting-edge STEM kit, Johnson Space Center's 50 year celebration, Bolden at the New Horizons in Aviation Forum, and monkeying around with the ISS and Dr. Jane Goodall.</t>
  </si>
  <si>
    <t>s5-R-HjWEUA</t>
  </si>
  <si>
    <t>https://youtu.be/HKx13fAzs4Q</t>
  </si>
  <si>
    <t>NASA Administrator Checks Out New Spacecraft</t>
  </si>
  <si>
    <t>NASA Administrator Charlie Bolden and Johnson Space Center Director Mike Coats visit the Orion facilities inside Johnson's Space Vehicle Mockup Facility on Monday, Sept. 26. The Orion Multi-Purpose Crew Module is being developed by NASA as the nation's deep space exploration spacecraft. In conjunction with NASA's Space Launch System (SLS), Orion will carry astronauts to asteroids, Mars and other destinations in the solar system.</t>
  </si>
  <si>
    <t>HKx13fAzs4Q</t>
  </si>
  <si>
    <t>2011 09 23</t>
  </si>
  <si>
    <t>https://youtu.be/cUCn0TRb2dA</t>
  </si>
  <si>
    <t>cUCn0TRb2dA</t>
  </si>
  <si>
    <t>2011 09 22</t>
  </si>
  <si>
    <t>https://youtu.be/xbZ4MlTw2JA</t>
  </si>
  <si>
    <t xml:space="preserve">ScienceCasts  Did Earth Have Two Moons </t>
  </si>
  <si>
    <t>Did our planet once have two moons? Some researchers say so. Moreover, the missing satellite might still be up there--splattered across the far side of the Moon. NASA's GRAIL mission could help confirm or refute the "two moon" hypothesis.</t>
  </si>
  <si>
    <t>xbZ4MlTw2JA</t>
  </si>
  <si>
    <t>2011 09 20</t>
  </si>
  <si>
    <t>https://youtu.be/76tf_uy7skQ</t>
  </si>
  <si>
    <t>Future ISS Residents Meet Media</t>
  </si>
  <si>
    <t>Expedition 30 crew members, including NASA astronaut Don Pettit, Russian cosmonaut Oleg Kononenko and European Space Agency astronaut Andre Kuipers, take questions from the media at the Johnson Space Center in Houston.</t>
  </si>
  <si>
    <t>76tf_uy7skQ</t>
  </si>
  <si>
    <t>https://youtu.be/Y2NwvJa37Ng</t>
  </si>
  <si>
    <t>Colorado Students Talk with Station</t>
  </si>
  <si>
    <t>As part of "Destination Station," an exhibit that is touring the country to highlight the work being conducted on the International Space Station, Expedition 29 Commander Mike Fossum discussed life and research aboard the complex with students and officials gathered at the Fiske Planetarium in Boulder, Colo., on Sept. 20.</t>
  </si>
  <si>
    <t>Y2NwvJa37Ng</t>
  </si>
  <si>
    <t>https://youtu.be/0KAq-5gwq-s</t>
  </si>
  <si>
    <t>Garan Gets Home on This Week @NASA</t>
  </si>
  <si>
    <t>The Soyuz spacecraft carrying NASA astronaut Ron Garan and his fellow Expedition 28 flight engineers returned safely to Earth with a landing on the steppe of Kazakhstan. Garan and cosmonauts Andrey Borisenko, and Alexander Samokutyaev had been on the International Space Station since April 6. Their return had been delayed just over a week by the August 24th failure of the Progress 44 cargo craft to reach the station. Now that the Russian Federal Space Agency has identified the cause of the mishap, crew flights to the ISS will tentatively resume on Nov. 14. That's when the Soyuz 28 spacecraft, carrying NASA's Dan Burbank and Russia's Anatoly Ivanishin and Anton Shkaplerov, is scheduled to liftoff from the Baikonur Cosmodrome in Kazakhstan; they'll reach the station on Nov.16. Also, Heavy-lift picked; First weld; commercial partners: "Tatooine" discovered; MacArthur badges; new French legionnaire; and rockets2racecars.</t>
  </si>
  <si>
    <t>0KAq-5gwq-s</t>
  </si>
  <si>
    <t>2011 09 19</t>
  </si>
  <si>
    <t>https://youtu.be/S1fO9QAOxi0</t>
  </si>
  <si>
    <t>S1fO9QAOxi0</t>
  </si>
  <si>
    <t>https://youtu.be/pLOpRnxyySI</t>
  </si>
  <si>
    <t>Station Crew Discusses Life in Space With Famed Environmentalist</t>
  </si>
  <si>
    <t>Aboard the International Space Station, Expedition 29 Commander Mike Fossum of NASA and Japanese Flight Engineer Satoshi Furukawa discussed their mission and their view of the planet from 230 miles above the Earth with noted environmentalist Dr. Jane Goodall during an in-flight interview on Sept. 19, 2011.</t>
  </si>
  <si>
    <t>pLOpRnxyySI</t>
  </si>
  <si>
    <t>2011 09 16</t>
  </si>
  <si>
    <t>https://youtu.be/0R_FSS22P_E</t>
  </si>
  <si>
    <t>Expedition 28 Receives a Warm Welcome in Kazakhstan and Russia</t>
  </si>
  <si>
    <t>Expedition 28 Soyuz Commander Andrey Borisenko, NASA Flight Engineer Ron Garan and Russian Flight Engineer Alexander Samokutyaev were greeted in a traditional ceremony at the airport in Karaganda, Kazakhstan, on Sept. 16, 2011, hours after landing in their Soyuz TMA-21 spacecraft on the steppe of Kazakhstan. After the ceremony, the crew split up, with Borisenko and Samokutyaev returning to their training base in Star City, Russia, while Garan boarded a NASA plane in Karaganda to return to the Johnson Space Center in Houston. The trio completed almost six months aboard the International Space Station following launch in December. The footage includes an interview conducted with Garan in Karaganda before beginning the trip home to Houston.</t>
  </si>
  <si>
    <t>0R_FSS22P_E</t>
  </si>
  <si>
    <t>https://youtu.be/vhOQ1Xz7oOo</t>
  </si>
  <si>
    <t>The Soyuz spacecraft carrying NASA astronaut Ron Garan and his fellow Expedition 28 flight engineers returned safely to Earth with a landing on the steppe of Kazakhstan. Garan and cosmonauts Andrey Borisenko, and Alexander Samokutyaev had been on the International Space Station since April 6. Their journey home was delayed just over a week by the failure of the Progress 44 cargo craft to reach the station. Remaining on the orbiting laboratory is NASA's Mike Fossum and his two Expedition 28/29 colleagues, Russian Sergei Volkov, and Satoshi Furukawa of the Japanese Aerospace Exploration Agency.</t>
  </si>
  <si>
    <t>vhOQ1Xz7oOo</t>
  </si>
  <si>
    <t>https://youtu.be/a1AZHMg-J5Q</t>
  </si>
  <si>
    <t>Kepler Finds Double-Sun System</t>
  </si>
  <si>
    <t>NASA's Kepler space telescope has discovered its first circumbinary planet, a planet that orbits two suns.  The cold, Saturn-sized planet is not in the star system's habitable zone.  But, someone near the planet's surface could see double sunrises and sunsets, similar to what Luke Skywalker saw on Tatooine in the 1977 movie, "Star Wars."</t>
  </si>
  <si>
    <t>a1AZHMg-J5Q</t>
  </si>
  <si>
    <t>https://youtu.be/RyyQSMq29W8</t>
  </si>
  <si>
    <t>The Soyuz TMA-21 spacecraft that'll carry Commander Alexander Samokutyaev, NASA Flight Engineer Ron Garan and off-going station Commander Andrey Borisenko back to Earth undocks from the International Space Station and begins its return journey home. The crew is scheduled to land in Kazakhstan at 12:01 a.m. EDT tomorrow.</t>
  </si>
  <si>
    <t>RyyQSMq29W8</t>
  </si>
  <si>
    <t>https://youtu.be/N0_QB0kWhVo</t>
  </si>
  <si>
    <t>ScienceCasts  Secret Lives of Solar Flares</t>
  </si>
  <si>
    <t>Researchers have just discovered that solar flares have been keeping a secret--and it's a big one.</t>
  </si>
  <si>
    <t>N0_QB0kWhVo</t>
  </si>
  <si>
    <t>https://youtu.be/3mihT5ECrS8</t>
  </si>
  <si>
    <t>Hatch Closes as Soyuz Crew Bids Farewell</t>
  </si>
  <si>
    <t>The Expedition 28 crew of Soyuz Commander Alexander Samokutyaev, NASA Flight Engineer Ron Garan and off-going station Commander Andrey Borisenko said their goodbyes to the remaining residents of the International Space Station before closing the hatch on their vehicle and preparing to undock for their return home to Earth scheduled for 12:01 a.m. EDT Sept. 16.</t>
  </si>
  <si>
    <t>3mihT5ECrS8</t>
  </si>
  <si>
    <t>2011 09 14</t>
  </si>
  <si>
    <t>https://youtu.be/WjbKvj15DZM</t>
  </si>
  <si>
    <t>NASA's Fossum Given ISS Command</t>
  </si>
  <si>
    <t>In a ceremony conducted 230 miles above the Earth on Sept. 14, the "helm" of the International Space Station was handed over by Expedition 28 Commander Andrey Borisenko to NASA astronaut, Mike Fossum, who takes command of the orbiting laboratory on Expedition 29.</t>
  </si>
  <si>
    <t>WjbKvj15DZM</t>
  </si>
  <si>
    <t>https://youtu.be/QO_-kkjY9qU</t>
  </si>
  <si>
    <t>New Heavy-Lift Rocket to Take Humans Far Beyond Earth</t>
  </si>
  <si>
    <t>Animation depicting the design of NASA's new Space Launch System that will take the agency's astronauts farther into space than ever before, create high-quality jobs here at home, and provide the cornerstone for America's future human space exploration efforts.
This new heavy-lift rocket will be America's most powerful since the Saturn V rocket that carried Apollo astronauts to the moon and will launch humans to places no one has gone before.</t>
  </si>
  <si>
    <t>QO_-kkjY9qU</t>
  </si>
  <si>
    <t>https://youtu.be/8uorMEOWl08</t>
  </si>
  <si>
    <t>Station Crew Member Discusses Life in Space with Elderly Japanese Citizens</t>
  </si>
  <si>
    <t>Aboard the International Space Station, Expedition 28 Flight Engineer Satoshi Furukawa discussed the research he is conducting on the orbital laboratory with elderly Japanese citizens gathered at the Japan Aerospace Exploration Agency's control center in Tsukuba, Japan during an in-flight event on September 14, 2011. Part of the discussion involved Furukawa, who is a physician, offering thoughts on how some of the research being conducted on the station might yield benefits for the elderly back on Earth.</t>
  </si>
  <si>
    <t>8uorMEOWl08</t>
  </si>
  <si>
    <t>2011 09 13</t>
  </si>
  <si>
    <t>https://youtu.be/AKevqfI2ZeY</t>
  </si>
  <si>
    <t>NASA, ATK to Collaborate on Liberty Launch System</t>
  </si>
  <si>
    <t>NASA has agreed to collaborate with Alliant Techsystems on the development of ATK's commercial Liberty Launch System as part of the agency's Commercial Crew Development Round 2 activities. The announcement was made at NASA's Kennedy Space Center in Florida.</t>
  </si>
  <si>
    <t>AKevqfI2ZeY</t>
  </si>
  <si>
    <t>https://youtu.be/0yiJNA7dTAw</t>
  </si>
  <si>
    <t>NASA Remembers 9 11</t>
  </si>
  <si>
    <t>NASA astronaut Frank Culbertson, the only American not on the planet on Sept. 11, 2001, is joined by members of the NASA family, Congress and a first responder in recollecting the day ten years after the terrorist attacks.</t>
  </si>
  <si>
    <t>0yiJNA7dTAw</t>
  </si>
  <si>
    <t>https://youtu.be/DU0Vhd1ceDQ</t>
  </si>
  <si>
    <t>First Weld Made to New Spacecraft</t>
  </si>
  <si>
    <t>Construction has begun on the first new NASA orbit-bound, human spacecraft to be built in 20 years. Engineers at the Michoud Assembly Facility in New Orleans have started welding together the first Orion Multi-Purpose Crew Vehicle. The craft is scheduled for a test flight in 2013, during which the unmanned vehicle will orbit the Earth several times.  NASA's last spacecraft built to orbit humans was space shuttle Endeavour, which was completed in 1991.</t>
  </si>
  <si>
    <t>DU0Vhd1ceDQ</t>
  </si>
  <si>
    <t>2011 09 12</t>
  </si>
  <si>
    <t>https://youtu.be/mrD8gjnwMcg</t>
  </si>
  <si>
    <t>ScienceCasts  Visit To Pluto</t>
  </si>
  <si>
    <t>Dwarf planet Pluto is a world of mystery waiting to be visited for the first time. NASA's New Horizons probe is racing across the solar system for a ground breaking close encounter that could dramatically alter what researchers "know" about Pluto and other small worlds.</t>
  </si>
  <si>
    <t>mrD8gjnwMcg</t>
  </si>
  <si>
    <t>https://youtu.be/cTMzkHa8rCI</t>
  </si>
  <si>
    <t>ScienceCasts  Cool Stars</t>
  </si>
  <si>
    <t>Stars as cold as the human body? Believe it. A NASA spacecraft has discovered a half-dozen "Y Dwarfs" with atmospheric temperatures as low as 80 F.</t>
  </si>
  <si>
    <t>cTMzkHa8rCI</t>
  </si>
  <si>
    <t>https://youtu.be/YUwoKuQywrk</t>
  </si>
  <si>
    <t>New ISS Lab Manager on This Week @NASA</t>
  </si>
  <si>
    <t>NASA has finalized a cooperative agreement with the Center for the Advancement of Science in Space, CASIS, to manage the portion of the International Space Station that operates as a U.S. national laboratory. Located in the Space Life Sciences Laboratory at the Kennedy Space Center in Florida, the independent, nonprofit research management organization will help ensure the station's unique capabilities are available to the broadest possible cross-section of the U.S. scientific, technological and industrial communities. Plus, continuing coverage; sharpest images; "late phase flare;" satellite's re-entry; and 9/11 remembered.</t>
  </si>
  <si>
    <t>YUwoKuQywrk</t>
  </si>
  <si>
    <t>2011 09 10</t>
  </si>
  <si>
    <t>https://youtu.be/1elSL-w1B8g</t>
  </si>
  <si>
    <t>NASA's GRAIL Spacecraft Launches on Lunar Mission</t>
  </si>
  <si>
    <t>NASA's GRAIL spacecraft launched to the moon aboard a United Launch Alliance Delta II rocket on Sept. 10, 2011, from Cape Canaveral Air Force Station, Fla. 
GRAIL's primary science objectives are to determine the structure of the lunar interior, from crust to core, and to advance understanding of the thermal evolution of the moon.</t>
  </si>
  <si>
    <t>1elSL-w1B8g</t>
  </si>
  <si>
    <t>2011 09 09</t>
  </si>
  <si>
    <t>https://youtu.be/8-juzSr4HPI</t>
  </si>
  <si>
    <t>Satellite Sees Four Tropical Cyclones and Remnants Today</t>
  </si>
  <si>
    <t>There are still four tropical cyclones or remnants active in the Atlantic: Katia, Lee, Maria and Nate. This animation of NOAA satellite observations from Sept. 6 at 12:15 p.m. EDT through Sept. 9 at 10:45 a.m. EDT shows Hurricane Katia near the U.S East Coast; Tropical Storm Lee's remnants over the northeastern U.S.; Tropical Storm Maria near the Lesser Antilles; and Tropical Storm Nate is expected to become a hurricane near Mexico. The GOES-13 cloud images are overlaid on a true-color NASA/MODIS map. Storm data from NOAA's GOES-13 satellite.</t>
  </si>
  <si>
    <t>8-juzSr4HPI</t>
  </si>
  <si>
    <t>https://youtu.be/c6Rb5B0vrgI</t>
  </si>
  <si>
    <t>ISS Astronaut Remembers 9 11</t>
  </si>
  <si>
    <t>Frank Culbertson, the commander of Expedition 3 on the International Space Station, recalls what it was like being the only American not on Earth at the time of the Sept. 11, 2001 attacks. Culbertson's comments are showcased by the Sinead O'Connor ballad, "One More Day."</t>
  </si>
  <si>
    <t>c6Rb5B0vrgI</t>
  </si>
  <si>
    <t>https://youtu.be/ThBMvOIkkII</t>
  </si>
  <si>
    <t>Space Station Continues Tropical Storms Watch</t>
  </si>
  <si>
    <t>Aboard the International Space Station, external and crew-tended cameras captured new views of Hurricane Katia and Tropical Storm Nate on September 9, 2011. The video of strengthening Tropical Storm Nate from 230 miles above the Earth was acquired at 10:46 a.m. Eastern time as the system began a slow, drifting northwestward motion over the Bay of Campeche in the southern Gulf of Mexico with winds of 65 miles an hour. Nate was expected to strengthen into a hurricane by September 10 before moving west or southwest to make landfall along the south central Mexican coastline. The view of Katia was recorded a few minutes later at 10:54 a.m. Eastern time as the hurricane sped northeastward over the open Atlantic with winds of 85 miles an hour, posing no threat to the United States.</t>
  </si>
  <si>
    <t>ThBMvOIkkII</t>
  </si>
  <si>
    <t>2011 09 08</t>
  </si>
  <si>
    <t>https://youtu.be/rFZ50AZedhw</t>
  </si>
  <si>
    <t>Wax On, Wax Off</t>
  </si>
  <si>
    <t>"Behind the Webb" looks at how the James Webb Space Telescope's mirrors, which must be precisely shaped to best capture light and direct it to the telescope's detectors, are ground and polished to the perfect configuration.</t>
  </si>
  <si>
    <t>rFZ50AZedhw</t>
  </si>
  <si>
    <t>https://youtu.be/S5Y94_rEsfs</t>
  </si>
  <si>
    <t>Not So Heavy Metal</t>
  </si>
  <si>
    <t>The James Webb Space Telescope's perfectly polished, highly reflective mirrors start their life as a pile of rubble, mined from a desert in Utah. Join "Behind the Webb" as we explore a beryllium mining operation.</t>
  </si>
  <si>
    <t>S5Y94_rEsfs</t>
  </si>
  <si>
    <t>https://youtu.be/pSUDohqwg3I</t>
  </si>
  <si>
    <t>An animation of NOAA satellite observations from Sept. 5 at 11:15 a.m. EDT through Sept. 8 at 10:45 a.m. EDT shows Hurricane Katia in the western Atlantic between Bermuda and the U.S. East coast; Tropical Storm Lee's remnants affecting the northeastern U.S.; Tropical Storm Maria moving west from the central Atlantic; and newborn Tropical Storm Nate in the Bay of Campeche, Gulf of Mexico.  The GOES-13 cloud images are overlaid on a true-color NASA/MODIS map. Storm data from NOAA's GOES-13 satellite.</t>
  </si>
  <si>
    <t>pSUDohqwg3I</t>
  </si>
  <si>
    <t>https://youtu.be/QZa0haNFy1M</t>
  </si>
  <si>
    <t>Station Cameras Capture Nature's Extremes</t>
  </si>
  <si>
    <t>Aboard the International Space Station, external and crew-tended cameras captured new views of Hurricane Katia as it sped north over the Atlantic west of Bermuda at 10:10 a.m. EDT on Sept. 8, 2011, packing winds of 90 miles an hour and, an hour-and-a-half later, views of the lingering wildfires in central Texas from a vantage point 230 miles above the Earth.</t>
  </si>
  <si>
    <t>QZa0haNFy1M</t>
  </si>
  <si>
    <t>https://youtu.be/_vHQBjvGg-k</t>
  </si>
  <si>
    <t>Uncovering MIRI's Detectors</t>
  </si>
  <si>
    <t>Webb's "detectors" convert images into a digital signal that can be beamed to Earth. Join "Behind the Webb" at NASA's Jet Propulsion Laboratory in California, where these vital pieces of the James Webb Space Telescope are undergoing testing.</t>
  </si>
  <si>
    <t>_vHQBjvGg-k</t>
  </si>
  <si>
    <t>https://youtu.be/Ffxj35bxwnw</t>
  </si>
  <si>
    <t>9 11 Remembered by Space Station Crew Members</t>
  </si>
  <si>
    <t>Aboard the International Space Station, Expedition 28 Flight Engineers Ron Garan and Mike Fossum reflect on the terrorist attacks of September 11, 2001, paying homage to victims, survivors and their families. The two NASA astronauts also thank the men and women of the U.S. armed forces who've served their country in the intervening ten years.</t>
  </si>
  <si>
    <t>Ffxj35bxwnw</t>
  </si>
  <si>
    <t>2011 09 07</t>
  </si>
  <si>
    <t>https://youtu.be/9w3SakwPXQc</t>
  </si>
  <si>
    <t>SDO Detects  Late Phase  Solar Flares</t>
  </si>
  <si>
    <t>Data gathered by NASA's Solar Dynamic Observatory show that a second, delayed wave of extreme ultraviolet radiation emanates from a solar flare well after its peak. This distinct "late phase flare" some minutes to hours later has never before been fully observed. The total EUV energy from this second EUV peak sometimes has more energy than the energy during the time of the X-ray flare peak.</t>
  </si>
  <si>
    <t>9w3SakwPXQc</t>
  </si>
  <si>
    <t>https://youtu.be/0vkXMHGSqKw</t>
  </si>
  <si>
    <t>Station Cameras Hone In on Hurricane Katia</t>
  </si>
  <si>
    <t>Aboard the International Space Station, external and crew-tended cameras captured new views of Hurricane Katia from 230 miles overhead at 9:35 a.m. EDT on September 7, 2011 as the slightly weakened storm churned across the western Atlantic well away from the east coast of the United States. Katia is packing winds of 90 miles an hour, moving northwest at 10 miles an hour. Katia is expected to move in a path that would miss both the U.S. and Bermuda as it moves north and, eventually, to the northeast.</t>
  </si>
  <si>
    <t>0vkXMHGSqKw</t>
  </si>
  <si>
    <t>https://youtu.be/CMnfcWTY4uQ</t>
  </si>
  <si>
    <t>ISS's New View of Texas Wildfires</t>
  </si>
  <si>
    <t>Aboard the International Space Station, cameras captured new views of the wildfires in central Texas at 12:43 p.m. EDT September 7, 2011 as the complex flew 230 miles overhead.</t>
  </si>
  <si>
    <t>CMnfcWTY4uQ</t>
  </si>
  <si>
    <t>https://youtu.be/bxtlzby4YjM</t>
  </si>
  <si>
    <t>Sept. 11, 2001 Video From the International Space Station</t>
  </si>
  <si>
    <t>On Sept. 11, 2001, NASA astronaut, Frank Culbertson, was the lone American not on the planet. Culbertson and two Russian cosmonauts were orbiting the Earth aboard the International Space Station as members of the Expedition 3 crew. Included is video captured by Culbertson and crew as they flew over New York City just after the attacks on the World Trade Center. Included is additional footage aboard the ISS, as well as interview excerpts of Culbertson's recollections ten years later.</t>
  </si>
  <si>
    <t>bxtlzby4YjM</t>
  </si>
  <si>
    <t>https://youtu.be/Jje78j9E6Hw</t>
  </si>
  <si>
    <t>GRAIL's Science Goals Outlined in Briefing</t>
  </si>
  <si>
    <t>Leaders of the GRAIL team hold a news briefing Sept. 7 at NASA's Kennedy Space Center to discuss what they hope to learn from their mission to map the magnetic fields of the moon.</t>
  </si>
  <si>
    <t>Jje78j9E6Hw</t>
  </si>
  <si>
    <t>https://youtu.be/sbr9nH8ix4k</t>
  </si>
  <si>
    <t>sbr9nH8ix4k</t>
  </si>
  <si>
    <t>2011 09 06</t>
  </si>
  <si>
    <t>https://youtu.be/PTeM4ZqEKR4</t>
  </si>
  <si>
    <t>LRO Revisits Apollo Landing Sites</t>
  </si>
  <si>
    <t>NASA's Lunar Reconnaissance Orbiter, LRO, has captured the sharpest images ever taken from space of where three Apollo missions were conducted on the moon's surface. The pictures of the Apollo 17, Apollo 14, and Apollo 12 landing sites were taken while LRO was in what's referred to as a "dipping orbit," where the spacecraft was roughly 15 miles above the surface. They reveal the twists and turns of the paths made when the missions' six astronauts explored these areas.</t>
  </si>
  <si>
    <t>PTeM4ZqEKR4</t>
  </si>
  <si>
    <t>https://youtu.be/p7zgcKFGbtk</t>
  </si>
  <si>
    <t>ISS Astros  Meet  with Media</t>
  </si>
  <si>
    <t>Expedition 28 Flight Engineers Ron Garan and Mike Fossum take questions from members of the American media about the latest aboard the International Space Station.</t>
  </si>
  <si>
    <t>p7zgcKFGbtk</t>
  </si>
  <si>
    <t>https://youtu.be/p18j_vmIyso</t>
  </si>
  <si>
    <t>GRAIL Launch Set for Sept. 8</t>
  </si>
  <si>
    <t>With the launch of the GRAIL mission less than two days away, project scientists and engineers hold a pre-launch news conference at NASA's Kennedy Space Center.</t>
  </si>
  <si>
    <t>p18j_vmIyso</t>
  </si>
  <si>
    <t>https://youtu.be/IdBbNdRsFeM</t>
  </si>
  <si>
    <t>Katia's Latest Close-Up Captured by ISS Cameras</t>
  </si>
  <si>
    <t>Aboard the International Space Station, external cameras captured new video of Hurricane Katia as it moved northwest across the western Atlantic north of Puerto Rico at 10:35 a.m. EDT on Sept. 6, 2011. Katia has strengthened into a major Category 3 hurricane packing winds of 125 miles an hour and could strengthen even more before taking a turn to the north and then northeast off the east coast of the United States.</t>
  </si>
  <si>
    <t>IdBbNdRsFeM</t>
  </si>
  <si>
    <t>https://youtu.be/K-1mpjet12k</t>
  </si>
  <si>
    <t>Texas Wildfires Seen from Space Station</t>
  </si>
  <si>
    <t>From 230 miles overhead, International Space Station external and crew-tended cameras captured video of the wildfires burning in central Texas to the southeast of the capitol of Austin at 12:07 p.m. Eastern time on Sept. 6, 2011. The video was accompanied by comments on the wildfires by Expedition 28 Flight Engineer Mike Fossum.</t>
  </si>
  <si>
    <t>K-1mpjet12k</t>
  </si>
  <si>
    <t>2011 09 02</t>
  </si>
  <si>
    <t>https://youtu.be/hG3Z3HcfWq0</t>
  </si>
  <si>
    <t>Tracking Katia on This Week @NASA</t>
  </si>
  <si>
    <t>Just like with Hurricane Irene, NASA eyes in the sky have helped keep tabs on the progress of Katia, the latest storm on the radar of weather watchers. Making the first of its multiple flyovers of Katia on August 31, the International Space Station's external cameras tracked the storm's path across the Atlantic.
Also, NPP Arrives at Vandy; Orbital Gets a "Go"; D-RATS Underway and Opportunity Knocks at Endeavour.</t>
  </si>
  <si>
    <t>hG3Z3HcfWq0</t>
  </si>
  <si>
    <t>https://youtu.be/iBsgd-JQx9A</t>
  </si>
  <si>
    <t>ISS Sees Katia, Two More Storms</t>
  </si>
  <si>
    <t>Aboard the International Space Station, Expedition 28 crewmembers and external cameras captured new video on September 2, 2011 at 4:01 a.m. EDT of Tropical Storm Talas over Japan moving north-northwest with winds of 65 miles an hour, at 9:41 a.m. EDT of Hurricane Katia in the Atlantic moving west-northwest with winds of 70 miles an hour, and at 12:50 p.m. EDT of Tropical Storm Lee meandering in the northern Gulf of Mexico, creeping up toward the coast of Louisiana with winds of about 35 miles an hour.</t>
  </si>
  <si>
    <t>iBsgd-JQx9A</t>
  </si>
  <si>
    <t>https://youtu.be/qtSie19oVKE</t>
  </si>
  <si>
    <t>Huge Storm Threatens Northern Gulf States</t>
  </si>
  <si>
    <t>An animation of NOAA satellite observations from Aug. 31 at 10:45 a.m. EDT through Sept. 2 at 10:45 a.m. EDT shows the birth of Tropical Depression 13, now Tropical Storm Lee, south of the Louisiana coast. Tropical Storm Lee threatens the northern Gulf coast states with heavy rainfall all weekend. The GOES-13 cloud images are overlaid on a true-color NASA/MODIS map. Storm data comes from NOAA's GOES-13 satellite.</t>
  </si>
  <si>
    <t>qtSie19oVKE</t>
  </si>
  <si>
    <t>2011 09 01</t>
  </si>
  <si>
    <t>https://youtu.be/3VSD6YcgsBw</t>
  </si>
  <si>
    <t>3VSD6YcgsBw</t>
  </si>
  <si>
    <t>https://youtu.be/3f7qFCYYB0E</t>
  </si>
  <si>
    <t>Satellite Eyes Hurricane Katia on the Move</t>
  </si>
  <si>
    <t>An animation of NOAA satellite observations from August 28 at 4:45 p.m.
EDT through August 31 at 4:45 p.m. EDT shows Katia's growth from a
tropical storm into a Category 1 hurricane on the Saffir-Simpson scale.
On September 1, Katia's maximum sustained winds were 75 mph and she was
over 1,000 miles east of the Leeward Islands. The GOES-13 cloud images
are overlaid on a true-color NASA/MODIS map. Storm data from NOAA's
GOES-13 satellite.</t>
  </si>
  <si>
    <t>3f7qFCYYB0E</t>
  </si>
  <si>
    <t>https://youtu.be/Oa1ayR3PVSE</t>
  </si>
  <si>
    <t>Station Crew Discusses Life in Space with South Dakota Media</t>
  </si>
  <si>
    <t>Aboard the International Space Station, Expedition 28 Flight Engineers Ron Garan and Mike Fossum of NASA and Satoshi Furukawa of the Japan Aerospace Exploration Agency talk about the progress of their mission with South Dakota Public Broadcasting during an in-flight interview on Sept 1. Fossum was born in Sioux Falls, S.D., but considers McAllen, Texas his home town.</t>
  </si>
  <si>
    <t>Oa1ayR3PVSE</t>
  </si>
  <si>
    <t>https://youtu.be/yw5m9QXYvRQ</t>
  </si>
  <si>
    <t>Katia's Newest View from Space Station Cameras</t>
  </si>
  <si>
    <t>From 230 miles above the Earth, cameras on the International Space Station capture new views of Hurricane Katia on September 1, 2011 as it moves west across the Atlantic at 10:40 a.m. Eastern packing winds of 75 miles an hour.</t>
  </si>
  <si>
    <t>yw5m9QXYvRQ</t>
  </si>
  <si>
    <t>2011 08 31</t>
  </si>
  <si>
    <t>https://youtu.be/SIuFcNphMzY</t>
  </si>
  <si>
    <t>Crew Return Set on This Week @NASA</t>
  </si>
  <si>
    <t>September 16 is the new date for three members of the Expedition 28 crew to return home from the International Space Station. The journey back to Earth for Andrey Borisenko, Ron Garan, and Alexander Samokutyaev, will conclude on September 16 with a landing of their Soyuz spacecraft in Kazakhstan at 12:01 a.m. Eastern. Originally scheduled for September 8, their return had been postponed indefinitely after the station-bound Progress 44 spacecraft failed to reach orbit after its August 24 launch. Also, ISS commercial cargo carrier; Stennis' new facility; Shannon's key; music man; and more.</t>
  </si>
  <si>
    <t>SIuFcNphMzY</t>
  </si>
  <si>
    <t>https://youtu.be/0pm9DTgoVIM</t>
  </si>
  <si>
    <t>NASA's Chandra Finds  Nearby  Black Holes</t>
  </si>
  <si>
    <t>Astronomers using NASA's Chandra X-ray Observatory have discovered the first pair of supermassive black holes in a spiral galaxy similar to the Milky Way. Approximately 160 million light years from Earth, the pair is the nearest known such phenomenon.  The black holes are located near the center of the spiral galaxy NGC 3393. Separated by only 490 light years, the black holes are likely the remnant of a merger of two galaxies of unequal mass a billion or more years ago.</t>
  </si>
  <si>
    <t>0pm9DTgoVIM</t>
  </si>
  <si>
    <t>https://youtu.be/vO45Gh_orM0</t>
  </si>
  <si>
    <t>ISS Cameras Capture Katia</t>
  </si>
  <si>
    <t>From an altitude of 230 miles, external cameras aboard the International Space Station captured video of Tropical Storm Katia at 10:03 a.m. EDT August 31, 2011, as it churned across the central Atlantic. Katia is moving west-northwest at a brisk speed of 21 miles an hour, packing winds of 65 miles an hour. Katia is expected to strengthen into a major hurricane over the Labor Day weekend, but is not an immediate threat to land.</t>
  </si>
  <si>
    <t>vO45Gh_orM0</t>
  </si>
  <si>
    <t>https://youtu.be/2Jq42IqYlBo</t>
  </si>
  <si>
    <t>NASA Climate Satellite Arrives in California for Launch</t>
  </si>
  <si>
    <t>NASA's National Polar-Orbiting Operational Environmental Satellite System Preparatory Project (NPP) has arrived at Vandenberg Air Force Base in California, from where it's scheduled to launch October 25. NPP is the prototype for the next generation of Earth-observing satellites.  With five instruments onboard, NPP will observe the entire globe once a day, providing continuous observations of the Earth's land, oceans, and atmosphere.  The data collected will be used for long-term monitoring of how our Earth and climate are changing. NASA's Goddard Space Flight Center manages the NPP mission.</t>
  </si>
  <si>
    <t>2Jq42IqYlBo</t>
  </si>
  <si>
    <t>2011 08 30</t>
  </si>
  <si>
    <t>https://youtu.be/FwrrLhKNwN0</t>
  </si>
  <si>
    <t xml:space="preserve">ISS's Furukawa Speaks with Japan's  Young Astronauts </t>
  </si>
  <si>
    <t>Expedition 28 Flight Engineer Satoshi Furukawa of the Japan Aerospace Exploration Agency (JAXA) discusses his mission with members of the Young Astronauts Club in Japan via special linkup with the International Space Station on August 30.</t>
  </si>
  <si>
    <t>FwrrLhKNwN0</t>
  </si>
  <si>
    <t>https://youtu.be/MrWqFOjBvMs</t>
  </si>
  <si>
    <t>Hurricane Irene  From Caribbean to Canada</t>
  </si>
  <si>
    <t>An animation of satellite observations from August 21 through August 29 showing the birth of Hurricane Irene in the Caribbean and her track over Puerto Rico, Hispaniola, the Bahamas, up the U.S. east coast and into Canada. Irene grew to a Category 2 hurricane on the Saffir-Simpson scale and made landfalls in North Carolina, New Jersey and New York. The GOES-13 cloud images are overlaid on a true-color MODIS map of the entire eastern US and Greater Antilles. Data from NOAA's GOES-13 satellite.</t>
  </si>
  <si>
    <t>MrWqFOjBvMs</t>
  </si>
  <si>
    <t>2011 08 29</t>
  </si>
  <si>
    <t>https://youtu.be/rrKMO_FuF-o</t>
  </si>
  <si>
    <t>ISS Crew Talks with Seattle Area Students</t>
  </si>
  <si>
    <t>Members of the Expedition 28 crew aboard the International Space Station answer questions from students gathered at the Museum of Flight in Seattle, Washington on August 29.</t>
  </si>
  <si>
    <t>rrKMO_FuF-o</t>
  </si>
  <si>
    <t>https://youtu.be/e4tB3RqveKQ</t>
  </si>
  <si>
    <t>Station Manager Updates ISS Status</t>
  </si>
  <si>
    <t>NASA's International Space Station Program Manager, Mike Suffredini, provides the latest mission information following last week's loss of an unpiloted Progress supply ship in a briefing held at the Johnson Space Center in Houston on August 29.</t>
  </si>
  <si>
    <t>e4tB3RqveKQ</t>
  </si>
  <si>
    <t>2011 08 28</t>
  </si>
  <si>
    <t>https://youtu.be/vFY7gfHh4s0</t>
  </si>
  <si>
    <t>Station Crew Spots Irene</t>
  </si>
  <si>
    <t>An Expedition 28 crew member aboard the International Space Station captured this video of Tropical Storm Irene on August 28 at 4:09 p.m. EDT as it moved over the east coast of the United States.</t>
  </si>
  <si>
    <t>vFY7gfHh4s0</t>
  </si>
  <si>
    <t>https://youtu.be/J5jY2IsqSLA</t>
  </si>
  <si>
    <t>Space Station Views Tropical Storm Irene</t>
  </si>
  <si>
    <t>Cameras mounted on the International Space Station captured new views of Tropical Storm Irene at 2:33 p.m. EDT on August 28, 2011 as the storm bore down on the east coast of the United States. Expedition 28 Flight Engineer Mike Fossum comments on the condition of the storm as seen from space.</t>
  </si>
  <si>
    <t>J5jY2IsqSLA</t>
  </si>
  <si>
    <t>2011 08 26</t>
  </si>
  <si>
    <t>https://youtu.be/lZTeKvukrso</t>
  </si>
  <si>
    <t>Space Station Cameras View Hurricane Irene as it Approaches the U.S.</t>
  </si>
  <si>
    <t>Cameras mounted on the International Space Station captured new views of Hurricane Irene at 4:27 p.m. EDT on August 26, 2011 as the storm bore down on the east coast of the United States. Accompanied by narration from Expedition 28 Flight Engineer Mike Fossum of NASA, the video showed the massive system moving north at 14 miles an hour packing winds of 100 miles an hour some 300 miles south-southwest of Cape Hatteras, North Carolina. Irene is expected to track to the northeast along the mid-Atlantic states, the metropolitan New York-New Jersey region and New England this weekend before heading out over the north Atlantic.</t>
  </si>
  <si>
    <t>lZTeKvukrso</t>
  </si>
  <si>
    <t>https://youtu.be/NiejvDFB5dI</t>
  </si>
  <si>
    <t>Cameras mounted on the International Space Station captured new views of Hurricane Irene at 2:51 p.m. EDT on August 26, 2011 as the storm bore down on the east coast of the United States. Accompanied by narration from Expedition 28 Flight Engineer Mike Fossum of NASA, the video showed the massive system moving north at 14 miles an hour packing winds of 100 miles an hour some 300 miles south-southwest of Cape Hatteras, North Carolina. Irene is expected to track to the northeast along the mid-Atlantic states, the metropolitan New York-New Jersey region and New England this weekend before heading out over the north Atlantic.</t>
  </si>
  <si>
    <t>NiejvDFB5dI</t>
  </si>
  <si>
    <t>https://youtu.be/u2i7FBzFgws</t>
  </si>
  <si>
    <t>Station Cameras Capture New Views of Major Hurricane Irene</t>
  </si>
  <si>
    <t>Cameras mounted on the International Space Station captured new views of Hurricane Irene as it churned across the Bahamas at 3:47 p.m. EDT on August 25, 2011. Irene, which is a massive and powerful category 3 hurricane, is moving north-northwest toward a likely brush with the outer banks of North Carolina Saturday before tracking up the mid-Atlantic states and a possible path over the metropolitan New York area and New England late this weekend.</t>
  </si>
  <si>
    <t>u2i7FBzFgws</t>
  </si>
  <si>
    <t>https://youtu.be/24VOW3shcGQ</t>
  </si>
  <si>
    <t>ScienceCasts  Bright Perseid Photographed from Space</t>
  </si>
  <si>
    <t>On August 13th, space station astronaut Ron Garan photographed a centimeter-sized chunk of comet debris disintegrating in Earth's atmosphere. His rare photo of a meteor from Earth orbit is a must-see.</t>
  </si>
  <si>
    <t>24VOW3shcGQ</t>
  </si>
  <si>
    <t>https://youtu.be/mmhJD0UHMPY</t>
  </si>
  <si>
    <t>ScienceCasts  Breath of Fresh Air</t>
  </si>
  <si>
    <t>The same kind of oxygen humans breath on Earth has been found in deep space. It's a breath of fresh air for astronomers who have been searching for cosmic "O2" until now without success.</t>
  </si>
  <si>
    <t>mmhJD0UHMPY</t>
  </si>
  <si>
    <t>2011 08 25</t>
  </si>
  <si>
    <t>https://youtu.be/TJ-Oer3XpGI</t>
  </si>
  <si>
    <t>GRAIL Launch to Moon Nears</t>
  </si>
  <si>
    <t>NASA's Gravity Recovery and Interior Laboratory mission is less than two weeks away from launch as scientists and engineers discuss how its two spacecraft will reveal new data about the surface and interior of the moon, from crust to core. GRAIL is set to launch from Cape Canaveral Air Force Station the morning of Sept. 8.</t>
  </si>
  <si>
    <t>TJ-Oer3XpGI</t>
  </si>
  <si>
    <t>https://youtu.be/6UNDq1eTgPQ</t>
  </si>
  <si>
    <t>Station Crew Interviewed by TV, Web Media</t>
  </si>
  <si>
    <t>Members of the Expedition 28 crew aboard the ISS are interviewed by reporters from KGO-TV, San Francisco, and Space.com about life and work aboard the International Space Station.</t>
  </si>
  <si>
    <t>6UNDq1eTgPQ</t>
  </si>
  <si>
    <t>https://youtu.be/9i2j7gdHuuE</t>
  </si>
  <si>
    <t>Commercial Cargo Module Arrives at Wallops</t>
  </si>
  <si>
    <t>The arrival of an Antonov cargo carrier at the Wallops Flight Facility in Virginia signals another milestone for NASA'S partnership with industry to re-supply the International Space Station. It brought to Wallops the Cygnus spacecraft's Pressurized Cargo Module, or PCM. Over the next few months, the PCM will be integrated with the Cygnus service module that includes the spacecraft's avionics, propulsion and power systems. Designed by the Orbital Sciences Corporation to carry cargo and supplies to the ISS, the Cygnus spacecraft is scheduled for a demonstration flight early next year.</t>
  </si>
  <si>
    <t>9i2j7gdHuuE</t>
  </si>
  <si>
    <t>2011 08 24</t>
  </si>
  <si>
    <t>https://youtu.be/9lq6eNqQ4_0</t>
  </si>
  <si>
    <t>From 230 miles above the Earth, cameras on the International Space Station captured new views of powerful Hurricane Irene as it churned over the Bahamas at 3:10 p.m. EDT on August 24, 2011. Irene is moving to the northwest as a Category 3 hurricane, packing winds of 120 miles an hour. Irene is expected to strengthen to a Category 4 storm as it heads toward the Outer Banks of North Carolina, the Eastern Seaboard and the middle Atlantic and New England states.</t>
  </si>
  <si>
    <t>9lq6eNqQ4_0</t>
  </si>
  <si>
    <t>https://youtu.be/29OIVEIU0W0</t>
  </si>
  <si>
    <t>Cargo Craft Lost After Launch</t>
  </si>
  <si>
    <t>NASA's International Space Station Program Manager, Mike Suffredini, discusses the loss of Russia's Progress 44 spacecraft less than six minutes after its Aug. 24 launch from Kazakhstan for the International Space Station. The unpiloted cargo ship carrying three tons of food, fuel and other supplies for the six Expedition 28 crew members crashed in the mountainous Altai region of southwest Russia.</t>
  </si>
  <si>
    <t>29OIVEIU0W0</t>
  </si>
  <si>
    <t>2011 08 23</t>
  </si>
  <si>
    <t>https://youtu.be/fki5r9T6dZk</t>
  </si>
  <si>
    <t>Expedition 28 Crew Records Video of Hurricane Irene from the ISS</t>
  </si>
  <si>
    <t>From almost 230 miles above the Earth, cameras on the International Space Station recorded new video of Hurricane Irene, which is strengthening as it takes aim on the southeast Bahamas, and possibly, the Eastern Seaboard of the United States. The video was captured at 4:08 p.m. EDT on August 23, 2011, as Irene moved west-northwest.</t>
  </si>
  <si>
    <t>fki5r9T6dZk</t>
  </si>
  <si>
    <t>https://youtu.be/VmmBrd7LzMk</t>
  </si>
  <si>
    <t xml:space="preserve"> World  in Space</t>
  </si>
  <si>
    <t>The International Space Station continues an uninterrupted human presence in space as a test-bed for future exploration beyond low-Earth orbit and the only science lab in microgravity. This music video featuring the space station and its crews is set to the song "World" by recording artists Five for Fighting.</t>
  </si>
  <si>
    <t>VmmBrd7LzMk</t>
  </si>
  <si>
    <t>https://youtu.be/0a6H0EuvOZQ</t>
  </si>
  <si>
    <t>Japanese Prime Minister Calls ISS</t>
  </si>
  <si>
    <t>Aboard the International Space Station, Expedition 28 Flight Engineer Satoshi Furukawa of the Japan Exploration Aerospace Agency discussed the progress of his mission with Japanese Prime Minister Naoto Kan during an in-flight conversation Aug. 23, 2011. Furukawa has been aboard the station since June and will return to Earth in a Russian Soyuz spacecraft in mid-November.</t>
  </si>
  <si>
    <t>0a6H0EuvOZQ</t>
  </si>
  <si>
    <t>2011 08 22</t>
  </si>
  <si>
    <t>https://youtu.be/KpKwKLP2Ans</t>
  </si>
  <si>
    <t>Space Weather Forecasts in STEREO on This Week @NASA</t>
  </si>
  <si>
    <t>New processing techniques used on data gathered by NASA's STEREO spacecraft will allow scientists to better track solar storms before they impact Earth. The storms called Coronal Mass Ejections, or CMEs are observed from NASA's twin Solar Terrestrial Relations Observatory, spacecraft launched in 2006. The data can now reveal a clear and detailed look at a storm's front from the sun all the way to Earth, thus reducing uncertainty of its arrival time. Plus, Curiosity's arm; NASA in NY; Stennis visitors; SF summit; Shuttle program celebrated; environmental stewardship; and, Apollo 13 astro honored. Also,  birds of a feather; "Box" rocks Cleveland.</t>
  </si>
  <si>
    <t>KpKwKLP2Ans</t>
  </si>
  <si>
    <t>2011 08 19</t>
  </si>
  <si>
    <t>https://youtu.be/dXHRcDM6Tv8</t>
  </si>
  <si>
    <t>Stretching Webb's Wings</t>
  </si>
  <si>
    <t>"Behind the Webb" shows how the James Webb Space Telescope's protective sunshield will be folded up inside the rocket that carries it into orbit. Engineers explain to "Behind the Webb" how the sunshield will be unfurled from a million miles away</t>
  </si>
  <si>
    <t>dXHRcDM6Tv8</t>
  </si>
  <si>
    <t>https://youtu.be/zA1R5xZdlbQ</t>
  </si>
  <si>
    <t>Got Your Back</t>
  </si>
  <si>
    <t>The James Webb Space Telescope's mirror, made of 18 individual segments, will be folded up inside the rocket that carries the telescope into orbit. "Behind the Webb" talks with engineers constructing the frame at the back of the mirror that will adjust Webb's segments to achieve a single perfect focus.</t>
  </si>
  <si>
    <t>zA1R5xZdlbQ</t>
  </si>
  <si>
    <t>https://youtu.be/mRY-E8eBkXE</t>
  </si>
  <si>
    <t>Troubleshooting Webb</t>
  </si>
  <si>
    <t>At Northrop Grumman, engineers are testing the systems that will control the James Webb Space Telescope from the ground. "Behind the Webb" explores the hows and whys of ensuring perfect long-distance control from 940,000 miles away.</t>
  </si>
  <si>
    <t>mRY-E8eBkXE</t>
  </si>
  <si>
    <t>https://youtu.be/aaB8ca5GJ-Y</t>
  </si>
  <si>
    <t>Webb at the World Science Festival</t>
  </si>
  <si>
    <t>Visitors to the World Science Festival in New York City were greeted by a startling sight: the James Webb Space Telescope. "Behind the Webb" shows how the life-sized model of the telescope gave viewers a glimpse at the next big leap for orbiting observatories.</t>
  </si>
  <si>
    <t>aaB8ca5GJ-Y</t>
  </si>
  <si>
    <t>https://youtu.be/la1--kuU_5U</t>
  </si>
  <si>
    <t>Reflecting on Webb's Mirrors</t>
  </si>
  <si>
    <t>The James Webb Space Telescope is a reflecting telescope, which means it relies on mirrors to capture the light it uses to make images. At Tinsley Laboratories in California, "Behind the Webb" examines how the JWST's multiple mirrors are taking shape and being tested.</t>
  </si>
  <si>
    <t>la1--kuU_5U</t>
  </si>
  <si>
    <t>https://youtu.be/VVVozYAvPkk</t>
  </si>
  <si>
    <t>The Big Chill</t>
  </si>
  <si>
    <t>The James Webb Space Telescope's huge primary mirror is made up of 18 smaller mirrors. At NASA's Marshall Space Flight Center in Huntsville, Ala., "Behind the Webb" looks at their environmental and thermal testing is preparing them the mirrors for the hazards of space.</t>
  </si>
  <si>
    <t>VVVozYAvPkk</t>
  </si>
  <si>
    <t>https://youtu.be/zWBHO8FIP8Y</t>
  </si>
  <si>
    <t>Jack of All Sunshields</t>
  </si>
  <si>
    <t>Because the James Webb Space Telescope sees infrared light, it must be kept extraordinarily cold. "Behind the Webb' explains why Webb's huge sunshield is, perhaps, the most important component for keeping JWST cool.</t>
  </si>
  <si>
    <t>zWBHO8FIP8Y</t>
  </si>
  <si>
    <t>2011 08 18</t>
  </si>
  <si>
    <t>https://youtu.be/wtdhAXBSZ6M</t>
  </si>
  <si>
    <t>STEREO Scopes Out Solar Storms</t>
  </si>
  <si>
    <t>A NASA Science Update held at the agency's Headquarters in Washington reveals new details about the structure of solar storms and the materials they produce that impact Earth.
Briefing participants are: Madhulika Guhathakurta, Living With a Star Program lead scientist, NASA Headquarters; Craig DeForest, staff scientist, Southwest Research Institute, Boulder, Colo.; David Webb, research physicist, Institute for Scientific Research, Boston College; and Alysha Reinard, research scientist, National Oceanic and Atmospheric Administration and the University of Colorado, Boulder</t>
  </si>
  <si>
    <t>wtdhAXBSZ6M</t>
  </si>
  <si>
    <t>https://youtu.be/x5zzf4L8Ec4</t>
  </si>
  <si>
    <t>Students at Stennis Question Station Crew</t>
  </si>
  <si>
    <t>Aboard the International Space Station, Expedition 28 Flight Engineers Ron Garan and Mike Fossum of NASA is joined by Satoshi Furukawa of the Japan Aerospace Exploration Agency to discuss life and work on the orbital laboratory with students gathered at the Stennis Space Center in Bay St. Louis, Miss. during an in-flight educational event on August 18, 2011.</t>
  </si>
  <si>
    <t>x5zzf4L8Ec4</t>
  </si>
  <si>
    <t>2011 08 16</t>
  </si>
  <si>
    <t>https://youtu.be/UdtsueWG2mM</t>
  </si>
  <si>
    <t>Opportunity Rover Reaches Martian Crater on This Week @NASA</t>
  </si>
  <si>
    <t>NASA's Mars Rover Opportunity has reached its next destination. Three years after climbing out of Victoria crater, Opportunity has completed an eleven-mile trek to the rim of Endeavour crater at a spot informally named "Spirit Point" after the rover's decommissioned twin. 
At 14 miles in diameter, Endeavour has ridges along its western rim that expose rock outcrops older than any Opportunity has seen so far. Also, Future Forum; shuttles nose-to-nose; hydro basin; women of WISH;  STEM forum; and engineering interns. Plus, NASA Art!</t>
  </si>
  <si>
    <t>UdtsueWG2mM</t>
  </si>
  <si>
    <t>https://youtu.be/l9hoWRovfpM</t>
  </si>
  <si>
    <t xml:space="preserve">ISS Crew Member Talks with  TV Tokyo </t>
  </si>
  <si>
    <t>Expedition 28 Flight Engineer Satoshi Furukawa of the Japan Aerospace Exploration Agency discusses the progress of his mission aboard the International Space Station with viewers of the Japanese program "TV Tokyo" during an in-flight interview on August 16, 2011.</t>
  </si>
  <si>
    <t>l9hoWRovfpM</t>
  </si>
  <si>
    <t>https://youtu.be/EZzIk2JFSQw</t>
  </si>
  <si>
    <t>NASA Holds Future Forum at U of Maryland (Pt. 1 of 4)</t>
  </si>
  <si>
    <t>NASA's first Future Forum of 2011 brought together agency officials and local business, science and education leaders to discuss the agency's role in advancing innovation, technology, science, engineering, and education and NASA's benefit to the nation's economy. Part 1 of the one-day forum featured remarks by Administrator Charles Bolden, and two panel discussions. "Innovation, Exploration, and Inspiration and NASA's Future," with, NASA Chief Technologist Bobby Braun; Chief Scientist Waleed Abdalati; Deputy Associate Administrator for Exploration Systems Laurie Leshin; and astronaut and Associate Administrator for Education Leland Melvin. "Technology and Innovation: Unleashing the power of technology and creativity," with Peter Hughes, Goddard Space Flight Center Chief Technologist; Joseph Parrish, NASA Chief Technology Office Early Stage Innovation; Jen Byrne, Lockheed Martin; Pat O'Shea, University of Maryland; David Barbe, Maryland Technology Enterprise Institute Director; and Ralph McNutt, Johns Hopkins University.</t>
  </si>
  <si>
    <t>EZzIk2JFSQw</t>
  </si>
  <si>
    <t>2011 08 15</t>
  </si>
  <si>
    <t>https://youtu.be/ME51bNgsDaM</t>
  </si>
  <si>
    <t xml:space="preserve"> Pushing the Limits  Future Forum Panel on Science and Discovery (Pt. 2 of 4)</t>
  </si>
  <si>
    <t>Panel: "Science and Discovery: Pushing the limits of knowledge to inspire a new generation" Michelle Thaller, Goddard Space Flight Center Astrophysicist; Waleed Abdalati, NASA Chief Scientist; David Pierce, Wallops Balloon Program; Matt Mountain, Space Telescope Science Institute Director; Antonio Busalacchi, University of Maryland Professor; and David Novak, NOAA Hydrometeorological Prediction Center.</t>
  </si>
  <si>
    <t>ME51bNgsDaM</t>
  </si>
  <si>
    <t>https://youtu.be/GVE1JJaPJiI</t>
  </si>
  <si>
    <t>GVE1JJaPJiI</t>
  </si>
  <si>
    <t>2011 08 13</t>
  </si>
  <si>
    <t>https://youtu.be/4qkpTy7Ba9E</t>
  </si>
  <si>
    <t xml:space="preserve"> Building Idea Factories  Future Forum's Focus on Education (Pt. 4 of 4)</t>
  </si>
  <si>
    <t>Panel: "Inspiration/Education: Building idea factories for the future" Michael Lach, U.S. Dept. of Education; Leland Melvin, NASA Associate Administrator for Education; Mohammed Eltayeb, Frostburg University Physics and Engineering Dept. Chair; Mary Bowden, University of Maryland Assoc. Director of Graduate Studies; and Susan Bardenhagen, Classroom Educator, Fairfax County Public Schools.</t>
  </si>
  <si>
    <t>4qkpTy7Ba9E</t>
  </si>
  <si>
    <t>https://youtu.be/OfqV8cwCbkQ</t>
  </si>
  <si>
    <t>Future Forum Panel Spotlights Technology Transfer (Pt. 3 of 4)</t>
  </si>
  <si>
    <t>Panel: "Technology Investments and Benefits: Transferring and commercializing NASAtechnology to benefit our lives" Dan Lockney, NASA OCT Technology Transfer Program Executive; Gilmer Blankenship, University of Maryland Professor; Henry Hertzfeld, George Washington University Professor; Jayfus Doswell, Entrepreneur; and Asher Gendelman, Zephyr Marketing Director.</t>
  </si>
  <si>
    <t>OfqV8cwCbkQ</t>
  </si>
  <si>
    <t>2011 08 12</t>
  </si>
  <si>
    <t>https://youtu.be/eA-iWUXMCic</t>
  </si>
  <si>
    <t>NASA's Mars Rover Opportunity has reached its next destination. Three years after climbing out of Victoria crater, Opportunity has completed an eleven-mile trek to the rim of Endeavour crater at a spot informally named "Spirit Point" after the rover's decommissioned twin. 
At 14 miles in diameter, Endeavour has ridges along its western rim that expose rock outcrops older than any Opportunity has seen so far. Also, Future Forum; shuttles nose-to-nose; hydro basin; women of WISH;  STEM forum; and engineering interns. Plus, NASA Art!</t>
  </si>
  <si>
    <t>eA-iWUXMCic</t>
  </si>
  <si>
    <t>https://youtu.be/iHGIN3RlbP8</t>
  </si>
  <si>
    <t>ScienceCasts  Dawn's Smooth Move</t>
  </si>
  <si>
    <t>NASA's Dawn spacecraft doesn't do things like other missions. In July it slipped into orbit around asteroid Vesta using a smooth move that made mission planners want to get up and dance.</t>
  </si>
  <si>
    <t>iHGIN3RlbP8</t>
  </si>
  <si>
    <t>2011 08 10</t>
  </si>
  <si>
    <t>https://youtu.be/iMnt6PWYscg</t>
  </si>
  <si>
    <t>Opportunity Reaches Next Destination on Mars</t>
  </si>
  <si>
    <t>NASA's Mars Rover Opportunity has reached its next destination. Three years after climbing out of Victoria crater, Opportunity has completed an eleven-mile trek to the rim of Endeavour crater at a spot informally named "Spirit Point" after the rover's decommissioned twin. 
At 14 miles in diameter, Endeavour is an inviting work site for Opportunity. Orbital observations indicate that the ridges along its western rim expose rock outcrops older than any Opportunity has seen so far.</t>
  </si>
  <si>
    <t>iMnt6PWYscg</t>
  </si>
  <si>
    <t>https://youtu.be/51lS4UkrXt4</t>
  </si>
  <si>
    <t>ISS Crew Interviewed by Houston Media</t>
  </si>
  <si>
    <t>Reporters from KTRK-TV and KTRH Radio, both in Houston, conduct in-flight interviews with Expedition 28 astronauts aboard the International Space Station orbiting 220 miles above Earth.</t>
  </si>
  <si>
    <t>51lS4UkrXt4</t>
  </si>
  <si>
    <t>2011 08 09</t>
  </si>
  <si>
    <t>https://youtu.be/qnkeD04jveg</t>
  </si>
  <si>
    <t>Station Crew Meets with Minnesota Scouts</t>
  </si>
  <si>
    <t>Members of the International Space Station's Expedition 28 crew linked up for a question-and-answer session with Boy Scouts of America in St. Paul, Minnesota.</t>
  </si>
  <si>
    <t>qnkeD04jveg</t>
  </si>
  <si>
    <t>2011 08 05</t>
  </si>
  <si>
    <t>https://youtu.be/BrG-8bVL-v4</t>
  </si>
  <si>
    <t>Juno to Jupiter on This Week @NASA</t>
  </si>
  <si>
    <t>The successful liftoff of the Juno spacecraft from the Kennedy Space Center begins a five-year cruise to the planet Jupiter to investigate the planet's structure, atmosphere and magnetosphere.
It will also provide detailed images of Jupiter's surface and capture the first high-resolution views of its poles. Also, possible Martian water flows; Vesta's new look; oxygen in space; and, Columbia debris. Plus, HQ crew visit; Russians spacewalk; SOFIA ambassadors; new Apollo 15 book; and dunk tank for food.</t>
  </si>
  <si>
    <t>BrG-8bVL-v4</t>
  </si>
  <si>
    <t>https://youtu.be/2jo3DsRP5vA</t>
  </si>
  <si>
    <t>Juno Mission Holds Key to Solar System's Origins</t>
  </si>
  <si>
    <t>Juno team leaders discuss the solar-powered spacecraft's mission and its planned arrival at Jupiter in July 2016. There, it'll orbit the planet's poles 33 times to find out more about the gas giant's interior, atmosphere and aurora. Scientists believe Jupiter holds the key to better understanding the origins of our solar system.</t>
  </si>
  <si>
    <t>2jo3DsRP5vA</t>
  </si>
  <si>
    <t>https://youtu.be/EIyt5EBUlfM</t>
  </si>
  <si>
    <t>Juno Mission Launches to Jupiter</t>
  </si>
  <si>
    <t>NASA's Juno spacecraft is on its way to Jupiter after being launched aboard an Atlas V rocket from the Cape Canaveral Air Force Station, Florida on August 5 at 11:25 a.m. Eastern. The solar-powered spacecraft will arrive at Jupiter in July 2016 and orbit its poles 33 times to find out more about the gas giant's interior, atmosphere and aurora. Scientists believe Jupiter holds the key to better understanding the origins of our solar system.</t>
  </si>
  <si>
    <t>EIyt5EBUlfM</t>
  </si>
  <si>
    <t>https://youtu.be/Do9xkkSqOCw</t>
  </si>
  <si>
    <t>Station Crew Discusses Life in Space During In-Flight Interviews</t>
  </si>
  <si>
    <t>Aboard the International Space Station, Expedition 28 Flight Engineers Ron Garan and Mike Fossum provided reporters an update of the progress of their mission on the orbital laboratory during in-flight interviews Aug. 5, 2011, with ABC Radio Network News and WOFL-TV in Orlando, Fla.</t>
  </si>
  <si>
    <t>Do9xkkSqOCw</t>
  </si>
  <si>
    <t>2011 08 04</t>
  </si>
  <si>
    <t>https://youtu.be/5iWgZ_TmL0M</t>
  </si>
  <si>
    <t>Tweeps Tweet About Juno Mission</t>
  </si>
  <si>
    <t>Some 150 Tweeps, users of the social medium Twitter, meet with Juno mission scientists on August 4, 2011 at NASA's Kennedy Space Center in Florida to learn about the spacecraft's 5-year journey to Mars. Juno launched from the Cape Canaveral Air Force Station near Kennedy at 12:25 p.m. Eastern on August 5, 2011.</t>
  </si>
  <si>
    <t>5iWgZ_TmL0M</t>
  </si>
  <si>
    <t>https://youtu.be/Em_KPz8OtCw</t>
  </si>
  <si>
    <t>NASA's MRO Sees Possible Martian Water Flows</t>
  </si>
  <si>
    <t>Observations from NASA's Mars Reconnaissance Orbiter, MRO, have revealed possible flowing water during the warmest months on Mars. Scientists discuss the findings at a NASA Headquarters news briefing held August 4, 2011.
Dark, finger-like features appear and extend down some Martian slopes during late spring through summer, fade in winter, and return during the next spring. Repeated observations have tracked the seasonal changes in these recurring features on several steep slopes in the middle latitudes of Mars' southern hemisphere.</t>
  </si>
  <si>
    <t>Em_KPz8OtCw</t>
  </si>
  <si>
    <t>https://youtu.be/kCfTLc9oHa8</t>
  </si>
  <si>
    <t>Station, Shuttle Crews Visit NASA Headquarters</t>
  </si>
  <si>
    <t>Members of the STS-134 and Expedition 27 crews present mission highlights to and take questions from employees during a visit to NASA Headquarters on August 4, 2011.</t>
  </si>
  <si>
    <t>kCfTLc9oHa8</t>
  </si>
  <si>
    <t>2011 08 03</t>
  </si>
  <si>
    <t>https://youtu.be/35StUm25Qg0</t>
  </si>
  <si>
    <t>Juno Team Holds Pre-Launch Briefing</t>
  </si>
  <si>
    <t>Scientists and engineers preview NASA's Juno mission to Jupiter that's scheduled to launch this Friday at 11:34 am EDT from Cape Canaveral, Florida.</t>
  </si>
  <si>
    <t>35StUm25Qg0</t>
  </si>
  <si>
    <t>https://youtu.be/j1qnGXbGf0o</t>
  </si>
  <si>
    <t>NASA's Juno to Sharpen Understanding of Jupiter's Origins</t>
  </si>
  <si>
    <t>Scientists explain what they hope to learn from the Juno mission to Jupiter that's set to launch August 5 at 11:34 a.m. EDT from Cape Canaveral, Florida.</t>
  </si>
  <si>
    <t>j1qnGXbGf0o</t>
  </si>
  <si>
    <t>2011 08 01</t>
  </si>
  <si>
    <t>https://youtu.be/DJBcxfxNo-M</t>
  </si>
  <si>
    <t>Dawn Spacecraft Unveils Vesta Images</t>
  </si>
  <si>
    <t>On August 1, 2011, NASA's  Dawn spacecraft team unveiled the first full-frame surface images of the giant asteroid Vesta.  The images were  taken at a distance of 3,200 miles (5,200 kilometers).</t>
  </si>
  <si>
    <t>DJBcxfxNo-M</t>
  </si>
  <si>
    <t>https://youtu.be/BLy6bvwmAxk</t>
  </si>
  <si>
    <t>JAXA Flight Engineer Chats with Japanese Media</t>
  </si>
  <si>
    <t>While aboard the International Space Station, Expedition 28 Flight Engineer Satoshi Furukawa 
of the Japan Aerospace Exploration Agency talks with the media about his work on the orbital laboratory.</t>
  </si>
  <si>
    <t>BLy6bvwmAxk</t>
  </si>
  <si>
    <t>2011 07 29</t>
  </si>
  <si>
    <t>https://youtu.be/uYMq4PvWKnE</t>
  </si>
  <si>
    <t>Juno's Ready on This Week @NASA</t>
  </si>
  <si>
    <t>The Juno spacecraft is on schedule to be launched August 5 from the Cape Canaveral Air Force Station in Florida for its mission to Jupiter. Juno is meant to improve our understanding of our solar system's beginnings by revealing data about the gas giant's evolution.  Also, Gale's a "go" for MSL; STS-135 crew honors flight controllers; Garver at Ames; Job fair; and, aero students report. Plus, Stennis hosts 134 crew and a return of the legends.</t>
  </si>
  <si>
    <t>uYMq4PvWKnE</t>
  </si>
  <si>
    <t>https://youtu.be/x8DG72R6pqw</t>
  </si>
  <si>
    <t xml:space="preserve">ScienceCasts  What Lies Inside Jupiter </t>
  </si>
  <si>
    <t>For four long centuries the gas giant's vast interior has remained hidden from view. NASA's Juno probe, scheduled to launch on August 5th, could change all that.</t>
  </si>
  <si>
    <t>x8DG72R6pqw</t>
  </si>
  <si>
    <t>https://youtu.be/POW95rQSNj8</t>
  </si>
  <si>
    <t>ISS Crew Interviewed by Texas and Big Apple Media</t>
  </si>
  <si>
    <t>Members of the International Space Station's Expedition 28 are queried in-flight by KBTX-TV, Bryan-College Station, Texas, and the New York Daily News.
www.nasa.gov/station</t>
  </si>
  <si>
    <t>POW95rQSNj8</t>
  </si>
  <si>
    <t>https://youtu.be/Kq6qKhs5jFg</t>
  </si>
  <si>
    <t>Shuttle Mission to Feature One EVA</t>
  </si>
  <si>
    <t>STS-135 will include one spacewalk, or EVA (ExtraVehicular Activity). Unlike past shuttle missions to the International Space Station, this spacewalk will be conducted by members of the ISS crew.</t>
  </si>
  <si>
    <t>Kq6qKhs5jFg</t>
  </si>
  <si>
    <t>2011 07 28</t>
  </si>
  <si>
    <t>https://youtu.be/POB8Bnpxo6Y</t>
  </si>
  <si>
    <t>JAXA Astronaut Talks with Japanese Students</t>
  </si>
  <si>
    <t>Aboard the International Space Station, Japan Aerospace Exploration Agency astronaut 
Satoshi Furukawa, flight engineer on Expedition 28, answers questions posed by undergraduates from his country's Akita University.</t>
  </si>
  <si>
    <t>POB8Bnpxo6Y</t>
  </si>
  <si>
    <t>2011 07 27</t>
  </si>
  <si>
    <t>https://youtu.be/sNMOOjemMG8</t>
  </si>
  <si>
    <t>NASA Mission to Jupiter Ready for Launch</t>
  </si>
  <si>
    <t>NASA's Juno spacecraft is ready for launch. The solar-powered spacecraft will arrive at Jupiter in July 2016 and orbit its poles 33 times to find out more about the gas giant's interior, atmosphere and aurora. Juno is currently scheduled to launch from the Cape Canaveral Air Force Station on August 5 at 11:39 am Eastern.
www.nasa.gov/juno 
www.nasa.gov/juno</t>
  </si>
  <si>
    <t>sNMOOjemMG8</t>
  </si>
  <si>
    <t>https://youtu.be/7LlnAk5NiyA</t>
  </si>
  <si>
    <t>Juno Mission to Jupiter Previewed</t>
  </si>
  <si>
    <t>At NASA's Kennedy Space Center in Florida, scientists and engineers discuss the upcoming launch of the Juno spacecraft for the gas giant Jupiter.
www.nasa.gov/juno</t>
  </si>
  <si>
    <t>7LlnAk5NiyA</t>
  </si>
  <si>
    <t>https://youtu.be/9--Ns_AYdwQ</t>
  </si>
  <si>
    <t>Next ISS Residents Meet the Media</t>
  </si>
  <si>
    <t>Members of the Expedition 29/30 crew that'll reside aboard the International Space Station brief media about their upcoming mission at a Johnson Space Center news conference held in Houston on July 27.
www.nasa.gov/station</t>
  </si>
  <si>
    <t>9--Ns_AYdwQ</t>
  </si>
  <si>
    <t>https://youtu.be/POq-HEiNbHA</t>
  </si>
  <si>
    <t>Final Shuttle Crew Honors Flight Control Teams</t>
  </si>
  <si>
    <t>In Mission Control at the Johnson Space Center in Houston, the STS-135 crew that completed the final space shuttle mission aboard Atlantis paid tribute to the flight control teams that supervised their 13-day mission in a plaque-hanging ceremony on July 26, 2011. Commander Chris Ferguson, Pilot Doug Hurley and Mission Specialists Sandy Magnus and Rex Walheim participated in the traditional ceremony in the International Space Station flight control room, then, for the last time, in the Space Shuttle flight control room. The plaque-hanging was overseen by the mission's lead ISS Flight Director Chris Edelen and the mission's lead Shuttle Flight Director, Kwatsi Alibaruho.
www.nasa.gov/shuttle</t>
  </si>
  <si>
    <t>POq-HEiNbHA</t>
  </si>
  <si>
    <t>https://youtu.be/6Yzg4QoP64A</t>
  </si>
  <si>
    <t>ScienceCasts  Sun Grazing Comet</t>
  </si>
  <si>
    <t>On July 5th, a comet dove into the sun and disintegrated.  New footage just released by NASA shows the final stages of the comet's death plunge.</t>
  </si>
  <si>
    <t>6Yzg4QoP64A</t>
  </si>
  <si>
    <t>2011 07 26</t>
  </si>
  <si>
    <t>https://youtu.be/rVG53nAeUEk</t>
  </si>
  <si>
    <t>Final Shuttle Crew Excited About Mission</t>
  </si>
  <si>
    <t>Commander Chris Ferguson; Pilot Doug Hurley; and mission specialists Sandy Magnus and Rex Walheim meet with reporters at NASA's Kennedy Space Center in their final public appearance before their launch aboard space shuttle Atlantis now scheduled for July 8 at 11:26 a.m. EDT. will deliver the Raffaello multi-purpose logistics module filled with supplies and spare parts to sustain station operations once the shuttles are retired. The mission also will fly the Robotic Refueling Mission (RRM), an experiment designed to demonstrate and test the tools, technologies and techniques needed to robotically refuel satellites in space, even satellites not designed to be serviced. The crew also will return an ammonia pump that recently failed on the station. This is the final flight for shuttle Atlantis and the Space Shuttle Program. NASA's workhorses for the past 30 years have completed their mission to build and supply the orbiting outpost, and the agency is now looking to destinations beyond low-Earth orbit.</t>
  </si>
  <si>
    <t>rVG53nAeUEk</t>
  </si>
  <si>
    <t>2011 07 25</t>
  </si>
  <si>
    <t>https://youtu.be/zrbS0B3l56A</t>
  </si>
  <si>
    <t>Apollo 15 Remembered 40 Years Later</t>
  </si>
  <si>
    <t>Apollo 15 astronauts Dave Scott and Al Worden remember fellow crew member Jim Irwin in this 40th anniversary celebration of NASA's fourth successful manned mission to the moon. The live event was held at the Apollo Saturn V Center inside the Kennedy Space Center Visitor Complex in Florida. Apollo 15 launched from Kennedy on July 26, 1971.</t>
  </si>
  <si>
    <t>zrbS0B3l56A</t>
  </si>
  <si>
    <t>2011 07 22</t>
  </si>
  <si>
    <t>https://youtu.be/3QCRriFKanM</t>
  </si>
  <si>
    <t>Atlantis Crew Returns to Houston</t>
  </si>
  <si>
    <t>The STS-135 crew of Commander Chris Ferguson, Pilot Doug Hurley, and Mission Specialists Sandy Magnus and Rex Walheim arrive at Ellington Field in Houston following their flight from the Kennedy Space Center in Florida. The crew of the Space Shuttle Program's final mission is welcomed by family, friends and co-workers.</t>
  </si>
  <si>
    <t>3QCRriFKanM</t>
  </si>
  <si>
    <t>https://youtu.be/Rpfe2d3EX0o</t>
  </si>
  <si>
    <t>Shuttle's Mission Complete on This Week @NASA</t>
  </si>
  <si>
    <t>After more than 30 years, NASA's shuttle era has come to a close.
Atlantis made a picture-perfect, pre-dawn landing at NASA's Kennedy Space Center during  STS-135's 200th orbit of Earth. Also, Discovery makes way for Atlantis; Children to Work Day; Honor Awards at Glenn; Student Scholars; Station forum; and Apollo 15 remembered.</t>
  </si>
  <si>
    <t>Rpfe2d3EX0o</t>
  </si>
  <si>
    <t>https://youtu.be/IknfWcps40g</t>
  </si>
  <si>
    <t>Next Mars Rover to Storm Gale Crater</t>
  </si>
  <si>
    <t>NASA has chosen a landing site inside Gale crater for the Mars Science Laboratory mission, which is scheduled to land on the Red Planet in August 2012. The Mars rover Curiosity will set down at the foot of a mountain of stacked layers and drill into rocks for clues about Mars' environmental history. Gale spans 96 miles (154 kilometers) in diameter and holds a mountain rising higher from the crater floor than Mt. Rainier rises above Seattle. Layering in the mound suggests it is the surviving remnant of an extensive sequence of deposits. MSL is scheduled for launch in November.</t>
  </si>
  <si>
    <t>IknfWcps40g</t>
  </si>
  <si>
    <t>https://youtu.be/Ar1rnwLwP3M</t>
  </si>
  <si>
    <t>Station Gives LEGO Leg Up on Inspiration</t>
  </si>
  <si>
    <t>Learn about the LEGO kits NASA astronauts are assembling aboard the International Space Station to inspire the next generation of space explorers.</t>
  </si>
  <si>
    <t>Ar1rnwLwP3M</t>
  </si>
  <si>
    <t>2011 07 21</t>
  </si>
  <si>
    <t>https://youtu.be/87Tu23BrLh8</t>
  </si>
  <si>
    <t>STS-135 Crew Shares Mission Highlights From Final Mission</t>
  </si>
  <si>
    <t>Back on the ground, STS-135 crew members discuss the roles they played in this final chapter of space shuttle history with the media.  Over 13 days, the four-member crew of Chris Ferguson, Doug Hurley, Sandy Magnus and Rex Walheim packed the space laboratory with enough supplies and spare parts to support the ISS for one year.</t>
  </si>
  <si>
    <t>87Tu23BrLh8</t>
  </si>
  <si>
    <t>https://youtu.be/He2kGMRMjPk</t>
  </si>
  <si>
    <t>ScienceCasts  Summer Meteor Shower</t>
  </si>
  <si>
    <t>If you're camping out and can't sleep, maybe your slumber is being interrupted by the flash of meteors. The summer Perseid meteor shower is getting underway as Earth enters the debris stream from comet Swift-Tuttle.</t>
  </si>
  <si>
    <t>He2kGMRMjPk</t>
  </si>
  <si>
    <t>https://youtu.be/evhdrNmcaqM</t>
  </si>
  <si>
    <t>The Last Shuttle Crew Addresses Kennedy Space Center</t>
  </si>
  <si>
    <t>Cheers and Tears for the Last Shuttle Crew as they make final remarks to the employees at the Kennedy Space Center, and pay tribute to the men and women who have devoted their lives to the space shuttle program and pursuit of space exploration.</t>
  </si>
  <si>
    <t>evhdrNmcaqM</t>
  </si>
  <si>
    <t>https://youtu.be/JhwgG3V_GA8</t>
  </si>
  <si>
    <t>JhwgG3V_GA8</t>
  </si>
  <si>
    <t>https://youtu.be/9OtJLltVpZI</t>
  </si>
  <si>
    <t>Space Shuttle Program Employee Appreciation Event</t>
  </si>
  <si>
    <t>NASA Administrator Charles Bolden and Kennedy Space Center Director Robert Cabana speak to the shuttle program employees following the landing of space shuttle Atlantis.</t>
  </si>
  <si>
    <t>9OtJLltVpZI</t>
  </si>
  <si>
    <t>https://youtu.be/lzf-edLOo-8</t>
  </si>
  <si>
    <t>Shuttle Managers Address Media after Last Space Shuttle Comes Home</t>
  </si>
  <si>
    <t>NASA space shuttle managers participate in a Post-Landing News Conference to discuss the successful and historic return of space shuttle Atlantis and her crew.  Atlantis now takes her place with the other two Orbiters retired earlier this year -- Endeavour and Discovery.</t>
  </si>
  <si>
    <t>lzf-edLOo-8</t>
  </si>
  <si>
    <t>https://youtu.be/1Wmi2uCiEsU</t>
  </si>
  <si>
    <t>STS-135 Entry Flight Control Team Guides Atlantis Back to Earth</t>
  </si>
  <si>
    <t>The STS-135 flight control team welcomes home space shuttle Atlantis from Johnson Space Flight Center's Mission Control Center in Houston.</t>
  </si>
  <si>
    <t>1Wmi2uCiEsU</t>
  </si>
  <si>
    <t>https://youtu.be/e7dISGGxLRk</t>
  </si>
  <si>
    <t>STS-135 Mission Highlights</t>
  </si>
  <si>
    <t>A compilation video of key moments during the STS-135 mission to the ISS.  Includes:  the Rendezvous Pitch Maneuver, docking, flyaround, hatch opening, unpacking the multi-purpose logistics module Raffaello, and other highlights from this historic final space shuttle mission.</t>
  </si>
  <si>
    <t>e7dISGGxLRk</t>
  </si>
  <si>
    <t>https://youtu.be/8nl69I9ZX1A</t>
  </si>
  <si>
    <t>STS-135 Crew Welcomed at KSC</t>
  </si>
  <si>
    <t>The STS-135 astronauts got to take a look at the vehicle that carried them on the final space shuttle mission, and paused for a moment to reflect on the journey.
"Although we got to take the ride," said Commander Chris Ferguson on behalf of his crew, " we sure hope that everybody who has ever worked on, or touched, or looked at, or envied or admired a space shuttle was able to take just a little part of the journey with us."</t>
  </si>
  <si>
    <t>8nl69I9ZX1A</t>
  </si>
  <si>
    <t>https://youtu.be/HLDG5sNMX2M</t>
  </si>
  <si>
    <t>Atlantis's Final Landing at Kennedy Space Center</t>
  </si>
  <si>
    <t>After more than 30 years, the space shuttle era has come to a close. Space shuttle Atlantis and the STS-135 crew landed safely on runway 15 at 5:57 a.m. EDT at  Kennedy Space Center's Shuttle Landing Facility in Florida, ending a 13-day journey of more than five million miles. It was the final and 133rd landing in shuttle history. The STS-135 crew consisted of Commander Chris Ferguson, Pilot Doug Hurley, Mission Specialists Sandra Magnus and Rex Walheim.</t>
  </si>
  <si>
    <t>HLDG5sNMX2M</t>
  </si>
  <si>
    <t>2011 07 20</t>
  </si>
  <si>
    <t>https://youtu.be/DRQbGB4T5Os</t>
  </si>
  <si>
    <t>STS-135 Daily Mission Recap - Flight Day 13</t>
  </si>
  <si>
    <t>A video recap of flight day 13 of the STS-135 mission of space shuttle Atlantis to the International Space Station.</t>
  </si>
  <si>
    <t>DRQbGB4T5Os</t>
  </si>
  <si>
    <t>https://youtu.be/VVGrS7jVq90</t>
  </si>
  <si>
    <t>STS-135 Flight Day Highlights - Day 13</t>
  </si>
  <si>
    <t>Highlights of STS-135's 13th flight day, which includes video of the Atlantis Crew readying for their upcoming landing at the Kennedy Space Center in Florida.</t>
  </si>
  <si>
    <t>VVGrS7jVq90</t>
  </si>
  <si>
    <t>https://youtu.be/9MWJi9BBznU</t>
  </si>
  <si>
    <t>Mission Status Briefing - Day 13</t>
  </si>
  <si>
    <t>STS-135 Managers report on the preparations for Atlantis and her crew return to the Kennedy Space Center.  Atlantis is expected to touch down in the early morning hours of Thursday, July 21 with Commander  Chris Ferguson, Pilot Doug Hurley and Mission Specialists Sandra Magnus and Rex Walheim in tow.</t>
  </si>
  <si>
    <t>9MWJi9BBznU</t>
  </si>
  <si>
    <t>https://youtu.be/4jkdq-BCkDI</t>
  </si>
  <si>
    <t>Atlantis Crew Members Speak with Reporters on the Last Day of their Mission</t>
  </si>
  <si>
    <t>As their work winds down, Chris Ferguson, Doug Hurley, Sandra Magnus and Rex Walheim talk with reporters from the major networks on the closing day of the last space shuttle mission.</t>
  </si>
  <si>
    <t>4jkdq-BCkDI</t>
  </si>
  <si>
    <t>2011 07 19</t>
  </si>
  <si>
    <t>https://youtu.be/dEQF_C3E-Q4</t>
  </si>
  <si>
    <t>STS-135 Daily Mission Recap - Flight Day 12</t>
  </si>
  <si>
    <t>A video recap of flight day 12 of the STS-135 mission of space shuttle Atlantis to the International Space Station.</t>
  </si>
  <si>
    <t>dEQF_C3E-Q4</t>
  </si>
  <si>
    <t>https://youtu.be/KjA17RHNF0M</t>
  </si>
  <si>
    <t>Atlantis Undocking from ISS Marks Flight Day 12</t>
  </si>
  <si>
    <t>Highlights include two views of the historic event, plus a late inspection of the orbiter's thermal protection system before Atlantis and its four-member crew return to Earth.</t>
  </si>
  <si>
    <t>KjA17RHNF0M</t>
  </si>
  <si>
    <t>https://youtu.be/40YpG8j8O5s</t>
  </si>
  <si>
    <t>Managers Review Final Phase of STS-135</t>
  </si>
  <si>
    <t>Media are updated by LeRoy Cain, chairman of the space shuttle's Mission Management Team and Mike Suffredini, the ISS Program Manager about the upcoming conclusion of Atlantis's flight.</t>
  </si>
  <si>
    <t>40YpG8j8O5s</t>
  </si>
  <si>
    <t>https://youtu.be/u37hsZQ2hUc</t>
  </si>
  <si>
    <t>STS-135 Ascent Imagery Highlights</t>
  </si>
  <si>
    <t>Varying and spectacular camera views of space shuttle Atlantis as it lifts off from the Kennedy Space Center on its final mission to the International Space Station.</t>
  </si>
  <si>
    <t>u37hsZQ2hUc</t>
  </si>
  <si>
    <t>https://youtu.be/rW4CUDLZtCQ</t>
  </si>
  <si>
    <t>End of Shuttle Era Draws Nearer</t>
  </si>
  <si>
    <t>Mission managers discuss the upcoming landing of orbiter Atlantis and the conclusion of the final space shuttle mission.</t>
  </si>
  <si>
    <t>rW4CUDLZtCQ</t>
  </si>
  <si>
    <t>https://youtu.be/r3SYMALDFWE</t>
  </si>
  <si>
    <t>Undocking as Seen from Shuttle</t>
  </si>
  <si>
    <t>Video captured by the Atlantis crew provides a unique perspective of their undocking from the International Space Station.</t>
  </si>
  <si>
    <t>r3SYMALDFWE</t>
  </si>
  <si>
    <t>https://youtu.be/T4ikciBsT9E</t>
  </si>
  <si>
    <t>Atlantis Undocks from the ISS</t>
  </si>
  <si>
    <t>The final leg of STS-135, the return of Atlantis to Earth, begins with the shuttle's undocking from the International Space Station. Atlantis is scheduled to make its first attempt to land at NASA's Kennedy Space Center on Thursday, July 21, at 5:56 a.m. Eastern.</t>
  </si>
  <si>
    <t>T4ikciBsT9E</t>
  </si>
  <si>
    <t>2011 07 18</t>
  </si>
  <si>
    <t>https://youtu.be/LycueAyuATg</t>
  </si>
  <si>
    <t>STS-135 Daily Mission Recap - Flight Day 11</t>
  </si>
  <si>
    <t>A video recap of flight day 11 of the STS-135 mission of space shuttle Atlantis to the International Space Station.</t>
  </si>
  <si>
    <t>LycueAyuATg</t>
  </si>
  <si>
    <t>https://youtu.be/uOCjF8MtRVg</t>
  </si>
  <si>
    <t>Hatch Closure, Fond Farewells Featured on Flight Day 11 Highlights</t>
  </si>
  <si>
    <t>The crew of the final space shuttle mission bid adieu to their hosts aboard the ISS.</t>
  </si>
  <si>
    <t>uOCjF8MtRVg</t>
  </si>
  <si>
    <t>https://youtu.be/8Drno0nGT3Q</t>
  </si>
  <si>
    <t>Farewell for Shuttle Crew</t>
  </si>
  <si>
    <t>STS-135 Commander Chris Ferguson, Pilot Doug Hurley and Mission Specialists Sandy Magnus and Rex Walheim say goodbye to the six members of Expedition 28 as the hatch closes on the International Space Station.</t>
  </si>
  <si>
    <t>8Drno0nGT3Q</t>
  </si>
  <si>
    <t>https://youtu.be/qWIqW3CysGw</t>
  </si>
  <si>
    <t>qWIqW3CysGw</t>
  </si>
  <si>
    <t>https://youtu.be/8aZjVA90wio</t>
  </si>
  <si>
    <t>Shuttle Crew Preps for Landing</t>
  </si>
  <si>
    <t>Mission managers discuss with media the progress of the final flight of the Space Shuttle Program and the STS-135 crew's preparations for their return home.</t>
  </si>
  <si>
    <t>8aZjVA90wio</t>
  </si>
  <si>
    <t>2011 07 17</t>
  </si>
  <si>
    <t>https://youtu.be/ALe_MYH1q58</t>
  </si>
  <si>
    <t>Completion of Cargo Transfers Tops Flight Day 10 Highlights</t>
  </si>
  <si>
    <t>The STS-135 crew enjoys some off-duty time after completing their transfer of supplies from Atlantis to the ISS.</t>
  </si>
  <si>
    <t>ALe_MYH1q58</t>
  </si>
  <si>
    <t>https://youtu.be/lJ7i9az_yU4</t>
  </si>
  <si>
    <t>STS-135 Daily Mission Recap - Flight Day 10</t>
  </si>
  <si>
    <t>A video recap of flight day 10 of the STS-135 mission of space shuttle Atlantis to the International Space Station.</t>
  </si>
  <si>
    <t>lJ7i9az_yU4</t>
  </si>
  <si>
    <t>https://youtu.be/GFceGcsLSuY</t>
  </si>
  <si>
    <t>STS-135 Mission Status Briefing FD10</t>
  </si>
  <si>
    <t>With their 13-day mission about to enter its final phase, the STS-135 crew kicks back with some well-deserved downtime.</t>
  </si>
  <si>
    <t>GFceGcsLSuY</t>
  </si>
  <si>
    <t>https://youtu.be/PVlpNMtoeHE</t>
  </si>
  <si>
    <t>STS-135 Daily Mission Recap - Flight Day 9</t>
  </si>
  <si>
    <t>A video recap of flight day 9 of the STS-135 mission of space shuttle Atlantis to the International Space Station.</t>
  </si>
  <si>
    <t>PVlpNMtoeHE</t>
  </si>
  <si>
    <t>https://youtu.be/LnvzphT1XCY</t>
  </si>
  <si>
    <t>Shuttle Astronauts Inspire Students</t>
  </si>
  <si>
    <t>The STS-135 crew of the final space shuttle mission talk with the members of the next generation of explorers from a NASA Explorer school.</t>
  </si>
  <si>
    <t>LnvzphT1XCY</t>
  </si>
  <si>
    <t>2011 07 16</t>
  </si>
  <si>
    <t>https://youtu.be/Vo9Y9i1nN3U</t>
  </si>
  <si>
    <t>Beyonce, Shifting Supplies Top Atlantis Astronauts' Flight Day 9</t>
  </si>
  <si>
    <t>With singer Beyonce providing a spirited wakeup song, Commander Chris Ferguson and crew continue their transfer of cargo and supplies from Atlantis to the ISS.</t>
  </si>
  <si>
    <t>Vo9Y9i1nN3U</t>
  </si>
  <si>
    <t>https://youtu.be/ON1tBvz5e5w</t>
  </si>
  <si>
    <t>Beyonce  Brings It  On Orbit</t>
  </si>
  <si>
    <t>The STS-135 crew gets moving on Flight Day 9 with "Run the World (Girls)" after being awakened by a special greeting from songstress Beyonce Knowles.</t>
  </si>
  <si>
    <t>ON1tBvz5e5w</t>
  </si>
  <si>
    <t>2011 07 15</t>
  </si>
  <si>
    <t>https://youtu.be/r1mKjY15XFU</t>
  </si>
  <si>
    <t>McCartney, Shuttle's Offload Continues on FD 8 Highlights</t>
  </si>
  <si>
    <t>Following their song and wakeup message from Paul McCartney, the STS-135 crew resumed unloading supplies from the Rafaello module to the International Space Station.</t>
  </si>
  <si>
    <t>r1mKjY15XFU</t>
  </si>
  <si>
    <t>https://youtu.be/6Oaw9rNdRrQ</t>
  </si>
  <si>
    <t>STS-135 Daily Mission Recap - Flight Day 8</t>
  </si>
  <si>
    <t>A video recap of flight day 8 of the STS-135 mission of space shuttle Atlantis to the International Space Station.</t>
  </si>
  <si>
    <t>6Oaw9rNdRrQ</t>
  </si>
  <si>
    <t>https://youtu.be/0Z6B4OB1Kr0</t>
  </si>
  <si>
    <t>Shuttle, Station Crews in Joint News Conference</t>
  </si>
  <si>
    <t>The four STS-135 astronauts team up with the six Expedition 28 residents of the International Space Station to answer questions from reporters back on Earth.</t>
  </si>
  <si>
    <t>0Z6B4OB1Kr0</t>
  </si>
  <si>
    <t>https://youtu.be/Us18oQTAm9k</t>
  </si>
  <si>
    <t>Shuttle Crew Keeps Busy with Cargo</t>
  </si>
  <si>
    <t>Another busy day of transfers from Atlantis to the ISS by the STS-135 crew is detailed by mission managers in their daily status briefing at the Johnson Space Center in Houston.</t>
  </si>
  <si>
    <t>Us18oQTAm9k</t>
  </si>
  <si>
    <t>https://youtu.be/oXzkdYVzlcc</t>
  </si>
  <si>
    <t>President Obama Speaks with Shuttle, ISS Crews</t>
  </si>
  <si>
    <t>From the White House Oval Office, President Obama spoke with the four Atlantis astronauts of STS-135, the final space shuttle mission, and the six Expedition 28 residents of the International Space Station. NASA Administrator Charles Bolden joined the president for the call. Commander Chris Ferguson, Pilot Doug Hurley and Mission Specialists Sandy Magnus and Rex Walheim are on a 13-day mission to the ISS and are scheduled to close NASA's Space Shuttle Program with a landing at the Kennedy Space Center on July 21.</t>
  </si>
  <si>
    <t>oXzkdYVzlcc</t>
  </si>
  <si>
    <t>https://youtu.be/e8AHmDxiHZs</t>
  </si>
  <si>
    <t>More Media Make Call to Shuttle</t>
  </si>
  <si>
    <t>The Atlantis crew participates in another Q &amp; A session, this one with Reuters, ABC Radio and WPVI Channel 6 from Commander Chris Ferguson's hometown of Philadelphia.</t>
  </si>
  <si>
    <t>e8AHmDxiHZs</t>
  </si>
  <si>
    <t>https://youtu.be/NreQUWr8fOs</t>
  </si>
  <si>
    <t>Atlantis Astronauts Chat with Reporters</t>
  </si>
  <si>
    <t>The crew of STS-135 answers questions from CBS Radio, KYW TV in Philadelphia (Chris Ferguson's hometown), and The Associated Press about the final space shuttle mission.</t>
  </si>
  <si>
    <t>NreQUWr8fOs</t>
  </si>
  <si>
    <t>https://youtu.be/0k1RZdKz3Zk</t>
  </si>
  <si>
    <t>Sir Paul Awakens Final Shuttle Crew</t>
  </si>
  <si>
    <t>Paul McCartney and Beatles favorite "Good Day Sunshine" greet the Atlantis crew of Chris Ferguson, Doug Hurley, Sandy Magnus and Rex Walheim first thing on Flight Day 8.</t>
  </si>
  <si>
    <t>0k1RZdKz3Zk</t>
  </si>
  <si>
    <t>https://youtu.be/-w6w9w-MQJM</t>
  </si>
  <si>
    <t>-Sir Paul Awakens Final Shuttle Crew</t>
  </si>
  <si>
    <t>Paul McCartney and Beatles favorite "Good Day Sunshine" greet the Atlantis crew of Chris Ferguson, Doug Hurley, Sandy Magnus and Rex Walheim first thing on Flight Day 8. Sir Paul and the Beatles' music have awakened a dozen past shuttle crews. "Good Day Sunshine" was played for two Discovery crews of STS-121 and STS-128. On learning the popular Beatles song was used to rouse the shuttle crew of STS-121, McCartney treated the Expedition 12 crew aboard the International Space Station with a live musical wakeup call during a first-ever concert linkup in November 2005. The wakeup call during which McCartney performed "Good Day Sunshine" and "English Tea," came from McCartney's "US" Tour performance in Anaheim, California. During the live linkup, McCartney said," I can't believe we're actually transmitting to space" as Bill McArthur performed a zero-g flip for the 17,000 Earth bound concert-goers. In an interview about the "Good Day Sunshine" wakeup calls, McCartney said, "I think it hit a chord with American audiences, because...well they're American, Number 1, and that's their space shuttle going up there." McCartney and "Good Day Sunshine" hit a chord with the crewmembers of the final space shuttle crew in NASA's history: "Good morning guys, wake up! And good luck on this, your last mission. Well done."</t>
  </si>
  <si>
    <t>-w6w9w-MQJM</t>
  </si>
  <si>
    <t>2011 07 14</t>
  </si>
  <si>
    <t>https://youtu.be/V___dKNv1pM</t>
  </si>
  <si>
    <t>Message From REM, Crew  On the Move  Highlight Flight Day 7</t>
  </si>
  <si>
    <t>After awakening to REM's "Man on the Moon" and a message from front man Michael Stipe, the four astronauts on STS-135, the final space shuttle mission, continue moving cargo and supplies from the Rafaello module to the International Space Station.</t>
  </si>
  <si>
    <t>V___dKNv1pM</t>
  </si>
  <si>
    <t>https://youtu.be/Y3QSYZA_NK4</t>
  </si>
  <si>
    <t>ScienceCasts  Dark Fireworks</t>
  </si>
  <si>
    <t>NASA has just released new movies of an "inky-dark" solar explosion that continues to puzzle experts more than a month after it happened.</t>
  </si>
  <si>
    <t>Y3QSYZA_NK4</t>
  </si>
  <si>
    <t>https://youtu.be/c7ON6zZ2pCY</t>
  </si>
  <si>
    <t>More Cargo Transferred to ISS from Shuttle</t>
  </si>
  <si>
    <t>Mission managers talk about the continuing move of cargo and supplies from the Rafaello module to the International Space Station.</t>
  </si>
  <si>
    <t>c7ON6zZ2pCY</t>
  </si>
  <si>
    <t>https://youtu.be/6KWknGuxUx4</t>
  </si>
  <si>
    <t>STS-135 Daily Mission Recap - Flight Day 7</t>
  </si>
  <si>
    <t>A video recap of flight day 7 of the STS-135 mission of space shuttle Atlantis to the International Space Station.</t>
  </si>
  <si>
    <t>6KWknGuxUx4</t>
  </si>
  <si>
    <t>https://youtu.be/OiXtvQEVKWI</t>
  </si>
  <si>
    <t>Fergie and  Friends  on Fox Radio, TV</t>
  </si>
  <si>
    <t>STS-135 Commander Chris Ferguson and crew are interviewed by Fox News Radio, Oakland, Calif. TV, and WTXF Channel 29 in Ferguson's hometown of Philadelphia.</t>
  </si>
  <si>
    <t>OiXtvQEVKWI</t>
  </si>
  <si>
    <t>https://youtu.be/zxE3KBRorZI</t>
  </si>
  <si>
    <t>Booster Camera  Video of Atlantis Launch</t>
  </si>
  <si>
    <t>Cameras mounted on the two solid rocket boosters that helped propel space shuttle Atlantis into orbit on July 8 provide unique angles of the launch from the Kennedy Space Center and their subsequent water landing downrange in the Atlantic Ocean.</t>
  </si>
  <si>
    <t>zxE3KBRorZI</t>
  </si>
  <si>
    <t>https://youtu.be/S_exKI8MXOA</t>
  </si>
  <si>
    <t>TV Reporters Talk with Shuttle Crew</t>
  </si>
  <si>
    <t>The astronauts of STS-135, the final space shuttle mission, take questions from local television reporters in Chicago and St. Louis, Sandy Magnus's hometown.</t>
  </si>
  <si>
    <t>S_exKI8MXOA</t>
  </si>
  <si>
    <t>https://youtu.be/ALtA-kve86c</t>
  </si>
  <si>
    <t>Michael Stipe Wake-Up Song and Greeting</t>
  </si>
  <si>
    <t>The four astronauts of the final space shuttle mission are greeted by R.E.M. front man Michael Stipe and the group's hit, "Man on the Moon" to begin Flight Day 7. 
If you have difficulty viewing this video, it can be viewed at http://www.nasa.gov/multimedia/videogallery/index.html?media_id=101261101
On recording this song for the Atlantis' last crew Stipe said, "I recorded 'Man on The Moon' for NASA in Venice, Italy, where Galileo first presented to the Venetian government his eight-power telescope, and in 1610 wrote 'The Starry Messenger' (Sidereus Nuncius), an account of his early astronomical discoveries that altered forever our view of our place in the universe."</t>
  </si>
  <si>
    <t>ALtA-kve86c</t>
  </si>
  <si>
    <t>https://youtu.be/KqDKDD1M9Dg</t>
  </si>
  <si>
    <t>- Michael Stipe Wake-Up Song and Greeting</t>
  </si>
  <si>
    <t>The four astronauts of the final space shuttle mission are greeted by R.E.M. front man Michael Stipe and the group's hit, "Man on the Moon" to begin Flight Day 7. 
If you have difficulty viewing this video, it can be viewed at http://www.nasa.gov/multimedia/videogallery/index.html?media_id=101261101
On recording this song for the Atlantis' last crew Stipe said, "I recorded 'Man on The Moon' for NASA in Venice, Italy, where Galileo first presented to the Venetian government his eight-power telescope, and in 1610 wrote 'The Starry Messenger' (Sidereus Nuncius), an account of his early astronomical discoveries that altered forever our view of our place in the universe."  If you have difficulty viewing this video, it can be viewed at http://www.nasa.gov/multimedia/videogallery/index.html?media_id=101261101</t>
  </si>
  <si>
    <t>KqDKDD1M9Dg</t>
  </si>
  <si>
    <t>https://youtu.be/ADBZji-VTGU</t>
  </si>
  <si>
    <t xml:space="preserve"> Rocket Man,  Cleanup Caps FD 6 Highlights</t>
  </si>
  <si>
    <t>The song and a message from Elton John started a busy day of trash transfers from the ISS to Atlantis.</t>
  </si>
  <si>
    <t>ADBZji-VTGU</t>
  </si>
  <si>
    <t>2011 07 13</t>
  </si>
  <si>
    <t>https://youtu.be/krVj1FLDJB4</t>
  </si>
  <si>
    <t>STS-135 Daily Mission Recap - Flight Day 6</t>
  </si>
  <si>
    <t>A video recap of flight day 6 of the STS-135 mission of space shuttle Atlantis to the International Space Station.</t>
  </si>
  <si>
    <t>krVj1FLDJB4</t>
  </si>
  <si>
    <t>https://youtu.be/fBzj2bHQENQ</t>
  </si>
  <si>
    <t>Media Updated on Trash Transfers</t>
  </si>
  <si>
    <t>The STS-135 crew transfers trash from the International Space Station to Atlantis on Flight Day 6.</t>
  </si>
  <si>
    <t>fBzj2bHQENQ</t>
  </si>
  <si>
    <t>https://youtu.be/ALaUAjtw7cg</t>
  </si>
  <si>
    <t>Crew Vehicle Gets Dropped!</t>
  </si>
  <si>
    <t>This is video of the first in a series of tests at NASA's Langley Research Center to see how a mock up of the Orion/Multi Purpose Crew Vehicle survives a water landing. The drop test happened at the same gantry where astronauts learned to land on the moon in the 60s and where dozens of aircraft have been crash-tested.</t>
  </si>
  <si>
    <t>ALaUAjtw7cg</t>
  </si>
  <si>
    <t>https://youtu.be/nLEZQZxd3pA</t>
  </si>
  <si>
    <t>Atlantis Crew Thanks Space Shuttle Workforce</t>
  </si>
  <si>
    <t>STS-135 Commander Chris Ferguson, Pilot Doug Hurley, and Mission Specialists Sandy Magnus and Rex Walheim have a special message of gratitude and appreciation to the thousands of men and women who've powered NASA's Space Shuttle Program for more than thirty years.</t>
  </si>
  <si>
    <t>nLEZQZxd3pA</t>
  </si>
  <si>
    <t>https://youtu.be/sCE47dK7f2E</t>
  </si>
  <si>
    <t>Final Shuttle Crew Interviewed by Hometown Reporters</t>
  </si>
  <si>
    <t>TV stations in Binghamton, NY and San Francisco chat with Atlantis crew about STS-135. Pilot Doug Hurley is from the Binghamton area, and the Bay Area is home to Mission Specialist Rex Walheim.</t>
  </si>
  <si>
    <t>sCE47dK7f2E</t>
  </si>
  <si>
    <t>https://youtu.be/3sBlQnF3cpc</t>
  </si>
  <si>
    <t xml:space="preserve"> Rocket Man  Greets Atlantis Astronauts</t>
  </si>
  <si>
    <t>Flight Day 6 was kick-started for the STS-135 astronauts with a special wake-up message from Elton John and one of the legendary performer's greatest hits. "Rocket Man" debuted around the time of the Apollo 16 mission, which sent men to the moon for the fifth time. The 4-½ minute song, which describes a long-term space bound astronaut's mixed feelings at leaving his family to do his job, has been played to awaken four shuttle crews aboard Discovery and Atlantis. "Rocket Man" also, one of NASA's top 40 wakeup call songs listed for voter selection during a contest to commemorate the Space Shuttle Discovery and Endeavour's last missions, earned nearly 5,000 votes from the public. "Good morning Atlantis, this is Elton John. We wish you much success on your mission. A huge thank you to all the men and women at NASA who worked on the shuttle for the last three decades."</t>
  </si>
  <si>
    <t>3sBlQnF3cpc</t>
  </si>
  <si>
    <t>https://youtu.be/VyYUCseZ4i8</t>
  </si>
  <si>
    <t xml:space="preserve">  Rocket Man  Greets Atlantis Astronauts</t>
  </si>
  <si>
    <t>VyYUCseZ4i8</t>
  </si>
  <si>
    <t>https://youtu.be/XLlBD5IaWbo</t>
  </si>
  <si>
    <t>STS-135 Daily Mission Recap - Flight Day 5</t>
  </si>
  <si>
    <t>On Tuesday, Flight Day 5, Expedition 28 Flight Engineers Mike Fossum and Ron Garan completed a six-hour, 31-minute spacewalk at 3:53 p.m. EDT, retrieving a failed pump module for return to Earth, installing two experiments and repairing a new base for the station's robotic arm.</t>
  </si>
  <si>
    <t>XLlBD5IaWbo</t>
  </si>
  <si>
    <t>https://youtu.be/sIjys2D8L_A</t>
  </si>
  <si>
    <t>STS-135 Flight Day 5 Highlights</t>
  </si>
  <si>
    <t>sIjys2D8L_A</t>
  </si>
  <si>
    <t>2011 07 12</t>
  </si>
  <si>
    <t>https://youtu.be/q3zgUWD7EZY</t>
  </si>
  <si>
    <t>STS-135 Mission Status Briefing - Flight Day 5</t>
  </si>
  <si>
    <t>NASA Shuttle and International Space Station managers give the latest updates on STS-135's mission activities.</t>
  </si>
  <si>
    <t>q3zgUWD7EZY</t>
  </si>
  <si>
    <t>https://youtu.be/l5cXp5ZZiZA</t>
  </si>
  <si>
    <t>NASA Ships Retrieve Solid Rocket Boosters Following Final Shuttle Launch</t>
  </si>
  <si>
    <t>Crew members of Liberty Star and Freedom Star, NASA's solid rocket booster (SRB) recovery ships pulled space shuttle Atlantis spent booster segments through Port Canaveral to Hangar AF on Cape Canaveral Air Force Station in Florida on July 10 and 11. Atlantis launched on July 8 on the final Space Shuttle Program mission, STS-135.
The boosters parachuted down into the Atlantic about seven minutes after liftoff and the retrieval ships were stationed about 10 miles from the splashdown area. After the spent segments are processed at Hangar AF, they will be transported to Utah, where they will be deserviced and stored, if needed.</t>
  </si>
  <si>
    <t>l5cXp5ZZiZA</t>
  </si>
  <si>
    <t>https://youtu.be/L-oMCEemI08</t>
  </si>
  <si>
    <t>Raffaelo's Installation Tops Flight Day 4</t>
  </si>
  <si>
    <t>Atlantis's fourth day in space was highlighted by the installation of the cargo carrier Raffaelo on the International Space Station's Harmony module -- and the return of Sandy's socks!</t>
  </si>
  <si>
    <t>L-oMCEemI08</t>
  </si>
  <si>
    <t>https://youtu.be/iiPFT5OwDMI</t>
  </si>
  <si>
    <t>STS-135 Daily Mission Recap - Flight Day 4</t>
  </si>
  <si>
    <t>A video recap of flight day 4 of the STS-135 mission of space shuttle Atlantis to the International Space Station.</t>
  </si>
  <si>
    <t>iiPFT5OwDMI</t>
  </si>
  <si>
    <t>2011 07 11</t>
  </si>
  <si>
    <t>https://youtu.be/hqYhL8agRYM</t>
  </si>
  <si>
    <t>STS-135 Managers Say Mission Going Well; Spacewalk Set for Tomorrow</t>
  </si>
  <si>
    <t>As the Atlantis crew prepares to sleep, STS-135's mission managers brief media on tomorrow's spacewalk.</t>
  </si>
  <si>
    <t>hqYhL8agRYM</t>
  </si>
  <si>
    <t>https://youtu.be/wCHo5C5EPKM</t>
  </si>
  <si>
    <t>STS-135 Daily Mission Recap - Flight Day 3</t>
  </si>
  <si>
    <t>A video recap of flight day 3 of the STS-135 mission of space shuttle Atlantis to the International Space Station.</t>
  </si>
  <si>
    <t>wCHo5C5EPKM</t>
  </si>
  <si>
    <t>https://youtu.be/bJM3rOhfje0</t>
  </si>
  <si>
    <t>STS-135 Daily Mission Recap - Flight Day 2</t>
  </si>
  <si>
    <t>A video recap of flight day 2 of the STS-135 mission of space shuttle Atlantis to the International Space Station.</t>
  </si>
  <si>
    <t>bJM3rOhfje0</t>
  </si>
  <si>
    <t>https://youtu.be/fU4dAyVbgWw</t>
  </si>
  <si>
    <t>STS-135 Daily Mission Recap - Flight Day 1</t>
  </si>
  <si>
    <t>A video recap of flight day 1 of the STS-135 mission of space shuttle Atlantis to the International Space Station.</t>
  </si>
  <si>
    <t>fU4dAyVbgWw</t>
  </si>
  <si>
    <t>https://youtu.be/aml4u8JMn5A</t>
  </si>
  <si>
    <t>NASA's Increase of Awesome to Continue</t>
  </si>
  <si>
    <t>Wondering what's up post-shuttle, popular Internet vlogger Hank Green of Vlogbrothers gets the straight skinny from Charlie Bolden and others at NASA about the agency's plans for future human space exploration.</t>
  </si>
  <si>
    <t>aml4u8JMn5A</t>
  </si>
  <si>
    <t>https://youtu.be/Y53pI0Wj6KY</t>
  </si>
  <si>
    <t>Atlantis Mission Sticking to Plan</t>
  </si>
  <si>
    <t>STS-135 continues on schedule and without significant issues. That's the assessment shared by mission managers with media during status briefing held at NASA's Johnson Space Center in Houston.</t>
  </si>
  <si>
    <t>Y53pI0Wj6KY</t>
  </si>
  <si>
    <t>https://youtu.be/CNpLLtW0xC0</t>
  </si>
  <si>
    <t>Atlantis Docking to ISS Tops Flight Day 3 Highlights</t>
  </si>
  <si>
    <t>Space shuttle Atlantis's four-member crew joins the three Expedition 28 residents aboard the International Space Station.</t>
  </si>
  <si>
    <t>CNpLLtW0xC0</t>
  </si>
  <si>
    <t>2011 07 10</t>
  </si>
  <si>
    <t>https://youtu.be/vujmgfuL3Wk</t>
  </si>
  <si>
    <t>STS-135 Post MMT Briefing - Flight Day 3</t>
  </si>
  <si>
    <t>NASA's Mission Management Team reports on STS-135's third day of mission activities during a 12-day mission to the International Space Station.</t>
  </si>
  <si>
    <t>vujmgfuL3Wk</t>
  </si>
  <si>
    <t>https://youtu.be/VEERQzt-9l8</t>
  </si>
  <si>
    <t>STS-135 Mission Status Briefing - Flight Day 3</t>
  </si>
  <si>
    <t>NASA Shuttle Managers give the latest update on the STS-135's scheduled mission activities.</t>
  </si>
  <si>
    <t>VEERQzt-9l8</t>
  </si>
  <si>
    <t>https://youtu.be/SAj12ESML_0</t>
  </si>
  <si>
    <t>Expedition 28 Greets the Crew of Space Shuttle Atlantis</t>
  </si>
  <si>
    <t>Following a flawless rendezvous and docking, the hatches were opened and the members of STS-135, led by commander Chris Ferguson, were welcomed aboard the International Space Station by station commander Andrey Borisenko and his crew.</t>
  </si>
  <si>
    <t>SAj12ESML_0</t>
  </si>
  <si>
    <t>https://youtu.be/YUnQCs77PoY</t>
  </si>
  <si>
    <t>Space Shuttle Atlantis docks to the International Space Station</t>
  </si>
  <si>
    <t>Atlantis commander Chris Ferguson guides the shuttle to a secure docking with the International Space Station.</t>
  </si>
  <si>
    <t>YUnQCs77PoY</t>
  </si>
  <si>
    <t>https://youtu.be/ZYb0p991x1Y</t>
  </si>
  <si>
    <t>Atlantis Performs RBAR Pitch Maneuver</t>
  </si>
  <si>
    <t>Piloted by Space Shuttle commander Chris Ferguson, Atlantis moves through a 360-degree rotation directly beneath the International Space Station.  This rotation, known as the RBAR Pitch Maneuver (RPM), enables the occupants of the ISS to photograph Atlantis' Thermal Protection System for engineers on the ground to check for any damage to the heat resistant tiles.</t>
  </si>
  <si>
    <t>ZYb0p991x1Y</t>
  </si>
  <si>
    <t>https://youtu.be/gooXoVf_llw</t>
  </si>
  <si>
    <t>STS-135 Flight Day 2 Highlights</t>
  </si>
  <si>
    <t>The STS-135 crew performs a survey of the Thermal Protection System (TPS), the heat shield that protects the shuttle on reentry, and prepares for docking to the International Space Station on FD3.</t>
  </si>
  <si>
    <t>gooXoVf_llw</t>
  </si>
  <si>
    <t>2011 07 09</t>
  </si>
  <si>
    <t>https://youtu.be/EbU7dFoCoyU</t>
  </si>
  <si>
    <t>Final Flight of the Shuttle Program Tops Flight Day 1 Highlights</t>
  </si>
  <si>
    <t>Space shuttle Atlantis lifted off July 8 on the final flight of the shuttle program, STS-135, a 12-day mission to the International Space Station. Atlantis carries a crew of four and the Raffaello multipurpose logistics module containing supplies and spare parts for the space station. The STS-135 astronauts are: Commander Chris Ferguson, Pilot Doug Hurley, and Mission Specialists Sandy Magnus and Rex Walheim.</t>
  </si>
  <si>
    <t>EbU7dFoCoyU</t>
  </si>
  <si>
    <t>https://youtu.be/AX_muSpK8dU</t>
  </si>
  <si>
    <t>Post MMT Briefing - Flight Day 2</t>
  </si>
  <si>
    <t>NASA's Mission Management Team reports on STS-135's second day of mission activities during a 12-day mission to the International Space Station. The MMT team discusses the completion of the Starboard and port wing leading edge RCC survey inspections and nose cap inspections.</t>
  </si>
  <si>
    <t>AX_muSpK8dU</t>
  </si>
  <si>
    <t>https://youtu.be/Mz8jPvhUjy0</t>
  </si>
  <si>
    <t>STS-135 Mission Status Briefing - Flight Day 2</t>
  </si>
  <si>
    <t>NASA Shuttle Managers give the latest update on STS-135's scheduled mission activities.</t>
  </si>
  <si>
    <t>Mz8jPvhUjy0</t>
  </si>
  <si>
    <t>2011 07 08</t>
  </si>
  <si>
    <t>https://youtu.be/-eznixDTqCc</t>
  </si>
  <si>
    <t>Atlantis launches for ISS on This Week@NASA</t>
  </si>
  <si>
    <t>Space shuttle Atlantis launched from Kennedy Space Center's historic Launch Pad 39A on Friday, July 8 at 11:29 a.m. Eastern Time. Commander Chris Ferguson, Pilot Doug Hurley, and Mission Specialists Sandy Magnus and Rex Walheim are scheduled to dock to the International Space Station at 11:06 a.m. Sunday morning. STS-135, the final flight of the space shuttle program, is a 12-day mission to deliver the Raffaello multipurpose logistics module, which is loaded with supplies and spare parts for the station.
Also, Cassini sizes up a storm on Saturn; a supercomputer that makes quick work of the most complex calculations; and some high-flying students.</t>
  </si>
  <si>
    <t>-eznixDTqCc</t>
  </si>
  <si>
    <t>https://youtu.be/eGxJwX4HOXY</t>
  </si>
  <si>
    <t>STS-135 Atlantis Post-Launch News Conference</t>
  </si>
  <si>
    <t>Just hours after NASA's space shuttle program came to a successful close with the launch of shuttle Atlantis, NASA managers, including NASA Associate Administrator for Space Operations, Bill Gerstenmaier; Kennedy Space Center Director, Bob Cabana; Launch Integration Manager, Mike Moses; and Shuttle Launch Director, Mike Leinbach, discussed this significant milestone in America's space program  This is Atlantis 's 33rd flight to the complex and the 135th shuttle mission to the ISS.</t>
  </si>
  <si>
    <t>eGxJwX4HOXY</t>
  </si>
  <si>
    <t>https://youtu.be/3deA3BXAnHs</t>
  </si>
  <si>
    <t>STS-135  Final Launch of the Space Shuttle Program</t>
  </si>
  <si>
    <t>Space shuttle Commander Chris Ferguson and crewmates Pilot Doug Hurley, and Mission Specialists Sandy Magnus and Rex Walheim are on their way to the International Space Station after launching from NASA's Kennedy Space Center at 11:29 a.m. EDT on Friday, July 8. STS-135 is the final mission of NASA's Space Shuttle Program.
The 12-day mission will deliver the Raffaello multi-purpose logistics module filled with more than 8,000 pounds of supplies and spare parts to sustain space station operations after the shuttles are retired. STS-135 is the 135th shuttle flight, the 33rd flight for Atlantis and the 37th shuttle mission dedicated to station assembly and maintenance,</t>
  </si>
  <si>
    <t>3deA3BXAnHs</t>
  </si>
  <si>
    <t>https://youtu.be/1cFdhyVtNUw</t>
  </si>
  <si>
    <t>The Journey Continues for NASA's Human Space Exploration</t>
  </si>
  <si>
    <t>The crew of STS-135, the final space shuttle mission, talks about the vibrancy of the International Space Station as a stepping stone for NASA's plans for future human exploration beyond low-Earth orbit.</t>
  </si>
  <si>
    <t>1cFdhyVtNUw</t>
  </si>
  <si>
    <t>https://youtu.be/V-wXjYid4_8</t>
  </si>
  <si>
    <t>What's Next for NASA Spaceflight</t>
  </si>
  <si>
    <t>A briefing on the future of NASA's space flight program in a post shuttle era.</t>
  </si>
  <si>
    <t>V-wXjYid4_8</t>
  </si>
  <si>
    <t>2011 07 07</t>
  </si>
  <si>
    <t>https://youtu.be/PDlnNrl64S8</t>
  </si>
  <si>
    <t>ScienceCasts  An Astronomer's Dilemma</t>
  </si>
  <si>
    <t>Stars are bright, but their planets are not, which makes planet hunting difficult. NASA's ultraviolet telescope GALEX may be providing a solution.</t>
  </si>
  <si>
    <t>PDlnNrl64S8</t>
  </si>
  <si>
    <t>https://youtu.be/knRwq9DRHbw</t>
  </si>
  <si>
    <t>The STS-135 Countdown Status Briefing</t>
  </si>
  <si>
    <t>NASA managers provide an update on the latest developments for space shuttle Atlantis's 
planned 11:26 a.m. launch to the International Space Station; originally broadcast on July 7.
STS-135 is the final mission of the space shuttle program.</t>
  </si>
  <si>
    <t>knRwq9DRHbw</t>
  </si>
  <si>
    <t>https://youtu.be/0KDyezVYPBY</t>
  </si>
  <si>
    <t>Orion Multi-Purpose Crew Vehicle Demonstration</t>
  </si>
  <si>
    <t>At the Kennedy Space Center, NASA Deputy Administrator Lori Garver held a briefing on July 7, to demonstrate and  talk about the future of space flight and the Multi-Purpose Crew Vehicle  (Orion).  Also on hand:  Mark Geyer, NASA Multi-Purpose Crew Vehicle Program Manager and Laurence Price, Orion Deputy Program Manager, Lockheed Martin.</t>
  </si>
  <si>
    <t>0KDyezVYPBY</t>
  </si>
  <si>
    <t>2011 07 06</t>
  </si>
  <si>
    <t>https://youtu.be/R69tCTKMP6g</t>
  </si>
  <si>
    <t>ISS Continues as Orbiting Lab</t>
  </si>
  <si>
    <t>Julie Robinson, International Space Station Program scientist, is joined by investigators whose experiments are among those being conducted aboard the International Space Station.</t>
  </si>
  <si>
    <t>R69tCTKMP6g</t>
  </si>
  <si>
    <t>https://youtu.be/ejk5GL3nE5I</t>
  </si>
  <si>
    <t>Refueling Satellites Subject of STS-135 Experiment</t>
  </si>
  <si>
    <t>The Robotic Refueling Mission (RRM) Experiment will be demonstrated by space shuttle Atlantis and her STS-135 crew. Participants in the Kennedy Space Center news briefing are Frank Cepollina, project manager, Satellite Servicing Capabilities Office; Benjamin Reed, deputy project manager, Satellite Servicing Capabilities Office; and Mathieu Caron, Mission Operations manager, Canadian Space Agency.</t>
  </si>
  <si>
    <t>ejk5GL3nE5I</t>
  </si>
  <si>
    <t>https://youtu.be/s6twVLxek2g</t>
  </si>
  <si>
    <t>All Systems  Go  for Atlantis Launch</t>
  </si>
  <si>
    <t>Mike Moses, Mission Management Team chair &amp; Space Shuttle Launch Integration manager, is joined by Mike Leinbach, shuttle launch director, and Kathy Winters, shuttle weather officer, at the STS-135 Prelaunch News Conference.</t>
  </si>
  <si>
    <t>s6twVLxek2g</t>
  </si>
  <si>
    <t>https://youtu.be/hBnO8lJd2JU</t>
  </si>
  <si>
    <t>NASA Details Future Science Missions &amp; Launches</t>
  </si>
  <si>
    <t>Chief scientist Waleed Abdalati is among the panelists who talk and answer questions about upcoming NASA science missions.</t>
  </si>
  <si>
    <t>hBnO8lJd2JU</t>
  </si>
  <si>
    <t>https://youtu.be/_lOio5YxVz8</t>
  </si>
  <si>
    <t>Solving Aviation's Challenges Through NASA Innovation</t>
  </si>
  <si>
    <t>Ed Waggoner, director of the Integrated Systems Research Program, and John Cavolowsky, director of the Airspace Systems Program, discuss what's next for NASA in the field of aeronautics research during a briefing to the news media at NASA's Kennedy Space Center.</t>
  </si>
  <si>
    <t>_lOio5YxVz8</t>
  </si>
  <si>
    <t>2011 07 05</t>
  </si>
  <si>
    <t>https://youtu.be/SvaG0xDdP8g</t>
  </si>
  <si>
    <t>The Space Shuttle (Narrated by William Shatner)</t>
  </si>
  <si>
    <t>An idea born in unsettled times becomes a feat of engineering excellence. The most complex machine ever built to bring humans to and from space and eventually construct the next stop on the road to space exploration.</t>
  </si>
  <si>
    <t>SvaG0xDdP8g</t>
  </si>
  <si>
    <t>https://youtu.be/9jqtxyvH4Vc</t>
  </si>
  <si>
    <t>Atlantis Astronauts Test Water Recycling</t>
  </si>
  <si>
    <t>NASA scientists plan to have astronauts on STS-135, the final space shuttle flight, test in microgravity a new method for recycling "used" water known as forward osmosis. The idea is to make a fortified drink that provides hydration and nutrients from all sources available aboard a spacecraft, such as wastewater and even urine.</t>
  </si>
  <si>
    <t>9jqtxyvH4Vc</t>
  </si>
  <si>
    <t>https://youtu.be/BE8LojTjo2A</t>
  </si>
  <si>
    <t>NASA Holds Pre-Countdown Briefing to Discuss the Status of Shuttle Mission STS-135</t>
  </si>
  <si>
    <t>NASA officials held a pre-countdown Status Briefing to discuss the STS-135 mission's status before the official start of the countdown clock at T-43 hours. Jeremy Graeber, NASA test director; Joe Delai, STS-135 payload manager; and Kathy Winters, shuttle weather officer speak to the media at NASA's Kennedy Space Center in Florida on July 5.
Space shuttle Atlantis and its 4-person crew is scheduled to launch from Kennedy to the International Space Station at 11:26 a.m. on July 8. Its 12-day mission will be the final mission for Atlantis and the Space Shuttle Program.</t>
  </si>
  <si>
    <t>BE8LojTjo2A</t>
  </si>
  <si>
    <t>2011 07 04</t>
  </si>
  <si>
    <t>https://youtu.be/SgP5N8tJisg</t>
  </si>
  <si>
    <t>Final Shuttle Crew Arrives at Kennedy for Launch</t>
  </si>
  <si>
    <t>The four astronauts for the final space shuttle mission arrived on July 4 at NASA's Kennedy Space Center, Fla., for their prelaunch preparations. Liftoff of shuttle Atlantis' STS-135 mission to the International Space Station is scheduled for 11:26 a.m. on July 8. After arriving at Kennedy's Shuttle Landing Facility, Commander Chris Ferguson, Pilot Doug Hurley and Mission Specialists Sandy Magnus and Rex Walheim addressed media in attendance. The crew will deliver to the station the Raffaello multi-purpose logistics module filled with supplies and spare parts that will sustain station operations once the shuttles are retired following this mission.</t>
  </si>
  <si>
    <t>SgP5N8tJisg</t>
  </si>
  <si>
    <t>2011 07 02</t>
  </si>
  <si>
    <t>https://youtu.be/lswDRdT3zJw</t>
  </si>
  <si>
    <t>Crew Readies for Final Shuttle Mission on This Week @NASA</t>
  </si>
  <si>
    <t>With the launch of STS-135 officially set for July 8th at 11:26 a.m. EDT,  the four-member crew -- Commander Chris Ferguson, Pilot Doug Hurley and Mission Specialists Sandy Magnus and Rex Walheim -- is making its final preparations for the final mission of the Space Shuttle Program. Also, NASA Administrator Charles Bolden speaks to the National Press Club about the agency's future after shuttle: lander test; Webb mirrors polished; air quality flights; AstroMike leads Lori's chat; honor awards; MSL radar tests; and Mojave space shallenge.</t>
  </si>
  <si>
    <t>lswDRdT3zJw</t>
  </si>
  <si>
    <t>2011 07 01</t>
  </si>
  <si>
    <t>https://youtu.be/t7nVTByMiZA</t>
  </si>
  <si>
    <t>ScienceCasts  Wild Weather</t>
  </si>
  <si>
    <t>Record snowfall, killer tornadoes, devastating floods: There's no doubt about it. Since Dec. 2010, the weather in the USA has been positively wild. But why?</t>
  </si>
  <si>
    <t>t7nVTByMiZA</t>
  </si>
  <si>
    <t>https://youtu.be/xR0004YvK2s</t>
  </si>
  <si>
    <t>Bolden Speaks at National Press Club</t>
  </si>
  <si>
    <t>NASA Administrator Charles Bolden outlined the agency's post-shuttle future in a speech to media and members at the National Press Club in Washington.
Bolden told the luncheon gathering and a national television audience that NASA will continue its human space exploration efforts aboard the International Space Station, and by developing new technologies and capabilities to send future generations to multiple destinations beyond low Earth orbit. Bolden also spoke of NASA's continued dedication to sending robotic science missions into the solar system and beyond, and innovation in aeronautics research. 
Guest speaker, astronaut Mark Kelly, talked about the importance of the International Space Station, a destination he visited on each of his four shuttle flights, and the continuing recovery of his wife, Arizona Congresswoman Gabrielle Giffords.</t>
  </si>
  <si>
    <t>xR0004YvK2s</t>
  </si>
  <si>
    <t>https://youtu.be/VYaNE49vv9I</t>
  </si>
  <si>
    <t>Future of Human Space Flight</t>
  </si>
  <si>
    <t>NASA will develop new technologies and capabilities that'll build a flexible path to multiple destinations beyond low Earth orbit for future generations of explorers.</t>
  </si>
  <si>
    <t>VYaNE49vv9I</t>
  </si>
  <si>
    <t>2011 06 30</t>
  </si>
  <si>
    <t>https://youtu.be/peKQyXZ_g5w</t>
  </si>
  <si>
    <t>NASA Celebrates Its Best &amp; Brightest</t>
  </si>
  <si>
    <t>The Agency Honor Awards program recognizes employees who've made noteworthy contributions to NASA and America's space program.</t>
  </si>
  <si>
    <t>peKQyXZ_g5w</t>
  </si>
  <si>
    <t>https://youtu.be/lSz0JifzWSU</t>
  </si>
  <si>
    <t>Media Gets Overview of Shuttle, ISS Programs</t>
  </si>
  <si>
    <t>In the first of a series of day-long, pre-flight briefings, NASA managers update for reporters the status of the space shuttle and International Space Station programs.</t>
  </si>
  <si>
    <t>lSz0JifzWSU</t>
  </si>
  <si>
    <t>https://youtu.be/mkjBW5CZWkc</t>
  </si>
  <si>
    <t>Final Shuttle Mission Detailed for Reporters</t>
  </si>
  <si>
    <t>At NASA's Kennedy Space Center, STS-135 managers brief media members on the final mission of the Space Shuttle Program, the 12-day flight of Atlantis and her four-member crew to the International Space Station.</t>
  </si>
  <si>
    <t>mkjBW5CZWkc</t>
  </si>
  <si>
    <t>2011 06 29</t>
  </si>
  <si>
    <t>https://youtu.be/f-MgyVJq-y4</t>
  </si>
  <si>
    <t>Shatner-Narrated Shuttle Documentary Premieres July 1 on NTV</t>
  </si>
  <si>
    <t>"Space Shuttle," the full-length documentary narrated by William Shatner, will  premiere this Friday,  July 1, at 8 p.m. EDT on NASA Television.
NASA TV is available on satellite and cable systems throughout the U.S. and is streamed 24/7 at www.nasa.gov/ntv</t>
  </si>
  <si>
    <t>f-MgyVJq-y4</t>
  </si>
  <si>
    <t>https://youtu.be/Y-5VO2nlRYA</t>
  </si>
  <si>
    <t>Space Shuttle 30th Anniversary</t>
  </si>
  <si>
    <t>This video commemorates the 30th Anniversary of the Space Shuttle Program. Starting with the V.O. countdown of the first Shuttle, STS-1 - The camera flies through all 135 mission patches, landing on the Shuttle Program 30th Anniversary logo. This piece was created by Mark R. Hailey, NASA Television's Art Director.</t>
  </si>
  <si>
    <t>Y-5VO2nlRYA</t>
  </si>
  <si>
    <t>https://youtu.be/-lhmzhNYLbU</t>
  </si>
  <si>
    <t>Garan and Fossum on Big Apple, Texas TV</t>
  </si>
  <si>
    <t>Aboard the International Space Station, Expedition 28 Flight Engineers Ron Garan and Mike Fossum of NASA fielded questions about life and work on the orbital laboratory and the upcoming final flight of the space shuttle program with WNYW-TV's "Good Day, New York" program and KWTX-TV in Waco, Texas.</t>
  </si>
  <si>
    <t>-lhmzhNYLbU</t>
  </si>
  <si>
    <t>https://youtu.be/UleTHCoU-Zc</t>
  </si>
  <si>
    <t>Shuttle Managers Give  Go  to July 8 Launch</t>
  </si>
  <si>
    <t>Space shuttle managers meeting at NASA's Kennedy Space Center in Florida have given the green light to launch shuttle Atlantis on July 8 at 11:26 a.m. EDT.  The selection of July 8 as the official launch date came during the STS-135 Flight Readiness Review held by shuttle managers to determine the vehicle's worthiness to fly.</t>
  </si>
  <si>
    <t>UleTHCoU-Zc</t>
  </si>
  <si>
    <t>2011 06 28</t>
  </si>
  <si>
    <t>https://youtu.be/oQapAbaWrmQ</t>
  </si>
  <si>
    <t>ScienceCasts  Power of Sea Salt</t>
  </si>
  <si>
    <t>Aquarius is the first NASA sensor to track ocean salinity from space, and aims to help uncover how the salinity of Earth's oceans are effecting our climate.</t>
  </si>
  <si>
    <t>oQapAbaWrmQ</t>
  </si>
  <si>
    <t>https://youtu.be/4Xn180k6k_Q</t>
  </si>
  <si>
    <t>ScienceCasts  Big Surprise</t>
  </si>
  <si>
    <t>NASA's Voyager probes have reached the edge of the solar system and found something surprising there--a froth of magnetic bubbles separating us from the rest of the galaxy.</t>
  </si>
  <si>
    <t>4Xn180k6k_Q</t>
  </si>
  <si>
    <t>2011 06 27</t>
  </si>
  <si>
    <t>https://youtu.be/qPne2ffaG9Q</t>
  </si>
  <si>
    <t>STS-135  The Mission</t>
  </si>
  <si>
    <t>STS-135, the final mission of the Space Shuttle Program, is detailed in this overview of Atlantis' flight to the International Space Station targeted to launch on July 8. Commander Chris Ferguson; Pilot Doug Hurley; and mission specialists Sandy Magnus and Rex Walheim Engineers want to understand why the pump failed and improve designs for future spacecraft. This is the final flight for shuttle Atlantis and the Space Shuttle Program. NASA's workhorses for the past 30 years have completed their mission to build and supply the orbiting outpost, and the agency is now looking to destinations beyond low-Earth orbit.</t>
  </si>
  <si>
    <t>qPne2ffaG9Q</t>
  </si>
  <si>
    <t>2011 06 24</t>
  </si>
  <si>
    <t>https://youtu.be/Y9O2zoIPTZE</t>
  </si>
  <si>
    <t>Atlantis Crew Rehearses Launch Countdown</t>
  </si>
  <si>
    <t>‪The four-member crew of the final space shuttle mission participated in a full launch dress rehearsal, known as the Terminal Countdown Demonstration Test, on June 23 at NASA's Kennedy Space Center in Florida. The test provided an opportunity for the crew and ground teams to participate in various simulated countdown activities, including equipment familiarization, emergency training and a simulated launch countdown. Atlantis' crew members are Commander Chris Ferguson, Pilot Doug Hurley, and Mission Specialists Sandy Magnus and Rex Walheim.
‪During the 12-day STS-135 mission, Atlantis' astronauts will deliver to the International Space Station the Raffaello multi-purpose logistics module filled with supplies, logistics and spare parts that will sustain station operations once the shuttles are retired this summer. Atlantis' launch is targeted for July 8. This will be the final flight of the Space Shuttle Program.</t>
  </si>
  <si>
    <t>Y9O2zoIPTZE</t>
  </si>
  <si>
    <t>https://youtu.be/BKSWVa7kt6s</t>
  </si>
  <si>
    <t>Preps for Final Shuttle Mission Continue on This Week @NASA</t>
  </si>
  <si>
    <t>The STS-135 crew and support personnel continue their preparations for the launch of space shuttle Atlantis targeted for July 8 from NASA's Kennedy Space Center. The 12-day mission to the International Space Station will be the final flight of the space shuttle program. Also, Bolden meets with Pope; comings and goings at the ISS; Rocket U.; space weather forum; the Glenn Lecture; and new building at Langley.</t>
  </si>
  <si>
    <t>BKSWVa7kt6s</t>
  </si>
  <si>
    <t>https://youtu.be/XJ3m4bB0MWo</t>
  </si>
  <si>
    <t>Final Space Shuttle Crew Profiled</t>
  </si>
  <si>
    <t>The four members of the STS-135 crew targeted to launch to the International Space Station aboard shuttle Atlantis on July 8 is profiled: Commander Chris Ferguson; Pilot Doug Hurley; and mission specialists Sandy Magnus and Rex Walheim.
Space shuttle Atlantis' 12-day mission to the International Space Station will deliver the Raffaello multi-purpose logistics module filled with supplies and spare parts to sustain station operations once the shuttles are retired. The mission also will fly the Robotic Refueling Mission (RRM), an experiment designed to demonstrate and test the tools, technologies and techniques needed to robotically refuel satellites in space, even satellites not designed to be serviced. The crew also will return an ammonia pump that recently failed on the station. Engineers want to understand why the pump failed and improve designs for future spacecraft. This is the final flight for shuttle Atlantis and the Space Shuttle Program. NASA's workhorses for the past 30 years have completed their mission to build and supply the orbiting outpost, and the agency is now looking to destinations beyond low-Earth orbit.</t>
  </si>
  <si>
    <t>XJ3m4bB0MWo</t>
  </si>
  <si>
    <t>https://youtu.be/FfFuEpptyUk</t>
  </si>
  <si>
    <t>STS-135 Crew Trains for Success</t>
  </si>
  <si>
    <t>This resource reel captures the four-member crew of the final space shuttle flight undergoing various forms of training in preparation for its upcoming mission aboard Atlantis to the International Space Station. Commander Chris Ferguson, Pilot Doug Hurley, and Mission Specialists Sandy Magnus and Rex Walheim are targeted to launch from NASA's Kennedy Space Center on July 8 on STS-135, the final mission of NASA's Space Shuttle Program.</t>
  </si>
  <si>
    <t>FfFuEpptyUk</t>
  </si>
  <si>
    <t>2011 06 23</t>
  </si>
  <si>
    <t>https://youtu.be/iz1XF2Acn2Y</t>
  </si>
  <si>
    <t>Dawn Spacecraft Provides New Data from Asteroid</t>
  </si>
  <si>
    <t>Scientists working with NASA's Dawn spacecraft reveal new data and imagery captured by the probe as it approaches the Vesta asteroid at a science briefing held at NASA Headquarters in Washington on June 23. Dawn is scheduled on July 16 to begin orbiting Vesta 9,900 miles above the surface of the asteroid belt's second-largest object.</t>
  </si>
  <si>
    <t>iz1XF2Acn2Y</t>
  </si>
  <si>
    <t>https://youtu.be/BgciF5iz9fA</t>
  </si>
  <si>
    <t>Cargo Ship Joins Up with ISS</t>
  </si>
  <si>
    <t>The unpiloted Progress 43 cargo ship docks at the International Space Station after its 50-hour journey from the Baikonur Cosmodrome in Kazakhstan. The automated resupply vehicle contained almost three tons of food, fuel and supplies.</t>
  </si>
  <si>
    <t>BgciF5iz9fA</t>
  </si>
  <si>
    <t>https://youtu.be/2hz-cGhiTLE</t>
  </si>
  <si>
    <t>ISS Crew Member Talks with Hospitalized Children in Japan</t>
  </si>
  <si>
    <t>In a downlink from the International Space Station, Expedition 28 Flight Engineer Satoshi Furukawa of the Japan Aerospace Exploration Agency, a medical doctor, chatted with children at the Nagano Children's Hospital in Azumino City, Nagano Prefecture, Japan on June 23. Furukawa, who provided inspirational words for the hospitalized children, is in the midst of a five-and-a-half month mission on the station.</t>
  </si>
  <si>
    <t>2hz-cGhiTLE</t>
  </si>
  <si>
    <t>https://youtu.be/sw0gWqUsD-g</t>
  </si>
  <si>
    <t xml:space="preserve">Final Shuttle Crew Practice Safety  Slide </t>
  </si>
  <si>
    <t>The four-member crew of the final space shuttle flight received instruction on the operation of slidewire baskets during emergency exit training as part of the full launch dress rehearsal known as the Terminal Countdown Demonstration Test on Launch Pad 39A on June 22 at NASA's Kennedy Space Center in Florida. The test provides astronauts and ground crews with an opportunity to participate in various simulated countdown activities, including equipment familiarization.</t>
  </si>
  <si>
    <t>sw0gWqUsD-g</t>
  </si>
  <si>
    <t>https://youtu.be/RGhvkVafUqI</t>
  </si>
  <si>
    <t>Atlantis' Commander, Pilot Practice Landings</t>
  </si>
  <si>
    <t>Space shuttle Atlantis' STS-135 mission Commander Chris Ferguson and Pilot Doug Hurley practiced landings in a Shuttle Training Aircraft, or STA, on June 20 at NASA's Kennedy Space Center in Florida. The STA is a jet modified to simulate a shuttle's cockpit, motion and handling qualities. The practice landings took place during training related to a full launch dress rehearsal known as the Terminal Countdown Demonstration Test that provides astronauts and ground crews an opportunity to participate in various simulated countdown activities, including equipment familiarization and emergency training.</t>
  </si>
  <si>
    <t>RGhvkVafUqI</t>
  </si>
  <si>
    <t>https://youtu.be/TRgocJcABco</t>
  </si>
  <si>
    <t>STS-135 Crew Undergoes Emergency Exit Training</t>
  </si>
  <si>
    <t>The four-member crew of the final space shuttle flight practiced driving an M113 armored personnel carrier on June 21 during training associated with the full launch dress rehearsal known as the Terminal Countdown Demonstration Test. The training takes place at NASA's Kennedy Space Center in Florida.‪Each astronaut of shuttle Atlantis' STS-135 mission practiced driving the armored personnel carrier as part of their emergency escape procedure training. An M113 will be available to transport crew members to safety in the event of a contingency on the launch pad before liftoff. Atlantis' crew members are Commander Chris Ferguson, Pilot Doug Hurley, and Mission Specialists Sandy Magnus and Rex Walheim. During the 12-day STS-135 mission, Atlantis' astronauts will deliver to the International Space Station the Raffaello multi-purpose logistics module filled with supplies, logistics and spare parts that will sustain station operations once the shuttles are retired this summer. Atlantis' launch is targeted for July 8. This will be the final flight of the Space Shuttle Program.</t>
  </si>
  <si>
    <t>TRgocJcABco</t>
  </si>
  <si>
    <t>2011 06 22</t>
  </si>
  <si>
    <t>https://youtu.be/CKW1UvKmRqM</t>
  </si>
  <si>
    <t>Final Shuttle Crew Meets Media</t>
  </si>
  <si>
    <t>The four astronauts who'll fly shuttle Atlantis on STS-135, the final mission of the Space Shuttle Program, take questions from reporters at Launch Pad 39A at NASA's Kennedy Space Center in Florida. The Q &amp; A session came after completion of the crew's Terminal Countdown Demonstration Test, or TCDT, during which the crew and support personnel familiarized themselves with equipment and procedures leading up to and including launch.</t>
  </si>
  <si>
    <t>CKW1UvKmRqM</t>
  </si>
  <si>
    <t>2011 06 21</t>
  </si>
  <si>
    <t>https://youtu.be/8IZvzs4YzzI</t>
  </si>
  <si>
    <t>Landing the Soyuz</t>
  </si>
  <si>
    <t>Each time a NASA astronaut comes home from the International Space Station, a team of personnel heads to Russia and Kazakhstan to support the landing. In this episode of "NASA Behind the Scenes," Josh Byerly, Public Affairs Officer at NASA's Johnson Space Center, brings you along to meet the men and women  who work Soyuz "search and recovery" and see what it takes to safely land the spacecraft.</t>
  </si>
  <si>
    <t>8IZvzs4YzzI</t>
  </si>
  <si>
    <t>https://youtu.be/Kux0Jc53hj0</t>
  </si>
  <si>
    <t>Shuttle's External Tank Scanned; Leaky Valve Replaced</t>
  </si>
  <si>
    <t>On June 20, technicians continued taking Computed Radiography (CR) X-ray scans of 50 support beams, called stringers, on space shuttle Atlantis' external fuel tank. The hi-tech imaging work at NASA Kennedy Space Center's Launch Pad 39A, Fla., is being done on the tops and bottoms of the 21-foot long beams, which are located on the shuttle-facing side of the tank's intertank section. The scans, which began June 19, are expected to take about a week to complete. The scans follow a June 15 tanking test. Technicians also are replacing the main fuel valve in Atlantis' space shuttle main engine No. 3, which apparently developed a small liquid hydrogen leak during the tanking test. The work is expected to take about a week, which still would support Atlantis' targeted July 8 launch date for its STS-135 mission to the International Space Station. The 12-day flight is the last mission of the Space Shuttle Program.</t>
  </si>
  <si>
    <t>Kux0Jc53hj0</t>
  </si>
  <si>
    <t>2011 06 20</t>
  </si>
  <si>
    <t>https://youtu.be/CbXhAEtsbHA</t>
  </si>
  <si>
    <t>CbXhAEtsbHA</t>
  </si>
  <si>
    <t>2011 06 18</t>
  </si>
  <si>
    <t>https://youtu.be/VMcUN3Bp_b0</t>
  </si>
  <si>
    <t>Rendezvous Sim Conducted by Shuttle and ISS Teams</t>
  </si>
  <si>
    <t>The flight control teams of both shuttle Atlantis and the International Space Station join to simulate the rendezvous and docking of the two spacecraft on STS-135.</t>
  </si>
  <si>
    <t>VMcUN3Bp_b0</t>
  </si>
  <si>
    <t>2011 06 17</t>
  </si>
  <si>
    <t>https://youtu.be/uy-zRqdi32E</t>
  </si>
  <si>
    <t>Black Holes and Mercury on This Week @NASA</t>
  </si>
  <si>
    <t>New pictures and data about the growth of supermassive black holes in galaxies of the early universe join new findings about the planet Mercury are highlighted, along with a look ahead to the final shuttle flight and other NASA events, programs and projects of interest.</t>
  </si>
  <si>
    <t>uy-zRqdi32E</t>
  </si>
  <si>
    <t>https://youtu.be/i8stQ3m-VD8</t>
  </si>
  <si>
    <t>New York Students Call Garan on ISS</t>
  </si>
  <si>
    <t>Students in Otsego County, N.Y., made a special call to the International Space Station and Expedition 28 Flight Engineer Ron Garan on Friday, June 17. Fifth through eighth grade students from the Oneonta City School district will ask Garan questions about how the space station plays a pivotal role in expanding human understanding of the Earth and space. Garan received his undergraduate degree from The State University of New York's (SUNY) Oneonta campus in 1982. Garan previously spoke with many of the students in February through NASA's Digital Learning Network about the benefits of studying science, technology, engineering and mathematics (STEM) and his first spaceflight.</t>
  </si>
  <si>
    <t>i8stQ3m-VD8</t>
  </si>
  <si>
    <t>https://youtu.be/mGvBbZE6EQ0</t>
  </si>
  <si>
    <t>STS-135 Crew Meet Media at Johnson</t>
  </si>
  <si>
    <t>The four astronauts who'll fly the final space shuttle mission took questions from the media in the Space Shuttle Flight Control Room at NASA's Johnson Space Center in Houston. Commander Chris Ferguson, Pilot Dough Hurley and mission specialists Sandy Magnus and Rex Walheim are targeted to liftoff aboard Atlantis from the Kennedy Space Center on July 8.</t>
  </si>
  <si>
    <t>mGvBbZE6EQ0</t>
  </si>
  <si>
    <t>https://youtu.be/KAsoNC73uRE</t>
  </si>
  <si>
    <t>NASA's MESSENGER Delivers New Pix, Data from Mercury</t>
  </si>
  <si>
    <t>NASA reveals new images and science findings from the first spacecraft to orbit Mercury. The MErcury Surface, Space ENvironment, GEochemistry, and Ranging, or MESSENGER spacecraft conducted more than a dozen laps through the inner solar system for six years prior to achieving the historic orbit insertion on March 17.</t>
  </si>
  <si>
    <t>KAsoNC73uRE</t>
  </si>
  <si>
    <t>2011 06 16</t>
  </si>
  <si>
    <t>https://youtu.be/sjJRyFNtzzk</t>
  </si>
  <si>
    <t>Raffaello Packed Up for Atlantis' STS-135 Mission</t>
  </si>
  <si>
    <t>In the Space Station Processing Facility at NASA's Kennedy Space Center in Florida, the Raffaello multi-purpose logistics module (MPLM) for shuttle Atlantis' STS-135 mission to the International Space Station is lowered into the payload canister in which it will be transported to Launch Pad 39A. Raffaello and other cargo will then be installed into Atlantis' payload bay.
Atlantis and its four veteran astronauts are targeted to lift off on July 8, taking with them the MPLM packed with supplies and spare parts.</t>
  </si>
  <si>
    <t>sjJRyFNtzzk</t>
  </si>
  <si>
    <t>2011 06 15</t>
  </si>
  <si>
    <t>https://youtu.be/k28G6jLx24A</t>
  </si>
  <si>
    <t>Chandra Sheds Light on Black Holes</t>
  </si>
  <si>
    <t>A NASA-hosted news conference in Washington highlights imagery and data captured by the Chandra X-Ray Observatory about the early universe's growth of supermassive black holes in galaxies.</t>
  </si>
  <si>
    <t>k28G6jLx24A</t>
  </si>
  <si>
    <t>2011 06 14</t>
  </si>
  <si>
    <t>https://youtu.be/elel_HBHSV0</t>
  </si>
  <si>
    <t>NASA Spacecraft Captures Video of Asteroid Approach</t>
  </si>
  <si>
    <t>Scientists working with NASA's Dawn spacecraft have created a new video showing the giant asteroid Vesta as the spacecraft approaches this unexplored world in the main asteroid belt.  The images show a dark feature near Vesta's equator moving from left to right across the field of view as Vesta rotates. It is roughly 60 miles (100 kilometers) in diameter. Vesta's jagged, irregular shape is also seen, hinting at the enormous crater known to exist at Vesta's south pole. The video loops 20 images obtained by Dawn for navigation purposes on June 1, 2011.</t>
  </si>
  <si>
    <t>elel_HBHSV0</t>
  </si>
  <si>
    <t>2011 06 13</t>
  </si>
  <si>
    <t>https://youtu.be/0w2umL6OYNk</t>
  </si>
  <si>
    <t>Successful Aquarius SAC-D Liftoff Excites Mission Team</t>
  </si>
  <si>
    <t>Scientists thrilled with the successful launch of Aquarius now eagerly await data that'll provide new insight into the effects of the oceans' levels of salinity and their ultimate affect on the world's climate.</t>
  </si>
  <si>
    <t>0w2umL6OYNk</t>
  </si>
  <si>
    <t>https://youtu.be/nMBTnYEsw6k</t>
  </si>
  <si>
    <t>Scientists Await Aquarius SAC-D Launch</t>
  </si>
  <si>
    <t>The pre-launch briefing of NASA's Aquarius/SAC-D mission updates media on preparations at Vandenberg Air Force Base in California.</t>
  </si>
  <si>
    <t>nMBTnYEsw6k</t>
  </si>
  <si>
    <t>2011 06 10</t>
  </si>
  <si>
    <t>https://youtu.be/5lGq5dQ2a-A</t>
  </si>
  <si>
    <t>Two Launches Top This Week @NASA</t>
  </si>
  <si>
    <t>NASA astronaut Mike Fossum and Satoshi Furukawa of the Japan Aerospace Exploration Agency joined cosmonaut Sergei Volkov aboard the Soyuz spacecraft he commanded and lifted off from the Baikonur Cosmodrome for the International Space Station. A little more than two days later, the trio joined Commander Andrey Borisenko, and flight engineers Ron Garan and Alexander Samokutyaev aboard the ISS. Also sent aloft was the Aquarius/SAC-D spacecraft to orbit the Earth and analyze the oceans for their comparative levels of salinity, a major factor in the flow of currents that, ultimately, affect climate.
Plus, magnetic bubbles; final flight's update; unique "portrait"; solar blast; "Wheels" rolls in; Stennis 50th; Balloonsat; Homerama; and Kelly on U2 Tour.</t>
  </si>
  <si>
    <t>5lGq5dQ2a-A</t>
  </si>
  <si>
    <t>https://youtu.be/idRwRcDapgg</t>
  </si>
  <si>
    <t>Aquarius to Study Ocean Salinity</t>
  </si>
  <si>
    <t>The Aquarius/SAC-D Observatory was launched into its polar orbit of the Earth on June 10 from Vandenberg Air Force Base in Calif. Aquarius will measure the amount of salt in ocean waters around the globe. Salinity affects ocean circulation and climate.</t>
  </si>
  <si>
    <t>idRwRcDapgg</t>
  </si>
  <si>
    <t>https://youtu.be/aMiP-D4SJZQ</t>
  </si>
  <si>
    <t>Red Carpet Rolled Out at Space Station</t>
  </si>
  <si>
    <t>Mike Fossum, Sergei Volkov and Satoshi Furukawa are greeted by fellow Expedition 28 members Andrey Borisenko, Ron Garan, and Alexander Samokutyaev as they board the International Space Station following their two-day journey from the Baikonur Cosmodrome in Kazakhstan.</t>
  </si>
  <si>
    <t>aMiP-D4SJZQ</t>
  </si>
  <si>
    <t>https://youtu.be/W2moU4Djzbk</t>
  </si>
  <si>
    <t>New Residents Welcomed to Station</t>
  </si>
  <si>
    <t>The three new members of the International Space Station's Expedition 28 crew are welcomed aboard the orbiting complex by their three crewmates already in residence there.</t>
  </si>
  <si>
    <t>W2moU4Djzbk</t>
  </si>
  <si>
    <t>2011 06 09</t>
  </si>
  <si>
    <t>https://youtu.be/64jml5rxKr0</t>
  </si>
  <si>
    <t>Expedition 28's Soyuz Docks to ISS</t>
  </si>
  <si>
    <t>The Soyuz spacecraft carrying Mike Fossum, Sergei Volkov and Satoshi Furukawa docks to the International Space Station two days after its launch from the Baikonur Cosmodrome in Kazakhstan. The trio of space explorers are scheduled to spend about five months aboard the orbiting complex.</t>
  </si>
  <si>
    <t>64jml5rxKr0</t>
  </si>
  <si>
    <t>https://youtu.be/g-fCkzHkn3c</t>
  </si>
  <si>
    <t>Endeavour at Station   The Scene from Soyuz</t>
  </si>
  <si>
    <t>This brief video sets to music newly-released imagery of the International Space Station together with the space shuttle, the vehicle that helped build the complex over the last decade. The imagery was shot by European Space Agency astronaut Paolo Nespoli from the Russian Soyuz spacecraft that undocked from the station on May 23. He, Russian cosmonaut Dmitry Kondratyev and NASA astronaut Cady Coleman were departing the station for a return to Earth after five months on the station. Nespoli documented the station from a distance of 600 feet as it was rotated 130 degrees.</t>
  </si>
  <si>
    <t>g-fCkzHkn3c</t>
  </si>
  <si>
    <t>2011 06 08</t>
  </si>
  <si>
    <t>https://youtu.be/iOLh3Vxk0HM</t>
  </si>
  <si>
    <t>Unique Video Shows Shuttle Endeavour at ISS</t>
  </si>
  <si>
    <t>Newly released video shows the International Space Station together with the space shuttle, the vehicle that helped build the complex over the last decade. The video was shot by European Space Agency astronaut Paolo Nespoli from the Russian Soyuz spacecraft that undocked from the station on May 23. He, Russian cosmonaut Dmitry Kondratyev and NASA astronaut Cady Coleman were departing the station for a return to Earth after five months on the station. Nespoli documented the station from a distance of 600 feet as it was rotated 130 degrees.</t>
  </si>
  <si>
    <t>iOLh3Vxk0HM</t>
  </si>
  <si>
    <t>https://youtu.be/z27GRH23nkw</t>
  </si>
  <si>
    <t>Expedition 28 Trio on Way to ISS</t>
  </si>
  <si>
    <t>Video of International Space Station flight engineers Mike Fossum, Sergei Volkov and Satoshi Furukawa prior to and during their June 7 launch to the ISS aboard their Soyuz spacecraft. Includes post-launch interview(s) conducted at the launch site in Baikonur, Kazakhstan with NASA spaceflight operations official(s).</t>
  </si>
  <si>
    <t>z27GRH23nkw</t>
  </si>
  <si>
    <t>https://youtu.be/0yZLP32ehRE</t>
  </si>
  <si>
    <t>Exp 28 Pre-Launch &amp; Launch</t>
  </si>
  <si>
    <t>0yZLP32ehRE</t>
  </si>
  <si>
    <t>2011 06 07</t>
  </si>
  <si>
    <t>https://youtu.be/r_If7LyjyXo</t>
  </si>
  <si>
    <t>Fossum and Crewmates Liftoff for Station</t>
  </si>
  <si>
    <t>NASA's Mike Fossum, cosmonaut Sergei Volkov and JAXA astronaut Satoshi Furukawa are launched to the International Space Station aboard a Soyuz spacecraft from the Bailkonur Cosmodrome in Kazakhstan. Luanch came at 4:15 p.m. Eastern on June 7.</t>
  </si>
  <si>
    <t>r_If7LyjyXo</t>
  </si>
  <si>
    <t>https://youtu.be/vV61OoU-r3M</t>
  </si>
  <si>
    <t>Soyuz Crew Ready for Launch</t>
  </si>
  <si>
    <t>Expedition 28 crew members Mike Fossum, Sergei Volkov and Satoshi Furukawa walk out to the Soyuz spacecraft that'll soon take them to the International Space Station.</t>
  </si>
  <si>
    <t>vV61OoU-r3M</t>
  </si>
  <si>
    <t>https://youtu.be/GEsg50IlmBM</t>
  </si>
  <si>
    <t>Fossum's Final Soyuz Checkouts</t>
  </si>
  <si>
    <t>NASA astronaut Mike Fossum, Expedition 28 flight engineer and his crew perform final checkouts on their spacecraft in Baikonur Cosmodrome in Kazakhstan. 
They have been conducting final preparations for the launch of Soyuz-TMA-02M to the International Space Station on June 8, 2011 for his six month mission.</t>
  </si>
  <si>
    <t>GEsg50IlmBM</t>
  </si>
  <si>
    <t>2011 06 06</t>
  </si>
  <si>
    <t>https://youtu.be/HMSoqSfEgS0</t>
  </si>
  <si>
    <t>Baikonur Hosts Pre-Launch News Conference with Soyuz Crew</t>
  </si>
  <si>
    <t>NASA Astronaut Mike Fossum and his fellow Expedition 28 flight engineers, Sergei Volkov and Satoshi Furukawa, meet with media at their final news conference before their scheduled liftoff for the International Space Station on June 7 at 4:15 p.m. Eastern aboard a Soyuz spacecraft. Includes footage of the Russian State Commission Meeting in Baikonur at which the launch is given final approval.</t>
  </si>
  <si>
    <t>HMSoqSfEgS0</t>
  </si>
  <si>
    <t>https://youtu.be/3qSlHh23Qto</t>
  </si>
  <si>
    <t>The STS-135 Crew Interviews  Sandy Magnus</t>
  </si>
  <si>
    <t>The St. Louis-area native speaks about being one of four astronauts chosen for this mission and her return as a Mission Specialist to the International Space Station. Magnus lived more than four months aboard the ISS when she served as a Flight Engineer on Expedition 18 from November 2008 to March 2009.</t>
  </si>
  <si>
    <t>3qSlHh23Qto</t>
  </si>
  <si>
    <t>https://youtu.be/Z6N-tkxlfVs</t>
  </si>
  <si>
    <t>The STS-135 Crew Interviews  Rex Walheim</t>
  </si>
  <si>
    <t>A native of the northern California Bay Area, Walheim explains how he didn't let a heart murmur derail his dream to fly in space. STS-135 will be Walheim's third spaceflight aboard the shuttle, each of which brought him and his crewmates to the International Space Station. Walheim marvels at how the ISS has grown since his first visit and looks forward to seeing it again in its completed configuration.</t>
  </si>
  <si>
    <t>Z6N-tkxlfVs</t>
  </si>
  <si>
    <t>2011 06 05</t>
  </si>
  <si>
    <t>https://youtu.be/bx2hZC6UyO4</t>
  </si>
  <si>
    <t>The STS-135 Crew Interviews  Doug Hurley</t>
  </si>
  <si>
    <t>Atlantis' pilot recounts his small-town upbringing in upstate New York and the long road he took to become a NASA astronaut. Hurley also addresses the risks inherent in spaceflight; sheltering aboard the International Space Station in the event of an emergency; and, what it might be like to come home on a Soyuz spacecraft.</t>
  </si>
  <si>
    <t>bx2hZC6UyO4</t>
  </si>
  <si>
    <t>https://youtu.be/k_dyhxeU44s</t>
  </si>
  <si>
    <t>The STS-135 Crew Interviews  Chris Ferguson</t>
  </si>
  <si>
    <t>The commander of Atlantis (and Philadelphia native) explains how experience will play a significant role on this final mission of the Space Shuttle Program. Among other subjects, Ferguson discusses what he most wants to see on this visit to the International Space Station, and  how different this mission's one spacewalk will be from previous excursions outside the ISS.</t>
  </si>
  <si>
    <t>k_dyhxeU44s</t>
  </si>
  <si>
    <t>https://youtu.be/dWNLussF_lQ</t>
  </si>
  <si>
    <t>Soyuz Readied for Launch to ISS</t>
  </si>
  <si>
    <t>The Soyuz TMA-02M spacecraft that'll take Mike Fossum and his two Expedition 28 crewmates to the International Space Station is mated to its rocket and rolled out to the launch pad in Baikonur, Kazakhstan.</t>
  </si>
  <si>
    <t>dWNLussF_lQ</t>
  </si>
  <si>
    <t>2011 06 03</t>
  </si>
  <si>
    <t>https://youtu.be/vAPlT4cExs0</t>
  </si>
  <si>
    <t>Lunabotics Competition at Kennedy</t>
  </si>
  <si>
    <t>Thirty-six teams of undergraduate and graduate students from throughout the country and around the globe tested their robot designs in a "head-to-head" challenge at the Kennedy Space Center Visitor Complex in Fla., May 26-28. During the competition, teams remotely controlled their excavators or "lunabots" to determine which one could collect the most simulated lunar regolith or dirt, over a specific timeframe. The 1st place winning team of the mining competition was Laurentian University, Ontario, Canada whose lunabot excavated 237.4 kilograms, or about 523 pounds, of dirt within 15 minutes. The Joe Kosmo Award for Excellence winner of the competition was the University of North Dakota, Grand Forks, N.D.   All of the teams were recognized at an official awards ceremony held at the Apollo Saturn V Center at Kennedy the evening of May 28.</t>
  </si>
  <si>
    <t>vAPlT4cExs0</t>
  </si>
  <si>
    <t>https://youtu.be/fbb63fSP14M</t>
  </si>
  <si>
    <t>Fossum and Crewmates Ready for Launch</t>
  </si>
  <si>
    <t>NASA Astronaut Mike Fossum and his fellow Expedition 28 flight engineers, Sergei Volkov and Satoshi Furukawa, participate in crew activities in Baikonur, Kazakhstan.  They're scheduled to launch aboard a Soyuz spacecraft from the Baikonur Cosmodrome for the International Space Station on June 7 at 4:15 p.m. Eastern.</t>
  </si>
  <si>
    <t>fbb63fSP14M</t>
  </si>
  <si>
    <t>https://youtu.be/fUudz3CLJPI</t>
  </si>
  <si>
    <t>Final Shuttle Rollout on This Week @NASA</t>
  </si>
  <si>
    <t>The final rollout of the Space Shuttle Program has brought Atlantis from the Vehicle Assembly Building to Launch Pad 39A at the Kennedy Space Center for the liftoff of STS-135 targeted for July 8. Mated to its external tank and solid rocket boosters, the orbiter traveled the 3.4-miles atop a crawler-transporter at a top speed of less than a mile an hour. Also, farewell to Spirit; cave research; lunabotics, and aviation history revisited.</t>
  </si>
  <si>
    <t>fUudz3CLJPI</t>
  </si>
  <si>
    <t>https://youtu.be/wyzXsed6jgQ</t>
  </si>
  <si>
    <t>Endeavour Crew Returns Home to Houston</t>
  </si>
  <si>
    <t>The STS-134 crew arrives at Ellington Field in Houston where they are greeted by family, friends and co-workers in a welcoming ceremony. The six astronauts, Commander Mark Kelly, Pilot Greg Johnson, and mission specialists Mike Fincke, Drew Feustel, Greg Chamitoff, and Roberto Vittori of the European Space Agency, concluded their mission to the International Space Station early Wednesday morning with the landing of space shuttle Endeavour at NASA's Kennedy Space Center in Florida.</t>
  </si>
  <si>
    <t>wyzXsed6jgQ</t>
  </si>
  <si>
    <t>2011 06 02</t>
  </si>
  <si>
    <t>https://youtu.be/wp6U3Di1Btg</t>
  </si>
  <si>
    <t>Flag Raising Ceremony</t>
  </si>
  <si>
    <t>NASA astronaut Mike Fossum, Expedition 28 flight engineer discusses the flag raising ceremony in Baikonur Cosmodrome in Kazakhstan conducting final preparations for the launch of Soyuz-TMA-02M to the International Space Station on June 8, 2011 for his six month mission.</t>
  </si>
  <si>
    <t>wp6U3Di1Btg</t>
  </si>
  <si>
    <t>https://youtu.be/ChlEmzegVvI</t>
  </si>
  <si>
    <t>Endeavour Comes Home on This Week @NASA</t>
  </si>
  <si>
    <t>The crew of STS-134 returned to the Kennedy Space Center aboard space shuttle Endeavour to complete their mission to the International Space Station. Plus, Expedition 27 team lands; papal phone call; Honor Flag to fly on Atlantis; STEM stars; and Southern U. grads. Also, open house; Kennedy Center celebration; and NASA notes two anniversaries.</t>
  </si>
  <si>
    <t>ChlEmzegVvI</t>
  </si>
  <si>
    <t>https://youtu.be/9-d_PDxLlcs</t>
  </si>
  <si>
    <t>Tree Planting Tradition and Ceremony</t>
  </si>
  <si>
    <t>NASA astronaut Mike Fossum, Expedition 28 flight engineer discusses the tree planting  tradition and ceremony in Baikonur Cosmodrome in Kazakhstan conducting final preparations for the launch of Soyuz-TMA-02M to the International Space Station on June 8, 2011 for his six month mission.</t>
  </si>
  <si>
    <t>9-d_PDxLlcs</t>
  </si>
  <si>
    <t>https://youtu.be/S5A2TCUw5Yc</t>
  </si>
  <si>
    <t>Spinning Cosmonauts</t>
  </si>
  <si>
    <t>Russian cosmonaut Sergei Volkov Expedition 28 flight engineer, prepares for spaceflight by spinning in a chair in Baikonur Cosmodrome in Kazakhstan conducting final preparations for the launch of Soyuz-TMA-02M to the International Space Station on June 8, 2011 for his six month mission.</t>
  </si>
  <si>
    <t>S5A2TCUw5Yc</t>
  </si>
  <si>
    <t>2011 06 01</t>
  </si>
  <si>
    <t>https://youtu.be/bQxCLl6dWC4</t>
  </si>
  <si>
    <t>Endeavour Crew Happy to Be Home</t>
  </si>
  <si>
    <t>Commander Mark Kelly and members of the STS-134 crew speak to reporters about their mission.</t>
  </si>
  <si>
    <t>bQxCLl6dWC4</t>
  </si>
  <si>
    <t>https://youtu.be/cGIY3E_WMr0</t>
  </si>
  <si>
    <t>Time-lapse Video of J-2X Engine Assembly</t>
  </si>
  <si>
    <t>The J-2X engine is assembled at the Pratt &amp; Whitney Rocketdyne assembly area at NASA's Stennis Space Center, Miss. The time-lapse covers three months of activity.</t>
  </si>
  <si>
    <t>cGIY3E_WMr0</t>
  </si>
  <si>
    <t>https://youtu.be/Bgxw9s8a8vk</t>
  </si>
  <si>
    <t>STS-134  Space Shuttle Endeavour's last Mission</t>
  </si>
  <si>
    <t>The best of the best, it's a compilation of the featured moments captured by NASA Television during the mission of Endeavour and its six-man crew to the International Space Station.</t>
  </si>
  <si>
    <t>Bgxw9s8a8vk</t>
  </si>
  <si>
    <t>https://youtu.be/elRr7V3B7ys</t>
  </si>
  <si>
    <t>Entry Team Helps Guide Endeavour Home</t>
  </si>
  <si>
    <t>Playback of video depicting the Entry Flight Control Team at NASA's Johnson Space Center and their role in returning the STS-=134 crew safely back to Earth.</t>
  </si>
  <si>
    <t>elRr7V3B7ys</t>
  </si>
  <si>
    <t>https://youtu.be/OcQSDUWUhNE</t>
  </si>
  <si>
    <t>Mission Managers Discuss STS-134</t>
  </si>
  <si>
    <t>NASA officials tell reporters at NASA's Kennedy Space Center they're pleased with results of the just-concluded mission.</t>
  </si>
  <si>
    <t>OcQSDUWUhNE</t>
  </si>
  <si>
    <t>https://youtu.be/fBB9sAitVTE</t>
  </si>
  <si>
    <t>STS-134 Crew and Space Shuttle Endeavour Return Safely</t>
  </si>
  <si>
    <t>STS-134 came to a conclusion with the landing early Wednesday morning of orbiter Endeavour at NASA's Kennedy Space Center in Florida. Commander Mark Kelly and his crew, Pilot Greg Johnson, Mission Specialists Mike Fincke, Drew Feustel, Greg Chamitoff and European Space Agency astronaut Roberto Vittori of Italy, spent 16 days in space, 11 of them docked to the International Space Station,  on Endeavour's final of 25 missions.</t>
  </si>
  <si>
    <t>fBB9sAitVTE</t>
  </si>
  <si>
    <t>https://youtu.be/Jt0eqRGSlvw</t>
  </si>
  <si>
    <t xml:space="preserve"> Sunrise Number 1  Greets Endeavour Crew</t>
  </si>
  <si>
    <t>The winning entry of NASA's Wake-Up Song Contest gets the STS-134 astronauts started on the 17th and final scheduled day of flight. The song was written and performed by the group, Stormy Mondays.</t>
  </si>
  <si>
    <t>Jt0eqRGSlvw</t>
  </si>
  <si>
    <t>https://youtu.be/twCidsVCBso</t>
  </si>
  <si>
    <t>Shuttle Less Than a Day Away from Landing</t>
  </si>
  <si>
    <t>Mission managers brief reporters on the timeline for space shuttle Endeavour's scheduled landing  early Wednesday morning in Florida.</t>
  </si>
  <si>
    <t>twCidsVCBso</t>
  </si>
  <si>
    <t>2011 05 31</t>
  </si>
  <si>
    <t>https://youtu.be/6Mom3Fdg36c</t>
  </si>
  <si>
    <t>STS-134 Crew Does Final Landing Preps</t>
  </si>
  <si>
    <t>Highlights of STS-134's 16th flight day include video of the Endeavour crew readying for their upcoming landing at the Kennedy Space Center.</t>
  </si>
  <si>
    <t>6Mom3Fdg36c</t>
  </si>
  <si>
    <t>https://youtu.be/oiqFKi--C1E</t>
  </si>
  <si>
    <t>Shuttle completes Flyaround of Station</t>
  </si>
  <si>
    <t>FD15 is highlighted by Endeavour's flyaround of the International Space Station as the orbiter leaves the station and begins its flight back to Earth.</t>
  </si>
  <si>
    <t>oiqFKi--C1E</t>
  </si>
  <si>
    <t>https://youtu.be/g9kUrejo52I</t>
  </si>
  <si>
    <t>Videotape playback of Endeavour's undocking from the International Space Station as seen by the six astronauts aboard the orbiter,</t>
  </si>
  <si>
    <t>g9kUrejo52I</t>
  </si>
  <si>
    <t>https://youtu.be/IIv6KxkkWtg</t>
  </si>
  <si>
    <t>Original Song Awakens Endeavour Crew</t>
  </si>
  <si>
    <t>The runner-up entry in NASA's Wake-Up Song Contest, "Dreams You Give" by Brian Plunkett,  gets the STS-134 astronauts up on Flight Day 16.</t>
  </si>
  <si>
    <t>IIv6KxkkWtg</t>
  </si>
  <si>
    <t>https://youtu.be/W9YpNeW3tQ4</t>
  </si>
  <si>
    <t>STS 134 Mission Progress Detailed</t>
  </si>
  <si>
    <t>The chairman of the STS-134 Mission Management Team updates reporters at the Johnson Space Center on the final leg of Endeavour's last flight.</t>
  </si>
  <si>
    <t>W9YpNeW3tQ4</t>
  </si>
  <si>
    <t>https://youtu.be/9FR2PO0r5rQ</t>
  </si>
  <si>
    <t>Television Networks Speak with Returning Crew</t>
  </si>
  <si>
    <t>Members of the STS-134 mission are interviewed by reporters from ABC, CBS, CNN, NBC and Fox as they continue their return home.</t>
  </si>
  <si>
    <t>9FR2PO0r5rQ</t>
  </si>
  <si>
    <t>https://youtu.be/03s1SM8zgO4</t>
  </si>
  <si>
    <t>New Rendezvous System Explained</t>
  </si>
  <si>
    <t>Reporters are briefed on how a new system to safely rendezvous a future crew vehicle with the International Space Station has fared in a test by Endeavour as it undocks from the ISS.</t>
  </si>
  <si>
    <t>03s1SM8zgO4</t>
  </si>
  <si>
    <t>https://youtu.be/O_rsFPpkrNs</t>
  </si>
  <si>
    <t>O_rsFPpkrNs</t>
  </si>
  <si>
    <t>2011 05 30</t>
  </si>
  <si>
    <t>https://youtu.be/Z6X5QhRvGWQ</t>
  </si>
  <si>
    <t>Fossum Runs Before Flying</t>
  </si>
  <si>
    <t>NASA astronaut Mike Fossum, Expedition 28 flight engineer, takes one last run in Star City, Russia and reflects on his upcoming, six-month mission before departing to Baikonur Cosmodrome in Kazakhstan for final preparations for the launch of Soyuz-TMA-02M to the International Space Station on June 8, 2011.</t>
  </si>
  <si>
    <t>Z6X5QhRvGWQ</t>
  </si>
  <si>
    <t>2011 05 29</t>
  </si>
  <si>
    <t>https://youtu.be/z63hrM6vHUA</t>
  </si>
  <si>
    <t>ISS and Shuttle Crew Farewells</t>
  </si>
  <si>
    <t>The day's highlights feature the crews of the space shuttle and ISS saying their final farewells before Endeavour's six astronauts head for home.</t>
  </si>
  <si>
    <t>z63hrM6vHUA</t>
  </si>
  <si>
    <t>https://youtu.be/BNKgv7u7W3Q</t>
  </si>
  <si>
    <t>Shuttle Crew Bids Station Adieu</t>
  </si>
  <si>
    <t>The six STS-134 crew members exchange goodbyes with the three ISS residents they'll leave behind as they ready to start the final leg of their mission.</t>
  </si>
  <si>
    <t>BNKgv7u7W3Q</t>
  </si>
  <si>
    <t>https://youtu.be/T4VQqe5N2zY</t>
  </si>
  <si>
    <t>Endeavour's Undock Nears</t>
  </si>
  <si>
    <t>The latest mission status briefing previews the shuttle's imminent departure from the International Space Station.</t>
  </si>
  <si>
    <t>T4VQqe5N2zY</t>
  </si>
  <si>
    <t>https://youtu.be/NEJr-Bt8eGI</t>
  </si>
  <si>
    <t>Feustel and Johnson Chat with Reporters</t>
  </si>
  <si>
    <t>The two STS-134 crew members are interviewed by four Midwest TV stations.</t>
  </si>
  <si>
    <t>NEJr-Bt8eGI</t>
  </si>
  <si>
    <t>https://youtu.be/F_o0VmZFEu4</t>
  </si>
  <si>
    <t xml:space="preserve"> Clearing the Air </t>
  </si>
  <si>
    <t>Highlights of Flight Day 13 include work on a carbon dioxide removal system aboard the ISS.</t>
  </si>
  <si>
    <t>F_o0VmZFEu4</t>
  </si>
  <si>
    <t>https://youtu.be/Lb-iFEjONCo</t>
  </si>
  <si>
    <t>Shuttle Crew Preps for Flight Home</t>
  </si>
  <si>
    <t>In Houston, mission managers at the Johnson Space Center discuss preparations undertaken aboard Endeavour for next day's undocking from the International Space Station.</t>
  </si>
  <si>
    <t>Lb-iFEjONCo</t>
  </si>
  <si>
    <t>https://youtu.be/AimHTadtopc</t>
  </si>
  <si>
    <t>Endeavour Pilot  Pinged  by Ohio TV Stations</t>
  </si>
  <si>
    <t>STS-134 Pilot Greg Johnson is interviewed by television reporters in Cincinnati and Cleveland about the mission. Some of Johnson's formative years were spent in Fairborn, Ohio.</t>
  </si>
  <si>
    <t>AimHTadtopc</t>
  </si>
  <si>
    <t>https://youtu.be/mPEJTs_gFJc</t>
  </si>
  <si>
    <t>Tucson Gets Nod from Space</t>
  </si>
  <si>
    <t>In a special community event, STS-134 Commander Mark Kelly thanks the city of Tucson, its first responders and others for their heroic efforts in the wake of the January 8 shopping plaza shootings that claimed six lives and wounded 19 others, including Kelly's wife, Congresswoman Gabrielle Giffords.</t>
  </si>
  <si>
    <t>mPEJTs_gFJc</t>
  </si>
  <si>
    <t>2011 05 27</t>
  </si>
  <si>
    <t>https://youtu.be/176-oUVZD4E</t>
  </si>
  <si>
    <t>EVA4 Caps Flight Day Highlights</t>
  </si>
  <si>
    <t>The 12th flight day of STS-134 is topped by the mission's final spacewalk.</t>
  </si>
  <si>
    <t>176-oUVZD4E</t>
  </si>
  <si>
    <t>https://youtu.be/11HQORFArOg</t>
  </si>
  <si>
    <t>Pope Makes Historic Call on This Week @NASA</t>
  </si>
  <si>
    <t>Pope Benedict XVI greeted the STS-134 and Expedition 27 crews working aboard the International Space Station. It was the first time a pontiff has ever phoned explorers in space. Also, Cady, Paolo, and Dmitry return home; Honor Flag to fly on Atlantis; STEM stars; and Southern U. grads. Plus, JPL open house; Kennedy Center celebration; and NASA notes two anniversaries.</t>
  </si>
  <si>
    <t>11HQORFArOg</t>
  </si>
  <si>
    <t>https://youtu.be/d8oJBrUKYTg</t>
  </si>
  <si>
    <t>Fourth Spacewalk Concludes</t>
  </si>
  <si>
    <t>With the fourth and final EVA of STS-134 in the history books, mission managers in Houston update media on the day's events.</t>
  </si>
  <si>
    <t>d8oJBrUKYTg</t>
  </si>
  <si>
    <t>2011 05 26</t>
  </si>
  <si>
    <t>https://youtu.be/LbJ2xL7Tpeo</t>
  </si>
  <si>
    <t>Fincke and Chamitoff Get Ready to Walk</t>
  </si>
  <si>
    <t>Spacewalkers Mike Fincke and Greg Chamitoff campout in preparation of the fourth and final EVA of STS-134.</t>
  </si>
  <si>
    <t>LbJ2xL7Tpeo</t>
  </si>
  <si>
    <t>https://youtu.be/NPruKwzphc8</t>
  </si>
  <si>
    <t>Station, Shuttle Crews Interviewed Together</t>
  </si>
  <si>
    <t>The joint crew news conference is replayed with all-English interpretation.</t>
  </si>
  <si>
    <t>NPruKwzphc8</t>
  </si>
  <si>
    <t>https://youtu.be/UpqcocSdgJQ</t>
  </si>
  <si>
    <t>Thermal Protection System Checked</t>
  </si>
  <si>
    <t>Mission managers discuss results of the inspection of Endeavour's tiles by the Orbiter Boom Sensor System.</t>
  </si>
  <si>
    <t>UpqcocSdgJQ</t>
  </si>
  <si>
    <t>2011 05 25</t>
  </si>
  <si>
    <t>https://youtu.be/HV3AMOC928o</t>
  </si>
  <si>
    <t>Shuttle's Flight Day 10 Topped by EVA</t>
  </si>
  <si>
    <t>Highlights of the ninth flight day of STS-134 include footage of the successful spacewalk conducted by Endeavour astronauts Drew Feutsel and Mike Fincke.</t>
  </si>
  <si>
    <t>HV3AMOC928o</t>
  </si>
  <si>
    <t>https://youtu.be/NMSKOdvS-V4</t>
  </si>
  <si>
    <t>Next Station Crew Leaves for Kazakhstan</t>
  </si>
  <si>
    <t>Expedition 28 crew members Sergei Volkov, Mike Fossum and Satoshi Furukawa leave for the Baikonur Cosmodrome in Kazakhstan, from where they're scheduled to launch aboard a Soyuz capsule for the International Space Station on June 7.</t>
  </si>
  <si>
    <t>NMSKOdvS-V4</t>
  </si>
  <si>
    <t>https://youtu.be/bJla-JsVNpw</t>
  </si>
  <si>
    <t>New Views of Endeavour's Launch from Booster Cameras</t>
  </si>
  <si>
    <t>A camera mounted on each of space shuttle Endeavour's solid rocket boosters capture the launch of the orbiter on STS-134 from NASA's Kennedy Space Center on May 16, and documents the SRBs' separation and subsequent landing in the Atlantic Ocean.</t>
  </si>
  <si>
    <t>bJla-JsVNpw</t>
  </si>
  <si>
    <t>https://youtu.be/zlnnHIoxd_Y</t>
  </si>
  <si>
    <t>EVA3 Complete; All Goals Met</t>
  </si>
  <si>
    <t>zlnnHIoxd_Y</t>
  </si>
  <si>
    <t>https://youtu.be/biSdeqwcGMk</t>
  </si>
  <si>
    <t>Human Spaceflight  the Kennedy Legacy</t>
  </si>
  <si>
    <t>In a speech to Congress 50 years ago today, on May 25, 1961, President John F. Kennedy challenged the nation to send a man to the moon and return him safely to Earth by the end of that decade. This video includes historical footage of the launches of Yuri Gagarin and Alan Shepard, whose flights helped prompt Kennedy's speech, plus comments from Mercury astronauts John Glenn and Scott Carpenter, and Mercury Flight Director, Chris Kraft.</t>
  </si>
  <si>
    <t>biSdeqwcGMk</t>
  </si>
  <si>
    <t>2011 05 24</t>
  </si>
  <si>
    <t>https://youtu.be/b5e_rLltI6Y</t>
  </si>
  <si>
    <t>Feustel and Fincke Prep for Next Spacewalk</t>
  </si>
  <si>
    <t>Mission managers say preparations by Drew Feustel and Mike Fincke for the third EVA of STS-134 are going according to schedule.</t>
  </si>
  <si>
    <t>b5e_rLltI6Y</t>
  </si>
  <si>
    <t>https://youtu.be/nZD-6mEp9_4</t>
  </si>
  <si>
    <t>Aquarius Nears on This Week @NASA</t>
  </si>
  <si>
    <t>Scientists from Argentina, Brazil, Canada, France and Italy were at NASA Headquarters in Washington to discuss their upcoming international spacecraft mission, Aquarius/SAC-D. Scheduled to launch June 9th, the spacecraft's primary instrument will scan the world's oceans to measure surface salinity, important to ocean circulation and climate. Also, Atlantis' final rollover; Bolden checks out Juno; lowering the booms; astronauts as aquanauts; Houston's hero; a new STORRM on station; Goddard open house; and remembering JFK's challenge to America.</t>
  </si>
  <si>
    <t>nZD-6mEp9_4</t>
  </si>
  <si>
    <t>https://youtu.be/cd0jxM2_1so</t>
  </si>
  <si>
    <t>Interviews, Spacewalk Preps Among Flight Day 9 Highlights</t>
  </si>
  <si>
    <t>Space shuttle Endeavour and the STS-134 crew commanded by Mark Kelly spend their sixth day docked to the International Space Station.</t>
  </si>
  <si>
    <t>cd0jxM2_1so</t>
  </si>
  <si>
    <t>https://youtu.be/R3LpNxUHIrI</t>
  </si>
  <si>
    <t xml:space="preserve"> The Two Gregs  Quizzed On-Orbit</t>
  </si>
  <si>
    <t>STS-134 Pilot Greg Johnson and Mission Specialist Greg Chamitoff answer questions about their current journey in space mission for  reporters from three northern California broadcast stations.</t>
  </si>
  <si>
    <t>R3LpNxUHIrI</t>
  </si>
  <si>
    <t>https://youtu.be/Kg7W9GtDiIY</t>
  </si>
  <si>
    <t>Shuttle Crew's Third EVA Set</t>
  </si>
  <si>
    <t>Mission managers  briefing reporters at NASA's Johnson Space Center say Drew Feustel and Mike Fincke should perform the third spacewalk of STS-134 in about six-and-a-half hours. The two are scheduled to install several pieces of equipment on the International Space Station's Zarya module.</t>
  </si>
  <si>
    <t>Kg7W9GtDiIY</t>
  </si>
  <si>
    <t>https://youtu.be/58_JHzCtj00</t>
  </si>
  <si>
    <t>Soyuz Post Landing Highlights</t>
  </si>
  <si>
    <t>The NASA TV Video File provides footage documenting events following the safe landing in Kazakhstan of the Soyuz spacecraft carrying Expedition 27's Dmitry Kondratyev, Cady Coleman and Paolo Nespoli.</t>
  </si>
  <si>
    <t>58_JHzCtj00</t>
  </si>
  <si>
    <t>https://youtu.be/TH6VPAO7FZI</t>
  </si>
  <si>
    <t>TH6VPAO7FZI</t>
  </si>
  <si>
    <t>https://youtu.be/1qqWrIa0WbM</t>
  </si>
  <si>
    <t>Kelly, Fincke and Chamitoff Chat from Space</t>
  </si>
  <si>
    <t>Commander Mark Kelly and his STS-134 crewmates, Mike Fincke and Greg Chamitoff, talk with reporters from Pittsburgh and Houston about their mission as space shuttle Endeavour remains docked to the International Space Station..</t>
  </si>
  <si>
    <t>1qqWrIa0WbM</t>
  </si>
  <si>
    <t>https://youtu.be/O4XVhoezrzM</t>
  </si>
  <si>
    <t>Soyuz's Picture Perfect Landing</t>
  </si>
  <si>
    <t>The pinpoint touchdown of the Soyuz capsule carrying Expedition 27 crew members Dimitry Kondratyev, Paolo Nespoli and Cady Coleman as it set down on a sunny, warm morning on the steppe of Kazakhstan.</t>
  </si>
  <si>
    <t>O4XVhoezrzM</t>
  </si>
  <si>
    <t>https://youtu.be/kehtaclbPjs</t>
  </si>
  <si>
    <t>Expedition 27 Crew Enjoys Sunshine</t>
  </si>
  <si>
    <t>Expedition 27 crew members Dimitry Kondratyev, Paolo Nespoli and Cady Coleman enjoy the sunshine and 70-degree temperatures on the steppe of Kazakhstan after being extracted from their Soyuz capsule following their picture-perfect landing following 159 days in space.</t>
  </si>
  <si>
    <t>kehtaclbPjs</t>
  </si>
  <si>
    <t>https://youtu.be/1CsU-McSTmM</t>
  </si>
  <si>
    <t>Expedition 27 Crew Lands Safely in Kazakhstan</t>
  </si>
  <si>
    <t>The Soyuz capsule carrying Russian cosmonaut Dmitry Kondratyev, NASA astronaut Cady Coleman and astronaut Paolo Nespoli of the European Space Agency landed on the steppe of Kazakhstan after a six-hour journey from the International Space Station. The trio had spent more than five months in space as residents of the ISS.</t>
  </si>
  <si>
    <t>1CsU-McSTmM</t>
  </si>
  <si>
    <t>https://youtu.be/BWnxhnM8I4k</t>
  </si>
  <si>
    <t>The Soyuz spacecraft carrying Expedition 27 crew members Dmitry Kondratyev, Cady Coleman and Paolo Nespoli undocked from the International Space Station and began its six-hour flight back to Earth.</t>
  </si>
  <si>
    <t>BWnxhnM8I4k</t>
  </si>
  <si>
    <t>2011 05 23</t>
  </si>
  <si>
    <t>https://youtu.be/Aji0_CwkHT0</t>
  </si>
  <si>
    <t>EVA2 Achieves its Goals</t>
  </si>
  <si>
    <t>The installations and maintenance work scheduled for STS-134's second spacewalk were successfully completed by mission specialists Drew Feustel and Mike Fincke. The EVA was among the day's events recapped in this mission status briefing held at the Johnson Space Center in Houston.</t>
  </si>
  <si>
    <t>Aji0_CwkHT0</t>
  </si>
  <si>
    <t>https://youtu.be/G-8GMxcxfVE</t>
  </si>
  <si>
    <t>Endeavour Crew Enjoys Off-Time</t>
  </si>
  <si>
    <t>Along with their chat with students from the Mesa Verde School in Tucson, the STS-134 crew's Flight Day 8 highlights include some well-deserved time off.</t>
  </si>
  <si>
    <t>G-8GMxcxfVE</t>
  </si>
  <si>
    <t>https://youtu.be/qcY4T4O4nLg</t>
  </si>
  <si>
    <t>Successful Spacewalk Tops Flight Day 7</t>
  </si>
  <si>
    <t>The STS-134 crew's FD7 includes several installations and maintenance tasks performed by spacewalkers Drew Feustel and Mike Fincke.</t>
  </si>
  <si>
    <t>qcY4T4O4nLg</t>
  </si>
  <si>
    <t>https://youtu.be/ci2WTrq_mjI</t>
  </si>
  <si>
    <t>Soyuz Hatch Closes as Crew Readies for Home</t>
  </si>
  <si>
    <t>Soyuz Commander Dmitry Kondratyev, and Flight Engineers Cady Coleman and Paolo Nespoli bid farewell to their Expedition 27 crewmates and the visiting STS-134 astronauts as they prepare to leave the International Space Station for their return to Earth.</t>
  </si>
  <si>
    <t>ci2WTrq_mjI</t>
  </si>
  <si>
    <t>https://youtu.be/p-1V_7As3Ek</t>
  </si>
  <si>
    <t>Vittori &amp; Nespoli Speak With Italian President</t>
  </si>
  <si>
    <t>Italian President Giorgio Napolitano spoke to the two Italian astronauts, Paolo Nespoli and Roberto Vittori, aboard the International Space Station, just before Paolo's departure.There are two Italian astronauts in orbit together on this flight, one on Endeavour and the other on the International Space Station.</t>
  </si>
  <si>
    <t>p-1V_7As3Ek</t>
  </si>
  <si>
    <t>https://youtu.be/LNg1uH-O73s</t>
  </si>
  <si>
    <t>Kelly and Fincke Talk with Tucson School Students</t>
  </si>
  <si>
    <t>STS-134 Commander Mark Kelly and Mission Specialist Mike Fincke take questions from students of the Mesa Verde Elementary School in Tucson, Arizona. A 9-year-old girl who attended the school perished in the January shopping plaza shooting at which Kelly's wife, Congresswoman Gabrielle Giffords, was critically wounded.</t>
  </si>
  <si>
    <t>LNg1uH-O73s</t>
  </si>
  <si>
    <t>https://youtu.be/tcmIryQ2iPI</t>
  </si>
  <si>
    <t>Papal Call,  Campout  Top FD6 Highlights</t>
  </si>
  <si>
    <t>Prepping for the second of four spacewalks scheduled for STS-134 is among the events featured in Flight Day 6 Highlights.</t>
  </si>
  <si>
    <t>tcmIryQ2iPI</t>
  </si>
  <si>
    <t>https://youtu.be/b7jSBPp6k0Q</t>
  </si>
  <si>
    <t>Feustel and Fincke Prep for EVA2</t>
  </si>
  <si>
    <t>Mission managers say Drew Feustel and Mike Fincke are readying themselves for the second spacewalk of STS-134 scheduled for Flight Day 7.</t>
  </si>
  <si>
    <t>b7jSBPp6k0Q</t>
  </si>
  <si>
    <t>https://youtu.be/xMdPjWu2knw</t>
  </si>
  <si>
    <t>ISS Gets New Commander</t>
  </si>
  <si>
    <t>In a Change of Command Ceremony, Dimitry Kondratyev hands over the helm of the International Space Station to Andrey Borisenko as those aboard the orbiting complex transition from Expedition 27 to 28.</t>
  </si>
  <si>
    <t>xMdPjWu2knw</t>
  </si>
  <si>
    <t>2011 05 21</t>
  </si>
  <si>
    <t>https://youtu.be/81jAmb_e1pg</t>
  </si>
  <si>
    <t>Pope Benedict XVI Greets Shuttle, Station Crew</t>
  </si>
  <si>
    <t>In a special link-up from The Vatican to the International Space Station, Pope Benedict XVI speaks with the twelve members of the Expedition 27 and STS-134 crews. The Pope spoke more extensively with the two European Space Agency astronauts from Italy, Paolo Nespoli of Expedition 27, and Roberto Vittori of the space shuttle Endeavour crew. Vittori brought with him on his mission a silver medal donated by the pope.</t>
  </si>
  <si>
    <t>81jAmb_e1pg</t>
  </si>
  <si>
    <t>2011 05 20</t>
  </si>
  <si>
    <t>https://youtu.be/Sa2vdohUp0U</t>
  </si>
  <si>
    <t>Unique Photo Op in Space Set for Monday</t>
  </si>
  <si>
    <t>The space station and space shuttle teams agree that Soyuz will undock, take some pictures of the two larger craft, then continue backing away for its descent back to Earth on Monday, May 23. Mission managers are calling the maneuver "Soyuz undock with imagery."</t>
  </si>
  <si>
    <t>Sa2vdohUp0U</t>
  </si>
  <si>
    <t>https://youtu.be/FuqTODoI_hs</t>
  </si>
  <si>
    <t>EVA Highlight of FD5</t>
  </si>
  <si>
    <t>Flight Day 5 of STS-134 featured the work of mission specialists Drew Feustel and Greg Chamitoff on the mission's first of four spacewalks.</t>
  </si>
  <si>
    <t>FuqTODoI_hs</t>
  </si>
  <si>
    <t>https://youtu.be/S_3FG3SN89Q</t>
  </si>
  <si>
    <t>EVA Shortened by Faulty Sensor</t>
  </si>
  <si>
    <t>The Mission Management Team briefing explains why there was no danger to spacewalker Greg Chamitoff when his EVA was cut short by ten minutes due to a faulty sensor on his spacesuit.</t>
  </si>
  <si>
    <t>S_3FG3SN89Q</t>
  </si>
  <si>
    <t>https://youtu.be/RR7UuzFAun8</t>
  </si>
  <si>
    <t>First Spacewalk Successful on STS-134</t>
  </si>
  <si>
    <t>Drew Feustel and Greg Chamitoff completed their mission's EVA #1 by installing an experiment and several pieces of equipment outside the International Space Station.</t>
  </si>
  <si>
    <t>RR7UuzFAun8</t>
  </si>
  <si>
    <t>https://youtu.be/019ytYfZdZg</t>
  </si>
  <si>
    <t>019ytYfZdZg</t>
  </si>
  <si>
    <t>2011 05 19</t>
  </si>
  <si>
    <t>https://youtu.be/o8XVX3L2D1k</t>
  </si>
  <si>
    <t>Flight Day 4 Holds Many STS-134 Highlights</t>
  </si>
  <si>
    <t>The installation of the Alpha Magnetic Spectrometer and the preparations taken for EVA #1 are among the mission milestones spotlighted on FD4.</t>
  </si>
  <si>
    <t>o8XVX3L2D1k</t>
  </si>
  <si>
    <t>https://youtu.be/eJHiPn498PM</t>
  </si>
  <si>
    <t>AMS Installed Outside ISS</t>
  </si>
  <si>
    <t>The Alpha Magnetic Spectrometer, a particle physics detector that could unlock mysteries about dark matter and other cosmic radiation, is installed outside the International Space Station.</t>
  </si>
  <si>
    <t>eJHiPn498PM</t>
  </si>
  <si>
    <t>https://youtu.be/DZ5jBs1aQyo</t>
  </si>
  <si>
    <t>Campout Begins for First Spacewalk</t>
  </si>
  <si>
    <t>While other mission tasks are completed, mission specialists Drew Feustel and Greg Chamitoff prepare for the first EVA of STS-134.</t>
  </si>
  <si>
    <t>DZ5jBs1aQyo</t>
  </si>
  <si>
    <t>https://youtu.be/VhbqrZOYGUg</t>
  </si>
  <si>
    <t>Kelly, Coleman Talk with NPR, Others</t>
  </si>
  <si>
    <t>STS-134 Commander Mark Kelly and Flight Engineer Catherine Coleman participate in a  Q &amp; A session with National Public Radio, the Associated Press, Reuters and Fox News Radio.</t>
  </si>
  <si>
    <t>VhbqrZOYGUg</t>
  </si>
  <si>
    <t>https://youtu.be/__w18FPWvfc</t>
  </si>
  <si>
    <t>Astros Googled In Space</t>
  </si>
  <si>
    <t>STS-134 astronauts Mark Kelly, Greg Johnson, Mike Fincke, and Greg Chamitoff join Exp. 27 Flight Engineer Ron Garan in the ISS's Kibo laboratory to answer questions posed online and through social media  for the Google Website.</t>
  </si>
  <si>
    <t>__w18FPWvfc</t>
  </si>
  <si>
    <t>https://youtu.be/xUcg-RtKS6Q</t>
  </si>
  <si>
    <t>xUcg-RtKS6Q</t>
  </si>
  <si>
    <t>2011 05 18</t>
  </si>
  <si>
    <t>https://youtu.be/6VvjOW1gPmU</t>
  </si>
  <si>
    <t>Logistics Carrier Installed on Station</t>
  </si>
  <si>
    <t>The Express Logistics Carrier brought into space by shuttle Endeavour was installed onto the International Space Station's  P3 truss. Mission managers update this and other developments of STS-134.</t>
  </si>
  <si>
    <t>6VvjOW1gPmU</t>
  </si>
  <si>
    <t>https://youtu.be/GA_P7u3GO2w</t>
  </si>
  <si>
    <t>Flight Day 3 Brings Station and Shuttle Crews Together</t>
  </si>
  <si>
    <t>The advent of space shuttle Endeavour to the International Space Station is among the many on-orbit highlights on Flight Day 3 of STS-134.</t>
  </si>
  <si>
    <t>GA_P7u3GO2w</t>
  </si>
  <si>
    <t>https://youtu.be/NnEQhRb5JUI</t>
  </si>
  <si>
    <t>Shuttle Crew Welcomed Aboard Space Station</t>
  </si>
  <si>
    <t>The six-member STS-134 crew commanded by Mark Kelly is greeted by the six residents of the International Space Station. Space shuttle Endeavour brings a payload to the ISS that includes the Alpha Magnetic Spectrometer, a particle physics detector designed to find unusual forms of cosmic radiation.</t>
  </si>
  <si>
    <t>NnEQhRb5JUI</t>
  </si>
  <si>
    <t>https://youtu.be/scyJRlafRgc</t>
  </si>
  <si>
    <t>STS-134 Hatch Opening &amp; Welcome Aboard ISS</t>
  </si>
  <si>
    <t>scyJRlafRgc</t>
  </si>
  <si>
    <t>https://youtu.be/sO2InAhoPSU</t>
  </si>
  <si>
    <t>Shuttle Flips for Safety</t>
  </si>
  <si>
    <t>The crew aboard the International Space Station captures video of space shuttle Endeavour as it performs a Rendezvous Pitch Maneuver alongside the ISS. The RPM, also referred to as a "flip," allows the station crew to inspect the shuttle for any damage it may have incurred in flight. (2.5 times normal speed)</t>
  </si>
  <si>
    <t>sO2InAhoPSU</t>
  </si>
  <si>
    <t>https://youtu.be/rCn-IjmAoHs</t>
  </si>
  <si>
    <t>STS-134 RPM</t>
  </si>
  <si>
    <t>The crew aboard the International Space Station captures video of space shuttle Endeavour as it performs a Rendezvous Pitch Maneuver alongside the ISS. The RPM, also referred to as a "flip," allows the station crew to inspect the shuttle for any damage it may have incurred in flight.</t>
  </si>
  <si>
    <t>rCn-IjmAoHs</t>
  </si>
  <si>
    <t>2011 05 17</t>
  </si>
  <si>
    <t>https://youtu.be/iDbKW7XetNk</t>
  </si>
  <si>
    <t>Endeavour Ready for Its Close-up</t>
  </si>
  <si>
    <t>Highlighting space shuttle Endeavour's Flight Day 2 is the close inspection of the orbiter's thermal protection system (TPS) using a boom-attached camera to search for any damage the vehicle may have incurred during launch.</t>
  </si>
  <si>
    <t>iDbKW7XetNk</t>
  </si>
  <si>
    <t>https://youtu.be/XcI-S4KvaEo</t>
  </si>
  <si>
    <t>Managers Maintain STS-134 Going Well</t>
  </si>
  <si>
    <t>Members of the STS-134 Mission Management Team say shuttle Endeavour's journey to the International Space Station is continuing on schedule and without incident. Commander Mark Kelly and his five crewmates are set to dock at the ISS at 6:15 a.m. Eastern on Wednesday, May 18.</t>
  </si>
  <si>
    <t>XcI-S4KvaEo</t>
  </si>
  <si>
    <t>https://youtu.be/gIwKsUcNDn0</t>
  </si>
  <si>
    <t>Aquarius to Measure Oceans' Salinity</t>
  </si>
  <si>
    <t>Scheduled to launch June 9th, Aquarius/SAC-D, an international spacecraft mission, will make the agency's first space-based global measurements of salinity, or concentration of salt, at the surface of the world's oceans. Scientists from Argentina, Brazil, Canada, France and Italy were at NASA Headquarters in Washington to discuss the upcoming mission. Salinity influences ocean circulation and the global balance of freshwater and climate; until now, it has remained unmeasured by existing Earth Observing Satellites.</t>
  </si>
  <si>
    <t>gIwKsUcNDn0</t>
  </si>
  <si>
    <t>https://youtu.be/F113cjbndkk</t>
  </si>
  <si>
    <t>Perfect  Launch Kicks Off Endeavour's Final Flight</t>
  </si>
  <si>
    <t>The launch of space shuttle Endeavour on STS-134 tops the video highlights of Flight Day 1; Endeavour's crew commanded by Mark Kelly will spend 16 days on its visit to the International Space Station.
The launch of space shuttle Endeavour on STS-134 tops the video highlights of Flight Day 1; Endeavour's crew commanded by Mark Kelly will spend 16 days on its visit to the International Space Station.</t>
  </si>
  <si>
    <t>F113cjbndkk</t>
  </si>
  <si>
    <t>https://youtu.be/H8S18HZFzTg</t>
  </si>
  <si>
    <t>Shuttle Continues Journey to ISS</t>
  </si>
  <si>
    <t>The flight of Endeavour is progressing with no major issues to report. So say mission officials at a status briefing held Tuesday, May 17, at NASA's Johnson Space Center in Houston. The orbiter is set to  dock with the International Space Station on Wednesday morning, May 18, at about 6:15 Eastern.</t>
  </si>
  <si>
    <t>H8S18HZFzTg</t>
  </si>
  <si>
    <t>2011 05 16</t>
  </si>
  <si>
    <t>https://youtu.be/Z9VLXgjFKWo</t>
  </si>
  <si>
    <t xml:space="preserve"> Perfect  Launch Kicks Off Endeavour's Final Flight</t>
  </si>
  <si>
    <t>The launch of space shuttle Endeavour on STS-134 tops the video highlights of Flight Day 1; Endeavour's crew commanded by Mark Kelly will spend 16 days on its visit to the International Space Station.</t>
  </si>
  <si>
    <t>Z9VLXgjFKWo</t>
  </si>
  <si>
    <t>https://youtu.be/O8BKghgkk58</t>
  </si>
  <si>
    <t>Soyuz Crew Readies for Mission</t>
  </si>
  <si>
    <t>Expedition 28's Sergei Volkov, Mike Fossum and Satoshi Furukawa hold their crew news conference in Star City, Russia. The three also made the traditional, pre-launch visit to Moscow's Red Square; they're scheduled to lift off in their Soyuz capsule from the Baikonur Cosmodrome in Kazakhstan  for the International Space Station on June7.</t>
  </si>
  <si>
    <t>O8BKghgkk58</t>
  </si>
  <si>
    <t>https://youtu.be/aoNHhTyaxJg</t>
  </si>
  <si>
    <t>Endeavour's External Tank Falls Away</t>
  </si>
  <si>
    <t>Hand-held camera footage of space shuttle Endeavour's external tank captured by the orbiter's STS-134 crew as the ET falls away from the orbiter at main engine cut off (MECO) about 8-and-a-half minutes after launch.</t>
  </si>
  <si>
    <t>aoNHhTyaxJg</t>
  </si>
  <si>
    <t>https://youtu.be/7MlEY3RVk98</t>
  </si>
  <si>
    <t>Endeavour Launches for ISS on This Week @NASA</t>
  </si>
  <si>
    <t>Space shuttle Endeavour lifted off Monday from the Kennedy Space Center for the International Space Station and STS-134. Commander Mark Kelly and his five crewmates began their mission with a picture-perfect launch at 8:56 a.m. Eastern. An electrical problem that scuttled the last STS-134 launch attempt, on April 29, has since been corrected. 
Also, Dawn breaks new ground; spring flood imagery; Discovery crew visits HQ; two new Webbys; two new Astro Hall of Famers;  and, NASA at Kings Dominion.</t>
  </si>
  <si>
    <t>7MlEY3RVk98</t>
  </si>
  <si>
    <t>https://youtu.be/pom0ZCIzN90</t>
  </si>
  <si>
    <t>Giffords' Staff Briefs Media</t>
  </si>
  <si>
    <t>The staff of U.S. Rep. Gabrielle Giffords (D-Arizona) met with reporters at NASA's Kennedy Space Center following Monday's launch of STS-134, the mission commanded by Giffords' husband, astronaut Mark Kelly. Giffords, who continues to recover from a January shooting in her home district of Tucson, was at Kennedy to witness the launch.</t>
  </si>
  <si>
    <t>pom0ZCIzN90</t>
  </si>
  <si>
    <t>https://youtu.be/2fuaIEYEiLI</t>
  </si>
  <si>
    <t xml:space="preserve">Ascent Team Steers Endeavour  Uphill </t>
  </si>
  <si>
    <t>Video of the STS-134 Ascent Flight Control Team at NASA's Kennedy Space Center in Florida as its members "escort" shuttle Endeavour into space on Monday, May 16.</t>
  </si>
  <si>
    <t>2fuaIEYEiLI</t>
  </si>
  <si>
    <t>https://youtu.be/RGy7442gbF0</t>
  </si>
  <si>
    <t xml:space="preserve">Endeavour's Launch  Fantastic </t>
  </si>
  <si>
    <t>Speaking to reporters at the STS-134 post-launch news conference at NASA's Kennedy Space Center in Florida on Monday, May 16, Mike Moses, chair, prelaunch Mission Management Team declares that Endeavour's liftoff earlier that morning was "fantastic" and "perfect." Other participants are Bill Gerstenmaier, associate administrator for Space Operations; Michel Tognini, head of the European Astronaut Center and former ESA astronaut; and Mike Leinbach, shuttle launch director. shuttle program officials said that Endeavour's</t>
  </si>
  <si>
    <t>RGy7442gbF0</t>
  </si>
  <si>
    <t>https://youtu.be/PNWPEweU8pA</t>
  </si>
  <si>
    <t>Endeavour Lifts Off on its Last Mission</t>
  </si>
  <si>
    <t>The STS-134 crew led by Commander Mark Kelly are on their way to the International Space Station after launching from NASA's Kennedy Space Center at 8:56 a.m. EDT Monday, May 16. The crew of Kelly, pilot Greg Johnson, mission specialists Mike Fincke, Drew Feustel, Greg Chamitoff and European Space Agency astronaut Roberto Vittori will deliver the Alpha Magnetic Spectrometer-2 (AMS) and critical supplies to the space station. The supplies include two communications antennas, a high-pressure gas tank and additional parts for the Dextre robot. The AMS is a particle physics detector designed to search for various types of unusual cosmic matter. The crew also will transfer Endeavour's orbiter boom sensor system, where it could assist spacewalkers as an extension for the station's robotic arm. The STS-134 mission is the next-to-last for the Space Shuttle Program and the final one for shuttle Endeavour.</t>
  </si>
  <si>
    <t>PNWPEweU8pA</t>
  </si>
  <si>
    <t>2011 05 14</t>
  </si>
  <si>
    <t>https://youtu.be/bCJNZ3xSUfQ</t>
  </si>
  <si>
    <t>MMT Green Lights Continuing Endeavour Countdown</t>
  </si>
  <si>
    <t>The shuttle Mission Management Team is giving space shuttle Endeavour's launch team the green light to continue the countdown for Monday's 8:56 a.m. EDT liftoff. The MMT met this afternoon at NASA's Kennedy Space Center in Florida and reviewed how launch preparations for Endeavour's STS-134 mission are progressing. 
During a news conference on NASA Television following the MMT, Shuttle Launch Director Mike Leinbach said the countdown is going extremely well and the team is ready to go. 
The forecast still calls for a 70 percent chance of acceptable weather at launch time.</t>
  </si>
  <si>
    <t>bCJNZ3xSUfQ</t>
  </si>
  <si>
    <t>2011 05 13</t>
  </si>
  <si>
    <t>https://youtu.be/SFLbjjPj-Xw</t>
  </si>
  <si>
    <t>Endeavour, Weather Look Good for Monday Launch</t>
  </si>
  <si>
    <t>Teams at NASA's Kennedy Space Center in Florida continue to prepare space shuttle Endeavour for a liftoff on Monday at 8:56 a.m. EDT. Everything is going on schedule.</t>
  </si>
  <si>
    <t>SFLbjjPj-Xw</t>
  </si>
  <si>
    <t>https://youtu.be/ues4N6xODDM</t>
  </si>
  <si>
    <t>STS-134 Gets New Launch Date on This Week @NASA</t>
  </si>
  <si>
    <t>The launch of space shuttle Endeavour on STS-134 has been rescheduled for May 16th. Launch is scheduled for 8:56 a.m. Eastern. Also, NASA's Gravity Probe B mission confirms two aspects of Albert Einstein's theory of general relativity. Plus, two Mercury explorers honored; Young innovators recognized; ISS honored; NextGen Day; rotocraft research; FIRST finals; and HQ Cyber Café.</t>
  </si>
  <si>
    <t>ues4N6xODDM</t>
  </si>
  <si>
    <t>2011 05 12</t>
  </si>
  <si>
    <t>https://youtu.be/b-D0tzfXJ9Q</t>
  </si>
  <si>
    <t>Endeavour Astronauts Arrive in Florida for Launch</t>
  </si>
  <si>
    <t>With the date and time set for their launch to the International Space Station aboard shuttle Endeavour, the crew of STS-134 commanded by Mark Kelly flew into NASA's Kennedy Space Center from Houston on Thursday, May 12. The six-member crew is scheduled to liftoff for the ISS on Monday, May 16 at 8:56 a.m. Eastern.</t>
  </si>
  <si>
    <t>b-D0tzfXJ9Q</t>
  </si>
  <si>
    <t>2011 05 10</t>
  </si>
  <si>
    <t>https://youtu.be/dHfdWp_8AGY</t>
  </si>
  <si>
    <t>STS-133  Discovery's Farewell</t>
  </si>
  <si>
    <t>Join Commander Steve Lindsey and his crew of Pilot Eric Boe, and Mission Specialists Alvin Drew, Steve Bowen, Mike Barratt and Nicole Stott as they journey to and from the International Space Station. Set to music, the video celebrates the final mission of space shuttle Discovery as it logs the last of its 365 days in flight.</t>
  </si>
  <si>
    <t>dHfdWp_8AGY</t>
  </si>
  <si>
    <t>2011 05 09</t>
  </si>
  <si>
    <t>https://youtu.be/HZUHohVbGG8</t>
  </si>
  <si>
    <t>May 16 New Shuttle Launch Date</t>
  </si>
  <si>
    <t>The launch of space shuttle Endeavour on STS-134 is now scheduled for Monday, May 16, at 8:56 a.m. Eastern. The announcement came from shuttle program managers during a status briefing held at the Kennedy Space Center in Florida.</t>
  </si>
  <si>
    <t>HZUHohVbGG8</t>
  </si>
  <si>
    <t>2011 05 08</t>
  </si>
  <si>
    <t>https://youtu.be/bQIldPCgVPc</t>
  </si>
  <si>
    <t>Astronaut Hall of Fame Welcomes Two New Members</t>
  </si>
  <si>
    <t>Two former space shuttle astronauts, Karol J. "Bo" Bobko and Susan J. Helms, are inducted into the U.S. Astronaut Hall of Fame near NASA's Kennedy Space Center in Florida during this special ceremony held on May 7. Bobko and Helms join the ranks of 77 other space explorers so honored. Bobko, a veteran of three shuttle flights, has logged a total of 386 hours in space. Helms flew on four shuttle missions and lived aboard the International Space Station as a member of the Expedition 2 crew.</t>
  </si>
  <si>
    <t>bQIldPCgVPc</t>
  </si>
  <si>
    <t>https://youtu.be/eYxHGK61HNY</t>
  </si>
  <si>
    <t>Susan Helms Joins Astronaut Hall of Fame</t>
  </si>
  <si>
    <t>Helms became an astronaut in July 1991. She flew on STS-54 (1993), STS-64 (1994), STS-78 (1996), STS-101 (2000) and, in 2001, while serving as a member of the second crew to live aboard the International Space Station, performed the longest spacewalk ever at 8 hours and 56 minutes. Susan Helms logged 5,064 hours in space.</t>
  </si>
  <si>
    <t>eYxHGK61HNY</t>
  </si>
  <si>
    <t>2011 05 07</t>
  </si>
  <si>
    <t>https://youtu.be/ICPq2uaRWEM</t>
  </si>
  <si>
    <t xml:space="preserve"> Bo  Bobko Becomes  Astronaut Hall of Famer</t>
  </si>
  <si>
    <t>Karol J. "Bo" Bobko became a NASA astronaut in September 1969. He served as pilot during the first voyage of shuttle Challenger aboard STS-6 in April 1983 and as commander during the maiden flight of shuttle Atlantis aboard STS-51J in October 1985.</t>
  </si>
  <si>
    <t>ICPq2uaRWEM</t>
  </si>
  <si>
    <t>2011 05 05</t>
  </si>
  <si>
    <t>https://youtu.be/vx5mQ9ZGHZw</t>
  </si>
  <si>
    <t>Shepard Honored at 50th Anniversary Celebration of Freedom 7 Flight</t>
  </si>
  <si>
    <t>The Golden Anniversary of the flight of the first American in space was commemorated with a special ceremony at the Cape Canaveral Air Force Station's Complex 5/6 blockhouse near NASA's Kennedy Space Center. That's where, on May 5, 1961, astronaut Alan B. Shepard, Jr., began his historic, 15-minute mission aboard his Freedom 7 capsule.  
Mercury astronaut Scott Carpenter and members of the Shepard family were joined by NASA Administrator Charles Bolden, former astronaut Bob Cabana and more than 200 workers from the original Mercury program in celebrating the historic anniversary. The event included a re-creation of Shepard's flight and recovery, as well as a tribute to his contributions as a moonwalker on the Apollo 14 lunar mission.</t>
  </si>
  <si>
    <t>vx5mQ9ZGHZw</t>
  </si>
  <si>
    <t>2011 05 04</t>
  </si>
  <si>
    <t>https://youtu.be/BLxDE-Jz2hw</t>
  </si>
  <si>
    <t>New U.S. Stamps Honor Two Mercury Explorers</t>
  </si>
  <si>
    <t>Two new stamps honoring NASA achievements were unveiled by the U.S. Postal Service at the Rocket Garden of the Kennedy Space Center Visitor Complex in Florida. One stamp commemorates NASA's Project Mercury and Alan Shepard's historic launch on May 5, 1961 aboard the spacecraft Freedom 7. The second stamp honors NASA's MESSENGER, which reached Mercury in March to become the first spacecraft to orbit the planet. The two missions frame a remarkable 50-year period in which America advanced space exploration through more than 1,500 manned and unmanned flights.</t>
  </si>
  <si>
    <t>BLxDE-Jz2hw</t>
  </si>
  <si>
    <t>https://youtu.be/GzJRRVIUBBw</t>
  </si>
  <si>
    <t>Station Crew Marks Passing of Nespoli's Mother</t>
  </si>
  <si>
    <t>Aboard the International Space Station, Expedition 27 Commander Dmitry Kondratyev and Flight Engineers Cady Coleman and Ron Garan of NASA and Alexander Samokutyaev and Andrey Borisenko of the Russian Federal Space Agency paid tribute to the late mother of Italian Flight Engineer Paolo Nespoli of the European Space Agency with a moment of silence and a view of Italy out of the window of the Cupola at 9:05 a.m. EDT on May 4, 2011. The moment of silence was observed as well at the Mission Control Centers in Houston; Huntsville, Alabama; Korolev, Russia; Munich, Germany and Tsukuba, Japan. Nespoli's mother, Maria Motta, passed away on May 2 in the town of Verano Brianza, Italy, near Milan, after a lengthy illness. She was 78 years old.</t>
  </si>
  <si>
    <t>GzJRRVIUBBw</t>
  </si>
  <si>
    <t>https://youtu.be/jy2KQJDYJhE</t>
  </si>
  <si>
    <t>STS-134- Endeavour's Final Flight</t>
  </si>
  <si>
    <t>After nearly two decades of achievement, Endeavour makes one last journey to space. The STS-134 Webcast from the Kennedy Space Center examines what Endeavour's 25th flight will entail and explores the storied career of the youngest of NASA's shuttle orbiters.</t>
  </si>
  <si>
    <t>jy2KQJDYJhE</t>
  </si>
  <si>
    <t>https://youtu.be/SBiY0Fn1ze4</t>
  </si>
  <si>
    <t>Einstein Passes Tests by NASA's Gravity Probe B</t>
  </si>
  <si>
    <t>NASA's Gravity Probe B (GP-B) spacecraft has confirmed two key predictions derived from Albert Einstein's general theory of relativity. Launched in 2004, GP-B was designed to test Einstein using four ultra-precise gyroscopes to measure the hypothesized geodetic effect, which is the warping of space and time around a gravitational body, and frame-dragging, which is the amount a spinning object pulls space and time with it as it rotates. (News briefing held May 4, 2011 at NASA Headquarters in Washington.)</t>
  </si>
  <si>
    <t>SBiY0Fn1ze4</t>
  </si>
  <si>
    <t>https://youtu.be/APwntCQ8Iiw</t>
  </si>
  <si>
    <t>Alan Shepard  Ambassador of Exploration</t>
  </si>
  <si>
    <t>50 years after his historic flight as the first American in space, family, colleagues and friends of Alan Shepard recall the man and his mission.</t>
  </si>
  <si>
    <t>APwntCQ8Iiw</t>
  </si>
  <si>
    <t>2011 05 01</t>
  </si>
  <si>
    <t>https://youtu.be/aAHjq9jm2-g</t>
  </si>
  <si>
    <t>NASA Delays Shuttle Launch; No New Date Set</t>
  </si>
  <si>
    <t>Briefing held at NASA's Kennedy Space Center on Sunday, May 1, during which shuttle program officials outline work remaining to resolve an electronics problem that scrubbed Friday's launch try. A new date for space shuttle Endeavour's launch on STS-134 has not yet been set.</t>
  </si>
  <si>
    <t>aAHjq9jm2-g</t>
  </si>
  <si>
    <t>https://youtu.be/C2A9IVc9Qe8</t>
  </si>
  <si>
    <t>President Obama Visits Kennedy Space Center - Long Version</t>
  </si>
  <si>
    <t>President Obama and the First Family toured NASA Kennedy Space Center's Orbiter Processing Facility-1 on April 29, where space shuttle Atlantis is being prepared for STS-135, the shuttle program's final mission. Obama also visited Kennedy's Launch Control Center where he met with space shuttle Endeavour's six STS-134 crew members.
The Obama's visit originally was planned around Endeavour's STS-134 launch attempt, which was scrubbed just hours before its scheduled liftoff at 3:47 p.m. EDT. Following an almost thee hour visit, the President and family departed from Cape Canaveral Air Force Station.</t>
  </si>
  <si>
    <t>C2A9IVc9Qe8</t>
  </si>
  <si>
    <t>2011 04 30</t>
  </si>
  <si>
    <t>https://youtu.be/aQ_IAAV69z8</t>
  </si>
  <si>
    <t>President Obama Visits KSC on This Week @NASA</t>
  </si>
  <si>
    <t>Despite the scrubbed launch attempt of shuttle Endeavour, President Obama and family members visited and toured facilities at the Kennedy Space Center. The Obamas got an up-close look at orbiter Atlantis inside the Orbiter Processing Facility and met with STS-134 crew members at the Launch Control Center. Also, why Endeavour's launch was scrubbed; NASA, USAID partner for solutions; Alan Shepard honored; spaceflight symposium; Voyagers continue on; and Pharell promotes STEM for students.</t>
  </si>
  <si>
    <t>aQ_IAAV69z8</t>
  </si>
  <si>
    <t>https://youtu.be/PcarFP61Trg</t>
  </si>
  <si>
    <t>STS-134 Post Launch Scrub News Conference</t>
  </si>
  <si>
    <t>A news conference was held in the Press Site auditorium at NASA's Kennedy Space Center in Florida following the scrub of space shuttle Endeavour's launch due to an issue with auxiliary power unit (APU) heaters.
The next launch attempt for Endeavour is no earlier than Monday at 2:33 p.m. EDT depending on the results of Saturday's analysis. There will be a launch team meeting this weekend to assess the data that is accumulated and then a determination will be made for the next step in preparing Endeavour for its final flight, the STS-134 mission to the International Space Station.</t>
  </si>
  <si>
    <t>PcarFP61Trg</t>
  </si>
  <si>
    <t>2011 04 29</t>
  </si>
  <si>
    <t>https://youtu.be/0Aj2JdKEBcM</t>
  </si>
  <si>
    <t>President Obama, Family Visit Kennedy Space Center</t>
  </si>
  <si>
    <t>Despite Friday's scrubbed shuttle launch attempt, President Obama, accompanied by First Lady Michelle Obama, their two daughters and his mother-in-law, still made their scheduled visit to NASA's Kennedy Space Center.</t>
  </si>
  <si>
    <t>0Aj2JdKEBcM</t>
  </si>
  <si>
    <t>https://youtu.be/0UGMazfmFoo</t>
  </si>
  <si>
    <t>President Obama and Family Arrive at Kennedy Space Center</t>
  </si>
  <si>
    <t>President Obama, accompanied by First Lady Michelle Obama and their two daughters, arrive aboard Air Force One at the Cape Canaveral AFS near NASA's Kennedy Space Center at approximately 2 p.m. EDT on Friday, Apr. 29. The First Family then boarded the Marine One helicopter which took them to the Orbiter Processing Facility for a tour. Their arrival comes despite Friday's scrubbed launch of STS-134, around which the president's visit had originally been planned.</t>
  </si>
  <si>
    <t>0UGMazfmFoo</t>
  </si>
  <si>
    <t>https://youtu.be/J7723PBrYSc</t>
  </si>
  <si>
    <t>Cargo Ship Docks to ISS</t>
  </si>
  <si>
    <t>An unmanned Russian spacecraft, Progress 42, docks to the International Space Station on April 29, delivering to the orbiting complex almost 3 tons of cargo. The Progress is loaded with 1940 pounds of propellant, 110 pounds of oxygen and air, 926 pounds of water and 2976 pounds of maintenance hardware, experiment equipment and resupply items.</t>
  </si>
  <si>
    <t>J7723PBrYSc</t>
  </si>
  <si>
    <t>2011 04 28</t>
  </si>
  <si>
    <t>https://youtu.be/U09KSe6aCfY</t>
  </si>
  <si>
    <t>NASA Awards to Develop Commercial Crew Transport</t>
  </si>
  <si>
    <t>A briefing at the Kennedy Space Center details NASA's recent awards of more than $269 million for the continued development of commercial transportation systems to carry astronauts to and from low-Earth orbit. Four U.S. companies received the awards in the second round of NASA's Commercial Crew Development, or CCDev, effort. Commercial crew transport will free NASA to concentrate on developing and building new technologies for human exploration beyond low-Earth orbit.</t>
  </si>
  <si>
    <t>U09KSe6aCfY</t>
  </si>
  <si>
    <t>https://youtu.be/hDQ2O8fO1sI</t>
  </si>
  <si>
    <t>Station Crew Offers Greetings to the Royal Couple</t>
  </si>
  <si>
    <t>Aboard the International Space Station, Expedition 27 Flight Engineers Cady Coleman and Ron Garan of NASA and Paolo Nespoli of the European Space Agency offered best wishes to Prince William and Kate Middleton on April 28, 2011, on the eve of their wedding at Westminster Abbey in London. In addition, space station cameras captured a brief glimpse of London as the complex passed 220 miles over the British capital at 2:35 p.m. EDT.</t>
  </si>
  <si>
    <t>hDQ2O8fO1sI</t>
  </si>
  <si>
    <t>https://youtu.be/zqPB0l5FZP4</t>
  </si>
  <si>
    <t>Voyager Humanity's Farthest Journey</t>
  </si>
  <si>
    <t>A special space science presentation at NASA Headquarters highlights the contributions of the two Voyager spacecraft as they continue their multi-decade journey to the boundaries of our solar system and beyond.</t>
  </si>
  <si>
    <t>zqPB0l5FZP4</t>
  </si>
  <si>
    <t>https://youtu.be/BABGPvEFybU</t>
  </si>
  <si>
    <t>Countdown Continues to STS-134</t>
  </si>
  <si>
    <t>Mission managers say space shuttle Endeavour and the six men who'll fly it to the International Space Station are all in good shape and ready to begin their flight at NASA's Kennedy Space Center on Friday afternoon. STS-134 will deliver to the ISS the Alpha Magnetic Spectrometer, a state-of-the-art particle physics detector that may unlock mysteries about the makeup of the universe.</t>
  </si>
  <si>
    <t>BABGPvEFybU</t>
  </si>
  <si>
    <t>2011 04 27</t>
  </si>
  <si>
    <t>https://youtu.be/QftA0I7JO2s</t>
  </si>
  <si>
    <t>Endeavour Crew Ready to Fly</t>
  </si>
  <si>
    <t>With two days to go to launch, the six-member crew of STS-134 continued its last-minute preparations for its scheduled flight to the International Space Station on Friday. That assessment came following a meeting of the shuttle's Mission Management Team.</t>
  </si>
  <si>
    <t>QftA0I7JO2s</t>
  </si>
  <si>
    <t>https://youtu.be/IOKRR9sYlzc</t>
  </si>
  <si>
    <t>NASA  Increasing the Awesome</t>
  </si>
  <si>
    <t>Contemplating the ritual of sending Washington a check every April 15, popular Internet vlogger Hank Green of Vlogbrothers explains why he believes NASA is worth every .45 penny of your hard-earned tax dollar.</t>
  </si>
  <si>
    <t>IOKRR9sYlzc</t>
  </si>
  <si>
    <t>2011 04 26</t>
  </si>
  <si>
    <t>https://youtu.be/VLNA8Exb--8</t>
  </si>
  <si>
    <t>Kelly and Crew Arrive at Kennedy for Endeavour Launch</t>
  </si>
  <si>
    <t>STS-134 Commander Mark Kelly and the five members of his crew arrived at the Kennedy Space Center following their flight from Houston in their NASA T-38 aircraft. Kelly, pilot Greg Johnson, mission specialists Mike Fincke, Drew Feustel, Greg Chamitoff and European Space Agency astronaut Roberto Vittori are scheduled to liftoff at 3:47 pm EDT aboard space shuttle Endeavour on a two-week journey to the International Space Station.</t>
  </si>
  <si>
    <t>VLNA8Exb--8</t>
  </si>
  <si>
    <t>https://youtu.be/lXxhYZb2qw0</t>
  </si>
  <si>
    <t>Shuttle's Liftoff to ISS Nears</t>
  </si>
  <si>
    <t>Four hours prior to the start of countdown, mission managers brief the media on the status of the upcoming launch of space shuttle Endeavour on STS-134.</t>
  </si>
  <si>
    <t>lXxhYZb2qw0</t>
  </si>
  <si>
    <t>https://youtu.be/MK_F9YJQjUI</t>
  </si>
  <si>
    <t>NASA and USAID to Promote SciTech Collaboration</t>
  </si>
  <si>
    <t>NASA and the U.S. Agency for International Development (USAID) have signed a Memorandum of Understanding to jointly promote the search for scientific and technological solutions to worldwide problems. This formal signing ceremony took place at NASA Headquarters in Washington, D.C. on April 25.</t>
  </si>
  <si>
    <t>MK_F9YJQjUI</t>
  </si>
  <si>
    <t>2011 04 22</t>
  </si>
  <si>
    <t>https://youtu.be/X9jvyo7xDWs</t>
  </si>
  <si>
    <t>Endeavour Ready to Go on This Week @NASA</t>
  </si>
  <si>
    <t>April 29 is the official launch date for space shuttle Endeavour on STS-134. That announcement came at the conclusion of the mission's Flight Readiness Review, where shuttle managers expressed satisfaction with the preparations for the program's next-to-last flight. Launch is scheduled for 3:47 p.m. Eastern. Also, developing new ways to low-Earth orbit; putting the freeze on Webb's mirror; Hubble turns 21; NASA's Earth Day; soaring student rockets; do the Logo Motion; and Yuri's Night at Langley.</t>
  </si>
  <si>
    <t>X9jvyo7xDWs</t>
  </si>
  <si>
    <t>2011 04 21</t>
  </si>
  <si>
    <t>https://youtu.be/J12mNMJtFKE</t>
  </si>
  <si>
    <t>Hubble Celebrates 21 Years in Space</t>
  </si>
  <si>
    <t>The Hubble Space Telescope presented astronomers with this rosy picture on the celebration of its completion of 21 years since it was deployed in 1990. This especially photogenic group of interacting galaxies called Arp 273 lies in the constellation Andromeda and is roughly 300 million light-years away from Earth. The larger of the spiral galaxies, known as UGC 1810, has a disk that is distorted into a rose-like shape by the gravitational pull of the companion galaxy below it, known as UGC 1813. A swath of blue jewels across the top is the combined light from clusters of intensely bright and hot young blue stars. These massive stars glow fiercely in ultraviolet light. Arp 273 The interaction was imaged on December 17, 2010, with Hubble's Wide Field Camera 3. Hubble was deployed by the STS-31 crew of space shuttle Discovery on April 25, 1990.</t>
  </si>
  <si>
    <t>J12mNMJtFKE</t>
  </si>
  <si>
    <t>2011 04 20</t>
  </si>
  <si>
    <t>https://youtu.be/R74Su3LqxI4</t>
  </si>
  <si>
    <t>Mark Kelly Says Mission May Unlock New Mysteries</t>
  </si>
  <si>
    <t>In this episode of NASA "Behind the Scenes," Commander Mark Kelly talks about training for the STS-134 mission to the International Space Station and how the Alpha Magnetic Spectrometer could unlock secrets of the universe. 134 crew members also describe how the Hubble Space Telescope has set the stage for AMS, and what they anticipate about their upcoming mission, the final flight of space shuttle Endeavour.</t>
  </si>
  <si>
    <t>R74Su3LqxI4</t>
  </si>
  <si>
    <t>2011 04 19</t>
  </si>
  <si>
    <t>https://youtu.be/QW5xZV2pUWE</t>
  </si>
  <si>
    <t>April 29 Set for Shuttle Launch</t>
  </si>
  <si>
    <t>NASA space shuttle managers have officially selected April 29 as the launch date of Endeavour on STS-134. That announcement came at the conclusion of the mission's Flight Readiness Review, where program officials expressed satisfaction with the preparations for the shuttle's next-to-last flight. During the 14-day mission, the Alpha Magnetic Spectrometer and spare parts will be delivered to the International Space Station by Endeavour and its crew of Commander Mark Kelly, Pilot Greg Johnson, Mission Specialists Mike Fincke, Drew Feustel and Greg Chamitoff, and European Space Agency astronaut Roberto Vittori.</t>
  </si>
  <si>
    <t>QW5xZV2pUWE</t>
  </si>
  <si>
    <t>https://youtu.be/sZRvMCewbVw</t>
  </si>
  <si>
    <t>NASA Looks Back at Gulf Oil Spill</t>
  </si>
  <si>
    <t>The site of the oil spill in the Gulf of Mexico, which began April 20, 2010 with the explosion of the Deepwater Horizon oil rig, continues to be monitored daily by NASA satellites.  A selection of those images captured over the past year by the MODIS instrument on board NASA's Terra and Aqua satellites have been compiled for this timelapse video.</t>
  </si>
  <si>
    <t>sZRvMCewbVw</t>
  </si>
  <si>
    <t>2011 04 15</t>
  </si>
  <si>
    <t>https://youtu.be/6Jxk_5oHv3s</t>
  </si>
  <si>
    <t>Agency Honor Employees and New Homes for Shuttles Announced on This Week @NASA...</t>
  </si>
  <si>
    <t>Events were held around the glove commemorating the golden anniversary of the first human spaceflight, and the beginning of the space shuttle era 20 years later. Among the celebrations was a Kennedy Space Center event at which NASA Administrator Charles Bolden honor the space shuttle's work force for its invaluable contributions to space exploration over the past 30 years. Bolden also announced where each shuttle orbiter would reside in retirement. Also, the first space-Earth duet; Kraft honored; a lunar research park; "Dropping in a Microgravity Environment,"; and a new robotics badge for the Boy Scouts of America.</t>
  </si>
  <si>
    <t>6Jxk_5oHv3s</t>
  </si>
  <si>
    <t>https://youtu.be/vu_6yuW6PY0</t>
  </si>
  <si>
    <t>NASA Administrator with Russian Officials Celebrate the Golden Anniversary of Spaceflight</t>
  </si>
  <si>
    <t>American and Russian space officials, led by NASA Administrator Charles Bolden, paid tribute to the 50th anniversary of the launch of Yuri Gagarin, the first human in space, and the 30th anniversary of the first shuttle mission, STS-1, during a gala celebration at the home of John Beyrle, U.S. Ambassador to Russia. The celebration culminated a week's worth of tributes to the twin anniversaries.</t>
  </si>
  <si>
    <t>vu_6yuW6PY0</t>
  </si>
  <si>
    <t>2011 04 14</t>
  </si>
  <si>
    <t>https://youtu.be/UBQPE_bOP6Y</t>
  </si>
  <si>
    <t>NASA Honors First Human Space Mission Flight Director</t>
  </si>
  <si>
    <t>NASA named its Mission Control Center in Houston for Christopher C. Kraft, Jr., on April 14, 2011. Kraft was so honored by the agency for his service to the country and contributions to the nation's space program. He was America's first human space mission flight director managing every Mercury and several Gemini missions. Kraft later served as Director of the Johnson Space Center.</t>
  </si>
  <si>
    <t>UBQPE_bOP6Y</t>
  </si>
  <si>
    <t>2011 04 13</t>
  </si>
  <si>
    <t>https://youtu.be/-TeRXAhHfzE</t>
  </si>
  <si>
    <t>NASA Commemorates Space Shuttle's 30th Anniversary, Reveals Display Sites for Orbiters</t>
  </si>
  <si>
    <t>On the anniversary of the first space shuttle flight, NASA Administrator Charles Bolden joined Kennedy Space Center Director Bob Cabana, and STS-1 shuttle pilot Robert Crippen to pay tribute to the space shuttle era at the KSC in Florida.   During the event, Bolden named the four institutions that will receive a shuttle orbiter for permanent display.</t>
  </si>
  <si>
    <t>-TeRXAhHfzE</t>
  </si>
  <si>
    <t>2011 04 12</t>
  </si>
  <si>
    <t>https://youtu.be/OZq0Hd-_4Kk</t>
  </si>
  <si>
    <t>Gagarin's Golden Anniversary Celebration at the Grand Kremlin Palace</t>
  </si>
  <si>
    <t>The Grand Kremlin Palace in Moscow was the scene of a concert and other activities paying tribute to Yuri Gagarin, the first human to fly in space.  Gagarin's historic launch took place 50 years ago on April 12, 1961.  Russian and American space officials and other dignitaries were on hand for the event.</t>
  </si>
  <si>
    <t>OZq0Hd-_4Kk</t>
  </si>
  <si>
    <t>https://youtu.be/rlG7W0gkjjE</t>
  </si>
  <si>
    <t>rlG7W0gkjjE</t>
  </si>
  <si>
    <t>https://youtu.be/BReUn3C1pzk</t>
  </si>
  <si>
    <t>News Conference from Space Commemorates Space Flight Anniversaries</t>
  </si>
  <si>
    <t>The International Space Station partner agencies commemorate 50 years of human spaceflight and 30 years of space shuttle flights with a news conference featuring the six crew members in orbit aboard the complex.</t>
  </si>
  <si>
    <t>BReUn3C1pzk</t>
  </si>
  <si>
    <t>https://youtu.be/XnEHq6p54Hw</t>
  </si>
  <si>
    <t>ISS Crew Talks with Media about Gagarin and STS-1 Anniversaries</t>
  </si>
  <si>
    <t>Orbiting 220 miles above the Earth's surface, Expedition 27 crew members speak with the New York Times and CNN's "American Morning" about the historic exploration milestones reached on this day.</t>
  </si>
  <si>
    <t>XnEHq6p54Hw</t>
  </si>
  <si>
    <t>2011 04 11</t>
  </si>
  <si>
    <t>https://youtu.be/qSBuGBBJ8XI</t>
  </si>
  <si>
    <t>International Partners Celebrate Gagarin's Golden Anniversary</t>
  </si>
  <si>
    <t>Russian and American space officials gathered at the Cosmonautics Museum in Moscow on April 11 on the eve of the 50th anniversary of the launch of the first human in space Yuri Gagarin, to commemorate this historic achievement.</t>
  </si>
  <si>
    <t>qSBuGBBJ8XI</t>
  </si>
  <si>
    <t>https://youtu.be/nEgw-GtMj2o</t>
  </si>
  <si>
    <t>Station Crew Discusses Milestone Anniversaries with the Media</t>
  </si>
  <si>
    <t>Aboard the International Space Station, the six Expedition 27 crew members discussed their thoughts on the 50th anniversary of the launch of Yuri Gagarin, the first human in space, and the 30th anniversary of the first shuttle launch, STS-1, in in-flight interviews with the Associated Press and CBS News on April 11, 2011. Both anniversaries will be celebrated on April 12.</t>
  </si>
  <si>
    <t>nEgw-GtMj2o</t>
  </si>
  <si>
    <t>2011 04 08</t>
  </si>
  <si>
    <t>https://youtu.be/6rduG1ghRXI</t>
  </si>
  <si>
    <t>New Crew on This Week @NASA</t>
  </si>
  <si>
    <t>The three new members of the Expedition 27 crew are busy making the International Space Station their new home for the next five months. Flight engineers Alexander Samokutyaev, Andrey Borisenko and Ron Garan arrived at the station in their Soyuz spacecraft following a successful journey from the Baikonur Cosmodrome in Kazakhstan. Also, shuttle launch date anticipated; disability mentoring day; rover's media day; and, Giffords Save-A-Life campaign. Plus, Mission X;  Moonbuggy Race; LRV's 40th; Apollo 13 remembered; and STS-1: 30 years later!</t>
  </si>
  <si>
    <t>6rduG1ghRXI</t>
  </si>
  <si>
    <t>2011 04 07</t>
  </si>
  <si>
    <t>https://youtu.be/mjP2gm72gFo</t>
  </si>
  <si>
    <t>Endeavour to Deliver Cosmic Ray Observatory to ISS</t>
  </si>
  <si>
    <t>This overview details how STS-134's prime payload, the Alpha Magnetic Spectrometer, could revolutionize what we know about invisible cosmic rays the same way NASA's Hubble Space Telescope rewrote what we know about the visible universe. Endeavour's final mission, a 14-day journey to the International Space Station, will be commanded by astronaut Mark Kelly.</t>
  </si>
  <si>
    <t>mjP2gm72gFo</t>
  </si>
  <si>
    <t>https://youtu.be/uFRBax05-4E</t>
  </si>
  <si>
    <t>New Crew Members Welcomed to ISS</t>
  </si>
  <si>
    <t>Video highlights of the docking, hatch opening and welcoming ceremony of the final Expedition 27 crew members to board the International Space Station on Apr. 6.</t>
  </si>
  <si>
    <t>uFRBax05-4E</t>
  </si>
  <si>
    <t>2011 04 06</t>
  </si>
  <si>
    <t>https://youtu.be/K8QaPxz8L-E</t>
  </si>
  <si>
    <t>Soyuz Docks to International Space Station</t>
  </si>
  <si>
    <t>The Soyuz TMA-21 capsule carrying three Expedition 27 crew members docked to the ISS at 7:09 p.m. Eastern on Wed., Apr. 6. Docking is followed by a news conference from Mission Control in Korolev, Russia.</t>
  </si>
  <si>
    <t>K8QaPxz8L-E</t>
  </si>
  <si>
    <t>https://youtu.be/ereZ56lWW9c</t>
  </si>
  <si>
    <t>STS-134 Crew Ready for Mission</t>
  </si>
  <si>
    <t>The crew of space shuttle Endeavour is profiled as its six members gear up for their upcoming two-week mission to the International Space Station. They'll deliver the Alpha Magnetic Spectrometer and spare parts to the station on Endeavour's final flight.</t>
  </si>
  <si>
    <t>ereZ56lWW9c</t>
  </si>
  <si>
    <t>2011 04 05</t>
  </si>
  <si>
    <t>https://youtu.be/jz-inRrnCIE</t>
  </si>
  <si>
    <t>Soyuz Launch Sends Trio to Station</t>
  </si>
  <si>
    <t>Video highlights include pre-launch and launch of the Soyuz TMA-21 spacecraft carrying cosmonauts Andrey Borisenko and Alexander Samokutyaev and NASA astronaut Ron Garan, plus post-launch interviews with NASA officials conducted at the launch site in Baikonur, Kazakhstan.</t>
  </si>
  <si>
    <t>jz-inRrnCIE</t>
  </si>
  <si>
    <t>2011 04 04</t>
  </si>
  <si>
    <t>https://youtu.be/9nm1U17MRGY</t>
  </si>
  <si>
    <t>Crew Launches to ISS</t>
  </si>
  <si>
    <t>Russian cosmonauts Andrey Borisenko and Alexander Samokutyaev and NASA astronaut Ron Garan lifted off from Baikonur, Kazakhstan aboard their Soyuz TMA-21 spacecraft for the International Space Station. They're scheduled to arrive at the station at 7:18 p.m., Wednesday, April 6.</t>
  </si>
  <si>
    <t>9nm1U17MRGY</t>
  </si>
  <si>
    <t>https://youtu.be/3GfCI1hP8vI</t>
  </si>
  <si>
    <t>Video of the three Expedition 27 crew members as they participate in pre-launch activities at the Baikonur Cosmodrome in Kazakhstan. Their arrival at the ISS will return the station crew's size to six members. Russian cosmonauts Andrey Borisenko and Alexander Samokutyaev and NASA astronaut Ron Garan are scheduled to arrive at the station at 7:18 p.m., Wednesday, April 6, to join cosmonaut Expedition 27 Commander Dmitry Kondratyev, European Space Agency astronaut Paolo Nespoli and NASA astronaut Cady Coleman, who have been aboard the station since mid-December.</t>
  </si>
  <si>
    <t>3GfCI1hP8vI</t>
  </si>
  <si>
    <t>https://youtu.be/J2-4vOGMqio</t>
  </si>
  <si>
    <t>Paolo Holds News Conference from Space</t>
  </si>
  <si>
    <t>Expedition 27 Flight Engineer Paolo Nespoli speaks with European media about his mission aboard the International Space Station. (with English translation)</t>
  </si>
  <si>
    <t>J2-4vOGMqio</t>
  </si>
  <si>
    <t>https://youtu.be/y37_dIcvGkc</t>
  </si>
  <si>
    <t>New Shuttle Launch Date on This Week @NASA</t>
  </si>
  <si>
    <t>NASA has re-targeted the liftoff of space shuttle Endeavour for Friday, April 29, at 3:47 p.m. EDT. The move comes to resolve a scheduling conflict with a Russian Progress supply vehicle scheduled to launch April 27 and arrive at the station two days later. Also, Goddard Memorial Symposium; "Wheels" rolls with big Shorty; cost-saving software summit; two honors for Ames; and, marking Odyssey's beginning.</t>
  </si>
  <si>
    <t>y37_dIcvGkc</t>
  </si>
  <si>
    <t>2011 04 03</t>
  </si>
  <si>
    <t>https://youtu.be/rjmbXXUHwa0</t>
  </si>
  <si>
    <t>Expedition 27 Crew Meets with Media and Officials Before Launch</t>
  </si>
  <si>
    <t>Russian cosmonaut, Soyuz Commander Alexander Samokutyaev, NASA Flight Engineer Ron Garan and Russian Flight Engineer Andrey Borisenko appeared before the Russian State Commission April 3 in Baikonur, Kazakhstan with their backups. The Commission gave its final approval for launch. 
The crew members then conducted a final pre-launch news conference at the cosmonaut hotel. The launch is scheduled for liftoff April 5, Baikonur time, in the Soyuz TMA-21 spacecraft to begin a six month mission on the International Space Station.</t>
  </si>
  <si>
    <t>rjmbXXUHwa0</t>
  </si>
  <si>
    <t>2011 04 02</t>
  </si>
  <si>
    <t>https://youtu.be/sDEqimA_JSo</t>
  </si>
  <si>
    <t>Shuttle Launch Rehearsed by Endeavour Crew</t>
  </si>
  <si>
    <t>The six-member crew of the next space shuttle mission participated in a full launch dress rehearsal, known as the Terminal Countdown Demonstration Test on April 1 at NASA's Kennedy Space Center in Florida. The test provided an opportunity for the crew and ground teams to participate in various simulated countdown activities, including equipment familiarization, emergency training and a simulated launch countdown. ‪Endeavour is targeted to launch April 19 on its final scheduled flight. During its 14-day mission, Endeavour's astronauts will deliver to the International Space Station the Alpha Magnetic Spectrometer, a particle physics detector designed to search for various types of unusual matter by measuring cosmic rays. The crew also will deliver the Express Logistics Carrier 3, a platform that carries spare parts that will sustain station operations once the shuttles are retired later this year. ‪
Endeavour's crew members are Commander Mark Kelly, Pilot Greg Johnson, and mission specialists Mike Fincke, Greg Chamitoff, Drew Feustel, and European Space Agency astronaut Roberto Vittori.</t>
  </si>
  <si>
    <t>sDEqimA_JSo</t>
  </si>
  <si>
    <t>https://youtu.be/urOu6AM_cCc</t>
  </si>
  <si>
    <t>Expedition 27 Crew Prepares for Launch as their Soyuz Rocket Move to Launch Pad</t>
  </si>
  <si>
    <t>The Soyuz TMA-21 spacecraft and its booster and were moved to the launch pad at the Baikonur Cosmodrome in Kazakhstan on a railcar April 2 for final preparations before launch April 5, Baiknour time, to the International Space Station. The Soyuz will carry Expedition 27 Soyuz Commander Alexander Samokutyaev, NASA Flight Engineer Ron Garan and Russian Flight Engineer Andrey Borisenko to the complex. The trio will spend six months on the station, joining station Commander Dmitry Kondratyev, NASA Flight Engineer Cady Coleman and European Space Agency Flight Engineer Paolo Nespoli, who have been in orbit since December 2010. Samokutyaev, Garan and Borisenko are in final training for launch with their backups, Anatoly Ivanishin, Dan Burbank and Anton Shkaplerov. The footage includes interviews with Astronaut Nicole Stott, STS-133 Mission Specialist, and with Mike Lopez-Alegria, Deputy Director for ISS, NASA Flight Crew Operations.</t>
  </si>
  <si>
    <t>urOu6AM_cCc</t>
  </si>
  <si>
    <t>https://youtu.be/naAoNekod9c</t>
  </si>
  <si>
    <t>Expedition 27 Crew Prepares for Launch in Kazakhstan</t>
  </si>
  <si>
    <t>At the Baikonur Cosmodrome in Kazakhstan, Expedition 27 Soyuz Commander Alexander Samokutyaev, NASA Flight Engineer Ron Garan and Russian Flight Engineer Andrey Borisenko participated in a variety of activities between March 17 and 25 in Baikonur, Kazakhstan as they prepared for launch March 30, Baikonur time, in their Soyuz TMA-21 spacecraft to the International Space Station. The footage includes the crew's arrival in Baikonur, their suited and unsuited fit checks in the Soyuz, the raising of flags outside 
their Cosmonaut Hotel crew quarters and other traditional activities.</t>
  </si>
  <si>
    <t>naAoNekod9c</t>
  </si>
  <si>
    <t>https://youtu.be/GuSC4J9vI0w</t>
  </si>
  <si>
    <t>Expedition 27 Crew Prepares for Launch as their Soyuz Spacecraft and Rocket are Mated</t>
  </si>
  <si>
    <t>The Soyuz TMA-21 spacecraft and its booster were mated by technicians at the Baikonur Cosmodrome in Kazakhstan April 1 in advance of its rollout to the launchpad for the final preparations before its launch April 5, Baikonur time, to the International Space Station.  The Soyuz will carry Expedition 27 Soyuz Commander Alexander Samokutyaev, NASA Flight Engineer Ron Garan and Russian Flight Engineer Andrey Borisenko to the complex. The trio will spend six months on the station, joining station Commander Dmitry Kondratyev, NASA Flight Engineer Cady Coleman and European Space Agency Flight Engineer Paolo Nespoli, who have been in orbit since December.</t>
  </si>
  <si>
    <t>GuSC4J9vI0w</t>
  </si>
  <si>
    <t>2011 04 01</t>
  </si>
  <si>
    <t>https://youtu.be/1o39Uvj1T0U</t>
  </si>
  <si>
    <t>Shuttle-Based Spacewalks in Final Countdown</t>
  </si>
  <si>
    <t>At the Johnson Space Center, astronauts Drew Feustel, Mike Fincke and Greg Chamitoff have been making final preparations for their upcoming spacewalks on STS-134. In this episode of "NASA Behind the Scenes," Feustel and Fincke talk about the mission and how they're getting ready for the last scheduled spacewalks by a shuttle crew. Fincke also explains the differences between Russian and American spacesuits.</t>
  </si>
  <si>
    <t>1o39Uvj1T0U</t>
  </si>
  <si>
    <t>2011 03 31</t>
  </si>
  <si>
    <t>https://youtu.be/JLBA28Yq6oY</t>
  </si>
  <si>
    <t>Endeavour Crew Drives Tank to Safety</t>
  </si>
  <si>
    <t>The six-member crew of the next space shuttle flight practiced driving an M-113 armored personnel carrier during a full launch dress rehearsal known as the Terminal Countdown Demonstration Test at NASA's Kennedy Space Center in Florida. The vehicle would transport the STS-134 crew away from the launch pad in the event of an emergency. Endeavour's crew members are Commander Mark Kelly, Pilot Greg Johnson, and mission specialists Mike Fincke, Greg Chamitoff, Drew Feustel, and European Space Agency astronaut Roberto Vittori. ‪Endeavour is targeted to launch April 19.</t>
  </si>
  <si>
    <t>JLBA28Yq6oY</t>
  </si>
  <si>
    <t>https://youtu.be/Utx4FRj56WI</t>
  </si>
  <si>
    <t>Endeavour Crew Speaks with Media at NASA's Kennedy Space Center</t>
  </si>
  <si>
    <t>Utx4FRj56WI</t>
  </si>
  <si>
    <t>2011 03 30</t>
  </si>
  <si>
    <t>https://youtu.be/skyEY0wstGk</t>
  </si>
  <si>
    <t>STS-134 Crew Practice Landing the Shuttle</t>
  </si>
  <si>
    <t>Space shuttle Endeavour's STS-134 mission Commander Mark Kelly and Pilot Greg Johnson practiced shuttle landings in a Shuttle Training Aircraft, or STA, during training related to a full launch dress rehearsal known as the Terminal Countdown Demonstration Test at NASA's Kennedy Space Center, Fla. ‪The STA is a Grumman American Aviation-built Gulfstream II jet modified to simulate a shuttle's cockpit, motion and handling qualities. The test provides astronauts and ground crews with an opportunity to participate in various simulated countdown activities, including equipment familiarization and emergency training. ‪Endeavour is targeted to launch April 19 on its final scheduled flight.</t>
  </si>
  <si>
    <t>skyEY0wstGk</t>
  </si>
  <si>
    <t>https://youtu.be/57Y7Qm-BoCw</t>
  </si>
  <si>
    <t>MESSENGER Takes First Picture While in Mercury's Orbit</t>
  </si>
  <si>
    <t>The MESSENGER spacecraft captured its first image of Mercury since entering the planet's orbit. The picture was of previously unseen terrain near the small, rocky planet's south pole. The snapshot is part of the "checkout phase" conducted for the spacecraft that'll include its taking around 75,000 images of Mercury's surface. Full operations to study the planet's geology, formation and history are scheduled to begin April 4.</t>
  </si>
  <si>
    <t>57Y7Qm-BoCw</t>
  </si>
  <si>
    <t>https://youtu.be/I_l9cj9rRd8</t>
  </si>
  <si>
    <t>Reach for the Stars on This Week @NASA</t>
  </si>
  <si>
    <t>NASA helped celebrate Women's History Month at a New York City education event co-hosted by foundations sponsored by designer Donna Karan and singer Mary J. Blige. Also, Soyuz preps for station journey; STS-134 liftoff nears; small business, big opportunities; HIF stands up; swingin' assembly; and 'Bots on the Bayou.</t>
  </si>
  <si>
    <t>I_l9cj9rRd8</t>
  </si>
  <si>
    <t>https://youtu.be/ix_ytEmoqis</t>
  </si>
  <si>
    <t>Astronauts Discuss Fitness Challenge with Students</t>
  </si>
  <si>
    <t>Flight Engineers Cady Coleman and Paolo Nespoli talked with students at the European Astronaut Centre in Cologne, Germany about the Mission X Fitness Challenge. More than 3,700 students from more than 25 cities  in the United States, Netherlands, Italy, France, Germany, Austria, Colombia, Spain and United Kingdom hosted teams for the first Mission X challenge. Participants completed physical activities modeled after the real-life training requirements of humans traveling in space. Students practiced teamwork while participating in training missions targeting strength, endurance, coordination and balance. They also gained an understanding of the science behind nutrition and physical fitness by participating in hands-on activities involving human energy requirements, hydration and bone strength.</t>
  </si>
  <si>
    <t>ix_ytEmoqis</t>
  </si>
  <si>
    <t>2011 03 29</t>
  </si>
  <si>
    <t>https://youtu.be/xhZ8W1WJvJw</t>
  </si>
  <si>
    <t>Shuttle Endeavour Crew at‪ KSC for Final Tests</t>
  </si>
  <si>
    <t>The six-member crew of the next space shuttle mission, STS-134, arrived at NASA's Kennedy Space Center, Fla., on March 29, to participate in a full launch dress rehearsal, known as the Terminal Countdown Demonstration Test, and related training. The test provides an opportunity for the crew and ground teams to participate in various simulated countdown activities, including equipment familiarization and emergency exit training. Endeavour's crew members are Commander Mark Kelly, Pilot Greg Johnson, and mission specialists Mike Fincke, Greg Chamitoff, Drew Feustel, and European Space Agency astronaut Roberto Vittori. Endeavour is targeted to launch April 19 on its final scheduled flight.</t>
  </si>
  <si>
    <t>xhZ8W1WJvJw</t>
  </si>
  <si>
    <t>https://youtu.be/tlh63_sbDik</t>
  </si>
  <si>
    <t>Cady Chats with Mass. TV Station and Students</t>
  </si>
  <si>
    <t>Aboard the International Space Station, Expedition 27 Flight Engineer Cady Coleman spoke with WGBY-TV in Springfield, Mass., as well as students at the Springfield Technical Community College. When she's not in Houston (or in space), Coleman calls western Massachusetts home.</t>
  </si>
  <si>
    <t>tlh63_sbDik</t>
  </si>
  <si>
    <t>https://youtu.be/1IPSlcZga8U</t>
  </si>
  <si>
    <t xml:space="preserve"> Star Trek  Link Helped Lure Chamitoff to Space</t>
  </si>
  <si>
    <t>The Montreal, Quebec, native says knowing that his father went to high school with William Shatner, portrayer of "Captain Kirk," played a role in choosing his career path.</t>
  </si>
  <si>
    <t>1IPSlcZga8U</t>
  </si>
  <si>
    <t>2011 03 28</t>
  </si>
  <si>
    <t>https://youtu.be/qhTW36re1eU</t>
  </si>
  <si>
    <t xml:space="preserve">Italian Astronaut Vittori From  Mars </t>
  </si>
  <si>
    <t>Endeavour astronaut Roberto Vittori of the European Space Agency says the April launch of his second mission into space will keep him linked to the small Italian town of Bomarzo in which he grew up. The STS-134 crew member says the name, "Bomarzo," originally meant "City of Mars."</t>
  </si>
  <si>
    <t>qhTW36re1eU</t>
  </si>
  <si>
    <t>https://youtu.be/V7O42TKb2DY</t>
  </si>
  <si>
    <t>Feustel's Background Makes Spacewalking Easier</t>
  </si>
  <si>
    <t>STS-134 Mission Specialist Drew Feustel says working with his hands while growing up around the Motor City has proven helpful in space. Feustel will participate in three of four EVAs, or spacewalks, on Endeavour's upcoming mission to the International Space Station.</t>
  </si>
  <si>
    <t>V7O42TKb2DY</t>
  </si>
  <si>
    <t>https://youtu.be/67qEPYJ45sI</t>
  </si>
  <si>
    <t>Education a Key Career Factor for Fincke</t>
  </si>
  <si>
    <t>Growing up in Pittsburgh as the oldest of nine children, STS-134 Mission Specialist Mike Fincke credits the city's many cultural and educational resources with helping lead him to his life's work at NASA.</t>
  </si>
  <si>
    <t>67qEPYJ45sI</t>
  </si>
  <si>
    <t>2011 03 25</t>
  </si>
  <si>
    <t>https://youtu.be/3fH3FUwGZRk</t>
  </si>
  <si>
    <t>Endeavour Pilot Johnson Inspired by Apollo 11</t>
  </si>
  <si>
    <t>After watching his grandparents' fuzzy black and white TV as Neil Armstrong stepped on the moon, a seven-year-old Greg Johnson knew he wanted to become an astronaut.</t>
  </si>
  <si>
    <t>3fH3FUwGZRk</t>
  </si>
  <si>
    <t>https://youtu.be/MOC__iCwNRs</t>
  </si>
  <si>
    <t>MOC__iCwNRs</t>
  </si>
  <si>
    <t>https://youtu.be/XmpSHx79Q_E</t>
  </si>
  <si>
    <t>Kelly Notes Shuttle's Place in History</t>
  </si>
  <si>
    <t>In his preflight interview, STS-134 Commander Mark Kelly says the International Space Station owes its very existence to the unique capabilities of NASA's space shuttle program. Kelly and his five crew members will journey to the ISS on Endeavour; it'll be the orbiter's final mission.</t>
  </si>
  <si>
    <t>XmpSHx79Q_E</t>
  </si>
  <si>
    <t>2011 03 24</t>
  </si>
  <si>
    <t>https://youtu.be/RnG7SWZ6Kzs</t>
  </si>
  <si>
    <t>STS-134 Crew Holds Pre-flight News Conference</t>
  </si>
  <si>
    <t>Commander Mark Kelly, Pilot Greg Johnson and Mission Specialists Mike Fincke, Greg Chamitoff, Drew Feustel and European Space Agency astronaut Roberto Vittori discuss their upcoming mission to the International Space Station at their pre-flight news conference held at NASA's Johnson Space Center in Houston. The 14-day mission features the delivery to the ISS of the AMS, a sophisticated science instrument designed to help understand the origins of the universe.</t>
  </si>
  <si>
    <t>RnG7SWZ6Kzs</t>
  </si>
  <si>
    <t>https://youtu.be/4I4CXm08e5M</t>
  </si>
  <si>
    <t>Four Spacewalks Scheduled for Endeavour's Final Mission</t>
  </si>
  <si>
    <t>Mission managers detail what astronauts Drew Feustel, Mike Fincke and Greg Chamitoff hope to accomplish on the four spacewalks scheduled for STS-134 at the International Space Station. The three are slated to do maintenance work and install new components. These are the last scheduled spacewalks by shuttle crew members. Shuttle mission STS-134 is the final flight for Endeavour and the second to last flight for the Space Shuttle Program.</t>
  </si>
  <si>
    <t>4I4CXm08e5M</t>
  </si>
  <si>
    <t>https://youtu.be/alO7-jncI_A</t>
  </si>
  <si>
    <t>Media Updated on Space Shuttle Program</t>
  </si>
  <si>
    <t>Managers discuss the state of NASA's Space Shuttle Program at a news briefing held at the Johnson Space Center in Houston. The next shuttle launch, the final flight of Endeavour, is targeted for April 19 from the Kennedy Space Center in Florida. STS-134 will be a 14-day mission to the International Space Station.</t>
  </si>
  <si>
    <t>alO7-jncI_A</t>
  </si>
  <si>
    <t>https://youtu.be/UZy08F-gsqU</t>
  </si>
  <si>
    <t>Media Briefed on STS-134 Mission</t>
  </si>
  <si>
    <t>Mission Overview Briefing -- JSC (Public, HD and Media Channels) 
During the 14-day mission, Endeavour will deliver the Alpha Magnetic Spectrometer (AMS) and spare parts including two S-band communications antennas, a high-pressure gas tank, additional spare parts for Dextre and micrometeoroid debris shields. This will be the 36th shuttle mission to the International Space Station.</t>
  </si>
  <si>
    <t>UZy08F-gsqU</t>
  </si>
  <si>
    <t>https://youtu.be/k1gZXt0CHHU</t>
  </si>
  <si>
    <t>Discovery Processed for Public Display</t>
  </si>
  <si>
    <t>Technicians in Orbiter Processing Facility-2 at NASA's Kennedy Space Center in Florida remove shuttle Discovery's forward reaction control system (FRCS) on March 22. The removal is part of Discovery's transition and retirement processing. The FRCS will be completely cleaned of all toxic fuel and oxidizer chemicals, which are used for the steering jet system while a shuttle is in orbit. The FRCS will then be put back into Discovery to help prepare the shuttle for future public display.</t>
  </si>
  <si>
    <t>k1gZXt0CHHU</t>
  </si>
  <si>
    <t>https://youtu.be/MxPnAMLDmKY</t>
  </si>
  <si>
    <t>Briefing Highlights  Upcoming  ISS Experiment</t>
  </si>
  <si>
    <t>The primary payload of STS-134, the Alpha Magnetic Spectrometer is a state-of-the-art particle physics detector being constructed, tested and operated by an international team of 56 institutes from 16 countries and organized under United States Department of Energy (DOE) sponsorship. To be delivered to the International Space Station by space shuttle Endeavour next month, the AMS will use the unique environment of space to advance knowledge of the universe and its beginnings.</t>
  </si>
  <si>
    <t>MxPnAMLDmKY</t>
  </si>
  <si>
    <t>2011 03 23</t>
  </si>
  <si>
    <t>https://youtu.be/Xi3rc9n_-kY</t>
  </si>
  <si>
    <t>NASA Research  Digs  for Domestic Air Safety</t>
  </si>
  <si>
    <t>NASA TV's "The Leading Edge" examines how the agency's aeronautics researchers, in collaboration with commercial carriers like Southwest Airlines, are using the mathematical process known as "data mining" to help prevent future air mishaps.</t>
  </si>
  <si>
    <t>Xi3rc9n_-kY</t>
  </si>
  <si>
    <t>2011 03 22</t>
  </si>
  <si>
    <t>https://youtu.be/uwIUF1V1Rv4</t>
  </si>
  <si>
    <t>Payload to Pad for Next Shuttle Launch</t>
  </si>
  <si>
    <t>The cargo that will fly aboard space shuttle Endeavour on its final mission, STS-134, was transported to Launch Pad 39A from the NASA Kennedy Space Center's Space Station Processing Facility. The STS-134 mission, targeted for launch on April 19, will deliver the Alpha Magnetic Spectrometer-2 (AMS) and the Express Logistics Carrier 3 to the International Space Station. The AMS is a sophisticated science instrument designed to increase our understanding of the universe. The carrier is a platform filled with spare parts for station operations.</t>
  </si>
  <si>
    <t>uwIUF1V1Rv4</t>
  </si>
  <si>
    <t>https://youtu.be/KzaWX8uuyUI</t>
  </si>
  <si>
    <t>Cady Talks with NYC Students at Women's Academy of Excellence</t>
  </si>
  <si>
    <t>Aboard the International Space Station, Expedition 27 Flight Engineer Cady Coleman of NASA fielded questions from students at the Women's Academy of Excellence in New York in an in-flight educational event conducted on March 22. The event was attended by NASA Deputy Administrator Lori Garver and Associate Administrator for Education Leland Melvin, among others. The students represented a broad cross range of ages with interests in math, science and events involving the celebration of Women's History Month.</t>
  </si>
  <si>
    <t>KzaWX8uuyUI</t>
  </si>
  <si>
    <t>2011 03 21</t>
  </si>
  <si>
    <t>https://youtu.be/cawIs_rKaeI</t>
  </si>
  <si>
    <t>Next ISS Crew Members Off to Kazakhstan</t>
  </si>
  <si>
    <t>NASA Flight Engineer Ron Garan, and Russian Flight Engineers Andrey Borisenko and Alexander Samokutyaev depart for the Baikonur Cosmodrome after a ceremony in their honor at the Gagarin Cosmonaut Training Center in Star City, Russia. The three Expedition 27 crew members are scheduled to launch from Kazakhstan for the International Space Station aboard the Soyuz TMA-21 spacecraft next month.</t>
  </si>
  <si>
    <t>cawIs_rKaeI</t>
  </si>
  <si>
    <t>https://youtu.be/CSN7bhw3mXE</t>
  </si>
  <si>
    <t>Station's Expedition 28 Crew Meets Media</t>
  </si>
  <si>
    <t>Flight Engineers Sergei Volkov, Mike Fossum, and Satoshi Furakawa of the Expedition 28 crew hold a pre-launch news conference at NASA's Johnson Space Center in Houston as they begin to wrap up the final phase of their U.S. training before their scheduled launch to the ISS on May 30.</t>
  </si>
  <si>
    <t>CSN7bhw3mXE</t>
  </si>
  <si>
    <t>https://youtu.be/oEnr13WLdl0</t>
  </si>
  <si>
    <t>On This Week @NASA...</t>
  </si>
  <si>
    <t>Watch Expedition 25 Land Safely, Celebrate Messenger's Orbit Around Mercury, Check out NASA's New Website Honoring Women,  Meetup at the Tweetup with a Former Space Station Resident, Do the Logo-Motion, Meet Robonaut 2, and Mark the Anniversaries of Gemini 3 and STS-76.</t>
  </si>
  <si>
    <t>oEnr13WLdl0</t>
  </si>
  <si>
    <t>https://youtu.be/KmFUo0CEEOE</t>
  </si>
  <si>
    <t>Historic Shuttle Photo  Taken  by Kennedy Employees</t>
  </si>
  <si>
    <t>This time-lapse video shows employees at NASA's Kennedy Space Center, Fla., taking a few moments 
to assemble for a historic aerial photo outside the Vehicle Assembly Building.  Thousands of workers stood side-by-side to form an outline of a space shuttle.  The event was organized in honor of the Space Shuttle Program's 30-year legacy.</t>
  </si>
  <si>
    <t>KmFUo0CEEOE</t>
  </si>
  <si>
    <t>2011 03 18</t>
  </si>
  <si>
    <t>https://youtu.be/DGAPt_HOUls</t>
  </si>
  <si>
    <t>On This Week @ NASA...</t>
  </si>
  <si>
    <t>DGAPt_HOUls</t>
  </si>
  <si>
    <t>https://youtu.be/Gbtulv0mnlU</t>
  </si>
  <si>
    <t>Shuttle's Boosters Recovered in HD</t>
  </si>
  <si>
    <t>NASA has released the first ever up-close, high-definition video of Kennedy Space Center's solid rocket booster (SRB) recovery ships retrieving SRB segments from the Atlantic Ocean following a space shuttle launch. The unprecedented video is from the launch of the most recent shuttle mission, STS-133, Discovery's final flight, on Feb. 24.
Following each space shuttle launch, crew members of Liberty Star and Freedom Star pull the spent boosters out of the ocean and return them to Hangar AF at Cape Canaveral Air Force Station in Florida. Once they are processed, the boosters are transported to Utah, where they are refurbished and stored, if needed.</t>
  </si>
  <si>
    <t>Gbtulv0mnlU</t>
  </si>
  <si>
    <t>https://youtu.be/WL_FwRFCAmA</t>
  </si>
  <si>
    <t>NASA'S MESSENGER Spacecraft Begins Historic Orbit of Mercury</t>
  </si>
  <si>
    <t>NASA's MErcury Surface, Space ENvironment, Geochemistry, and Ranging, or MESSENGER spacecraft successfully achieved orbit around Mercury at approximately 9 p.m. EDT Thursday. This marks the first time a spacecraft has accomplished this engineering and scientific milestone at our solar system's innermost planet. Shown is reaction in MESSENGER mission control at the Johns Hopkins University Applied Physics Laboratory in Laurel, Md., as engineers received telemetry data confirming orbit insertion, plus animated depiction of the event. Among other goals, MESSENGER is expected to detect whether ice exists at Mercury's poles.</t>
  </si>
  <si>
    <t>WL_FwRFCAmA</t>
  </si>
  <si>
    <t>https://youtu.be/Hkagxtiy1-M</t>
  </si>
  <si>
    <t>Robonaut 2 Joins ISS Crew</t>
  </si>
  <si>
    <t>Flight Engineers Cady Coleman and Paolo Nespoli unpack the newest member of the Expedition 27 crew, Robonaut 2, the first humanoid robot in space. R2 was delivered to the International Space Station by space shuttle Discovery on STS-133.</t>
  </si>
  <si>
    <t>Hkagxtiy1-M</t>
  </si>
  <si>
    <t>2011 03 17</t>
  </si>
  <si>
    <t>https://youtu.be/iDPRJznyOYw</t>
  </si>
  <si>
    <t>NASA's MESSENGER to Become First Spacecraft to Orbit Mercury</t>
  </si>
  <si>
    <t>After more than a dozen laps through the inner solar system, NASA's MESSENGER spacecraft will move into orbit around Mercury on March 17, 2011. The durable spacecraft — carrying seven science instruments and fortified against the blistering environs near the sun — will be the first to orbit the innermost planet. At 8:45 p.m. EDT, MESSENGER — having pointed its largest thruster very close to the direction of travel — will fire that thruster for nearly 14 minutes, with other thrusters firing for an additional minute, slowing the spacecraft by 862 meters per second (1,929 mph). The orbit insertion will place the spacecraft into a 12 hour orbit about Mercury with a 200 kilometer (124 mile) minimum altitude. At the time of orbit insertion, MESSENGER will be 46.14 million kilometers (28.67 million miles) from the sun and 155.06 million kilometers (96.35 million miles) from Earth. MESSENGER has been on a 6.6 year mission to become the first spacecraft to orbit Mercury. The spacecraft followed a path through the inner solar system, including one flyby of Earth, two flybys of Venus, and three flybys of Mercury. This impressive journey is returning the first new spacecraft data from Mercury since the Mariner 10 mission over 30 years ago.</t>
  </si>
  <si>
    <t>iDPRJznyOYw</t>
  </si>
  <si>
    <t>https://youtu.be/jDlx2N6fpM4</t>
  </si>
  <si>
    <t xml:space="preserve">NASA Tweetup Rolls with  Wheels </t>
  </si>
  <si>
    <t>Astronaut and Expedition 25 Commander Doug "Wheels" Wheelock was the honored guest at a Tweetup held at NASA Headquarters on Mar. 16. More than 90 "Tweeps," or users of the social medium Twitter, were on hand to see Wheelock's presentation of his recent five-month-plus stay aboard the International Space Station.</t>
  </si>
  <si>
    <t>jDlx2N6fpM4</t>
  </si>
  <si>
    <t>2011 03 16</t>
  </si>
  <si>
    <t>https://youtu.be/Ajz69bgCriU</t>
  </si>
  <si>
    <t>NASA Launches New Website, Celebrates Women's Contributions to Science and Exploration</t>
  </si>
  <si>
    <t>NASA debuted its new Women@NASA website during a Women's History Month event at the agency's Headquarters in Washington on March 16. Approximately 200 local students from elementary through high school learned about the significant and varied roles women have played in the agency's history. NASA Deputy Administrator Lori Garver hosted the event; featured guest was Valerie B. Jarrett, senior presidential advisor and chair of the White House Council on Women and Girls. The one-hour program also featured NASA astronaut Tracy Caldwell Dyson, who recently returned from more than five months aboard the International Space Station, and other notable NASA women whose profiles are on the Women@NASA website.</t>
  </si>
  <si>
    <t>Ajz69bgCriU</t>
  </si>
  <si>
    <t>https://youtu.be/yx3JkEO5lo4</t>
  </si>
  <si>
    <t>ISS Crew Given Heroes' Welcome</t>
  </si>
  <si>
    <t>Expedition 26 Commander Scott Kelly and Flight Engineers Alexander Kaleri and Oleg Skripochka are honored in post-landing festivities in Kazakhstan before making their return to Star City, Russia. Included is a post-landing interview with Expedition 26 Commander Scott Kelly.</t>
  </si>
  <si>
    <t>yx3JkEO5lo4</t>
  </si>
  <si>
    <t>https://youtu.be/uA3kIxpqIl4</t>
  </si>
  <si>
    <t xml:space="preserve"> Wheels,  Tracy Highlight Missions on ISS</t>
  </si>
  <si>
    <t>Expedition 25 Commander Doug "Wheels" Wheelock was joined by Expedition 23/24 Flight Engineer Tracy Caldwell-Dyson for a special post-flight presentation to employees at NASA Headquarters on Mar. 16. Each spent more than five months aboard the International Space Station.</t>
  </si>
  <si>
    <t>uA3kIxpqIl4</t>
  </si>
  <si>
    <t>https://youtu.be/bZtWf8VOdTY</t>
  </si>
  <si>
    <t>Additional Video Highlights Undocking, Landing of Expedition 26 Crew</t>
  </si>
  <si>
    <t>From undocking to landing, the journey of Expedition 26 Commander Scott Kelly and Flight Engineers Alexander Kaleri and Oleg Skripochka in their Soyuz spacecraft is highlighted by additional video captured of their successful return to Earth.</t>
  </si>
  <si>
    <t>bZtWf8VOdTY</t>
  </si>
  <si>
    <t>https://youtu.be/9sh2DkTh3qc</t>
  </si>
  <si>
    <t>Expedition 26's Soyuz Lands Safely in Kazakhstan</t>
  </si>
  <si>
    <t>The Soyuz capsule carrying Expedition 26 Commander Scott Kelly and Flight Engineers Alexander Kaleri and Oleg Skripochka put down safely on the steppes of Kazakhstan on Mar. 16.</t>
  </si>
  <si>
    <t>9sh2DkTh3qc</t>
  </si>
  <si>
    <t>https://youtu.be/fGiD3ZrppKM</t>
  </si>
  <si>
    <t>Station Hatch Closes on Expedition 26</t>
  </si>
  <si>
    <t>Expedition 26 Commander Scott Kelly and Flight Engineers Alexander Kaleri and Oleg Skripochka bid farewell to the International Space Station on Mar. 15 before closing the hatch on their Soyuz spacecraft for their return to Earth. They're set to land at 3:48 a.m. EDT in Kazakhstan on Mar. 16.</t>
  </si>
  <si>
    <t>fGiD3ZrppKM</t>
  </si>
  <si>
    <t>2011 03 14</t>
  </si>
  <si>
    <t>https://youtu.be/-iLBUJcz_oU</t>
  </si>
  <si>
    <t>ISS Change of Command Marked by Ceremony</t>
  </si>
  <si>
    <t>Expedition 26 Commander Scott Kelly ceremonially handed over command of the International Space Station to Flight Engineer Dmitry Kondratyev on Monday, Mar. 14. Kelly, along with Flight Engineers Oleg Skripochka and Alexander Kaleri, are scheduled to return to Earth aboard the Soyuz TMA-01M on Mar. 16. The departure of Kelly, Skripochka and Kaleri marks the beginning of Expedition 27. Flight Engineers Catherine Coleman and Paolo Nespoli will be remaining aboard the station with Kondratyev. Joining Expedition 27 will be Flight Engineers Ron Garan, Andrey Borisenko and Alexander Samokutyaev. They will launch aboard the Soyuz TMA-21 spacecraft from Baikonur Cosmodrome, Kazakhstan next month.</t>
  </si>
  <si>
    <t>-iLBUJcz_oU</t>
  </si>
  <si>
    <t>2011 03 11</t>
  </si>
  <si>
    <t>https://youtu.be/InYCEeB5t2I</t>
  </si>
  <si>
    <t>Discovery Wraps 148-Million-Mile Career on This Week @NASA</t>
  </si>
  <si>
    <t>Space shuttle Discovery completed its 39th and final flight with a safe landing at the Kennedy Space Center after its 5-point-3 million-mile journey to the International Space Station. During the 13-day mission, the STS-133 crew of Commander Steve Lindsey, Pilot Eric Boe and Mission Specialists Al Drew, Nicole Stott, Mike Barratt and Steve Bowen joined with their hosts aboard the ISS to take a phone call from President Obama. Also, space shuttle Endeavour takes its position for STS-134 launch; POC tops 10-year mark; and Bikle's bold move. Plus, Reaching for the rainbow; FIRST team's second look; NASA in N.C.; and remembering Goddard's rocket, and Gemini 8.</t>
  </si>
  <si>
    <t>InYCEeB5t2I</t>
  </si>
  <si>
    <t>https://youtu.be/Z-qBZWmCiK8</t>
  </si>
  <si>
    <t>Expedition 27 Soyuz Commander Alexander Samokutyaev, NASA Flight Engineer Ron Garan and Russian Flight Engineer Andrey Borisenko participated in traditional ceremonies at Red Square in Moscow March 11, 2011, laying flowers at the Kremlin Wall as they paid tribute to iconic Russian officials buried there.  The ceremony is part of the traditional activities in advance of their launch March 30, Kazakhstan time, to the International Space Station. Prior to that, they fielded questions from the media at their training base at the Gagarin Cosmonaut Training Center in Star City, Russia, outside Moscow.</t>
  </si>
  <si>
    <t>Z-qBZWmCiK8</t>
  </si>
  <si>
    <t>https://youtu.be/oJtZkPTJ0Qs</t>
  </si>
  <si>
    <t>Endeavour Begins Roll Out to Launch Pad</t>
  </si>
  <si>
    <t>Space shuttle Endeavour begins its rollout from the Vehicle Assembly Building to Launch Pad 39A at NASA's Kennedy Space Center in Florida on Mar. 10. Endeavour is targeted to launch to the International Space Station on Apr. 19 at 7:48 p.m. EDT. The 14-day STS-134 mission to the International Space Station will deliver the Alpha Magnetic Spectrometer-2 and spare parts that include two S-band communications antennas, a high-pressure gas tank and additional spare parts for the Dextre robot.</t>
  </si>
  <si>
    <t>oJtZkPTJ0Qs</t>
  </si>
  <si>
    <t>https://youtu.be/zzGxpht0zwA</t>
  </si>
  <si>
    <t xml:space="preserve">Endeavour's Cargo Gets Media  Onceover </t>
  </si>
  <si>
    <t>Reporters viewed the cargo that will fly aboard space shuttle Endeavour on its final mission, STS-134, during an event at NASA's Kennedy Space Center in Florida on Mar. 10. The STS-134 mission, targeted for launch on April 19, will deliver the Alpha Magnetic Spectrometer-2 (AMS) to the International Space Station. The AMS is a sophisticated science instrument designed to increase our understanding of the universe.  Endeavour also will deliver the Express Logistics Carrier 3, a platform that carries spare parts for station operations.</t>
  </si>
  <si>
    <t>zzGxpht0zwA</t>
  </si>
  <si>
    <t>https://youtu.be/vY7aNaLWpAE</t>
  </si>
  <si>
    <t>Houston Welcomes Home Discovery Crew</t>
  </si>
  <si>
    <t>Family, friends and co-workers held a welcome ceremony for the returning six STS-133 astronauts at Ellington Field's Hangar 276, in Houston on Mar. 10. Commander Steve Lindsey, Pilot Eric Boe, and Mission Specialists Mike Barratt, Al Drew, Steve Bowen and Nicole Stott landed safely at NASA's Kennedy Space Center in Florida aboard space shuttle Discovery on Mar. 9 to conclude their successful 13-day mission to the International Space Station.</t>
  </si>
  <si>
    <t>vY7aNaLWpAE</t>
  </si>
  <si>
    <t>2011 03 10</t>
  </si>
  <si>
    <t>https://youtu.be/iO2jOtxP3T8</t>
  </si>
  <si>
    <t>STS 133  The Highlights</t>
  </si>
  <si>
    <t>From launch to landing, space shuttle Discovery's final flight, a 13-day journey to the International Space Station, is featured in this compilation of mission highlights.</t>
  </si>
  <si>
    <t>iO2jOtxP3T8</t>
  </si>
  <si>
    <t>2011 03 09</t>
  </si>
  <si>
    <t>https://youtu.be/VVSHiOFe4-0</t>
  </si>
  <si>
    <t>Shuttle Crew Briefs Media on Successful Mission</t>
  </si>
  <si>
    <t>STS-133 Commander Steve Lindsey, pilot Eric Boe, and mission specialists Mike Barratt, Al Drew, Steve Bowen and Nicole Stott take questions from the media following their safe return to NASA's Kennedy Space Center earlier in the day aboard space shuttle Discovery.</t>
  </si>
  <si>
    <t>VVSHiOFe4-0</t>
  </si>
  <si>
    <t>https://youtu.be/gWhJLg1umAE</t>
  </si>
  <si>
    <t>Entry Team Escorts Discovery Home</t>
  </si>
  <si>
    <t>Video captured at NASA's Johnson Space Center shows the STS-133 Entry Flight Control Team in action as space shuttle Discovery makes its successful return to Earth.</t>
  </si>
  <si>
    <t>gWhJLg1umAE</t>
  </si>
  <si>
    <t>https://youtu.be/zFx7R4Jm1TM</t>
  </si>
  <si>
    <t>NASA Hails Return of Discovery and Crew</t>
  </si>
  <si>
    <t>Mission and Space Shuttle Program managers recap the success of the STS-133 flight of Discovery and its crew to the International Space Station in a post-landing news conference held at NASA's Kennedy Space Center in Florida.</t>
  </si>
  <si>
    <t>zFx7R4Jm1TM</t>
  </si>
  <si>
    <t>https://youtu.be/DJwjwtCsDhs</t>
  </si>
  <si>
    <t>NASA Administrator Greets Discovery Crew</t>
  </si>
  <si>
    <t>On Wednesday, March 9, NASA Administrator Charles Bolden welcomed shuttle Discovery's astronauts back home after their 13-day mission to the International Space Station, and talked about the legacy of the agency's longest-serving shuttle and its place in space exploration history.  This was Discovery's final flight.  STS-133 Commander Steve Lindsey also made remarks, thanking the thousands of NASA employees who helped make the mission a success.</t>
  </si>
  <si>
    <t>DJwjwtCsDhs</t>
  </si>
  <si>
    <t>https://youtu.be/Drv0SS1rCpk</t>
  </si>
  <si>
    <t>Discovery's Final Flight Ends Safely at Kennedy</t>
  </si>
  <si>
    <t>Space shuttle Discovery concludes its final mission with a safe landing at NASA's Kennedy Space Center in Florida.</t>
  </si>
  <si>
    <t>Drv0SS1rCpk</t>
  </si>
  <si>
    <t>https://youtu.be/da13q8AHTzs</t>
  </si>
  <si>
    <t>Shuttle Crew Preps for Wednesday Landing</t>
  </si>
  <si>
    <t>Space shuttle Discovery commander Steve Lindsey and the other five members of the STS-133 crew spent most of Flight Day 13 making preparations for a scheduled Wednesday landing at NASA's Kennedy Space Center at 11:58 a.m. EST.</t>
  </si>
  <si>
    <t>da13q8AHTzs</t>
  </si>
  <si>
    <t>2011 03 08</t>
  </si>
  <si>
    <t>https://youtu.be/FqriQJCFXag</t>
  </si>
  <si>
    <t>Discovery Crew  Meets  Media on Way Home</t>
  </si>
  <si>
    <t>STS-133 crew members  chat with ABC News, CBS News and The Associated Press on Flight Day 13 as they prepare for their scheduled landing aboard space shuttle Discovery at NASA's Kennedy Space Center the next day.</t>
  </si>
  <si>
    <t>FqriQJCFXag</t>
  </si>
  <si>
    <t>https://youtu.be/N7gmzQUG57E</t>
  </si>
  <si>
    <t>Discovery's Final Landing Preps Outlined</t>
  </si>
  <si>
    <t>With less than a day before space shuttle Discovery is scheduled to touch down at NASA's Kennedy Space Center, mission managers in Houston wrap up Flight Day 13 with a detailed look at the landing day timeline of events.</t>
  </si>
  <si>
    <t>N7gmzQUG57E</t>
  </si>
  <si>
    <t>https://youtu.be/DGn_zp9Ln5E</t>
  </si>
  <si>
    <t>Final Post  MMT Briefing for STS-133</t>
  </si>
  <si>
    <t>On March 8,  Mission Management Chair and Deputy Director of the space shuttle program, Leroy Cain,  addresses the media during the final Post Mission Management Briefing for space shuttle Discovery 's STS-133 mission to the International Space Station.</t>
  </si>
  <si>
    <t>DGn_zp9Ln5E</t>
  </si>
  <si>
    <t>https://youtu.be/UWHCsZtF37Q</t>
  </si>
  <si>
    <t>Rockin'  Crew Wakeup</t>
  </si>
  <si>
    <t>On  March 8, the STS-133 started their day with a live rendition of "Blue Sky" performed by Big Head Todd and the Monsters. It was the first live performance of wakeup music in Mission Control. The song, written for Discovery's return to flight mission after Columbia's loss, won NASA's Top 40 wakeup song contest.   After the rousing start, the  Discovery crew spent  the rest of the day getting ready for their Wednesday return home.</t>
  </si>
  <si>
    <t>UWHCsZtF37Q</t>
  </si>
  <si>
    <t>https://youtu.be/0t5--gUbMCg</t>
  </si>
  <si>
    <t>Discovery Heads for Home</t>
  </si>
  <si>
    <t>On Flight Day 12 the STS-133 crew members undocked space shuttle Discovery from the International Space Station to begin their journey home to Earth. They're scheduled to land on Flight Day 14, Mar. 9, at 11:58 a.m. EST at the Kennedy Space Center.</t>
  </si>
  <si>
    <t>0t5--gUbMCg</t>
  </si>
  <si>
    <t>2011 03 07</t>
  </si>
  <si>
    <t>https://youtu.be/RRfZAVc1Alo</t>
  </si>
  <si>
    <t>FD 11 Preps Prelude Landing</t>
  </si>
  <si>
    <t>The six members of the STS-133 spent Flight Day 11 in preparation for Monday's scheduled landing of space shuttle Discovery at NASA's Kennedy Space Center. Discovery is scheduled to land at Kennedy at 12:39 p.m. EST.</t>
  </si>
  <si>
    <t>RRfZAVc1Alo</t>
  </si>
  <si>
    <t>https://youtu.be/bIdB1UWlNDU</t>
  </si>
  <si>
    <t>Discovery Undocks from ISS</t>
  </si>
  <si>
    <t>Space shuttle Discovery undocked from the International Space Station on Flight Day 10 to begin the journey home to Earth for its six STS-133 crew members. Discovery is slated to land Monday at NASA's Kennedy Space Center.</t>
  </si>
  <si>
    <t>bIdB1UWlNDU</t>
  </si>
  <si>
    <t>https://youtu.be/-UO__C5UihE</t>
  </si>
  <si>
    <t>Goodbyes Shared as Shuttle Crew Leaves ISS</t>
  </si>
  <si>
    <t>After both crews met via satellite with media, the STS-133 shuttle astronauts thanked the Expedition 26 residents for their hospitality aboard the International Space Station on Flight Day 9.</t>
  </si>
  <si>
    <t>-UO__C5UihE</t>
  </si>
  <si>
    <t>https://youtu.be/t6nVSmjZScU</t>
  </si>
  <si>
    <t>Shuttle-Delivered Cargo Moved to ISS</t>
  </si>
  <si>
    <t>About 75-hundred pounds of cargo were transferred from the Permanent Multipurpose Module to the International Space Station by members of the STS-133 crew. The PMM came up with Discovery; it'll provide additional space for crew and experiments. The remainder of the shuttle crew's Flight Day 8 was spent off-duty.</t>
  </si>
  <si>
    <t>t6nVSmjZScU</t>
  </si>
  <si>
    <t>https://youtu.be/BSJIEKcHlho</t>
  </si>
  <si>
    <t>Discovery Completes ISS Assembly</t>
  </si>
  <si>
    <t>This video captures the launch-to-ISS-undocking highlights of  STS-133 as the space shuttle Discovery flies its final mission.  Watch as the crew installs the External Logistics Carrier, services other external structures, and berths the Pressurized Mating Module, thereby completing assembly of the International Space Station.</t>
  </si>
  <si>
    <t>BSJIEKcHlho</t>
  </si>
  <si>
    <t>https://youtu.be/xRVHylmxUk8</t>
  </si>
  <si>
    <t>Discovery Launch Captured by Multiple Cameras</t>
  </si>
  <si>
    <t>The ascent of space shuttle Discovery from NASA's Kennedy Space Center on Feb. 24 is shown from a number of unique angles recorded by multiple engineering cameras situated at and around Launch Pad 39A.</t>
  </si>
  <si>
    <t>xRVHylmxUk8</t>
  </si>
  <si>
    <t>https://youtu.be/YkqiblIgB_Y</t>
  </si>
  <si>
    <t>STS-133 Mission Status Briefing</t>
  </si>
  <si>
    <t>Mission managers in Houston say everything is "Go" for a Wednesday landing at NASA's Kennedy Space Center following Discovery's undocking from the International Space Station on Flight Day 12.</t>
  </si>
  <si>
    <t>YkqiblIgB_Y</t>
  </si>
  <si>
    <t>https://youtu.be/WYmozt4yFZs</t>
  </si>
  <si>
    <t xml:space="preserve"> Capt. Kirk  Wakes Discovery Crew</t>
  </si>
  <si>
    <t>William Shatner, the actor who played Captain James T. Kirk on the original Star Trek television series, provided a special message to the crew of space shuttle Discovery during the 3:23 a.m. EST wakeup call on Mon., Mar. 7. As Alexander Courage's "Star Trek" theme song played underneath, Shatner replaced the original television introduction with, "Space, the final frontier. These have been the voyages of the Space Shuttle Discovery. Her 30 year mission: To seek out new science. To build new outposts. To bring nations together on the final frontier. To boldly go, and do, what no spacecraft has done before." The "Theme from Star Trek" received the second most votes in a public contest from a Top 40 list for NASA's Song Contest. Shatner recorded the custom introduction for Discovery's final voyage -- its 39th flight and 13th to the International Space Station.</t>
  </si>
  <si>
    <t>WYmozt4yFZs</t>
  </si>
  <si>
    <t>https://youtu.be/g8okqWukoaU</t>
  </si>
  <si>
    <t>g8okqWukoaU</t>
  </si>
  <si>
    <t>https://youtu.be/0wEMBhq-EZ8</t>
  </si>
  <si>
    <t>Flight Day 11 saw Discovery commander Steve Lindsey, pilot Eric Boe, and mission specialists Steve Bowen, Alvin Drew, Nicole Stott and Mike Barratt say goodbye to the International Space Station and its resident hosts that include Scott Kelly, Paolo Nespoli and Cady Coleman.</t>
  </si>
  <si>
    <t>0wEMBhq-EZ8</t>
  </si>
  <si>
    <t>2011 03 06</t>
  </si>
  <si>
    <t>https://youtu.be/x0OaCenDySM</t>
  </si>
  <si>
    <t>Mission Moves Into Final Phase</t>
  </si>
  <si>
    <t>The final goodbyes and subsequent closing of the International Space Station's hatch are among the Flight Day 11 events recapped by mission managers at the daily status briefing held at NASA's Johnson Space Center.</t>
  </si>
  <si>
    <t>x0OaCenDySM</t>
  </si>
  <si>
    <t>https://youtu.be/R22UNGuJyYw</t>
  </si>
  <si>
    <t xml:space="preserve">On-Orbit Crews Troubleshoot Station  Air Scrubber </t>
  </si>
  <si>
    <t>The troubleshooting of a Carbon Dioxide Removal Assembly (CDRA) aboard the International Space Station by the Expedition 26 crew and its space shuttle Discovery guests highlights Flight Day 10 of STS-133.</t>
  </si>
  <si>
    <t>R22UNGuJyYw</t>
  </si>
  <si>
    <t>https://youtu.be/wxmw3LE9rvY</t>
  </si>
  <si>
    <t>Shuttle Crew Spends Last Full Day on Station</t>
  </si>
  <si>
    <t>Media are updated on the final full day the STS-133 crew commanded by Steve Lindsey is spending aboard the International Space Station. Flight Day 10 included the troubleshooting of a Carbon Dioxide Removal Assembly (CDRA) aboard the orbiting complex.</t>
  </si>
  <si>
    <t>wxmw3LE9rvY</t>
  </si>
  <si>
    <t>2011 03 05</t>
  </si>
  <si>
    <t>https://youtu.be/FE0sgybgQy4</t>
  </si>
  <si>
    <t>News Conference Tops Crew's Day in Space</t>
  </si>
  <si>
    <t>Flight Day 9 highlights feature the crew of STS-133 taking time out of their outfitting of the Permanent Multipurpose Module (PMM) to join with the Expedition 26 crew aboard the International Space Station to talk with media.</t>
  </si>
  <si>
    <t>FE0sgybgQy4</t>
  </si>
  <si>
    <t>https://youtu.be/zLmDKo5rxKg</t>
  </si>
  <si>
    <t xml:space="preserve">Crews Continue Outfitting New Station  Room </t>
  </si>
  <si>
    <t>The Flight Day 9 mission status briefing updates media on the progress of the STS-133 and Expedition 26 crews in outfitting the Permanent Multipurpose Module (PMM) delivered by Discovery and newly-attached to the station.</t>
  </si>
  <si>
    <t>zLmDKo5rxKg</t>
  </si>
  <si>
    <t>2011 03 04</t>
  </si>
  <si>
    <t>https://youtu.be/HQz3huNCX-o</t>
  </si>
  <si>
    <t>Shuttle, Station Crews Hold Joint News Conference</t>
  </si>
  <si>
    <t>Flight Day 9 saw the crew of STS-133 taking time out of their continuing outfitting of the Permanent Multipurpose Module (PMM) to join with the Expedition 26 crew aboard the International Space Station to answer questions from media 220 miles below.</t>
  </si>
  <si>
    <t>HQz3huNCX-o</t>
  </si>
  <si>
    <t>https://youtu.be/Hv7Qw9bnZe8</t>
  </si>
  <si>
    <t>Endeavour Gears Up on This Week @NASA</t>
  </si>
  <si>
    <t>Space shuttle Endeavour rolled over to the Vehicle Assembly Building at the Kennedy Space Center, where it was mated to its external tank and twin solid rocket boosters. Endeavour is targeted to launch to the International Space Station on April 19. Also,  Garver's California tour; world's biggest can crusher; Kepler team celebrates; and "penny hauling" for education.</t>
  </si>
  <si>
    <t>Hv7Qw9bnZe8</t>
  </si>
  <si>
    <t>https://youtu.be/U_IKkGJzFDM</t>
  </si>
  <si>
    <t>Media Briefed on Glory Mission Failure</t>
  </si>
  <si>
    <t>Scientists and engineers brief media on the failure of NASA's Glory mission to reach orbit. Telemetry indicated the fairing, the protective shell atop the Taurus XL rocket, did not separate as expected about three minutes after the 5:09 a.m. EST launch from Vandenberg Air Force Base in California on Friday.</t>
  </si>
  <si>
    <t>U_IKkGJzFDM</t>
  </si>
  <si>
    <t>https://youtu.be/FvSDO1GS2gY</t>
  </si>
  <si>
    <t>On-Orbit Astronauts Talk with Marshall Interns</t>
  </si>
  <si>
    <t>Expedition 26 Commander Scott Kelly and Flight Engineer Cady Coleman are joined aboard the International Space Station on Flight Day 9 by the STS-133 crew to take questions from student interns at the Payload Operations Center at NASA's Marshall Space Flight Center. The event was hosted at Marshall by the center's NASA Educational Technology Services (NETS) Team.</t>
  </si>
  <si>
    <t>FvSDO1GS2gY</t>
  </si>
  <si>
    <t>https://youtu.be/Q3jh3UEF97Q</t>
  </si>
  <si>
    <t>President's Phone Call Tops Crew's Flight Day 8</t>
  </si>
  <si>
    <t>Along with the six members of the International Space Station's Expedition 26 crew, space shuttle Discovery's crew of six spent part of some well-deserved off-duty time talking with President Obama about their missions. Joining the president at the White House was NASA Administrator Charles Bolden. The presidential chat followed the shuttle crew's continuing transfer of cargo from the Permanent Multipurpose Module
(PMM) to the ISS.</t>
  </si>
  <si>
    <t>Q3jh3UEF97Q</t>
  </si>
  <si>
    <t>2011 03 03</t>
  </si>
  <si>
    <t>https://youtu.be/UE1o_1U8cYg</t>
  </si>
  <si>
    <t>President Obama Calls On-Orbit Crews</t>
  </si>
  <si>
    <t>President Obama talks with all twelve Discovery and International Space Station crew members about their missions and the importance of their work in space. Joining the president at the White House is NASA Administrator Charles Bolden.</t>
  </si>
  <si>
    <t>UE1o_1U8cYg</t>
  </si>
  <si>
    <t>https://youtu.be/kSuNwTxeAuo</t>
  </si>
  <si>
    <t>President Obama talks with all twelve Discovery and International Space Station crew members about their missions and the importance of their work in space. Joining the president at the White House was NASA Administrator Charles Bolden.</t>
  </si>
  <si>
    <t>kSuNwTxeAuo</t>
  </si>
  <si>
    <t>https://youtu.be/fvSRnOJ8x38</t>
  </si>
  <si>
    <t>New Views of Discovery's Launch from Shuttle's Solid Rocket Boosters</t>
  </si>
  <si>
    <t>Video taken by six cameras mounted on Discovery's recovered solid rocket boosters offer unique views of the shuttle's Feb. 24 launch on STS-133.</t>
  </si>
  <si>
    <t>fvSRnOJ8x38</t>
  </si>
  <si>
    <t>https://youtu.be/y1Rhqg3pvqQ</t>
  </si>
  <si>
    <t>Shuttle Astronauts Chat with Broadcast Media</t>
  </si>
  <si>
    <t>Three members of space shuttle Discovery's STS-133 crew talk about life in space on Flight Day 8 with MSNBC, WXIA-TV in Atlanta &amp; FOX News Radio.</t>
  </si>
  <si>
    <t>y1Rhqg3pvqQ</t>
  </si>
  <si>
    <t>https://youtu.be/7odWaoSpGRg</t>
  </si>
  <si>
    <t>Second EVA Highlights Flight Day 7</t>
  </si>
  <si>
    <t>Spacewalkers Steve Bowen and Al Drew installed and swapped out several pieces of equipment and repaired or removed thermal insulation outside the International Space Station. They also "filled" a special bottle with space for a Japanese education payload. The bottle will be part of a museum exhibit for public viewing.</t>
  </si>
  <si>
    <t>7odWaoSpGRg</t>
  </si>
  <si>
    <t>https://youtu.be/NmbEt_olRys</t>
  </si>
  <si>
    <t>Discovery Crew on National, Local TV</t>
  </si>
  <si>
    <t>STS-133 Commander Steve Lindsey and his five crew members are interviewed by reporters from CNN, Washington, DC's WTTG, WTSP in Tampa, and L.A.'s KNBC on Flight Day 8.</t>
  </si>
  <si>
    <t>NmbEt_olRys</t>
  </si>
  <si>
    <t>https://youtu.be/3LX18OeUAFA</t>
  </si>
  <si>
    <t>Module Installed to Station's Unity Node</t>
  </si>
  <si>
    <t>Flight Day 6 saw the attachment of the Permanent Multipurpose Module to the Earth-facing side of the International Space Station's Unity node. The PMM will provide additional storage for the station crew, and experiments may be conducted inside it, such as fluid physics, materials science, biology and biotechnology.</t>
  </si>
  <si>
    <t>3LX18OeUAFA</t>
  </si>
  <si>
    <t>https://youtu.be/E2RyGOB7v_Y</t>
  </si>
  <si>
    <t>Bowen, Drew Back Outside on Flight Day 7</t>
  </si>
  <si>
    <t>Spacewalkers Steve Bowen and Al Drew spend their second EVA tending to and swapping out equipment outside the International Space Station. Among other tasks, Drew removed thermal insulation from a platform while Bowen exchanged an attachment bracket on the ISS's Columbus module.</t>
  </si>
  <si>
    <t>E2RyGOB7v_Y</t>
  </si>
  <si>
    <t>https://youtu.be/-UiVHayv3gM</t>
  </si>
  <si>
    <t>Mission Team Pleased with Progress</t>
  </si>
  <si>
    <t>STS-133 mission managers updated the media on the successful second spacewalk completed earlier on Flight Day 7; they also looked ahead at the next day's planned cargo transfer from the Permanent Multipurpose Module to the International Space Station.</t>
  </si>
  <si>
    <t>-UiVHayv3gM</t>
  </si>
  <si>
    <t>2011 03 02</t>
  </si>
  <si>
    <t>https://youtu.be/KfH8fjJecyE</t>
  </si>
  <si>
    <t>Shuttle Endeavour Attached to Boosters, Tank for Final Mission</t>
  </si>
  <si>
    <t>Space shuttle Endeavour was bolted to its external tank and twin solid rocket boosters on March 1. This "mating" took place in  the Vehicle Assembly Building at NASA's Kennedy Space Center in Florida following the orbiter's move from its processing hangar. Endeavour is slated to rollout to Launch Pad 39A next week for STS-134, its final flight. During the 14-day mission, Endeavour's six astronauts will deliver to the International Space Station the Alpha Magnetic Spectrometer, a particle physics detector designed to search for various types of unusual matter by measuring cosmic rays. The crew also will deliver the Express Logistics Carrier 3, a platform that carries spare parts that will sustain station operations once the shuttles are retired later this year. Endeavour's launch is targeted for April 19.</t>
  </si>
  <si>
    <t>KfH8fjJecyE</t>
  </si>
  <si>
    <t>https://youtu.be/-S9bAkz2X70</t>
  </si>
  <si>
    <t>Bowen and Drew Perform First Spacewalk</t>
  </si>
  <si>
    <t>Flight Day 5 of STS-133 features a successful first EVA by mission specialists Steve Bowen (Cohasset, Mass.) and Alvin Drew (Washington, DC). The duo installed and moved various equipment on the outside of the International Space Station, including a guide for the rail cart system used for moving cargo along the truss.</t>
  </si>
  <si>
    <t>-S9bAkz2X70</t>
  </si>
  <si>
    <t>https://youtu.be/OFQ3HGHMBa8</t>
  </si>
  <si>
    <t>Bowen and Drew Campout on Flight Day 4</t>
  </si>
  <si>
    <t>STS-133 astronauts Steve Bowen and Alvin Drew campout in the Quest airlock to purge their body of nitrogen in preparation for Monday's spacewalks.  The crew checks out tools and goes over EVA 1 procedures.</t>
  </si>
  <si>
    <t>OFQ3HGHMBa8</t>
  </si>
  <si>
    <t>https://youtu.be/TRxwXrTMwew</t>
  </si>
  <si>
    <t>Station Gets New Storage Module</t>
  </si>
  <si>
    <t>The International Space Station now has some more room to grow. The Permanent Multipurpose Module (PMM), which was converted from the multi-purpose logistics module (MPLM) Leonardo, was installed on Flight Day 6. The PMM will provide additional storage for the station crew, and experiments may be conducted inside it, such as fluid physics, materials science, biology and biotechnology.</t>
  </si>
  <si>
    <t>TRxwXrTMwew</t>
  </si>
  <si>
    <t>2011 03 01</t>
  </si>
  <si>
    <t>https://youtu.be/flf4-SOgJO8</t>
  </si>
  <si>
    <t>Spacewalkers Ready for Second Excursion</t>
  </si>
  <si>
    <t>Mission managers discuss the day's events aboard the ISS and Discovery, as well as look ahead at the next day's scheduled EVA by Steve Bowen and Al Drew; it'll be the second and final spacewalk by the two astronauts.</t>
  </si>
  <si>
    <t>flf4-SOgJO8</t>
  </si>
  <si>
    <t>https://youtu.be/3OUTa8RhZvI</t>
  </si>
  <si>
    <t>First Spacewalk Successful for Drew, Bowen</t>
  </si>
  <si>
    <t>The first EVA of STS-133 was completed on Flight Day 5 by astronauts Steve Bowen and Al Drew. The two installed equipment on numerous positions outside the International Space Station, including a power extension cable between the Unity and Tranquility nodes to provide a contingency power source. NASA selected Bowen to replace mission specialist Tim Kopra, who was injured in a bicycle accident. Bowen will perform two spacewalks on this mission. He is the first U.S. astronaut to fly on back-to-back missions; he was a mission specialist on STS-132, which flew in May 2010.</t>
  </si>
  <si>
    <t>3OUTa8RhZvI</t>
  </si>
  <si>
    <t>https://youtu.be/uMvkVGwS060</t>
  </si>
  <si>
    <t>EVA 1 Recapped by Mission Managers</t>
  </si>
  <si>
    <t>The day's spacewalk is among the topics of discussion in Flight Day 5's Mission Status Briefing from NASA's Johnson Space Center in Houston.</t>
  </si>
  <si>
    <t>uMvkVGwS060</t>
  </si>
  <si>
    <t>2011 02 28</t>
  </si>
  <si>
    <t>https://youtu.be/n7V5IQAxp4w</t>
  </si>
  <si>
    <t>Discovery Flips for Safety Before Docking &amp; Hatch Opening</t>
  </si>
  <si>
    <t>Space shuttle Discovery performs an approximate eight-minute back flip called the Rendezvous Pitch Maneuver, also known as the R-bar Pitch Maneuver, so the International Space Station crew can photograph the orbiter's upper and lower surfaces for possible damage. Rounding out this recap of Flight Day 3 is Discovery's docking to the ISS, and the greeting extended its crew by ISS residents as they board the complex.</t>
  </si>
  <si>
    <t>n7V5IQAxp4w</t>
  </si>
  <si>
    <t>https://youtu.be/bX9vMkzcelQ</t>
  </si>
  <si>
    <t>Discovery Crew Inspects Orbiter</t>
  </si>
  <si>
    <t>On Flight Day 2, Discovery's thermal protection system is surveyed with the shuttle robotic arm/orbiter boom sensor system (OBSS).  The astronauts also check out rendezvous tools and the EVA mobility units or spacesuits, and install a Centerline camera.</t>
  </si>
  <si>
    <t>bX9vMkzcelQ</t>
  </si>
  <si>
    <t>https://youtu.be/vUwd23UoHNk</t>
  </si>
  <si>
    <t>Discovery Launch Tops Flight Day 1</t>
  </si>
  <si>
    <t>Discovery and its six-person crew lift off from NASA's Kennedy Space Center to begin the 11-day STS-133 mission to the International Space Station.</t>
  </si>
  <si>
    <t>vUwd23UoHNk</t>
  </si>
  <si>
    <t>https://youtu.be/tW1dVjXH9LQ</t>
  </si>
  <si>
    <t>STS-133 Flight Day 4 Highlights  Spacewalk One Preparations</t>
  </si>
  <si>
    <t>STS-133 astronauts begin preparation for Steve Bowen and Alvin Drew's upcoming spacewalks.  The crew checks out tools and goes over EVA 1 procedures.  Bowen and Drew campout in the Quest airlock.</t>
  </si>
  <si>
    <t>tW1dVjXH9LQ</t>
  </si>
  <si>
    <t>2011 02 27</t>
  </si>
  <si>
    <t>https://youtu.be/IdKJRXP-2vg</t>
  </si>
  <si>
    <t>POST MMT Briefing - DAY 4</t>
  </si>
  <si>
    <t>NASA'S Mission Management Team chairman, LeRoy Cain, reports on STS-133's fourth day of mission activities during an 11-day visit to the International Space Station.</t>
  </si>
  <si>
    <t>IdKJRXP-2vg</t>
  </si>
  <si>
    <t>https://youtu.be/SvJgJx5PTyQ</t>
  </si>
  <si>
    <t>STS-133 and Expedition 26 Crews Talk With Media</t>
  </si>
  <si>
    <t>Aboard the International Space Station, the STS-133 and Expedition 26 crews, in a joint event, speak with reporters from the Weather Channel, WBZ Boston, WSB Atlanta and WTVE Tampa about their missions.</t>
  </si>
  <si>
    <t>SvJgJx5PTyQ</t>
  </si>
  <si>
    <t>https://youtu.be/pecFxSjmIlM</t>
  </si>
  <si>
    <t>STS-133 Flight Day 3 Highlights - STS-133 Rendezvous Pitch Maneuver, Docking &amp; Hatch Opening</t>
  </si>
  <si>
    <t>Space Shuttle Discovery performs an approximate eight-minute back flip called the Rendezvous Pitch Maneuver, also known as the R-bar Pitch Maneuver. The ISS Station crew photographs Discovery's upper and lower surfaces through windows of the Zvezda Service Module inspecting the shuttle's outer surface for possible damage. Afterwards, space shuttle Discovery docks to the Pressurized Mating Adapter 2 at the forward end of the Harmony node on the International Space Station. Later the STS-133 crew is greeted and welcomed aboard the complex by members of Expedition 26.</t>
  </si>
  <si>
    <t>pecFxSjmIlM</t>
  </si>
  <si>
    <t>https://youtu.be/W4ICBKdH00U</t>
  </si>
  <si>
    <t>STS-133 DAY 4 Mission Status Briefing</t>
  </si>
  <si>
    <t>Four days into space shuttle's Discovery's final trip to the International Space Station, a NASA manager discusses the mission's progress.</t>
  </si>
  <si>
    <t>W4ICBKdH00U</t>
  </si>
  <si>
    <t>2011 02 26</t>
  </si>
  <si>
    <t>https://youtu.be/lw4wPH84igc</t>
  </si>
  <si>
    <t>NASA'S Mission Management Team reports on STS-133's third day of mission activities during an11-day visit to the International Space Station.</t>
  </si>
  <si>
    <t>lw4wPH84igc</t>
  </si>
  <si>
    <t>https://youtu.be/5XkH-3zjXJA</t>
  </si>
  <si>
    <t>STS 133 Hatch Opening &amp; Welcome</t>
  </si>
  <si>
    <t>At 4:16 p.m. EST, hatches were opened between the International Space Station and space shuttle Discovery, beginning the joint phase of the STS-133 mission.
The STS-133 crew were greeted and welcomed aboard the complex by members of Expedition 26.</t>
  </si>
  <si>
    <t>5XkH-3zjXJA</t>
  </si>
  <si>
    <t>https://youtu.be/c2ajFTQzKb0</t>
  </si>
  <si>
    <t>Discovery STS 133 Docks to The ISS</t>
  </si>
  <si>
    <t>The space shuttle Discovery docks to the Pressurized Mating Adapter 2 at the forward end of the Harmony node on the International Space Station. Discovery and the STS-133 astronauts brings the logistics module and Robonaut 2 to the International Space Station.</t>
  </si>
  <si>
    <t>c2ajFTQzKb0</t>
  </si>
  <si>
    <t>https://youtu.be/VnLnkZq3yA8</t>
  </si>
  <si>
    <t>STS-133 Rendezvous Pitch Maneuver</t>
  </si>
  <si>
    <t>Space Shuttle Discovery performs an approximate eight-minute back flip called the Rendezvous Pitch Maneuver, also known as the R-bar Pitch Maneuver. The ISS Station crew photographs Discovery's upper and lower surfaces through windows of the Zvezda Service Module inspecting the shuttle's outer surface for possible damage.</t>
  </si>
  <si>
    <t>VnLnkZq3yA8</t>
  </si>
  <si>
    <t>https://youtu.be/3lvSI_Oy2sA</t>
  </si>
  <si>
    <t>STS-133 Flight Day 2 Highlights    Discovery Crew Inspects Orbiter</t>
  </si>
  <si>
    <t>Discovery's thermal protection system is surveyed with the shuttle robotic arm/orbiter boom sensor system (OBSS).  The astronauts also check out rendezvous tools and the EVA mobility units or spacesuits, and install a Centerline camera.</t>
  </si>
  <si>
    <t>3lvSI_Oy2sA</t>
  </si>
  <si>
    <t>https://youtu.be/H_p3CGw-VlE</t>
  </si>
  <si>
    <t>STS-133 Day 2 Mission Status Briefing</t>
  </si>
  <si>
    <t>Two days into space shuttle's Discovery's final trip to the International Space Station, NASA managers discuss the mission's progress.</t>
  </si>
  <si>
    <t>H_p3CGw-VlE</t>
  </si>
  <si>
    <t>2011 02 25</t>
  </si>
  <si>
    <t>https://youtu.be/_6NDwYonh-w</t>
  </si>
  <si>
    <t>Discovery's Final Launch to the ISS for STS-133  Headlines This Week @NASA</t>
  </si>
  <si>
    <t>Also, new ISS crews for 2013 are named, a NASA center highlights Tuskegee Airmen for Black History Month, and celebrating the launch anniversaries of the Hubble Servicing Mission STS-109 and Pioneer 10.</t>
  </si>
  <si>
    <t>_6NDwYonh-w</t>
  </si>
  <si>
    <t>https://youtu.be/OwQNn5i2Hmo</t>
  </si>
  <si>
    <t>STS-133 Flight Day 1 Highlights</t>
  </si>
  <si>
    <t>A look at the first day of the final flight of space shuttle Discovery.  Discovery lifted off from NASA's Kennedy Space Center at 4:50 p.m. EST Thursday to deliver a new module and critical supplies to the International Space Station. 
The STS-133 mission is delivering the Permanent Multipurpose Module (PMM), a facility created from the Multi-Purpose Logistics Module named Leonardo. The module can support microgravity experiments in areas such as fluid physics, materials science, biology and biotechnology. Inside the PMM is Robonaut 2, a dextrous robot that will become a permanent resident of the station. Discovery also is carrying critical spare components to the space station and the Express Logistics Carrier 4, an external platform that holds large equipment.</t>
  </si>
  <si>
    <t>OwQNn5i2Hmo</t>
  </si>
  <si>
    <t>https://youtu.be/TExUzUR88qc</t>
  </si>
  <si>
    <t>Discovery Continues Journey to ISS</t>
  </si>
  <si>
    <t>Program managers brief the media on the status of STS-133 during the mission's post-launch news conference held Feb. 24 at NASA's Kennedy Space Center. Space shuttle Discovery and its six-person crew will deliver the Permanent Multipurpose Module and Robonaut 2 to the ISS; docking is scheduled for Feb. 26.</t>
  </si>
  <si>
    <t>TExUzUR88qc</t>
  </si>
  <si>
    <t>2011 02 24</t>
  </si>
  <si>
    <t>https://youtu.be/UpVClvUzhPA</t>
  </si>
  <si>
    <t>Discovery's Last Ride</t>
  </si>
  <si>
    <t>With the STS-133 crew in tow, space shuttle Discovery lifted off from the Kennedy Space Center on Thursday, Feb. 24. at 4:53 p.m. Eastern --  her final ride to the International Space Station.  In addition to transporting Commander Steve Lindsey, Pilot Eric Boe, and Mission Specialists Nicole Stott, Michael Barratt, Alvin Drew, and Steve Bowen, Discovery also carries the Express Logistics Carrier-4, and Robonaut 2, the first robot of its kind to fly into and work in space.</t>
  </si>
  <si>
    <t>UpVClvUzhPA</t>
  </si>
  <si>
    <t>https://youtu.be/SH65Chfip0g</t>
  </si>
  <si>
    <t>European Cargo Ship Docks to ISS</t>
  </si>
  <si>
    <t>The "Johannes Kepler" Automated Transfer Vehicle-2 docked to the International Space Station on Feb. 24, eight days after its launch from Courou, French Guiana. ATV-2 is delivering more than seven tons of experiments, fuel, water, food and other supplies to the space station.</t>
  </si>
  <si>
    <t>SH65Chfip0g</t>
  </si>
  <si>
    <t>https://youtu.be/B3dxvNfrFU4</t>
  </si>
  <si>
    <t>Discovery's Scheduled Liftoff Nears</t>
  </si>
  <si>
    <t>Mission managers held their prelaunch news conference on Feb. 23 to update the status of STS-133. The space shuttle mission to the International Space Station is slated to begin Feb. 24 with the launch of Discovery at 4:50 p.m. Eastern. Weather is expected to remain favorable.</t>
  </si>
  <si>
    <t>B3dxvNfrFU4</t>
  </si>
  <si>
    <t>2011 02 23</t>
  </si>
  <si>
    <t>https://youtu.be/fBhrFxUbhYg</t>
  </si>
  <si>
    <t>NASA Administrator Applauds a Record Breaking Year for Agency CFC Contributions</t>
  </si>
  <si>
    <t>NASA Administrator Charles Bolden addresses agency employees and commends their efforts on behalf of the Combined Federal Campaign (CFC).  The Combined Federal Campaign program allows federal employees to contribute to certain charitable organizations in the hopes of improving the quality of life for all.</t>
  </si>
  <si>
    <t>fBhrFxUbhYg</t>
  </si>
  <si>
    <t>2011 02 22</t>
  </si>
  <si>
    <t>https://youtu.be/hysniE1bVzg</t>
  </si>
  <si>
    <t>Kennedy Space Center Hosts the 9 11 Memorial Flag</t>
  </si>
  <si>
    <t>The contributions of NASA and Kennedy Space Center were stitched into the fabric of one of the nation's most recognizable symbols Friday when flags from Florida's Spaceport were sewn into an American Flag recovered near ground zero following the Sept. 11, 2001, attacks.</t>
  </si>
  <si>
    <t>hysniE1bVzg</t>
  </si>
  <si>
    <t>https://youtu.be/FfhtmLPBuR4</t>
  </si>
  <si>
    <t>Glory Ready for Climate Mission with Launch on Redesigned Taurus XL</t>
  </si>
  <si>
    <t>NASA's Glory spacecraft has been encapsulated and bolted atop an Orbital Science Corp. Taurus XL for launch on a mission to study aerosols in Earth's atmosphere. One of Glory's two specialized instruments will allow Glory to survey and map tiny particles in the atmosphere to help determine how they affect the planet's climate. The second instrument will evaluate the sun's influence on the atmosphere. Glory is being launched on a Taurus XL that is making its return-to-flight following the loss of the Orbiting Carbon Observatory in February 2009. The launch team examined the rocket's design carefully and helped with the redesign of critical components to allow a successful mission for Glory.</t>
  </si>
  <si>
    <t>FfhtmLPBuR4</t>
  </si>
  <si>
    <t>https://youtu.be/Ynqy3XV18zw</t>
  </si>
  <si>
    <t>Countdown Continues for Thursday's Shuttle Launch</t>
  </si>
  <si>
    <t>In their two-days-to-launch countdown status briefing, mission officials say all systems are "go" for space shuttle Discovery's launch to the International Space Station scheduled for Thursday at 4:50 p.m. Eastern. The probability of weather delaying launch is only 20%.</t>
  </si>
  <si>
    <t>Ynqy3XV18zw</t>
  </si>
  <si>
    <t>https://youtu.be/tYddpBvMOUo</t>
  </si>
  <si>
    <t>ELaNa  Educational Launch of Nanosatellites - Catch a Ride with Glory</t>
  </si>
  <si>
    <t>Part 3 of the Glory mission's L-2 briefing on Feb. 21. Participants discussed three very small satellites, known as CubeSats, which are part of  a NASA educational initiative, ELaNa. The CubeSats will be deployed after a Taurus XL rocket has delivered its primary cargo, the Glory satellite, into orbit.</t>
  </si>
  <si>
    <t>tYddpBvMOUo</t>
  </si>
  <si>
    <t>2011 02 21</t>
  </si>
  <si>
    <t>https://youtu.be/rs_ps8zsMX4</t>
  </si>
  <si>
    <t>Glory to Study Aerosols' Role in Climate</t>
  </si>
  <si>
    <t>Part 2 of the Glory mission's L-2 briefing on Feb. 21. The Glory spacecraft and its Taurus XL launch vehicle is set to lift off from Vandenberg Air Force Base in California 5:09 a.m. EST on Feb. 23. It will study the role tiny particles known as aerosols play in the planet's climate.</t>
  </si>
  <si>
    <t>rs_ps8zsMX4</t>
  </si>
  <si>
    <t>https://youtu.be/Qv5NHCbVkBI</t>
  </si>
  <si>
    <t>Glory Set to Launch Feb. 23 on Climate Mission</t>
  </si>
  <si>
    <t>Part 1 of the Glory mission's L-2 briefing on Feb. 21. The Glory spacecraft and its Taurus XL launch vehicle is set to lift off from Vandenberg Air Force Base in California 5:09 a.m. EST on Feb. 23. It will study the role tiny particles known as aerosols play in the planet's weather.</t>
  </si>
  <si>
    <t>Qv5NHCbVkBI</t>
  </si>
  <si>
    <t>https://youtu.be/PwPZebSjnGQ</t>
  </si>
  <si>
    <t>Discovery, Weather Look Good for Thursday Launch</t>
  </si>
  <si>
    <t>In this Feb. 21 news briefing held at NASA's Kennedy Space Center in Florida, the space shuttle launch team reports that preparations continue for Discovery's last flight into orbit on STS-133. The mission is scheduled to begin with a liftoff Thursday at 4:50 p.m. EST. The current forecast calling for an 80 percent chance of acceptable conditions.</t>
  </si>
  <si>
    <t>PwPZebSjnGQ</t>
  </si>
  <si>
    <t>2011 02 20</t>
  </si>
  <si>
    <t>https://youtu.be/DOFfw-YrgR0</t>
  </si>
  <si>
    <t>Final Space Shuttle Discovery Crew Arrives at NASA's Kennedy Space Center for STS-133 Launch</t>
  </si>
  <si>
    <t>The six astronauts for the next space shuttle mission arrived at the shuttle landing facility at 3:32 p.m. EST on Feb. 20 at NASA's Kennedy Space Center, Fla., for their prelaunch preparations. Liftoff of shuttle Discovery's STS-133 mission to the International Space Station is scheduled for 4:50 p.m. on Feb. 24. Discovery's crew members are Commander Steve Lindsey, Pilot Eric Boe and Mission Specialists Alvin Drew, Steve Bowen, Michael Barratt and Nicole Stott. Crew members made brief comments to media upon arrival. This is Discovery's last scheduled mission before the Space Shuttle Program retires this year.</t>
  </si>
  <si>
    <t>DOFfw-YrgR0</t>
  </si>
  <si>
    <t>2011 02 19</t>
  </si>
  <si>
    <t>https://youtu.be/2fd7W0bZLWI</t>
  </si>
  <si>
    <t>Launch Date Set for Shuttle Discovery</t>
  </si>
  <si>
    <t>Shuttle program managers have set Feb. 24 as the launch date for space shuttle Discovery on STS-133.
The announcement came during this news briefing following the completion of the mission's Flight Readiness Review held at NASA's Kennedy Space Center in Florida on Feb. 18. Participants include Bill Gerstenmaier, Associate Administrator for Space Operations; Mike Leinbach, Shuttle Launch Director; and Mike Moses, Shuttle Launch Integration Mgr.</t>
  </si>
  <si>
    <t>2fd7W0bZLWI</t>
  </si>
  <si>
    <t>https://youtu.be/mjOd9BHfsbw</t>
  </si>
  <si>
    <t>New Shuttle Launch Date Tops This Week @ NASA</t>
  </si>
  <si>
    <t>Feb. 24 is the official launch date for space shuttle Discovery on STS-133. The decision came at a Flight Readiness Review held by shuttle managers at NASA's Kennedy Space Center in Florida. Also, President Obama's proposed NASA budget; ATV on its way to ISS; Tweeps meet at Ames; and more.</t>
  </si>
  <si>
    <t>mjOd9BHfsbw</t>
  </si>
  <si>
    <t>2011 02 18</t>
  </si>
  <si>
    <t>https://youtu.be/bnxQ8sMgAEw</t>
  </si>
  <si>
    <t>NASA Celebrates Black History Month</t>
  </si>
  <si>
    <t>Administrator Charles Bolden talks of the contributions to the space program made by African Americans, including Guy Bluford, the first black man in space; the first African American woman in space; and Fred Gregory, the first black to pilot and command a space shuttle mission.</t>
  </si>
  <si>
    <t>bnxQ8sMgAEw</t>
  </si>
  <si>
    <t>https://youtu.be/R7wPaVpLI4o</t>
  </si>
  <si>
    <t>Expedition 24  Life in Space</t>
  </si>
  <si>
    <t>Follow Expedition 24 crewmembers Aleksandr Skvortsov, Mikhail Korniyenko, Tracy Caldwell Dyson, Fyodor Yurchikhin, Shannon Walker, and Doug "Wheels" Wheelock as they live and work aboard the International Space Station.  The music of Five for Fighting provides the backdrop for this compilation of images taken before, during, and after the mission.</t>
  </si>
  <si>
    <t>R7wPaVpLI4o</t>
  </si>
  <si>
    <t>https://youtu.be/12ZMgnC86o0</t>
  </si>
  <si>
    <t>Hubble Shows New Image of Spiral Galaxy NGC 2841</t>
  </si>
  <si>
    <t>NASA's Hubble Space Telescope reveals a majestic disk of stars and dust lanes in this view of the spiral galaxy NGC 2841, which lies 46 million light-years away in the constellation of Ursa Major (The Great Bear).</t>
  </si>
  <si>
    <t>12ZMgnC86o0</t>
  </si>
  <si>
    <t>2011 02 17</t>
  </si>
  <si>
    <t>https://youtu.be/dc8SJI1zHWg</t>
  </si>
  <si>
    <t>Paolo Plants Seeds of Learning with Students</t>
  </si>
  <si>
    <t>Aboard the International Space Station, Expedition 26 Flight Engineer Paolo Nespoli of the European Space Agency, assisted by station Commander Scott Kelly, demonstrated the properties of plant growth in the absence of gravity during an ESA "Greenhouse" educational event Feb. 17, 2011, involving European students at various locations.</t>
  </si>
  <si>
    <t>dc8SJI1zHWg</t>
  </si>
  <si>
    <t>2011 02 16</t>
  </si>
  <si>
    <t>https://youtu.be/-m0uuO4HBgY</t>
  </si>
  <si>
    <t>European Cargo Craft Launches to ISS</t>
  </si>
  <si>
    <t>From a jungle launch pad at Kourou, French Guiana on the northern coast of South America, a European Space Agency/Arianespace Ariane 5 rocket blasted off on Feb. 16, 2011, carrying the "Johannes Kepler" Automated Transfer Vehicle cargo craft to orbit. This starts an eight-day flight that will culminate in a automatic docking to the aft end of the International Space Station's Zvezda Service Module. This is the second of ESA's resupply vehicles, and is loaded with about seven tons of supplies and propellant for use by the six crew members on the complex.</t>
  </si>
  <si>
    <t>-m0uuO4HBgY</t>
  </si>
  <si>
    <t>https://youtu.be/dZFaMouTY1s</t>
  </si>
  <si>
    <t>Expedition 26 Cosmonauts Spacewalk for Science Gear</t>
  </si>
  <si>
    <t>Aboard the International Space Station, Expedition 26 Flight Engineers Dmitry Kondratyev and Oleg Skripochka conducted their second spacewalk in less than four weeks Feb. 16, 2011, to install and retrieve scientific equipment on the Russian segment of the orbital laboratory. The spacewalk was staged out of the Pirs Docking Compartment airlock. It was the second spacewalk in Kondratyev's career, and the third for Skripochka as well as the 153rd spacewalk performed in support of station assembly and maintenance.</t>
  </si>
  <si>
    <t>dZFaMouTY1s</t>
  </si>
  <si>
    <t>https://youtu.be/jZKSWuowgPI</t>
  </si>
  <si>
    <t>NASA Briefs Media on Comet Flyby</t>
  </si>
  <si>
    <t>News conference held Feb. 15 following the flyby of comet Tempel 1 by the Stardust-NExT spacecraft on Valentine's Day, Feb. 14. The spacecraft's closest approach was a distance of 112 miles. Participants are: Ed Weiler, NASA's associate administrator, Science Mission Directorate, Washington; Joe Veverka, Stardust-NExT principal investigator, Cornell University; Tim Larson, Stardust-NExT project manager, NASA's Jet Propulsion Laboratory, Pasadena, Calif.; Don Brownlee, Stardust-NExT co-investigator, University of Washington, Seattle; and Pete Schultz, Stardust-NExT co-investigator, Brown University.</t>
  </si>
  <si>
    <t>jZKSWuowgPI</t>
  </si>
  <si>
    <t>2011 02 15</t>
  </si>
  <si>
    <t>https://youtu.be/AOcyDYf21NM</t>
  </si>
  <si>
    <t>Expedition 26 ISS Crew Discusses Mission with Media</t>
  </si>
  <si>
    <t>Aboard the International Space Station, Expedition 26 Commander Scott Kelly and Flight Engineers Cady Coleman and Paolo Nespoli fielded questions from reporters representing KPRC-TV in Houston, "The Daily" iPad publication, Newsweek/The Daily Beast and ABC News during a series of in-flight interviews on Feb. 15, 2011.</t>
  </si>
  <si>
    <t>AOcyDYf21NM</t>
  </si>
  <si>
    <t>https://youtu.be/aL6vLBKydpE</t>
  </si>
  <si>
    <t>NASA Spacecraft Completes Comet Flyby</t>
  </si>
  <si>
    <t>NASA's Stardust-NExT mission completed its Valentine's Day "date with a comet" with its flyby of comet Tempel 1 on Feb. 14. The spacecraft's closest approach came at approximately 11:40 p.m. EST on Feb. 14.
An imaging sequence of about eight minutes is expected to yield 72 high-resolution images around the time of closest approach for best-resolution coverage of Tempel 1's nucleus. At the time of closest encounter, the spacecraft was expected to be approximately 124 miles from the comet's nucleus. 
Scientists hope to see any changes on the comet's surface since it was visited by NASA's Deep Impact spacecraft in July 2005. Since then, Tempel 1 has completed one orbit of the sun, and scientists are looking forward to discovering any differences in the comet.
For more info: www.nasa.gov/stardust</t>
  </si>
  <si>
    <t>aL6vLBKydpE</t>
  </si>
  <si>
    <t>2011 02 14</t>
  </si>
  <si>
    <t>https://youtu.be/LASAF49JTgE</t>
  </si>
  <si>
    <t>With Mark Kelly in Command Crew Train for STS-134 Shuttle Mission</t>
  </si>
  <si>
    <t>The crew of the STS-134 mission, space shuttle Commander Mark Kelly, Pilot Greg Johnson and Mission Specialists Greg Chamitoff, Mike Fincke, Drew Feustel and European Space Agency astronaut Roberto Vittori, trained Feb. 11 in a shuttle simulator at NASA's Johnson Space Center in Houston. The crew practiced launches and shuttle abort modes. The STS-134 mission is targeted to launch aboard space shuttle Endeavour on April 19.</t>
  </si>
  <si>
    <t>LASAF49JTgE</t>
  </si>
  <si>
    <t>https://youtu.be/cmOiW_JbXMc</t>
  </si>
  <si>
    <t xml:space="preserve">NASA to  Reach for New Heights </t>
  </si>
  <si>
    <t>With the President's Fiscal Year 2012 Budget proposal, NASA will continue leading a quest to win the future and help the nation innovate, educate and build by working to protect Earth, uncover distant worlds, and expand the frontiers of technology.</t>
  </si>
  <si>
    <t>cmOiW_JbXMc</t>
  </si>
  <si>
    <t>https://youtu.be/mAIrpnRFKBg</t>
  </si>
  <si>
    <t>Deadline Nears for NASA Space Tech Fellowship Applications</t>
  </si>
  <si>
    <t>NASA Chief Technologist Bobby Braun invites college student applications for NASA's new Space Technology Graduate Fellowships program. "We want you to be part of NASA, and we want NASA to help you fulfill your dreams. Join us as a Space Technology Fellow and help develop solutions to NASA's Space Technology Grand Challenges."
Space Technology Graduate Fellowships applications are due by Feb. 23, 2011.
For details, visit: www.nasa.gov/oct http://www.nasa.gov/oct</t>
  </si>
  <si>
    <t>mAIrpnRFKBg</t>
  </si>
  <si>
    <t>2011 02 11</t>
  </si>
  <si>
    <t>https://youtu.be/CQE0S_G7XIk</t>
  </si>
  <si>
    <t>More News on Repairs to Space Shuttle Discovery's External Tank on This Week @ NASA!</t>
  </si>
  <si>
    <t>Also...NASA Administrator Charles Bolden speaks to the FAA, Deputy Administrator Lori Garver visits industry innovators in Colorado; The AJ26 engine successfully lights up the night sky; Helping communities adapt to climate change; Aerospace Day in Richmond,  Education AA Leland Melvin goes back to school; and Planting the Seeds of Exploration in Today's youth.</t>
  </si>
  <si>
    <t>CQE0S_G7XIk</t>
  </si>
  <si>
    <t>2011 02 10</t>
  </si>
  <si>
    <t>https://youtu.be/2zihywXgyOI</t>
  </si>
  <si>
    <t>STS-133 Crew Trains in Virtual Reality</t>
  </si>
  <si>
    <t>In this episode of NASA "Behind the Scenes," STS-133 Pilot Eric Boe and space station Flight Director Royce Renfrew discuss how the virtual reality laboratory  at the Johnson Space Center is helping astronauts Steve Bowen and Al Drew train for two spacewalks they'll conduct on their upcoming mission to the International Space Station. Space shuttle Discovery is targeted to launch on Feb.24.</t>
  </si>
  <si>
    <t>2zihywXgyOI</t>
  </si>
  <si>
    <t>2011 02 09</t>
  </si>
  <si>
    <t>https://youtu.be/y9f8KsPfYsU</t>
  </si>
  <si>
    <t>Cady Performs for Public Radio Audience</t>
  </si>
  <si>
    <t>Aboard the International Space Station, Expedition 26 Flight Engineer Cady Coleman took a few minutes out from her work schedule to demonstrate her musical talent on a flute she brought to the complex during an in-flight interview with National Public Radio's program "All Things Considered" on Feb. 9, 2011. Coleman also joined station Commander Scott Kelly and Flight Engineer Paolo Nespoli to answer questions from KHOU-TV in Houston during the in-flight interview opportunity.</t>
  </si>
  <si>
    <t>y9f8KsPfYsU</t>
  </si>
  <si>
    <t>2011 02 08</t>
  </si>
  <si>
    <t>https://youtu.be/iHzEsXUfqD0</t>
  </si>
  <si>
    <t>Mark Kelly Trains for STS-134</t>
  </si>
  <si>
    <t>Commander Mark Kelly resumed his training for STS-134 at NASA's Johnson Space Center in Houston on Feb. 7. Kelly had been on personal leave since Jan. 8 to care for his wife, Congresswoman Gabrielle Giffords, who was critically wounded in a Tucson, Ariz. shooting. Space shuttle Endeavour is targeted to begin STS-134 with an April 19 launch from NASA's Kennedy Space Center for the International Space Station.</t>
  </si>
  <si>
    <t>iHzEsXUfqD0</t>
  </si>
  <si>
    <t>https://youtu.be/4IMFbhjbFj4</t>
  </si>
  <si>
    <t>NASA Mission Sheds New Light on Full Sun</t>
  </si>
  <si>
    <t>For the first time, NASA's Solar Terrestrial Relations Observatory, or STEREO, spacecraft, has provided a view of the entire sun, including its far side.  Scientists can now gain a better understanding of the dynamic nature of our star and give earlier predictions of space weather events that can impact our technological infrastructure.</t>
  </si>
  <si>
    <t>4IMFbhjbFj4</t>
  </si>
  <si>
    <t>2011 02 04</t>
  </si>
  <si>
    <t>https://youtu.be/u9VDPGY2DEQ</t>
  </si>
  <si>
    <t>Kelly to Fly on Shuttle Mission</t>
  </si>
  <si>
    <t>NASA astronaut Mark Kelly will resume training as commander of the STS-134 space shuttle mission on Monday, Feb. 7. With the exception of some proficiency training, Kelly has been on personal leave since Jan. 8 to care for his wife, Congresswoman Gabrielle Giffords, who was critically wounded in a Tucson, Ariz. shooting. Kelly participated in this briefing held at NASA's Johnson Space Center in Houston, along with Peggy Whitson, chief of the Astronaut Office, and Brent Jett, chief, Flight Crew Operations Directorate.
STS-134 will deliver the Alpha Magnetic Spectrometer (AMS) to the International Space Station; the target launch date for space shuttle Endeavour is April 19.</t>
  </si>
  <si>
    <t>u9VDPGY2DEQ</t>
  </si>
  <si>
    <t>https://youtu.be/wKVoSCDJ-f4</t>
  </si>
  <si>
    <t>Mark Kelly Remains STS-134 Commander Tops This Week @NASA</t>
  </si>
  <si>
    <t>On This Week @NASA --  Astronaut Mark Kelly remains at the helm of the STS-134 mission, the STS-133 crew continues preparations for their Feburary launch, the Kepler spacecraft reports over 1,100 planatary candidates, robotic assembly research preparations make headway and  AJ-26 rocket testing concludes.</t>
  </si>
  <si>
    <t>wKVoSCDJ-f4</t>
  </si>
  <si>
    <t>2011 02 03</t>
  </si>
  <si>
    <t>https://youtu.be/Ucbm-BPxjq0</t>
  </si>
  <si>
    <t>ISS Commander Kelly Reflects on Tucson Tragedy</t>
  </si>
  <si>
    <t>Aboard the International Space Station, Expedition 26 Commander Scott Kelly, the brother-in-law of wounded Rep. Gabrielle Giffords (D-AZ), discussed his thoughts about the shootings in Tucson Jan. 8 and the current status of activities in regard to her recovery. Kelly also talked about life and work aboard the station during the series of interviews Feb. 2 with the Associated Press, the New York Times and Fox News Channel's "Happening Now" program.</t>
  </si>
  <si>
    <t>Ucbm-BPxjq0</t>
  </si>
  <si>
    <t>2011 02 02</t>
  </si>
  <si>
    <t>https://youtu.be/zZHSptpDoLQ</t>
  </si>
  <si>
    <t>NASA's Kepler Finds Its First  Goldilocks  Candidates</t>
  </si>
  <si>
    <t>NASA's Kepler Mission has discovered 54 planet candidates that orbit in the habitable zone of their host star; this so-called "Goldilocks" region is "not too hot or too cold, but just right" for the possible existence of liquid water on the surface of a planet. Four of those candidates are near Earth-sized planets in orbit around small, cool stars. The findings, discussed at a news conference held Feb. 2 at NASA Headquarters in Washington, are based on data collected by the space telescope between May and September, 2009. Ground-based observatories will be used this spring and summer to help determine if these candidates can be validated as planets.</t>
  </si>
  <si>
    <t>zZHSptpDoLQ</t>
  </si>
  <si>
    <t>2011 02 01</t>
  </si>
  <si>
    <t>https://youtu.be/OJYxOLF9FiM</t>
  </si>
  <si>
    <t>Shuttle Discovery Back on Launch Pad</t>
  </si>
  <si>
    <t>Space shuttle Discovery moved from the Vehicle Assembly Building (VAB) to Launch Pad 39A on Jan. 31 - Feb. 1 at NASA's Kennedy Space Center in Florida. The shuttle made the 3.4-mile journey atop a giant crawler-transporter. Six astronauts are set to launch aboard the shuttle on Feb. 24. The STS-133 mission to the International Space Station is the final scheduled flight for Discovery before it is retired.</t>
  </si>
  <si>
    <t>OJYxOLF9FiM</t>
  </si>
  <si>
    <t>https://youtu.be/l9bOnh0hwbU</t>
  </si>
  <si>
    <t>Discovery Team Gets Bowen as Pinch-Hitter</t>
  </si>
  <si>
    <t>When astronaut Tim Kopra was injured in a bicycle accident, astronaut Steve Bowen was assigned to STS-133. With only six weeks until launch, Bowen has been training at the Johnson Space Center for the mission and the two spacewalks he will perform. In this episode of NASA Behind the Scenes, Bowen talks about hearing the news and becoming the first American astronaut to fly back-to-back missions and undergo the shortest training time since Apollo 13.</t>
  </si>
  <si>
    <t>l9bOnh0hwbU</t>
  </si>
  <si>
    <t>https://youtu.be/nAetqx5bods</t>
  </si>
  <si>
    <t>STS-133 Astronauts Train with New Crew Member</t>
  </si>
  <si>
    <t>Astronaut Steve Bowen, who is replacing Tim Kopra on the crew of STS-133, trained the week of Jan. 24 with the remaining members of space shuttle Discovery's mission to the International Space Station. The training took place at the virtual reality lab, space shuttle simulator and neutral buoyancy laboratory at NASA's Johnson Space Center in Houston. Kopra was replaced when a bicycle injury suffered Jan. 15 prohibited him from meeting the mission's targeted launch of Feb. 24.</t>
  </si>
  <si>
    <t>nAetqx5bods</t>
  </si>
  <si>
    <t>https://youtu.be/npV44pHdzdM</t>
  </si>
  <si>
    <t>Space shuttle Discovery moved from the Vehicle Assembly Building (VAB) to Launch Pad 39A on Jan. 31 -- Feb. 1 at NASA's Kennedy Space Center in Florida. The shuttle made the 3.4-mile journey atop a giant crawler-transporter. Six astronauts are set to launch aboard the shuttle on Feb. 24. The STS-133 mission to the International Space Station is the final scheduled flight for Discovery before it is retired.</t>
  </si>
  <si>
    <t>npV44pHdzdM</t>
  </si>
  <si>
    <t>https://youtu.be/5_mNN5v41KY</t>
  </si>
  <si>
    <t>NASA'S Space Shuttle Discovery Departs of Launch Pad for STS-133 Mission</t>
  </si>
  <si>
    <t>Space shuttle Discovery was moved the evening of January 31, from the Vehicle Assembly Building and began the journey to Launch Pad 39A at NASA's Kennedy Space Center in Florida for its STS-133 mission. The move is referred to as a "rollout." The STS-133 mission to the International Space Station is the final scheduled flight for Discovery before it is retired.
Discovery will carry the Permanent Multipurpose Module (PMM) packed with supplies and critical spare parts, as well as the first human-like robot in space, Robonaut 2, to the station. Discovery is targeted to launch February 24.
Center Contact: Candrea Thomas, 321-867-2468
HQ Contact: Joshua Buck, 202-358-1100
For more info:  www.nasa.gov/shuttle</t>
  </si>
  <si>
    <t>5_mNN5v41KY</t>
  </si>
  <si>
    <t>2011 01 31</t>
  </si>
  <si>
    <t>https://youtu.be/yZZHZCr27HE</t>
  </si>
  <si>
    <t>AJ26 Flight Engine Installed for Test Firing</t>
  </si>
  <si>
    <t>The partnership between NASA, Orbital and Aerojet is off to an impressive start with two successful tests of an AJ26 engine that will power the first stage of Orbital's Taurus II rocket.  With this test series complete, the first flight engine is now installed on the test stand at NASA Stennis Space Center to begin regularly planned "acceptance testing."</t>
  </si>
  <si>
    <t>yZZHZCr27HE</t>
  </si>
  <si>
    <t>https://youtu.be/fF8vP5YEm3g</t>
  </si>
  <si>
    <t>Hubble Goes to Great Lengths on This Week @NASA</t>
  </si>
  <si>
    <t>NASA's Hubble Space Telescope has discovered what astronomers believe is the most distant object ever seen in the universe: a tiny, compact galaxy of blue stars that existed 13.2 billion years ago. Also, NASA administrator stumps for STEM; ISS's present and future visitors; shuttle Columbia's"Article of Hope;" Optimus Prime's NASA connection; and Apollo 14 remembered.</t>
  </si>
  <si>
    <t>fF8vP5YEm3g</t>
  </si>
  <si>
    <t>https://youtu.be/OZQjxC-kRdE</t>
  </si>
  <si>
    <t>Apollo 14 - 40th Anniversary</t>
  </si>
  <si>
    <t>NASA celebrates the 40th anniversary of Apollo 14.
The mission objectives were to explore the Fra Mauro.  This area contains some of the most clearly exposed geological formations that are characteristic of the Fra Mauro Formation. The formation is an extensive geological unit that is distributed -- in an approximately radially symmetric fashion around the Mare Imbrium -- over much of the nearside of the Moon.
Crew
 Alan B. Shepard Jr.  - Commander
  Edgar D. Mitchell - Pilot  Lunar Module (Antares)
 Stuart A. Roosa - Pilot  Command Module (Kitty Hawk)
This piece was created by Mark R. Hailey - Art Director, NASA Television HQ</t>
  </si>
  <si>
    <t>OZQjxC-kRdE</t>
  </si>
  <si>
    <t>2011 01 30</t>
  </si>
  <si>
    <t>https://youtu.be/2eSHTAO7ZUo</t>
  </si>
  <si>
    <t xml:space="preserve"> Progress  Docks to ISS</t>
  </si>
  <si>
    <t>An unpiloted Russian resupply ship, the ISS Progress 41, docked to the Pirs Docking Compartment on the Russian segment of the International Space Station Jan. 29, 2011, two days after being launched from the Baikonur Cosmodrome in Kazakhstan. The Progress is loaded with three tons of food, fuel and supplies for the six crew members living and working on the orbital laboratory. It arrived just two days after a Japanese cargo ship delivered more than four tons of supplies to the complex to cap off a busy week aboard the outpost.</t>
  </si>
  <si>
    <t>2eSHTAO7ZUo</t>
  </si>
  <si>
    <t>2011 01 28</t>
  </si>
  <si>
    <t>https://youtu.be/KrdSLrJHXFw</t>
  </si>
  <si>
    <t>NASA's Hubble Space Telescope has discovered what astronomers believe is the most distant object ever seen in the universe: a tiny, compact galaxy of blue stars that existed 13.2 billion years ago. Also, ISS's present and future visitors; shuttle Columbia's"Article of Hope;" Optimus Prime's NASA connection; and Apollo 14 remembered.</t>
  </si>
  <si>
    <t>KrdSLrJHXFw</t>
  </si>
  <si>
    <t>https://youtu.be/KyFejZwXg5k</t>
  </si>
  <si>
    <t>Challenger Astronauts Remembered at Florida Memorial</t>
  </si>
  <si>
    <t>The seven astronauts of space shuttle Challenger's STS-51L mission were honored during a remembrance service at Kennedy Space Center Visitor Complex in Florida on Jan. 28, the 25th anniversary of the accident. The public service, held at the Space Mirror Memorial, included speakers June Scobee Rodgers, widow of Commander Dick Scobee, and NASA Associate Administrator for Space Operations, Bill Gerstenmaier.
Challenger's seven astronauts were lost 73 seconds after liftoff on Jan. 28, 1986. The crew members were Commander Francis R. "Dick" Scobee http://www.jsc.nasa.gov/Bios/htmlbios/scobee.html, Pilot Michael J. Smith http://www.jsc.nasa.gov/Bios/htmlbios/smith-michael.html, Mission Specialists Judith A. Resnik http://www.jsc.nasa.gov/Bios/htmlbios/resnik.html, Ellison S. Onizuka http://www.jsc.nasa.gov/Bios/htmlbios/onizuka.html, Ronald E. McNair http://www.jsc.nasa.gov/Bios/htmlbios/mcnair.html, and Payload Specialists Gregory B. Jarvis http://www.jsc.nasa.gov/Bios/htmlbios/jarvis.html and Sharon Christa McAuliffe http://www.jsc.nasa.gov/Bios/htmlbios/mcauliffe.html.</t>
  </si>
  <si>
    <t>KyFejZwXg5k</t>
  </si>
  <si>
    <t>https://youtu.be/83xwb9ARw5Y</t>
  </si>
  <si>
    <t>Challenger Memorial Ceremony Held in Florida</t>
  </si>
  <si>
    <t>This remembrance service at Kennedy Space Center Visitor Complex in Florida on Jan. 28 honors the seven astronauts of space shuttle Challenger's STS-51L mission on the 25th anniversary of their loss. The 48-minute NASA TV broadcast of the public service, held at the Space Mirror Memorial, includes speakers June Scobee Rodgers, widow of Commander Dick Scobee, and NASA Associate Administrator for Space Operations, Bill Gerstenmaier. 
Challenger's seven astronauts were lost 73 seconds after liftoff on Jan. 28, 1986. The crew members were Commander Francis R. "Dick" Scobee http://www.jsc.nasa.gov/Bios/htmlbios/scobee.html, Pilot Michael J. Smith http://www.jsc.nasa.gov/Bios/htmlbios/smith-michael.html, Mission Specialists Judith A. Resnik http://www.jsc.nasa.gov/Bios/htmlbios/resnik.html, Ellison S. Onizuka http://www.jsc.nasa.gov/Bios/htmlbios/onizuka.html, Ronald E. McNair http://www.jsc.nasa.gov/Bios/htmlbios/mcnair.html, and Payload Specialists Gregory B. Jarvis http://www.jsc.nasa.gov/Bios/htmlbios/jarvis.html and Sharon Christa McAuliffe http://www.jsc.nasa.gov/Bios/htmlbios/mcauliffe.html.</t>
  </si>
  <si>
    <t>83xwb9ARw5Y</t>
  </si>
  <si>
    <t>https://youtu.be/ANwlI_zKe3k</t>
  </si>
  <si>
    <t>NASA and OPTIMUS PRIME Team Up</t>
  </si>
  <si>
    <t>NASA and OPTIMUS PRIME have teamed up to educate! Kids everywhere created videos showing how NASA technology is truly more than meets the eye, and now you can vote on your favorite! Visit http://ipp.gsfc.nasa.gov/optimus/ to learn more. OPTIMUS PRIME is a trademark of Hasbro and is used with permission. © 2011 Hasbro. All Rights Reserved.</t>
  </si>
  <si>
    <t>ANwlI_zKe3k</t>
  </si>
  <si>
    <t>2011 01 27</t>
  </si>
  <si>
    <t>https://youtu.be/NhTylM5PW7k</t>
  </si>
  <si>
    <t>Japanese Cargo Craft Arrives at ISS</t>
  </si>
  <si>
    <t>An unpiloted Japanese resupply ship, the "Kounotori"2 H-2B Transfer Vehicle (HTV2 ), was captured and berthed to the Earth-facing port of the Harmony module of the International Space Station Jan. 27, 2011. The berthing took place after an automated five-day flight following its launch on the Japan Aerospace Exploration Agency's H-2B rocket Jan. 22 from the Tanegashima (pron: Tah-nee-GOSH'-ih-mah) Space Center in southern Japan. "The "Kounotori" (pron: kuh-nah-TORR'-ee), which means "white stork" in Japanese, is loaded with more than four tons of supplies and spare parts for the six crew members on the orbital laboratory. Expedition 26 Flight Engineers Cady Coleman and Paolo Nespoli were at the controls of the robotic work station in the space station's Cupola module to maneuver the Canadarm2 robotic arm for the grapple and berthing of the HTV2, which will remain at the orbital outpost until the end of March.</t>
  </si>
  <si>
    <t>NhTylM5PW7k</t>
  </si>
  <si>
    <t>2011 01 26</t>
  </si>
  <si>
    <t>https://youtu.be/Xkjis0Uwqyk</t>
  </si>
  <si>
    <t>NASA Day of Remembrance honors the Apollo 1, Challenger and Columbia crews, as well as other members of the NASA family who lost their lives supporting the agency's missions.</t>
  </si>
  <si>
    <t>Xkjis0Uwqyk</t>
  </si>
  <si>
    <t>https://youtu.be/11Dsh7_WDg0</t>
  </si>
  <si>
    <t>Next Station Crew Meets with Media</t>
  </si>
  <si>
    <t>The next three crew members to live and work aboard the International Space Station met with reporters at a news conference held at NASA's Johnson Space Center in Houston on Jan. 26. NASA astronaut Ron Garan and crewmates, Russian cosmonauts Alexander Samokutyaev and Andrey Borisenko are three of the six crew members for Expedition 27 and 28. The trio is scheduled to launch to the station aboard a Russian Soyuz spacecraft from the Baikonur Cosmodrome in Kazakhstan on March 29 (March 30 Kazakhstan time). They will join Expedition 27 NASA astronaut Cady Coleman, European Space Agency astronaut Paolo Nespoli and Russian cosmonaut Dmitry Kondratyev who will stay aboard the station until mid-May.</t>
  </si>
  <si>
    <t>11Dsh7_WDg0</t>
  </si>
  <si>
    <t>https://youtu.be/YIuNNZTllmY</t>
  </si>
  <si>
    <t>Foam Reaffixed to Discovery's External Tank</t>
  </si>
  <si>
    <t>Technicians reapplied foam insulation around space shuttle Discovery's external fuel tank inside the Vehicle Assembly Building (VAB) at NASA's Kennedy Space Center in Florida on Jan. 25. Discovery was moved from Launch Pad 39A back to the VAB on Dec. 21, 2010, so crews could make modifications to 94 support beams, called stringers, around the external tank's entire intertank section. Launch for Discovery's STS-133 mission to the International Space Station is targeted for Feb. 24.</t>
  </si>
  <si>
    <t>YIuNNZTllmY</t>
  </si>
  <si>
    <t>https://youtu.be/Fvr3XipwXYE</t>
  </si>
  <si>
    <t>NASA Ships  Fish  for Rockets</t>
  </si>
  <si>
    <t>In this episode of NASA "Behind the Scenes," go on board the two ships -- Liberty Star and Freedom Star -- which retrieve the shuttle's solid rocket boosters after every launch. Astronaut Mike Massimino introduces you to the crew and takes you onboard the vessels to see what it takes to pull a 150-foot rocket out of the ocean.</t>
  </si>
  <si>
    <t>Fvr3XipwXYE</t>
  </si>
  <si>
    <t>https://youtu.be/T8Q698X03W0</t>
  </si>
  <si>
    <t>NASA's Hubble Finds Most Distant Galaxy Candidate Ever Seen in Universe</t>
  </si>
  <si>
    <t>Astronomers have pushed NASA's Hubble Space Telescope to its limits by finding what they believe is the most distant, ancient object ever seen in the universe. Its light traveled 13.2 billion years to reach Hubble, roughly 150 million years longer than the previous record holder. The age of the universe is 13.7 billion years. The dim object is a tiny, compact galaxy of blue stars that existed 480 million years after the big bang, only four percent of the universe's current age. It is so small, more than one hundred similarly-sized mini-galaxies would be needed to make up our Milky Way.</t>
  </si>
  <si>
    <t>T8Q698X03W0</t>
  </si>
  <si>
    <t>https://youtu.be/WGB6qylPCo8</t>
  </si>
  <si>
    <t>Nespoli Discusses ISS Mission with European, Italian Space Officials</t>
  </si>
  <si>
    <t>Aboard the International Space Station, Expedition 26 Flight Engineer Paolo Nespoli of the European Space Agency discussed the progress of his mission and its importance to Europe with officials of the European Space Agency (ESA) and the Italian Space Agency (ASI) during an in-flight event on Jan. 26, 2011. The ESA and ASI officials were located in Rome during the in-flight discussion.</t>
  </si>
  <si>
    <t>WGB6qylPCo8</t>
  </si>
  <si>
    <t>2011 01 25</t>
  </si>
  <si>
    <t>https://youtu.be/rVXhhGrSBvY</t>
  </si>
  <si>
    <t>ISS Commander Kelly Discusses Shooting Aftermath with Network Media</t>
  </si>
  <si>
    <t>Aboard the International Space Station, Expedition 26 Commander Scott Kelly, the brother-in-law of wounded Rep. Gabrielle Giffords (D-AZ), discussed the aftermath of the Tucson shooting tragedy and Giffords' rehabilitation in Houston during a series of in-flight interviews Jan. 25, 2011, with anchors from MSNBC's "Daily Rundown" program, CNN's "American Morning" program and CBS' "The Early Show".</t>
  </si>
  <si>
    <t>rVXhhGrSBvY</t>
  </si>
  <si>
    <t>2011 01 22</t>
  </si>
  <si>
    <t>https://youtu.be/svUMzW3kV1s</t>
  </si>
  <si>
    <t>Japanese Cargo Ship Heads for the International Space Station</t>
  </si>
  <si>
    <t>A Japanese H-IIB (H-2-B) rocket launched from the Tanegashima (pron: Tan-uh-GOSH'-ih-mah) Space Center in southern Japan on Jan. xx, 2011, to place the "Kounotori" (pron: Kah-no-TORR'-ee) HTV2 cargo ship into orbit for a rendezvous with the International Space Station. The HTV2 is loaded with almost 5 tons of supplies and spare parts for the station. Upon its arrival, it will be grappled by the station's robotic arm and attached to the Earth-facing port of the Harmony module, from where its cargo will be transferred to the orbital complex.</t>
  </si>
  <si>
    <t>svUMzW3kV1s</t>
  </si>
  <si>
    <t>2011 01 21</t>
  </si>
  <si>
    <t>https://youtu.be/tjZp6WWpbb0</t>
  </si>
  <si>
    <t>On this Week At NASA...</t>
  </si>
  <si>
    <t>A new Mission Specialist for STS-133, Scientists revel in Stardust &amp; Glory, an honor for the agency's Chief Technologist, Julian Bond speaks for MLK day, not your father's Dodge Charger, and Happy 25th for Voyager 2's Uranus Flyby.</t>
  </si>
  <si>
    <t>tjZp6WWpbb0</t>
  </si>
  <si>
    <t>2011 01 20</t>
  </si>
  <si>
    <t>https://youtu.be/g30lVjUU5Y0</t>
  </si>
  <si>
    <t>Scientists Brief the Media on a Glory-ous New Mission</t>
  </si>
  <si>
    <t>NASA 's newest Earth-observing research mission, Glory, is designed to improve our understanding of how the sun and airborne particles called aerosols affect Earth's climate.   Scientists discussed the scientific objectives of this mission with the press and others at a briefing at NASA headquarters.  Glory is slated to launch in February, 2011.</t>
  </si>
  <si>
    <t>g30lVjUU5Y0</t>
  </si>
  <si>
    <t>https://youtu.be/uKMKGSt8W4k</t>
  </si>
  <si>
    <t>International Space Station Astronauts speak with United Kingdom students</t>
  </si>
  <si>
    <t>From low earth orbit aboard the ISS, Expedition 26 crew Commander Scott Kelly and Flight Engineers Cady Coleman, Oleg Skripochka, Alexander Kaleri, Dmitry Kondratyev and Paolo Nespoli answer questions from Sevenoaks  School students in Kent, England. Students gathered at the Evergreen Aviation and Space Museum in McMinnville, Oregon.   Interesting experiments and other day-to-day activities are discussed during the in-flight educational event on January 20, 2011.</t>
  </si>
  <si>
    <t>uKMKGSt8W4k</t>
  </si>
  <si>
    <t>2011 01 19</t>
  </si>
  <si>
    <t>https://youtu.be/WU2pY5K88aM</t>
  </si>
  <si>
    <t>International Space Station Astronauts speak with Oregon students</t>
  </si>
  <si>
    <t>From low earth orbit aboard the ISS, Expedition 26 Commander Scott Kelly and Flight Engineer Cady Coleman discuss their daily life in space with Oregon students gathered at the Evergreen Aviation and Space Museum in McMinnville, Oregon.   Interesting experiments and other day-to-day activities are discussed during the in-flight educational event on January 19, 2011.</t>
  </si>
  <si>
    <t>WU2pY5K88aM</t>
  </si>
  <si>
    <t>https://youtu.be/RQnYyV9JbbY</t>
  </si>
  <si>
    <t>Stardust-NExT Scientists Excited About Valentine's Day</t>
  </si>
  <si>
    <t>The Stardust spacecraft has been repackaged for the Stardust-NexT mission.  Stardust-NExT will rendezvous with comet Tempel 1 on February 14, giving scientists an opportunity, for the first time, to search a comet's surface for changes following its orbit around the sun.   Mission scientists discussed the relevance of the mission at a briefing  at NASA headquarters in Washington.</t>
  </si>
  <si>
    <t>RQnYyV9JbbY</t>
  </si>
  <si>
    <t>https://youtu.be/G8PybJo9IWk</t>
  </si>
  <si>
    <t>Discovery's New Target Launch Date Tops This Week @NASA</t>
  </si>
  <si>
    <t>STS-133 is now targeted to liftoff to the International Space Station on February 24. Cracks in a portion of shuttle Discovery's external tank will be repaired by then. Also, a new date -- and backup commander -- for STS-134; Russia's prime minister calls the station; Kepler grabs headlines in Seattle; and Mars experts gather for exploration update. Plus, shh shh chevrons; Langley's new impact water basin; and, the NASA Knights go robotic!</t>
  </si>
  <si>
    <t>G8PybJo9IWk</t>
  </si>
  <si>
    <t>2011 01 18</t>
  </si>
  <si>
    <t>https://youtu.be/FdQA-pE2luQ</t>
  </si>
  <si>
    <t>Waking up, working, and going to sleep in Zero G</t>
  </si>
  <si>
    <t>Expedition 26 NASA Flight Engineer Cady Coleman discusses what daily life is like aboard an orbiting space laboratory on CBS' news program "The Talk" on January 18, 2011.</t>
  </si>
  <si>
    <t>FdQA-pE2luQ</t>
  </si>
  <si>
    <t>https://youtu.be/xr7fPdfQ_nY</t>
  </si>
  <si>
    <t>Astronaut Scott Kelly confides with Primetime Host Diane Sawyer</t>
  </si>
  <si>
    <t>Astronaut Scott Kelly, twin brother of fellow astronaut Mark Kelly,  speaks with ABC News Primetime Host Diane Sawyer from the International Space Station about the Tucson shooting of his sister in-law, Rep. Gabrielle Giffords.</t>
  </si>
  <si>
    <t>xr7fPdfQ_nY</t>
  </si>
  <si>
    <t>2011 01 13</t>
  </si>
  <si>
    <t>https://youtu.be/xd58pvZWluA</t>
  </si>
  <si>
    <t xml:space="preserve">Mars Exploration Detailed at Smithsonian's  Air and Space </t>
  </si>
  <si>
    <t>The Moving Beyond Earth gallery at the Smithsonian's National Air &amp; Space Museum in Washington hosted "From Follow the Water' to 'Seeking Signs of Life.' The two-hour program featured prominent scientists from NASA, the European Space Agency and academia highlighting achievements in Mars exploration, as well as new discoveries anticipated in the years ahead.</t>
  </si>
  <si>
    <t>xd58pvZWluA</t>
  </si>
  <si>
    <t>https://youtu.be/TlNhva55hZY</t>
  </si>
  <si>
    <t xml:space="preserve">European Astronaut Discusses Life in Space with Britain's  Beeb </t>
  </si>
  <si>
    <t>Aboard the International Space Station, Expedition 26 Flight Engineer Paolo Nespoli of the European Space Agency discussed the progress of his mission and life and work on the orbital laboratory with BBC World News during an in-flight interview on Jan. 13, 2011.</t>
  </si>
  <si>
    <t>TlNhva55hZY</t>
  </si>
  <si>
    <t>2011 01 12</t>
  </si>
  <si>
    <t>https://youtu.be/mfdQO1k2ehM</t>
  </si>
  <si>
    <t>STS-133 Target Launch Date Tops This Week @NASA -- Updated</t>
  </si>
  <si>
    <t>After modifications to Discovery's external tank, shuttle managers look at launch dates for Discovery in late February. Also, SLOPE helps Glenn researchers' learning curve; Leland Melvin tells students, "Yes, you can!" Just shy of its 7 years anniversary on Mars, the Opportunity rover checks out a crater, and SoCal students "elevate" their "ping pong" game in a NASA contest!</t>
  </si>
  <si>
    <t>mfdQO1k2ehM</t>
  </si>
  <si>
    <t>https://youtu.be/fzgsKupw5hM</t>
  </si>
  <si>
    <t>Station Crew Shares Mission Details with Florida Students</t>
  </si>
  <si>
    <t>Expedition 26 Commander Scott Kelly and Flight Engineers Cady Coleman and Paolo Nespoli discussed their mission on the International Space Station with students gathered at the Central Florida Aerospace Academy in Lakeland, Fla., during an in-flight educational event on Jan. 11, 2011.</t>
  </si>
  <si>
    <t>fzgsKupw5hM</t>
  </si>
  <si>
    <t>2011 01 11</t>
  </si>
  <si>
    <t>https://youtu.be/sq9gVEZjmlM</t>
  </si>
  <si>
    <t>Russian Prime Minister Calls ISS</t>
  </si>
  <si>
    <t>Russian Prime Minister Vladimir Putin discussed life and work aboard the International Space Station with the six Expedition 26 crew members during a call from the Russian Mission Control Center in Korolev, Russia, on Jan. 11, 2011. Mr. Putin was in the control center outside Moscow chairing a commission involved in formulating events to commemorate the 50th anniversary of the launch on April 12, 1961, of Russian cosmonaut Yuri Gagarin as the first human in space.</t>
  </si>
  <si>
    <t>sq9gVEZjmlM</t>
  </si>
  <si>
    <t>2011 01 10</t>
  </si>
  <si>
    <t>https://youtu.be/1n9GjJszdyQ</t>
  </si>
  <si>
    <t>NASA'S Mission Control and ISS Crew Observe National Moment of Silence</t>
  </si>
  <si>
    <t>At Mission Control at the Johnson Space Center in Houston and aboard the International Space Station, flight controllers and the Expedition 26 crew paused to observe a National Moment of Silence Jan. 10, 2011. The event was held for the victims of the shootings in Tucson, Ariz., Jan. 8 that left six people dead and more than a dozen wounded, including Rep. Gabrielle Giffords (D-AZ). Station Commander Scott Kelly, Giffords' brother-in-law, led the station crew in its observance from 220 miles above the Earth.</t>
  </si>
  <si>
    <t>1n9GjJszdyQ</t>
  </si>
  <si>
    <t>https://youtu.be/1-0-HKHjsPY</t>
  </si>
  <si>
    <t>NASA's Kepler Spacecraft Discovers Its First Rocky Exoplanet</t>
  </si>
  <si>
    <t>NASA's Kepler spacecraft has discovered Kepler-10b, its first confirmed rocky planet and the smallest transiting exoplanet discovered to date.  Kepler-10b is only 1.4 times the size of Earth and has an average density of 8.8 grams per cubic centimeter, similar to that of an iron dumbbell.  The planet orbits its star in only 0.84 days and is not in the habitable zone, where liquid water could exist.</t>
  </si>
  <si>
    <t>1-0-HKHjsPY</t>
  </si>
  <si>
    <t>https://youtu.be/Xe71vveJMjA</t>
  </si>
  <si>
    <t>Xe71vveJMjA</t>
  </si>
  <si>
    <t>2011 01 07</t>
  </si>
  <si>
    <t>https://youtu.be/bpydgvoo7x8</t>
  </si>
  <si>
    <t>STS-133 Launch Team Practices Liftoff Procedures</t>
  </si>
  <si>
    <t>At NASA's Kennedy Space Center in Florida, STS-133 launch team members in Firing Room 4 of the Launch Control Center practiced procedures on Jan. 7, for the liftoff of space shuttle Discovery's final mission. The team at Kennedy participated in launch simulations with personnel at NASA's Johnson Space Center, Houston.
Discovery's next launch opportunity for its mission to the International Space Station is no earlier than Feb. 24.</t>
  </si>
  <si>
    <t>bpydgvoo7x8</t>
  </si>
  <si>
    <t>2011 01 06</t>
  </si>
  <si>
    <t>https://youtu.be/xZrdrWpEBRE</t>
  </si>
  <si>
    <t>Station Crew Talks with Stateside TV</t>
  </si>
  <si>
    <t>Commander Scott Kelly is joined by flight engineers Cady Coleman and Paolo Nespoli as they're interviewed by KSAZ-TV, Phoenix about their Expedition 26 mission aboard the International Space Station.</t>
  </si>
  <si>
    <t>xZrdrWpEBRE</t>
  </si>
  <si>
    <t>2011 01 05</t>
  </si>
  <si>
    <t>https://youtu.be/xuhqSVBSruw</t>
  </si>
  <si>
    <t>Shuttle Discovery's External Tank Undergoes Modifications and More</t>
  </si>
  <si>
    <t>At NASA's Kennedy Space Center in Florida, technicians in the Vehicle Assembly Building make modifications to 34 support beams, called stringers, on space shuttle Discovery's external fuel tank. To increase the structural support of the stringers, crews fit pieces of metal, called radius blocks, over the tops of the stringers' edges at the external tank's thrust panel area. The thrust panel areas, which see the most stress during the flight into orbit, are located at the attachment points between the tank and the solid rocket boosters.
‪In addition, teams also are performing scans on all of the tank's stringers using a backscatter device that bounces radiation off the tank, allowing engineers to see beneath the foam insulation. 
Crews also are repairing small cracks on three stringers on the side of the tank opposite Discovery that were detected in late December. The repairs are similar to repairs made on cracks found on two stringers after Discovery's Nov. 5 launch attempt.</t>
  </si>
  <si>
    <t>xuhqSVBSruw</t>
  </si>
  <si>
    <t>https://youtu.be/k6XrZVDKXn0</t>
  </si>
  <si>
    <t>ESA Astronaut Nespoli  Parla Con  Italian TV</t>
  </si>
  <si>
    <t>Expedition 26 Flight Engineer Paolo Nespoli of the European Space Agency spoke with RAI, a TV network in his native Italy, about life on the International Space Station.</t>
  </si>
  <si>
    <t>k6XrZVDKXn0</t>
  </si>
  <si>
    <t>2011 01 04</t>
  </si>
  <si>
    <t>https://youtu.be/rpecnnbJPjg</t>
  </si>
  <si>
    <t xml:space="preserve"> Opportunity  to Spend 7th Anniversary at Stadium-size Crater</t>
  </si>
  <si>
    <t>The Mars Exploration Rover Opportunity has been photographed beside a 100-meter-diameter Martian crater by the high-resolution camera on NASA's Mars Reconnaissance Orbiter. Opportunity will explore the Santa Maria crater over the next several weeks. January serves as an important milestone for Opportunity and its twin, Spirit: This month, both rovers are celebrating their seventh anniversaries on Mars.</t>
  </si>
  <si>
    <t>rpecnnbJPjg</t>
  </si>
  <si>
    <t>2010 12 30</t>
  </si>
  <si>
    <t>https://youtu.be/9eMUd2Fb59w</t>
  </si>
  <si>
    <t>Expedition 26 Crew Gives Media Update on Mission</t>
  </si>
  <si>
    <t>Expedition 26 Commander Scott Kelly and flight engineers Cady Coleman and Paolo Nespoli answer questions about their lives aboard the International Space Station from MSNBC and the Greenfield, Mass. Recorder.</t>
  </si>
  <si>
    <t>9eMUd2Fb59w</t>
  </si>
  <si>
    <t>https://youtu.be/bKJcDyBgTlc</t>
  </si>
  <si>
    <t>NASA Television's 2011 Happy New Year ID</t>
  </si>
  <si>
    <t>bKJcDyBgTlc</t>
  </si>
  <si>
    <t>2010 12 29</t>
  </si>
  <si>
    <t>https://youtu.be/gD2iT8hSm0k</t>
  </si>
  <si>
    <t>More Scans Taken of Shuttle Discovery's External Tank for The STS-133 Mission</t>
  </si>
  <si>
    <t>At NASA's Kennedy Space Center in Florida, technicians in the Vehicle Assembly Building make additional imaging scans of space shuttle Discovery's external fuel tank. On Dec. 29, technicians scanned below the external tank's foam insulation around the entire intertank section to look for any issues, such as cracks.
Workers used computed radiography scanners that work like an X-ray machine by transmitting radiation through the tank's foam and metal skin. The scans will help verify repairs associated with cracks on the tops of two 21-foot-long, U-shaped aluminum brackets called stringers, which line the intertank, and will help engineers determine what caused the cracks during Discovery's launch attempt on Nov. 5. Managers and engineers will review the test data to determine the next course of action. Discovery's next launch opportunity for its STS-133 mission to the International Space Station is no earlier than Feb. 3.</t>
  </si>
  <si>
    <t>gD2iT8hSm0k</t>
  </si>
  <si>
    <t>2010 12 28</t>
  </si>
  <si>
    <t>https://youtu.be/xnjIFKNalCg</t>
  </si>
  <si>
    <t>V  Shaped Design Makes for Quieter Aircraft</t>
  </si>
  <si>
    <t>Dr. James Bridges, aeronautics researcher at NASA's Glenn Research Center in Cleveland, describes how chevrons, one of the most recent noise-reducing technologies shepherded through the research process by NASA, is making commercial jet engines quieter.</t>
  </si>
  <si>
    <t>xnjIFKNalCg</t>
  </si>
  <si>
    <t>https://youtu.be/jweL9xyyu98</t>
  </si>
  <si>
    <t>Station Crew Speaks with Cleveland-area Students</t>
  </si>
  <si>
    <t>Expedition 26 Commander Scott Kelly was joined by NASA astronaut Cady Coleman and ESA astronaut Paolo Nespoli to answer questions posed by young students at the NASA Glenn Visitors Center at the Great Lakes Science Center.</t>
  </si>
  <si>
    <t>jweL9xyyu98</t>
  </si>
  <si>
    <t>2010 12 23</t>
  </si>
  <si>
    <t>https://youtu.be/Q7p1nHtFT5Y</t>
  </si>
  <si>
    <t>This Week at NASA -- This Year at NASA (Part 1&amp;2)</t>
  </si>
  <si>
    <t>From spaceflight, to science and technology; from understanding life here on Earth, to where we might find it somewhere else; from protecting our home planet, to inspiring the next generation of explorers.</t>
  </si>
  <si>
    <t>Q7p1nHtFT5Y</t>
  </si>
  <si>
    <t>https://youtu.be/MiUB6HRgmGU</t>
  </si>
  <si>
    <t>Sensors and Foam Removed From Shuttle's External Tank</t>
  </si>
  <si>
    <t>Technicians inside the Vehicle Assembly Building (VAB) at NASA's Kennedy Space Center in Florida remove foam insulation and test sensors from around space shuttle Discovery's external fuel tank on Dec. 23. More x-ray type scans of the ET's intertank area will help verify the repair and cause of cracks on the tops of two 21-foot-long, U-shaped aluminum brackets that scuttled Discovery's launch attempt on Nov. 5.</t>
  </si>
  <si>
    <t>MiUB6HRgmGU</t>
  </si>
  <si>
    <t>https://youtu.be/NsIlYF4Kh-U</t>
  </si>
  <si>
    <t xml:space="preserve"> Robinson  and Robonaut Reach Out to Students</t>
  </si>
  <si>
    <t>Actress June Lockhart, who played Dr. Maureen Robinson on TV's "Lost in Space," urges our next generation of explorers to study, and consider careers in science, technology, engineering and mathematics. Joining Lockhart is NASA's Robonaut, scheduled to soon become a permanent resident of the International Space Station.</t>
  </si>
  <si>
    <t>NsIlYF4Kh-U</t>
  </si>
  <si>
    <t>2010 12 22</t>
  </si>
  <si>
    <t>https://youtu.be/Gsu79p3KWX4</t>
  </si>
  <si>
    <t xml:space="preserve">Martian Holiday-  I'm Dreaming of a Blue Sunset </t>
  </si>
  <si>
    <t>Two new movie clips from Mars give us a rover's-eye view of a bluish Martian sunset and the silhouette of the moon Phobos passing in front of the sun.  NASA's Mars Exploration Rover Opportunity, carefully guided by researchers with an artistic sense, has recorded images used in the simulated movies.</t>
  </si>
  <si>
    <t>Gsu79p3KWX4</t>
  </si>
  <si>
    <t>https://youtu.be/DBGwJ-Wkucc</t>
  </si>
  <si>
    <t>Discovery Rolls Off Launch Pad for Repairs Tests</t>
  </si>
  <si>
    <t>Space shuttle Discovery moved from Launch Pad 39A back to the Vehicle Assembly Building at NASA's Kennedy Space Center in Florida in the early morning hours of Dec. 21. Crews in the VAB will scan below portions of Discovery's external fuel tank foam insulation for cracks and other potential problems. They'll also reapply foam after the removal of 89 sensors from the tank's aluminum skin that were needed for the shuttle's tanking test on Dec. 17. 
Managers and engineers will review the test data to determine whether Discovery will be ready on Feb.3 for its next launch opportunity for the STS-133 mission to the International Space Station.</t>
  </si>
  <si>
    <t>DBGwJ-Wkucc</t>
  </si>
  <si>
    <t>https://youtu.be/2P7ZggLYo2g</t>
  </si>
  <si>
    <t>ISS Crew Sends Holiday Greetings to All</t>
  </si>
  <si>
    <t>Aboard the International Space Station, Expedition 26 Commander Scott Kelly of NASA and Flight Engineers Cady Coleman of NASA and Paolo Nespoli of the European Space Agency offered Christmas and New Year's greetings to all people on Earth from the orbital outpost on Dec. 21 as they flew 224 statute miles above. Kelly, Coleman and Nespoli are part of the six-person crew that includes Russian cosmonauts Dmitry Kondratyev, Alexander Kaleri and Oleg Skripochka.</t>
  </si>
  <si>
    <t>2P7ZggLYo2g</t>
  </si>
  <si>
    <t>https://youtu.be/2Bc-Opq1IlA</t>
  </si>
  <si>
    <t xml:space="preserve">Coleman Awakens  American Morning </t>
  </si>
  <si>
    <t>New ISS resident and Expedition 26 Flight Engineer Cady Coleman chats with CNN's "American Morning" program about her recent arrival and scheduled six-month stay at the orbiting complex.</t>
  </si>
  <si>
    <t>2Bc-Opq1IlA</t>
  </si>
  <si>
    <t>https://youtu.be/BOddPaD-2-g</t>
  </si>
  <si>
    <t>NASA Season's Greetings 2010</t>
  </si>
  <si>
    <t>NASA Television's 2010 Season's Greetings ID takes us on a journey through some of Hubble's most beautiful images and ends with a view of a peaceful Earth through the cupola of the International Space Station. This piece was created by Mark R. Hailey, NASA Television's Art Director with piano accompaniment by Michael Chao.</t>
  </si>
  <si>
    <t>BOddPaD-2-g</t>
  </si>
  <si>
    <t>2010 12 20</t>
  </si>
  <si>
    <t>https://youtu.be/pxMuoAPxkvg</t>
  </si>
  <si>
    <t>Shuttle Undergoes Tanking Test</t>
  </si>
  <si>
    <t>At launch pad 39A at NASA's Kennedy Space Center in Florida, technicians performed a test of the space shuttle Discovery's external tank to assess the efficacy of recent repairs. A series of problems related to the ET has delayed Discovery's liftoff on STS-133 since early November.</t>
  </si>
  <si>
    <t>pxMuoAPxkvg</t>
  </si>
  <si>
    <t>2010 12 18</t>
  </si>
  <si>
    <t>https://youtu.be/bha5IZTXzBY</t>
  </si>
  <si>
    <t>After opening the hatch separating them, the three Expedition 26 crew members already aboard the International Space Station welcomed the complex's newest residents: Flight Engineers Cady Coleman, Paolo Nespoli and Dmitry Kondratyev.</t>
  </si>
  <si>
    <t>bha5IZTXzBY</t>
  </si>
  <si>
    <t>2010 12 17</t>
  </si>
  <si>
    <t>https://youtu.be/fzUmin_mHTs</t>
  </si>
  <si>
    <t>This Year @NASA 2010</t>
  </si>
  <si>
    <t>For NASA, 2010 was another year of new exploration, exciting discoveries, and important milestones.  From spaceflight, to science and technology; from understanding life here on Earth, to where we might find it elsewhere. From protecting our home planet, to inspiring the next generation of explorers.</t>
  </si>
  <si>
    <t>fzUmin_mHTs</t>
  </si>
  <si>
    <t>https://youtu.be/fDCeKGjhaRM</t>
  </si>
  <si>
    <t>Soyuz Docks to Space Station</t>
  </si>
  <si>
    <t>The Soyuz spacecraft carrying Expedition 26 Flight Engineers Cady Coleman, Paolo Nespoli and Dmitry Kondratyev docked with the International Space Station just after 3 p.m. Eastern Friday, Dec. 17. Their arrival brings to six the number of Expedition 26 residents aboard the ISS. A news conference was held in Korolev, Russia following the docking.</t>
  </si>
  <si>
    <t>fDCeKGjhaRM</t>
  </si>
  <si>
    <t>https://youtu.be/4OGJrOx_jBU</t>
  </si>
  <si>
    <t>NASA Science on the Road  Space Dogs and the Electric Atmosphere</t>
  </si>
  <si>
    <t>The annual gathering of Earth and space scientists in San Francisco at the American Geophysical Union meeting drew nearly 20,000 researchers, including many involved with NASA research. It also attracted a comic book hero this year. Angeline Burrell of the University of Texas at Dallas describes the adventures of CINDI at the edge of space.</t>
  </si>
  <si>
    <t>4OGJrOx_jBU</t>
  </si>
  <si>
    <t>2010 12 16</t>
  </si>
  <si>
    <t>https://youtu.be/KzCDsfZ0GQs</t>
  </si>
  <si>
    <t xml:space="preserve">Administrator Shares Holiday Greetings, Praise with NASA  Family </t>
  </si>
  <si>
    <t>In a holiday message to NASA employees, Administrator Charlie Bolden highlighted the achievements of NASA Employees and partners in 2010. Bolden praised and thanked the NASA family for its expertise and hard work, while pointing out the challenges of the year ahead.</t>
  </si>
  <si>
    <t>KzCDsfZ0GQs</t>
  </si>
  <si>
    <t>https://youtu.be/48hjjKUS7G8</t>
  </si>
  <si>
    <t xml:space="preserve"> Best of the Best  Launches  Powered  by Music</t>
  </si>
  <si>
    <t>Imagery rarely seen by the public that highlights three space shuttle launches is set to music in this special video produced by NASA engineers at the Glenn Research Center.</t>
  </si>
  <si>
    <t>48hjjKUS7G8</t>
  </si>
  <si>
    <t>https://youtu.be/vFwqZ4qAUkE</t>
  </si>
  <si>
    <t xml:space="preserve"> Best of the Best  Provides New Views, Commentary of Shuttle Launches</t>
  </si>
  <si>
    <t>This video from the Glenn Research Center highlights in stunning, behind-the-scenes imagery the launches of three space shuttle missions: STS-114, STS-117, and STS-124. NASA engineers provide commentary as footage from the ground and from the orbiters themselves document in detail the first phase of a mission.</t>
  </si>
  <si>
    <t>vFwqZ4qAUkE</t>
  </si>
  <si>
    <t>2010 12 15</t>
  </si>
  <si>
    <t>https://youtu.be/rk0IOEBOiZI</t>
  </si>
  <si>
    <t>Coleman, Crew Members Fly to ISS</t>
  </si>
  <si>
    <t>Expedition 26 Flight Engineers Cady Coleman, Paolo Nespoli and Dmitry Kondratyev liftoff in their Soyuz TMA-20 spacecraft from the Baikonur Cosmodrome in Kazakhstan at 2:09 p.m. Eastern Wednesday. They're expected to dock with the ISS on Friday to complement the crew already there: Commander Scott Kelly, Alexander Kaleri and Oleg Skripochkov.</t>
  </si>
  <si>
    <t>rk0IOEBOiZI</t>
  </si>
  <si>
    <t>https://youtu.be/WaUup6a-IMk</t>
  </si>
  <si>
    <t>NASA Science on the Road  Creeping Faults in California</t>
  </si>
  <si>
    <t>The annual gathering of Earth and space scientists in San Francisco at the American Geophysical Union meeting draws thousands of researchers, including many involved with NASA research. Gareth Funning of the University of California-Riverside talks about his work monitoring "creeping faults" in the Bay area. His NASA-sponsored project enlists high school students to document the effects of this rare type of fault.</t>
  </si>
  <si>
    <t>WaUup6a-IMk</t>
  </si>
  <si>
    <t>https://youtu.be/bKBcbBXecxs</t>
  </si>
  <si>
    <t>Coleman and Crew Members Hold Final Pre-Launch News Conference</t>
  </si>
  <si>
    <t>As they make their final preparations for Wednesday's launch to the International Space Station, Expedition 26 members Cady Coleman, Paolo Nespoli and Dmitry Kondratyev talk with reporters in Baikonur, Kazakhstan. They also participated in the Expedition 26 State Commission at the Baikonur Cosmodrome.</t>
  </si>
  <si>
    <t>bKBcbBXecxs</t>
  </si>
  <si>
    <t>2010 12 14</t>
  </si>
  <si>
    <t>https://youtu.be/PHfxHcFWoaU</t>
  </si>
  <si>
    <t>Kelly, Crew Await Three New ISS Residents</t>
  </si>
  <si>
    <t>International Space Station Commander Scott Kelly talks with CNN Radio and KRIV-TV, Houston about the upcoming arrival of the final three Expedition 26 crew members at the ISS. Cady Coleman, Paolo Nespoli and Dmitry Kondratyev are set to join Kelly, Alexander Kaleri and Oleg Skripochkov on Friday.</t>
  </si>
  <si>
    <t>PHfxHcFWoaU</t>
  </si>
  <si>
    <t>https://youtu.be/up0yImiN4S4</t>
  </si>
  <si>
    <t>Cassini Spots Potential Ice Volcano on Saturn Moon</t>
  </si>
  <si>
    <t>New data from NASA's Cassini spacecraft reveal topography on Saturn's moon Titan that makes the best case yet for an ice volcano on Titan and reveals the most Earth-like candidate in the outer solar system.</t>
  </si>
  <si>
    <t>up0yImiN4S4</t>
  </si>
  <si>
    <t>https://youtu.be/hXg4ugCajkE</t>
  </si>
  <si>
    <t>NASA Science on the Road  Oceans, Carbon, and Climate</t>
  </si>
  <si>
    <t>The annual gathering of Earth and space scientists in San Francisco at the American Geophysical Union meeting draws thousands of researchers from around the world, including many involved with NASA research. Galen McKinley of the University of Wisconsin-Madison talks about her work with carbon in the global oceans and the Great Lakes.</t>
  </si>
  <si>
    <t>hXg4ugCajkE</t>
  </si>
  <si>
    <t>2010 12 13</t>
  </si>
  <si>
    <t>https://youtu.be/16Ex51OJVT4</t>
  </si>
  <si>
    <t>Shuttle's External Tank Readied for Test</t>
  </si>
  <si>
    <t>Technicians at Launch Pad 39A at NASA's Kennedy Space Center in Florida, install strain gauges on space shuttle Discovery's external fuel tank. The ET will undergo a tanking test no earlier than Dec. 17 to help determine the cause of, and verify repairs to cracks on the tops of two 21-foot-long, U-shaped aluminum brackets, called stringers. The tank will be loaded with super-cold liquid oxygen and liquid hydrogen, causing it to shrink by about half an inch. A total of 89 strain gauges and temperature sensors will be installed to precisely record movement and temperatures from the external tank's ribbed intertank area as it chills and warms again during the fuel loading and emptying process. Managers and engineers will review the data gathered from the instrumented test before determining the next course of action. Discovery's next launch opportunity is no earlier than Feb. 3 at 1:34 a.m. EST.</t>
  </si>
  <si>
    <t>16Ex51OJVT4</t>
  </si>
  <si>
    <t>https://youtu.be/dykfmqK22rs</t>
  </si>
  <si>
    <t>Soyuz Rolls Out to Pad for Wednesday Launch</t>
  </si>
  <si>
    <t>As their Soyuz TMA-20 spacecraft is mated to its launch vehicle and rolled out to its launch pad, Expedition 26 members Cady Coleman, Paolo Nespoli and Dmitry Kondratyev participate in crew activities in Baikonur, Kazakhstan. Their launch to the International Space Station is scheduled for  2:09 p.m. Eastern on Wednesday.</t>
  </si>
  <si>
    <t>dykfmqK22rs</t>
  </si>
  <si>
    <t>2010 12 10</t>
  </si>
  <si>
    <t>https://youtu.be/MDG4fD6Qy7M</t>
  </si>
  <si>
    <t>Expedition 26 Crew's Final Launch Preps on This Week @NASA</t>
  </si>
  <si>
    <t>The next space station crew, Flight Engineers Cady Coleman, Paolo Nespoli and Dmitry Kondratyev are in Kazakhstan, readying for their launch to the International Space Station aboard a Soyuz spacecraft scheduled to liftoff from the Baikonur Cosmodrome on Monday. Also, the successful SpaceX launch, and Bolden and Wörner on "Master with Masters." Plus, more on NASA'S role in the Chilean miners' rescue; and NASA 360 on and IN the air.</t>
  </si>
  <si>
    <t>MDG4fD6Qy7M</t>
  </si>
  <si>
    <t>https://youtu.be/IsRm11sRi5E</t>
  </si>
  <si>
    <t>Shuttle's Main Engines Installed for Final Planned Flight</t>
  </si>
  <si>
    <t>Time-lapse video shows technicians at NASA's Kennedy Space Center in Florida installing all three main engines on space shuttle Atlantis, the orbiter that next year will fly the final scheduled shuttle flight. On Dec. 7, space shuttle main engine 1 was installed onto Atlantis in Kennedy's Orbiter Processing Facility-1 (OPF-1). Engine 3 was transported from Kennedy's Space Shuttle Main Engine Shop to OPF-1 the same day. On Dec. 8, engine 3 was installed, and engine 2 was transported into Atlantis' processing hangar. On Dec. 9, engine 2 was installed.</t>
  </si>
  <si>
    <t>IsRm11sRi5E</t>
  </si>
  <si>
    <t>https://youtu.be/UE00r8ISDI4</t>
  </si>
  <si>
    <t>Soyuz Crew Readies for Launch to ISS</t>
  </si>
  <si>
    <t>At the Baikonur Cosmodrome in Kazakhstan, Expedition 26 Soyuz Commander Dmitry Kondratyev, NASA Flight Engineer Cady Coleman and European Space Agency Flight Engineer Paolo Nespoli participated in a variety of activities from Dec. 3-10, 2010. They prepared for launch Dec. 16, Baikonur time, in their Soyuz TMA-20 spacecraft to the International Space Station. The footage includes the crew members' arrival in Baikonur, their suited and unsuited fit checks in their Soyuz spacecraft, the raising of flags outside their Cosmonaut Hotel crew quarters, and other traditional activities.</t>
  </si>
  <si>
    <t>UE00r8ISDI4</t>
  </si>
  <si>
    <t>2010 12 09</t>
  </si>
  <si>
    <t>https://youtu.be/Hzqd84njl3g</t>
  </si>
  <si>
    <t>Kelly Describes Life in Space for News Radio</t>
  </si>
  <si>
    <t>Expedition 26 Commander Scott Kelly is interviewed by Fox News Radio about his mission aboard the International Space Station. Kelly and Flight Engineers Alexander Kaleri and Oleg Skripochka are expecting the arrival of the three other members of their crew at the International Space Station on Dec. 17. Flight Engineers Dmitry Kondratyev, Cady Coleman and Paolo Nespoli are scheduled to launch Dec. 15 from Kazakhstan aboard their Soyuz spacecraft.</t>
  </si>
  <si>
    <t>Hzqd84njl3g</t>
  </si>
  <si>
    <t>https://youtu.be/i-GEZQ6zo9A</t>
  </si>
  <si>
    <t>Post-Demonstration Launch News Conference on NASA's Commercial Orbital Transportation Services</t>
  </si>
  <si>
    <t>Participants include: 
•         Elon Musk, SpaceX CEO and CTO
•         Gwynne Shotwell, SpaceX President
•         Alan Lindenmoyer, NASA Commercial Crew and Cargo Program Manager</t>
  </si>
  <si>
    <t>i-GEZQ6zo9A</t>
  </si>
  <si>
    <t>2010 12 08</t>
  </si>
  <si>
    <t>https://youtu.be/PVVofOldIdw</t>
  </si>
  <si>
    <t>Dragon Successfully Launched to Earth Orbit</t>
  </si>
  <si>
    <t>SpaceX's Dragon capsule successfully launched into Earth orbit aboard the company's Falcon 9 vehicle on Wed., Dec. 8. The spacecraft then safely re-entered the atmosphere and splashed down in the Pacific Ocean.The flight is a demonstration test for NASA's Commercial Orbital Transportation Services program to develop commercial supply services to the International Space Station and encourage the growth of the commercial space industry.</t>
  </si>
  <si>
    <t>PVVofOldIdw</t>
  </si>
  <si>
    <t>https://youtu.be/vPBeiLv_m-s</t>
  </si>
  <si>
    <t>Station Crew Readies to Double Size</t>
  </si>
  <si>
    <t>As he awaits the arrival next week of the three other members of his crew, Expedition 26 Commander Scott Kelly chatted with KTRK-TV, Houston and ABC News Radio about what preparations he and Flight Engineers Alexander Kaleri and Oleg Skripochka are making aboard the International Space Station. On Dec. 15, Flight Engineers Dmitry Kondratyev, Cady Coleman and Paolo Nespoli are scheduled to launch from the Baikonur Cosmodrome in Kazakhstan in the Soyuz TMA-20 spacecraft and arrive several days later at the ISS.</t>
  </si>
  <si>
    <t>vPBeiLv_m-s</t>
  </si>
  <si>
    <t>https://youtu.be/QXWEoRDaXPM</t>
  </si>
  <si>
    <t>NASA's Bolden Congratulates SpaceX on Successful Launch</t>
  </si>
  <si>
    <t>NASA Administrator Charles Bolden offers his congratulations to SpaceX on the company's successful launch of its Falcon 9 vehicle and subsequent re-entry by the Dragon capsule it sent into Earth's orbit. This was first in a series of three demonstration flights for NASA's Commercial Orbital Transportation Services (COTS) program to ferry cargo to the International Space Station.</t>
  </si>
  <si>
    <t>QXWEoRDaXPM</t>
  </si>
  <si>
    <t>https://youtu.be/ZUU38XkSFEs</t>
  </si>
  <si>
    <t>Dragon Successfully Launched to Earth Orbit HD</t>
  </si>
  <si>
    <t>SpaceX's Dragon capsule successfully launched into Earth orbit aboard the company's Falcon 9 vehicle on Wed., Dec. 8. The flight is a demonstration test for NASA's Commercial Orbital Transportation Services program to develop commercial supply services to the International Space Station and encourage the growth of the commercial space industry.</t>
  </si>
  <si>
    <t>ZUU38XkSFEs</t>
  </si>
  <si>
    <t>https://youtu.be/LZcxJSMQBKY</t>
  </si>
  <si>
    <t>New Show Details, Explains Changes in Arctic</t>
  </si>
  <si>
    <t>From sea ice melting, to massive ice sheets contributing to level rise, "What's Happening in the Arctic?" looks at the various factors relating to climate change in the planet's Arctic region. NASA scientist Tom Wagner provides an overview of the agency's unique monitoring and research activities. Hosted by Tiffany Nail.</t>
  </si>
  <si>
    <t>LZcxJSMQBKY</t>
  </si>
  <si>
    <t>https://youtu.be/de_2GoKGR54</t>
  </si>
  <si>
    <t xml:space="preserve">NASA Science Seminar  Arsenic and the Meaning of Life </t>
  </si>
  <si>
    <t>A scientific presentation by U.S. Geological Survey research hydrologist Dr. Ronald Oremland about the role of arsenic in microbial life and the microbial ecology of California's Mono Lake.  
Oremland is a senior scientist with the USGS Water Resources Division in Menlo Park, Calif., and a principal investigator with NASA's Exobiology and Evolutionary Biology Program, an element of NASA's Astrobiology Program. He is a co-author of the paper on arsenic findings published last week in Science Express and announced during the Dec. 2 NASA press conference.</t>
  </si>
  <si>
    <t>de_2GoKGR54</t>
  </si>
  <si>
    <t>2010 12 07</t>
  </si>
  <si>
    <t>https://youtu.be/aVczgFMj4U4</t>
  </si>
  <si>
    <t>NASA TV - Keeping Heroes Safe and the World Inspired</t>
  </si>
  <si>
    <t>A look at NASA Television, its primary role of promoting mission assurance and astronaut safety, and how it's kept the world's citizens informed about America's space program.</t>
  </si>
  <si>
    <t>aVczgFMj4U4</t>
  </si>
  <si>
    <t>2010 12 06</t>
  </si>
  <si>
    <t>https://youtu.be/Powb_QQiJCw</t>
  </si>
  <si>
    <t>Falcon 9 Launch Postponed to No Earlier Than Wednesday</t>
  </si>
  <si>
    <t>SpaceX officials discuss the final preparations for the launch of the Falcon 9 and its Dragon spacecraft. The demonstration test for NASA's Commercial Orbital Transportation Services is scheduled for Tuesday morning from the Cape Canaveral Air Force Station in Florida.</t>
  </si>
  <si>
    <t>Powb_QQiJCw</t>
  </si>
  <si>
    <t>https://youtu.be/RkXN964rQb4</t>
  </si>
  <si>
    <t>NASA Doc Details Chilean Miners' Rescue</t>
  </si>
  <si>
    <t>Dr. Mike Duncan, one of four NASA personnel who aided in the rescue of 33 trapped Chilean miners from an underground chamber, presents "Chilean Miner Rescue: the NASA Experience." Duncan talks about the team's efforts in Chile, and its subsequent visit to the White House.</t>
  </si>
  <si>
    <t>RkXN964rQb4</t>
  </si>
  <si>
    <t>https://youtu.be/sgmGX8kgsZc</t>
  </si>
  <si>
    <t>Expedition 26 Crew Departs for Kazakh Launch Site</t>
  </si>
  <si>
    <t>Expedition 26 Soyuz Commander Dmitry Kondratyev, NASA Flight Engineer Cady Coleman and European Space Agency Flight Engineer Paolo Nespoli participated in traditional ceremonies at the Gagarin Cosmonaut Training Center in Star City, Russia, outside Moscow Dec. 3, 2010. Afterward, they departed 
for the Baikonur Cosmodrome in Kazakhstan to complete training for their 
launch to the International Space Station in the Soyuz TMA-20 spacecraft 
on Dec. 16, Baikonur time. After arriving in Baikonur, they will conduct 
a series of prelaunch activities as they prepare for liftoff to the orbital outpost.</t>
  </si>
  <si>
    <t>sgmGX8kgsZc</t>
  </si>
  <si>
    <t>2010 12 03</t>
  </si>
  <si>
    <t>https://youtu.be/Evlbc8yP75w</t>
  </si>
  <si>
    <t>A New Look at Life on This Week @NASA</t>
  </si>
  <si>
    <t>A team of NASA-funded researchers find there may be different criteria by which we search for life elsewhere in the universe. Also, shuttle Discovery gets a new target launch date; SOFIA flies its first science mission; NASA's Small Business Awards, and an alternative fuels pilot program. Plus, Scott Kelly's geography trivia from space, and the anniversary of Gemini 7.</t>
  </si>
  <si>
    <t>Evlbc8yP75w</t>
  </si>
  <si>
    <t>https://youtu.be/5xo60Zb_gqw</t>
  </si>
  <si>
    <t>Discovery Launch No Earlier Than February 3</t>
  </si>
  <si>
    <t>Space shuttle Discovery's launch for the STS-133 mission has been targeted for no earlier than February 3, 2011 to allow for more testing on two 21-foot-long, U-shaped aluminum brackets, called stringers, on the shuttle's external tank. NASA repaired the cracks and reapplied foam 
to the exterior of the stringers. 
Engineers will continue to search for the root cause of the stringer cracks 
through data analysis and tests, including placement of manufacturing defects in separate stringers to demonstrate structural integrity in an effort to duplicate the same type of failure that occurred in November. Engineers and technicians will also inspect the tank for evidence of any foam cracking as it would on an actual launch day.
Because of Discovery's delayed launch, the earliest opportunity for the liftoff of the final scheduled shuttle mission, STS-134 on Endeavour, is April 1.</t>
  </si>
  <si>
    <t>5xo60Zb_gqw</t>
  </si>
  <si>
    <t>2010 12 02</t>
  </si>
  <si>
    <t>https://youtu.be/JVSJLUIQrA0</t>
  </si>
  <si>
    <t>NASA-Funded Research Discovers Life Built with Toxic Chemical</t>
  </si>
  <si>
    <t>NASA-funded astrobiology research has changed the fundamental knowledge about what comprises all known life on Earth.
Researchers conducting tests in the harsh environment of Mono Lake in California have discovered the first known microorganism on Earth able to thrive and reproduce using the toxic chemical arsenic. The microorganism substitutes arsenic for phosphorus in its cell components.
This finding of an alternative biochemistry makeup will alter biology textbooks 
and expand the scope of the search for life beyond Earth. The research 
is published in this week's edition of Science Express.</t>
  </si>
  <si>
    <t>JVSJLUIQrA0</t>
  </si>
  <si>
    <t>2010 12 01</t>
  </si>
  <si>
    <t>https://youtu.be/mDU0fg6iLgk</t>
  </si>
  <si>
    <t>SOFIA Observatory Completes First Science Flight</t>
  </si>
  <si>
    <t>NASA's Stratospheric Observatory For Infrared Astronomy (or SOFIA) completed its first science flight on Dec. 1, demonstrating the airborne observatory's ability to make observations not possible from ground-based telescopes. Five more flights are planned over the coming months in the observatory's Short Science series.</t>
  </si>
  <si>
    <t>mDU0fg6iLgk</t>
  </si>
  <si>
    <t>https://youtu.be/Sbn7NXkxoEU</t>
  </si>
  <si>
    <t>Expedition 26 Meets the Media and Pays Homage at Red Square</t>
  </si>
  <si>
    <t>Expedition 26 Soyuz Commander Dmitry Kondratyev, NASA Flight Engineer Cady Coleman and European Space Agency Flight Engineer Paolo Nespoli participated in traditional ceremonies at Red Square in Moscow Nov. 26, 2010, laying flowers at the Kremlin Wall as they paid tribute to iconic Russian officials buried there. 
The ceremony is part of the traditional activities in advance of their launch to the International Space Station on Dec. 16, Kazakhstan time. Prior to that, they fielded questions from reporters at their training base at the Gagarin Cosmonaut Training Center in Star City, Russia, outside Moscow.</t>
  </si>
  <si>
    <t>Sbn7NXkxoEU</t>
  </si>
  <si>
    <t>2010 11 30</t>
  </si>
  <si>
    <t>https://youtu.be/XhHaA8K2gZM</t>
  </si>
  <si>
    <t>Students Start Space Week at Kennedy Space Center</t>
  </si>
  <si>
    <t>Students from throughout Brevard County, Fla., were at the Kennedy Space Center Visitor Complex, which is adjacent to NASA's Kennedy Space Center, for the opening day of the 8th annual Brevard Space Week. The multi-day event features hands-on activities, astronaut appearances and science demonstrations focusing on science, technology, engineering and math. Every sixth-grade public school student in Brevard County will spend a day at this year's event, which runs through Dec. 10. Brevard Space Week is sponsored by Kennedy's Education Office, Brevard County Schools, the KSC Visitor Complex and the Florida Chapter of the National Space Club.</t>
  </si>
  <si>
    <t>XhHaA8K2gZM</t>
  </si>
  <si>
    <t>2010 11 29</t>
  </si>
  <si>
    <t>https://youtu.be/02q4F_kDUB0</t>
  </si>
  <si>
    <t>On This Week at NASA...</t>
  </si>
  <si>
    <t>A safe return for the Expedition 25 crew, a status report on the STS-133 mission, enter the Dragon; a newly-licensed reusable spacecraft, space talks with the ISS crew, wind tunnel testing, and it's all Good when an astronaut goes home sweet home.</t>
  </si>
  <si>
    <t>02q4F_kDUB0</t>
  </si>
  <si>
    <t>2010 11 26</t>
  </si>
  <si>
    <t>https://youtu.be/AY08g_8XKbE</t>
  </si>
  <si>
    <t>Expedition 25 Crew Lands Safely in Kazakhstan</t>
  </si>
  <si>
    <t>Expedition 25 Soyuz Commander Fyodor Yurchikhin, NASA International Space Station Commander Doug Wheelock and NASA Flight Engineer Shannon Walker landed safely on the steppe of Kazakhstan on Nov. 26, 2010, Kazakhstan time, after bidding farewell to the Expedition 26 crew and undocking their Soyuz TMA-19 spacecraft from the station. The trio completed almost six months in space after launching in June. They are shown being assisted by Russian personnel into reclining chairs to begin their adaptation to gravity after being extracted from their capsule in Kazakhstan.</t>
  </si>
  <si>
    <t>AY08g_8XKbE</t>
  </si>
  <si>
    <t>https://youtu.be/G0TWEN7kVAY</t>
  </si>
  <si>
    <t>Expedition 25 Undocks, Heads Home</t>
  </si>
  <si>
    <t>Expedition 25 has ended its stay at the International Space Station. The departing trio -- Doug Wheelock, Shannon Walker and Soyuz Commander Fyodor Yurchikhin -- undocked in the Soyuz TMA-19 at 8:23 p.m. EST. 
Staying behind are Expedition 26 Commander Scott Kelly and Flight Engineers Alexander Kaleri and Oleg Skripochka. Though the ceremonial change-of-command ceremony occurred Wednesday, their increment officially began when the Soyuz TMA-19 undocked.</t>
  </si>
  <si>
    <t>G0TWEN7kVAY</t>
  </si>
  <si>
    <t>2010 11 25</t>
  </si>
  <si>
    <t>https://youtu.be/i_1cVX_P_aQ</t>
  </si>
  <si>
    <t>Expedition 25 Trio Closes Hatches, Prepares for Undocking</t>
  </si>
  <si>
    <t>Expedition 25 is ending today as outgoing Commander Doug Wheelock and Flight Engineers Shannon Walker and Fyodor Yurchikhin have entered the Soyuz TMA-19 and closed the hatches.</t>
  </si>
  <si>
    <t>i_1cVX_P_aQ</t>
  </si>
  <si>
    <t>https://youtu.be/BtzNxMGbTA4</t>
  </si>
  <si>
    <t>NASA Managers Discuss Space Shuttle Discovery's STS-133 Mission</t>
  </si>
  <si>
    <t>Bill Gerstenmaier, associate administrator for Space Operations, and Space Shuttle Program Manager John Shannon discuss the status of the next space shuttle mission in a news conference from NASA's Johnson Space Center in Houston. NASA managers discussed the progress of repairs since Discovery's launch on its STS-133 mission to the International Space Station was delayed Nov. 5.
The news conference followed Wednesday's Space Shuttle Program Requirements Control Board at which program officials reviewed repairs and ongoing engineering evaluations associated with cracks on two 21-foot-long, U-shaped aluminum brackets, called stringers, on the shuttle's external tank.</t>
  </si>
  <si>
    <t>BtzNxMGbTA4</t>
  </si>
  <si>
    <t>2010 11 24</t>
  </si>
  <si>
    <t>https://youtu.be/sBkiOt3zjWI</t>
  </si>
  <si>
    <t>Expedition 25 Hands Over the Space Station to Expedition 26</t>
  </si>
  <si>
    <t>The reins of the International Space Station were passed from Expedition 25 Commander Doug Wheelock to Expedition 26 Commander Scott Kelly in a ceremony aboard the complex Nov. 24. The other station crew members looked on. Wheelock, Shannon Walker and Fyodor Yurchikhin will return to Earth in their Soyuz TMA-19 spacecraft Nov. 25 for a parachute-assisted landing on the steppe of Kazakhstan.</t>
  </si>
  <si>
    <t>sBkiOt3zjWI</t>
  </si>
  <si>
    <t>2010 11 23</t>
  </si>
  <si>
    <t>https://youtu.be/h73EYcyszf8</t>
  </si>
  <si>
    <t>Space Station Crew Uses HAM Radio to Call Earth</t>
  </si>
  <si>
    <t>Inside the International Space Station, Expedition 25 commander Doug Wheelock gave a tour of the Russian segment of the orbiting complex, including the Soyuz spacecraft docked there.  Wheelock showed off the station's HAM radio, using the call sign "NA1SS," to talk with people on the ground as the station flies overhead at 17,500 miles per hour. Wheelock, and Flight Engineers Shannon Walker and Fyodor Yurchickin all will return home to Earth this Thursday, Nov. 25.</t>
  </si>
  <si>
    <t>h73EYcyszf8</t>
  </si>
  <si>
    <t>https://youtu.be/O9sYVb2Iecg</t>
  </si>
  <si>
    <t>Station Crew Offers Thanks at the Thanksgiving Holiday</t>
  </si>
  <si>
    <t>Aboard the International Space Station, Expedition 25 Commander Doug Wheelock and Flight Engineers Shannon Walker and Scott Kelly offered their thoughts about the Thanksgiving holiday and being away from home at the start of the holiday season in a message downlinked on Nov. 18, 2010. Wheelock and Walker are scheduled to return to Earth on Thanksgiving evening, U.S. time, with Russian cosmonaut Fyodor Yurchikhin for a landing in Kazakhstan in their Soyuz TMA-19 spacecraft. Kelly will remain on the station with Russian crewmates Alexander Kaleri and Oleg Skripochka until March.</t>
  </si>
  <si>
    <t>O9sYVb2Iecg</t>
  </si>
  <si>
    <t>https://youtu.be/sVwkscQzOho</t>
  </si>
  <si>
    <t>Station Crew Discusses Life in Space at Department of Education Event</t>
  </si>
  <si>
    <t>From the International Space Station, Expedition 25 Commander Doug Wheelock and Flight Engineers Shannon Walker and Scott Kelly discussed life and work aboard the orbital laboratory with students gathered at the Department of Education in Washington, D.C., on Nov. 23. The event attracted a number of dignitaries, including Education Secretary Arne Duncan and NASA's Associate Administrator for Education, astronaut Leland Melvin. Wheelock and Walker will return to Earth Thanksgiving Day with Soyuz Commander Fyodor Yurchikhin for a landing in their Soyuz TMA-19 spacecraft on the steppe of Kazakhstan. Kelly will become station commander during a Change of Command ceremony Wednesday and remain on the complex until March.‬</t>
  </si>
  <si>
    <t>sVwkscQzOho</t>
  </si>
  <si>
    <t>2010 11 22</t>
  </si>
  <si>
    <t>https://youtu.be/9DWj1-Hxnz0</t>
  </si>
  <si>
    <t>Departing Station Crew Member  Star Talks  During In-Flight Interview</t>
  </si>
  <si>
    <t>Aboard the International Space Station, Expedition 25 Flight Engineer Shannon Walker discussed her life and work in orbit with renowned astrophysicist Dr. Neil deGrasse Tyson during an in-flight interview Nov. 22 for his syndicated "StarTalk" radio program. Walker will return to Earth Thanksgiving Day with Soyuz Commander Fyodor Yurchikhin and station Commander Doug Wheelock in their Soyuz TMA-19 spacecraft for a landing on the steppe of Kazakhstan after 5 ½ months in space.‬
‪</t>
  </si>
  <si>
    <t>9DWj1-Hxnz0</t>
  </si>
  <si>
    <t>2010 11 19</t>
  </si>
  <si>
    <t>https://youtu.be/DzeNeeA3iJY</t>
  </si>
  <si>
    <t>NASA's Microsatellite FASTSAT Readies for Launch</t>
  </si>
  <si>
    <t>NASA's Fast, Affordable, Science and Technology Satellite, or FASTSAT, is scheduled to lift off from the Kodiak Launch Complex on Kodiak Island, Alaska, on Friday, November 19th at approximately 7:24 p.m. CST on a Minotaur IV launch vehicle. 
FASTSAT will carry six small payloads to low-Earth orbit, demonstrating a critical ability to provide low-cost opportunities for scientific and technical payloads to get to space. FASTSAT is NASA's first microsatellite designed to create a capability that increases opportunities for secondary, scientific and technology payloads, or rideshares, to be flown at lower cost than previously possible. It serves as a bus or platform that puts scientific research on the
affordable fast track for governmental, academic and industry researchers.
The NanoSail-D technology demonstration experiment will ride to orbit on
FASTSAT, which was designed, built and tested in Huntsville. 
Once the satellite is in orbit, mission control for FASTSAT and its six onboard experiments will cut over to the newly formed small satellite mission control room at Marshall's Huntsville Operations and Science Control Center. 
The nanosatellite NanoSail-D will deploy NASA's first solar sail in low-Earth orbit from the microsatellite FASTSAT and demonstrate the deployment of a compact solar sail boom system that could lead to further development of this alternate propulsion technology. Once ejected and its sail unfurled, the 100-square-foot solar sail, which is about the size of a large tent, will be observable for approximately 70-120 days before it re-enters the atmosphere and disintegrates.</t>
  </si>
  <si>
    <t>DzeNeeA3iJY</t>
  </si>
  <si>
    <t>https://youtu.be/NWupQkE8WW8</t>
  </si>
  <si>
    <t>Repairs Made to Shuttle Discovery's External Tank</t>
  </si>
  <si>
    <t>At NASA's Kennedy Space Center in Florida, technicians at Launch Pad 39A are working to repair small cracks on the tops of two metal support beams, called stringers, on space shuttle Discovery's external fuel tank. Teams have removed 13-inches of metal from the tops of the two stringers and installed new sections of metal, called a doubler, in the cracked metal's place as part of the repair method. It's called a doubler because it's twice as thick as the original stringer metal. Video b-roll includes lipstick camera views from inside an environmental enclosure where the repair work is taking place on the outside of the external tank. The enclosure will provide the proper temperature and humidity when foam insulation is reapplied to the tops of the stringers following the repairs. 
The stringer cracks developed as the external tank was being filled for Discovery's launch attempt on Nov. 5 for its STS-133 mission to the International Space Station. That launch attempt was scrubbed because of a hydrogen gas leak, which other technicians have repaired.</t>
  </si>
  <si>
    <t>NWupQkE8WW8</t>
  </si>
  <si>
    <t>2010 11 18</t>
  </si>
  <si>
    <t>https://youtu.be/j0x-j1D4oJE</t>
  </si>
  <si>
    <t>EPOXI's Comet Encounter Produces Revealing Data</t>
  </si>
  <si>
    <t>Scientists at a NASA briefing held in Washington Nov. 18 discuss the data collected by the EPOXI mission on its recent flyby of comet Hartley 2. Travelling at a speed of 27,000 mph, the spacecraft passed Hartley 2 at an altitude of about 435 miles from the comet's surface, close enough to reveal details of its nucleus and give scientists the most extensive look at a comet in history. Comets are remnants of the formation of our solar system more than 4-and-a-half-billion years old.</t>
  </si>
  <si>
    <t>j0x-j1D4oJE</t>
  </si>
  <si>
    <t>https://youtu.be/rXX5Z5vbOlA</t>
  </si>
  <si>
    <t>Wheels and Crew Chat with Rick and Bubba</t>
  </si>
  <si>
    <t>Expedition 25 Commander Doug "Wheels" Wheelock, and ISS Flight Engineers Shannon Walker and Scott Kelly speak from the International Space Station with syndicated radio show hosts Rick and Bubba about life aboard the orbiting complex.</t>
  </si>
  <si>
    <t>rXX5Z5vbOlA</t>
  </si>
  <si>
    <t>https://youtu.be/LnAjWtsINnQ</t>
  </si>
  <si>
    <t>EPOXI Data Reveals Comet's Secrets</t>
  </si>
  <si>
    <t>Scientists say the data collected by the EPOXI mission of comet Hartley 2 are as revealing as the pictures taken on the spacecraft's recent flyby. The spacecraft passed Hartley 2 at an altitude of about 435 miles from the comet's surface, close enough to reveal details of its nucleus and give scientists the most extensive look at a comet in history. Comets are remnants of the formation of our solar system more than 4-and-a-half-billion years old.</t>
  </si>
  <si>
    <t>LnAjWtsINnQ</t>
  </si>
  <si>
    <t>2010 11 17</t>
  </si>
  <si>
    <t>https://youtu.be/GkP_HAzMnC0</t>
  </si>
  <si>
    <t>Shuttle Teams Repairing Source of Leak</t>
  </si>
  <si>
    <t>At NASA's Kennedy Space Center's Launch Pad 39A, technicians are completing repairs on space shuttle Discovery's ground umbilical carrier plate (GUCP).  On Nov. 17, the hydrogen vent line was reattached to the GUCP. That vent pipe carries excess hydrogen gas safely away from Discovery to a flare stack, where it is burned off. Teams will analyze the hardware fittings and pressure check the connections to look for any possible leaks.</t>
  </si>
  <si>
    <t>GkP_HAzMnC0</t>
  </si>
  <si>
    <t>2010 11 16</t>
  </si>
  <si>
    <t>https://youtu.be/5S_2XetvKn0</t>
  </si>
  <si>
    <t>Technicians at Launch Pad 39A at NASA's Kennedy Space Center in Florida continue repairs to small cracks on the tops of two metal support beams, called stringers, on space shuttle Discovery's external tank, or ET. Teams have built an environmental enclosure in an area around the stringers, which will provide the proper temperature and humidity when foam insulation is reapplied to the tops of the stringers following the repairs. The stringer cracks developed as the ET was being filled for Discovery's launch attempt on Nov. 5 for its STS-133 mission to the International Space Station. Discovery's next launch window extends from Nov. 30 to Dec. 6.</t>
  </si>
  <si>
    <t>5S_2XetvKn0</t>
  </si>
  <si>
    <t>https://youtu.be/8jqrT1klE50</t>
  </si>
  <si>
    <t>Chandra Science Briefing Centers on  Baby  Black Hole Neighbor</t>
  </si>
  <si>
    <t>A science briefing held at NASA Headquarters Nov. 15 discusses the discovery by astronomers using NASA's Chandra X-ray Observatory of what could be the youngest black hole in our cosmic neighborhood -- a mere 30 years old. The "baby" black hole is a remnant of SN 1979C, a supernova in the galaxy M100 about 50 million light years from Earth. Scientists believe that SN1979C, discovered by an amateur astronomer in 1979, formed with the collapse of a star about 20 times more massive than our Sun. The object's detection provides a unique opportunity to watch a black hole develop during infancy.</t>
  </si>
  <si>
    <t>8jqrT1klE50</t>
  </si>
  <si>
    <t>https://youtu.be/vIlJFIX7_ks</t>
  </si>
  <si>
    <t>ISS Cosmonauts Complete Spacewalk</t>
  </si>
  <si>
    <t>Outside the International Space Station, Expedition 25 Flight Engineers Fyodor Yurchikhin and Oleg Skripochka conducted a 6 hour, 27 minute spacewalk from the Russian Pirs Docking Compartment airlock November 15, 2010.  The spacewalk was the 151st in support of space station assembly and maintenance, the fifth in Yurchikhin's career and the first for Skripochka.</t>
  </si>
  <si>
    <t>vIlJFIX7_ks</t>
  </si>
  <si>
    <t>2010 11 15</t>
  </si>
  <si>
    <t>https://youtu.be/8YzHObZ2qb4</t>
  </si>
  <si>
    <t>Chandra Discovers  Baby  Black Hole Neighbor</t>
  </si>
  <si>
    <t>Astronomers using NASA's Chandra X-ray Observatory believe they've discovered what could be the youngest black hole in our cosmic neighborhood -- a mere 30 years old. The "baby" black hole is a remnant of SN 1979C, a supernova in the galaxy M100 about 50 million light years from Earth. Scientists believe that SN1979C, discovered by an amateur astronomer in 1979, formed with the collapse of a star about 20 times more massive than our Sun. The object's detection provides a unique opportunity to watch a black hole develop during infancy.</t>
  </si>
  <si>
    <t>8YzHObZ2qb4</t>
  </si>
  <si>
    <t>https://youtu.be/Q53-qnWBNp4</t>
  </si>
  <si>
    <t>NASA's Operation IceBridge Continues Antarctic Mission</t>
  </si>
  <si>
    <t>NASA's Operation IceBridge continues its multi-year mission to map polar ice sheets and sea ice from Punta Arenas, Chile. Researchers are using seven instruments aboard NASA's DC-8 flying laboratory to map Antarctic ice surfaces and the features hidden below. The data are critical for understanding the dynamics of ice in West Antarctica and its impact on sea-level rise.</t>
  </si>
  <si>
    <t>Q53-qnWBNp4</t>
  </si>
  <si>
    <t>2010 11 12</t>
  </si>
  <si>
    <t>https://youtu.be/aIhP8nVik4Y</t>
  </si>
  <si>
    <t>New Shuttle Launch Date Tops This Week @NASA</t>
  </si>
  <si>
    <t>A new target launch date has been selected for STS-133, allowing ample time for repairs to space shuttle Discovery. Also, NASA's chief technologist and planetary science director were among more than 20 speakers featured at the second TEDxNASA conference in Newport News, Virginia. Hosted by the Langley Research Center, TEDx focused on education, innovation, family, technology, art and space travel. Plus, X-15 astronaut Joe Wagner joins Aerospace Hall of Fame; HQ Honor Awards; and Herrington helps celebrate American Indian &amp; Alaska Native Heritage Month.</t>
  </si>
  <si>
    <t>aIhP8nVik4Y</t>
  </si>
  <si>
    <t>2010 11 11</t>
  </si>
  <si>
    <t>https://youtu.be/MpLb-bifrZ8</t>
  </si>
  <si>
    <t>Rocket Engine for Commercial Space Vehicle Test Fired at Stennis</t>
  </si>
  <si>
    <t>NASA's Stennis Space Center conducted a successful 10-second test firing of the liquid fuel Aerojet AJ26 engine that will power the first stage of the Orbital Sciences Corporation's Taurus® II space launch vehicle. This test supports NASA's partnerships to enable commercial cargo flights to the International Space Station. The test served as a short-duration readiness firing to verify the AJ26 engine's start and shutdown sequences, as well as test stand operations and controls.</t>
  </si>
  <si>
    <t>MpLb-bifrZ8</t>
  </si>
  <si>
    <t>2010 11 10</t>
  </si>
  <si>
    <t>https://youtu.be/Xy2iKji29H8</t>
  </si>
  <si>
    <t>Discovery's Repair Begins at Kennedy</t>
  </si>
  <si>
    <t>Technicians at Launch Pad 39A at NASA's Kennedy Space Center began the process of repairing a hydrogen gas leak that scrubbed space shuttle Discovery's Nov. 5 launch attempt. STS-133 is now targeted to launch to the International Space Station no earlier than Nov. 30 at 4:02 a.m. Eastern.</t>
  </si>
  <si>
    <t>Xy2iKji29H8</t>
  </si>
  <si>
    <t>https://youtu.be/900J_ODhap4</t>
  </si>
  <si>
    <t xml:space="preserve">Leinbach Shuttle's  Button-Pusher </t>
  </si>
  <si>
    <t>He's the guy who, figuratively, pushes "the big red button" to send the shuttle into space. Astronaut Mike Massimino takes you inside the firing room at the Kennedy Space Center to meet Shuttle Launch Director Mike Leinbach in this episode of NASA "Behind the Scenes."</t>
  </si>
  <si>
    <t>900J_ODhap4</t>
  </si>
  <si>
    <t>https://youtu.be/d5DvW1caEgs</t>
  </si>
  <si>
    <t>Discovery Crew Performs  Swimmingly  in NBL</t>
  </si>
  <si>
    <t>In this episode of NASA "Behind the Scenes," astronaut Mike Massimino visits the Johnson Space Center's Neutral Buoyancy Laboratory. The world's largest indoor pool is where Al Drew, Tim Kopra, Mike Barratt and Nicole Stott of the STS-133 crew are practicing the mission's planned spacewalks.</t>
  </si>
  <si>
    <t>d5DvW1caEgs</t>
  </si>
  <si>
    <t>https://youtu.be/AS-26XG9GXA</t>
  </si>
  <si>
    <t xml:space="preserve"> Larry the Cable Guy  Says  Git-R-Done!  and Watch NASA TV</t>
  </si>
  <si>
    <t>In this second of three station IDs, comedian Daniel Lawrence Whitney, a.k.a. "Larry the Cable Guy," implores viewers to watch NASA Television.</t>
  </si>
  <si>
    <t>AS-26XG9GXA</t>
  </si>
  <si>
    <t>https://youtu.be/8pv1BeGYjMI</t>
  </si>
  <si>
    <t>NASA TV  Larry the Cable Guy's  Favorite Channel</t>
  </si>
  <si>
    <t>"Larry the Cable Guy" declares NASA TV as his choice for optimal television viewing. This testimonial is one in a series of three station IDs performed by comedian Daniel Lawrence Whitney on a recent visit to NASA's Johnson Space Center in Houston.</t>
  </si>
  <si>
    <t>8pv1BeGYjMI</t>
  </si>
  <si>
    <t>https://youtu.be/9hlu-Uvt0t4</t>
  </si>
  <si>
    <t xml:space="preserve"> If You're Not, You Oughta Be!  says NASA TV Fan  Larry the Cable Guy </t>
  </si>
  <si>
    <t>Comedian Daniel Lawrence Whitney, a.k.a. "Larry the Cable Guy," suggests that those not already tuned to NASA Television should alter their viewing habits. This testimonial is one in a series of three station IDs videotaped by Whitney on a recent visit to NASA's Johnson Space Center in Houston.</t>
  </si>
  <si>
    <t>9hlu-Uvt0t4</t>
  </si>
  <si>
    <t>2010 11 09</t>
  </si>
  <si>
    <t>https://youtu.be/X5PgNpwSqdI</t>
  </si>
  <si>
    <t>ISS Crew Pays Veterans Day Tribute to U.S. Servicemen and Women</t>
  </si>
  <si>
    <t>Expedition 25 Commander Doug Wheelock, an Army colonel, and Flight Engineer Scott Kelly, a Navy captain, paid tribute to U.S. servicemen and women around the world in a Veterans Day message sent from the International Space Station on November 8, 2010. Wheelock and Kelly displayed the Medal of Honor awarded to Army Sergeant Lester R. Stone, who gave his life in the line of duty in Vietnam on March 3, 1969.</t>
  </si>
  <si>
    <t>X5PgNpwSqdI</t>
  </si>
  <si>
    <t>2010 11 08</t>
  </si>
  <si>
    <t>https://youtu.be/sD8BuJPGExE</t>
  </si>
  <si>
    <t>NASA EPOXI Hartley Flyby Reveals New Insights into Comet Features</t>
  </si>
  <si>
    <t>NASA's EPOXI mission spacecraft successfully flew past comet Hartley 2 on Thursday, Nov. 4, 2010. Scientists say initial images from the flyby provide new information about the comet's volume and material spewing from its surface. EPOXI is an extended mission that uses the already in-flight Deep Impact spacecraft.</t>
  </si>
  <si>
    <t>sD8BuJPGExE</t>
  </si>
  <si>
    <t>2010 11 05</t>
  </si>
  <si>
    <t>https://youtu.be/I6dru-Wefa0</t>
  </si>
  <si>
    <t>The Postponement of Mission STS-133 tops the billboard on This Week @ NASA</t>
  </si>
  <si>
    <t>Also, EPOXI meets a Comet, NASA and LEGO build a future together, Administrator Bolden heralds ten years of ISS, KSC Tweetsup, Sonic Booms,  and Remembering Voyager 1.</t>
  </si>
  <si>
    <t>I6dru-Wefa0</t>
  </si>
  <si>
    <t>2010 11 04</t>
  </si>
  <si>
    <t>https://youtu.be/34cHTsgRFdg</t>
  </si>
  <si>
    <t>STS-133 Mission Managers Give Go-Ahead for Thursday Launch</t>
  </si>
  <si>
    <t>After investigating an issue with a main engine controller on space shuttle Discovery, the Prelaunch Mission management Team has decided to go ahead with Discovery's launch from the Kennedy Space Center on Thursday at 3:29 p.m. EDT.  The countdown will proceed through Wednesday night, including the retraction of the Rotating Service Structure from around the shuttle.
The team feels weather may still be a concern, with a forecast calling for a 20 percent chance of acceptable conditions near launch time.  Managers will meet on Thursday morning at 5:30 a.m. to consider whether to fill the shuttle's external tank for the launch.</t>
  </si>
  <si>
    <t>34cHTsgRFdg</t>
  </si>
  <si>
    <t>2010 11 02</t>
  </si>
  <si>
    <t>https://youtu.be/bZMILIwkOzQ</t>
  </si>
  <si>
    <t>Discovery Launch Delayed by at Least a Day</t>
  </si>
  <si>
    <t>The Space Shuttle Program Mission Management Team decided to delay by at least one day the launch of shuttle Discovery to begin its 11-day mission to the International Space Station. 
The Rotating Service Structure will not be retracted tonight. 
NASA Television will air a news conference at 6:30 p.m. EDT with Mike Moses, prelaunch MMT chair and Mike Leinbach, shuttle launch director. 
The delay enables engineers more time to evaluate data gathered after irregular electrical readings were received while powering up the shuttle main engines Tuesday morning.</t>
  </si>
  <si>
    <t>bZMILIwkOzQ</t>
  </si>
  <si>
    <t>https://youtu.be/iHIcuYCeosE</t>
  </si>
  <si>
    <t>Mission Control Practices Launching Discovery</t>
  </si>
  <si>
    <t>Before every shuttle launch, the astronauts train with their ascent team in Mission Control Houston. In this episode of NASA Behind the Scenes, astronaut Mike Massimino introduces you to some of the STS-133 Mission Control team members as well as the people who work in the back rooms. Also, sit in the "front room" as shuttle Discovery runs through a simulated launch.</t>
  </si>
  <si>
    <t>iHIcuYCeosE</t>
  </si>
  <si>
    <t>https://youtu.be/qCkwNvKzom8</t>
  </si>
  <si>
    <t>Countdown Status Briefing One Day Before Discovery Launch</t>
  </si>
  <si>
    <t>With the final launch of space shuttle Discovery scheduled just one a day away for mission STS-133, countdown activities continue with technicians inspecting the external tank liquid oxygen feedline.  During a Tuesday morning status briefing, NASA Test Director Steve Payne, STS-133 Payload Manager Scott Higginbotham, and Shuttle Weather Officer Kathy Winters updated the media on the latest launch preparations.</t>
  </si>
  <si>
    <t>qCkwNvKzom8</t>
  </si>
  <si>
    <t>https://youtu.be/TtWCT8qCyXs</t>
  </si>
  <si>
    <t>ISS Crew Answers Questions From Reporters on the 10th Anniversary of Human Presence on ISS</t>
  </si>
  <si>
    <t>Expedition 25, the 25th crew to live and work aboard the station, consists of Commander Doug Wheelock; his fellow NASA astronauts Scott Kelly and Shannon Walker; and Russian cosmonauts Fyodor Yurchikhin, Alexander Kaleri and Oleg Skripochka.</t>
  </si>
  <si>
    <t>TtWCT8qCyXs</t>
  </si>
  <si>
    <t>https://youtu.be/P_NL8lHCszo</t>
  </si>
  <si>
    <t>NASA Administrator Commemorates 10th Anniversary of Space Station with Call to Expedition 25 Crew</t>
  </si>
  <si>
    <t>NASA Administrator Charles Bolden marks the 10th anniversary of continuous human presence on the ISS speaking with the current Expedition 25 crew members working and living aboard the complex.</t>
  </si>
  <si>
    <t>P_NL8lHCszo</t>
  </si>
  <si>
    <t>2010 11 01</t>
  </si>
  <si>
    <t>https://youtu.be/EN2r9EqdKp0</t>
  </si>
  <si>
    <t>Discovery on Target for Launch Wednesday</t>
  </si>
  <si>
    <t>The Countdown to launch continues as the Space Shuttle Program's Mission Management Team votes unanimously to proceed toward Discovery's re-targeted Wednesday liftoff at 3:52 p.m. Eastern.  On the launch pad, technicians load oxygen and hydrogen into the system that gives Discovery its electrical power during the mission.</t>
  </si>
  <si>
    <t>EN2r9EqdKp0</t>
  </si>
  <si>
    <t>2010 10 31</t>
  </si>
  <si>
    <t>https://youtu.be/Jbo_E2i0bQI</t>
  </si>
  <si>
    <t>STS-133 Countdown to Start Today for a Targeted Wednesday Launch</t>
  </si>
  <si>
    <t>Overnight, work continued to prepare space shuttle Discovery for its targeted launch at 3:52 p.m. EDT on Wednesday, Nov. 3rd.  Launch countdown is scheduled to begin Sunday at 2 p.m.</t>
  </si>
  <si>
    <t>Jbo_E2i0bQI</t>
  </si>
  <si>
    <t>2010 10 30</t>
  </si>
  <si>
    <t>https://youtu.be/3ykdyxzIvrs</t>
  </si>
  <si>
    <t>Station Crew Welcomes New Supply Ship</t>
  </si>
  <si>
    <t>The ISS Progress 40 cargo ship docked to the Pirs Docking Compartment at the International Space Station October 30, 2010, delivering 2 and a half tons of food, fuel, spare parts and supplies for the Expedition 25 crew. The manual docking came three days after the Progress was launched from the Baikonur Cosmodrome in Kazakhstan.</t>
  </si>
  <si>
    <t>3ykdyxzIvrs</t>
  </si>
  <si>
    <t>https://youtu.be/bOEkJIIFRsY</t>
  </si>
  <si>
    <t>Discovery Launch on STS-133 Mission Now Targeted for Wednesday</t>
  </si>
  <si>
    <t>The launch of space shuttle Discovery is now targeted for 3:52 p.m. EDT Wednesday, after technicians worked overnight to repair helium and nitrogen leaks in Discovery's right-hand Orbital Maneuvering System pod.</t>
  </si>
  <si>
    <t>bOEkJIIFRsY</t>
  </si>
  <si>
    <t>2010 10 29</t>
  </si>
  <si>
    <t>https://youtu.be/i3WYViq7CjI</t>
  </si>
  <si>
    <t>Shuttle Discovery Crew Arrives at Kennedy SC for STS-133 Launch</t>
  </si>
  <si>
    <t>The six astronauts for the next space shuttle mission arrived at NASA's Kennedy Space Center, Fla., on Oct. 28 for prelaunch preparations. Space shuttle Discovery's crew members are Commander Steve Lindsey, Pilot Eric Boe and Mission Specialists Alvin Drew, Tim Kopra, Michael Barratt and Nicole Stott. During its 11-day mission, Discovery's crew will deliver and install the Permanent Multipurpose Module, the Express Logistics Carrier 4, an external platform that holds large equipment, and critical spare components for the station. They'll also deliver Robonaut 2, or R2, to become a permanent resident of the station as the first human-like robot in space.</t>
  </si>
  <si>
    <t>i3WYViq7CjI</t>
  </si>
  <si>
    <t>https://youtu.be/R_zW1iCNEWo</t>
  </si>
  <si>
    <t>Discovery Launch Delayed</t>
  </si>
  <si>
    <t>The launch of space shuttle Discovery now is targeted for Tuesday, Nov. 2, at 4:17 p.m. EDT.
Helium and nitrogen leaks found in the pressurization portion of space shuttle Discovery's right-hand Orbital Maneuvering System (OMS) pod must be fixed before launch and the decision was made to delay picking up the launch countdown by at least a day.</t>
  </si>
  <si>
    <t>R_zW1iCNEWo</t>
  </si>
  <si>
    <t>https://youtu.be/jwkbj8okWxY</t>
  </si>
  <si>
    <t>White House Praises NASA Team for Helping Chilean Miners' Rescue</t>
  </si>
  <si>
    <t>NASA Administrator Charles Bolden and the NASA team that traveled to Chile to assist the once-trapped miners met with President Obama on Oct. 28 in the White House Oval Office. The NASA team is Clint Cragg, engineer; Dr. Michael Duncan, deputy chief medical officer; Albert Holland, psychologist; and Dr. J.D. Polk, medical officer. The team was also honored at NASA Headquarters.</t>
  </si>
  <si>
    <t>jwkbj8okWxY</t>
  </si>
  <si>
    <t>2010 10 28</t>
  </si>
  <si>
    <t>https://youtu.be/HFnc_Q5ftfo</t>
  </si>
  <si>
    <t>Station Crew Hears from Voice of America</t>
  </si>
  <si>
    <t>Aboard the International Space Station, Commander Doug Wheelock and Flight Engineers Shannon Walker and Scott Kelly get an in-flight call from the Voice of America to discuss the progress of the Expedition 25 mission.</t>
  </si>
  <si>
    <t>HFnc_Q5ftfo</t>
  </si>
  <si>
    <t>https://youtu.be/hpe9T9teuQ4</t>
  </si>
  <si>
    <t>ISS 10th Anniversary Discussed at Johnson Space Center Roundtable</t>
  </si>
  <si>
    <t>NASA's Johnson Space Center helped NASA commemorate the 10th anniversary of a continuous human presence aboard the International Space Station with a roundtable discussion on Oct. 27. Participants included Peggy Whitson, NASA chief astronaut, Expedition 5 flight engineer and Expedition 16 commander; Mike Lopez-Alegria, NASA astronaut and Expedition 14 commander; and Clay Anderson, NASA astronaut and Expedition15 and 16 flight engineer. On Nov. 2, 2000, Expedition 1 Commander Bill Shepherd and Flight Engineers Sergei Krikalev and Yuri Gidzenko became the first residents of the space station. Since then, 200 explorers have visited the orbiting complex, 15 nations have contributed modules and hardware, and more than 600 experiments have been conducted aboard the station.</t>
  </si>
  <si>
    <t>hpe9T9teuQ4</t>
  </si>
  <si>
    <t>2010 10 27</t>
  </si>
  <si>
    <t>https://youtu.be/Rg-eVs1A_p8</t>
  </si>
  <si>
    <t>First ISS Commander Reflects on Station's 10th Anniversary</t>
  </si>
  <si>
    <t>The commander of the first International Space Station crew, NASA's Bill Shepherd, took time during a visit to the Johnson Space Center in Houston September 14, 2010 to reflect on ten years of permanent human occupancy of the complex, the growth and maturation of the ISS and its role in forging solid international relations through the station partnership. Shepherd and Russian Flight Engineers Sergei Krikalev and Yuri Gidzenko launched from the Baikonur Cosmodrome in Kazakhstan on October 31, 2000 and arrived at the station on November 2, 2000.</t>
  </si>
  <si>
    <t>Rg-eVs1A_p8</t>
  </si>
  <si>
    <t>https://youtu.be/kYWVG7qftaM</t>
  </si>
  <si>
    <t>NASA Headquarters Hosts ISS 10th Anniversary Roundtable</t>
  </si>
  <si>
    <t>Bill Gerstenmaier, associate administrator of NASA Space Operations, was among the panelists in a roundtable discussion marking the 10th anniversary of a continuous human presence aboard the International Space Station. On Nov. 2, 2000, Expedition 1 Commander Bill Shepherd and Flight Engineers Sergei Krikalev and Yuri Gidzenko became the first residents of the space station. Since then, 200 explorers have visited the orbiting complex, 15 nations have contributed modules and hardware, and more than 600 experiments have been conducted aboard the station.</t>
  </si>
  <si>
    <t>kYWVG7qftaM</t>
  </si>
  <si>
    <t>https://youtu.be/wDO4q9EaUg4</t>
  </si>
  <si>
    <t>Expedition 1 Cosmonaut Remembers Stay on ISS</t>
  </si>
  <si>
    <t>Russian cosmonaut Sergei Krikalev, the world's most experienced space traveler, reflected on the tenth anniversary of permanent human occupancy of the International Space Station, its growth and maturation and its role in forging solid international relations through the station partnership during an interview October 5, 2010 at the Baikonur Cosmodrome in Kazakhstan. Krikalev, station Commander Bill Shepherd and Russian Flight Engineer Yuri Gidzenko launched from the Baikonur Cosmodrome on October 31, 2000 and arrived at the station on November 2, 2000. Krikalev spent 803 days in space during his six missions.</t>
  </si>
  <si>
    <t>wDO4q9EaUg4</t>
  </si>
  <si>
    <t>https://youtu.be/vkHyRpRypwo</t>
  </si>
  <si>
    <t>ISS Life Support Among Topics at Marshall Roundtable</t>
  </si>
  <si>
    <t>Marshall Space Flight Center hosted one in a series of NASA roundtables held Oct. 27 to mark the tenth anniversary of a continuous human presence aboard the International Space Station. A Marshall team developed the Environmental Control and Life Support, or ECLS system, that's utilized on the ISS.</t>
  </si>
  <si>
    <t>vkHyRpRypwo</t>
  </si>
  <si>
    <t>https://youtu.be/NzMIsRmmQV8</t>
  </si>
  <si>
    <t>Kennedy Space Center Roundtable Helps NASA Mark ISS 10th Anniversary</t>
  </si>
  <si>
    <t>A roundtable discussion at NASA's Kennedy Space Center was among a series of similar events held around the agency on Oct. 27 to commemorate the 10th anniversary of human life, work and research on the International Space Station (ISS). Panelists were: Bob Cabana, director, Kennedy Space Center; Josie Burnett, director, ISS and spacecraft processing; Bill Dowdell, deputy director, ISS and spacecraft processing; and  David Bethay, director, program management development, The Boeing Company.</t>
  </si>
  <si>
    <t>NzMIsRmmQV8</t>
  </si>
  <si>
    <t>https://youtu.be/VCjZLOS_i1o</t>
  </si>
  <si>
    <t>Progress Resupply Ship Blasts Off to ISS</t>
  </si>
  <si>
    <t>At the Baikonur Cosmodrome in Kazakhstan, the Russian ISS Progress 40 cargo ship launched at 11:11 a.m. EDT (9:11 p.m. Baikonur time) on Oct. 27, for a three-day journey to the International Space Station. Carrying 2 ∏ tons of food, fuel and supplies for the Expedition 25 crew, the Progress is scheduled to dock to the Pirs Docking Compartment Oct. 30, just two days before the scheduled Nov. 1 launch of space shuttle Discovery to the orbital complex on the STS-133 mission.</t>
  </si>
  <si>
    <t>VCjZLOS_i1o</t>
  </si>
  <si>
    <t>https://youtu.be/c9PYpIvE7zE</t>
  </si>
  <si>
    <t>NASA Administrator Marks ISS Tenth Anniversary</t>
  </si>
  <si>
    <t>As the 10 year anniversary of continuous human presence on the International Space Station is commemorated, Administrator Charles Bolden congratulates the thousands of NASA employees and contractors, as well as NASA's international partners, for making the important milestone possible.</t>
  </si>
  <si>
    <t>c9PYpIvE7zE</t>
  </si>
  <si>
    <t>https://youtu.be/NtrVwX1ncqk</t>
  </si>
  <si>
    <t>The International Space Station  Together is the Future</t>
  </si>
  <si>
    <t>As the International Space Station Program completes 10 years of continuous human presence, administrators and former crewmembers discuss its past, present and future. The first residents, astronaut Bill Shepherd and cosmonauts Sergei Krikalev and Yuri Gidzenko came aboard the ISS on Nov. 2, 2000 on Expedition 1.</t>
  </si>
  <si>
    <t>NtrVwX1ncqk</t>
  </si>
  <si>
    <t>2010 10 26</t>
  </si>
  <si>
    <t>https://youtu.be/S7xj41iXCnE</t>
  </si>
  <si>
    <t>Spacelab Mission Remembered as Milestone</t>
  </si>
  <si>
    <t>On Oct. 26, International Space Station Expedition 25 Commander Doug Wheelock and Flight Engineers Shannon Walker and Scott Kelly paid tribute to the 25th anniversary of the flight of space shuttle Challenger's STS-61/D1 German Spacelab mission during an in-flight event for the European Space Agency. The event included dignitaries and officials gathered in Berlin. Challenger launched on Oct. 30, 1985, with a record size crew of eight on board for the scientific research mission.</t>
  </si>
  <si>
    <t>S7xj41iXCnE</t>
  </si>
  <si>
    <t>https://youtu.be/cLiVrFx9SWQ</t>
  </si>
  <si>
    <t>Shuttle Discovery Crew Practices Landing</t>
  </si>
  <si>
    <t>In this episode of NASA Behind the Scenes, Astronaut Mike Massimino introduces you to Commander Steve Lindsey and the crewmembers of STS-133, space shuttle Discovery's last mission. Go inside one of the shuttle simulators at the Johnson Space Center as the crew practices what they'll need to do to land after a scheduled 11 days in space.</t>
  </si>
  <si>
    <t>cLiVrFx9SWQ</t>
  </si>
  <si>
    <t>https://youtu.be/4aWlh8wxByk</t>
  </si>
  <si>
    <t>Michoud Builder of Shuttle's External Tank</t>
  </si>
  <si>
    <t>In this episode of NASA Behind the Scenes, astronaut Mike Massimino takes you on a tour of the Michoud Assembly Facility in New Orleans, La. This historic facility helped build the mighty Saturn V rockets in the 1960s and has built the space shuttle's external tank for the last 30 years. See how -- even advanced as shuttles are -- it still takes human hands and small tools to create this important piece of hardware.</t>
  </si>
  <si>
    <t>4aWlh8wxByk</t>
  </si>
  <si>
    <t>https://youtu.be/B5u3tQQOvXQ</t>
  </si>
  <si>
    <t>Teen Sailor Thanks NASA Team for Rescue</t>
  </si>
  <si>
    <t>In June 2010, 16-year-old Abby Sunderland attempted to break the record for being the youngest person ever to complete a solo sail around the world. But when she found herself stranded at sea after a storm damaged her boat, Abby's life was saved by a NASA-developed Personal Locator Beacon (PLB), which transmitted a distress signal to a Search and Rescue (SARSAT) satellite, 22,500 miles away in space. On October 25, 2010, Abby visited NASA's Goddard Space Flight Center to meet the team that developed this Search and Rescue technology more than 30 years ago.</t>
  </si>
  <si>
    <t>B5u3tQQOvXQ</t>
  </si>
  <si>
    <t>2010 10 25</t>
  </si>
  <si>
    <t>https://youtu.be/Sl4JQynsBgc</t>
  </si>
  <si>
    <t>Shuttle Launch Date Set and Buried Treasures on This Week @ NASA</t>
  </si>
  <si>
    <t>The six-member crew of STS-133 now has an official launch date of Nov. 1 for space shuttle Discovery's final flight. The 11-day mission to the International Space Station is scheduled to begin that afternoon at 4:40 pm ET at NASA's Kennedy Space Center. Also,  NASA scientists find a plethora of useful minerals in lunar soil. Plus, the White House Science Fair, go mobile with Gowalla, Webb passes an important test, aviation unleashed at Langley, and "Mythbusters" visits Glenn.</t>
  </si>
  <si>
    <t>Sl4JQynsBgc</t>
  </si>
  <si>
    <t>https://youtu.be/LLyKcAG7DOE</t>
  </si>
  <si>
    <t>NASA Sets Official Launch Date for Shuttle Discovery</t>
  </si>
  <si>
    <t>After a day-long flight readiness review at Kennedy Space Center in Florida, senior NASA and contractor managers voted unanimously to set space</t>
  </si>
  <si>
    <t>LLyKcAG7DOE</t>
  </si>
  <si>
    <t>https://youtu.be/JN1w-T7SMV4</t>
  </si>
  <si>
    <t>NASA TV 2nd LOOK Open</t>
  </si>
  <si>
    <t>New program Open for NASA Television, highlighting NASA's Mission Coverage, Historic NASA Footage, NASA News Conferences, Special Events, and Congressional Hearings.</t>
  </si>
  <si>
    <t>JN1w-T7SMV4</t>
  </si>
  <si>
    <t>2010 10 22</t>
  </si>
  <si>
    <t>https://youtu.be/zgHhyhB6yUE</t>
  </si>
  <si>
    <t>Wheels 'Checks In,' Kicks Off NASA Partnership with Foursquare</t>
  </si>
  <si>
    <t>NASA astronaut and International Space Station Commander Doug "Wheels" Wheelock became the first person to "check in" from space using the mobile social networking application Foursquare on Oct. 22. Wheelock's check in to the space station launches a partnership between NASA and Foursquare to connect its users to the space agency, enabling them to explore the universe and discover Earth.</t>
  </si>
  <si>
    <t>zgHhyhB6yUE</t>
  </si>
  <si>
    <t>https://youtu.be/DzFFs3D9Tao</t>
  </si>
  <si>
    <t>Discovery Crew Looks Ahead to Mission</t>
  </si>
  <si>
    <t>The six astronauts comprising the STS-133 crew talk about their upcoming mission to the International Space Station aboard space shuttle Discovery. The STS-133 crew is Commander Steve Lindsey, Pilot Eric Boe, and Mission Specialists Tim Kopra, Mike Barratt, Alvin Drew and Nicole Stott. Discovery's launch from NASA's Kennedy Space Center is targeted for Nov. 1.</t>
  </si>
  <si>
    <t>DzFFs3D9Tao</t>
  </si>
  <si>
    <t>2010 10 21</t>
  </si>
  <si>
    <t>https://youtu.be/c94TgAJuUEE</t>
  </si>
  <si>
    <t>First Humanoid Robot to Join ISS Residents</t>
  </si>
  <si>
    <t>Mission managers discuss space shuttle Discovery's coming delivery to the station of Robonaut 2, or R2, on STS-133. It'll be the first human-like robot in space when it flies on STS-133 on Nov. 1 to become a permanent resident of the International Space Station.</t>
  </si>
  <si>
    <t>c94TgAJuUEE</t>
  </si>
  <si>
    <t>https://youtu.be/PWaTzPt3M6w</t>
  </si>
  <si>
    <t xml:space="preserve">STS-133 to Supply Station with Equipment, New  Crew Member </t>
  </si>
  <si>
    <t>Discovery will deliver to the International Space Station the Permanent Multipurpose Module. The PMM will provide additional space for storage and experiments, such as fluid physics, materials science, biology and biotechnology. Discovery also will carry critical spare components and an external platform for large equipment. that can only be transported using the unique capability of the shuttle. Robonaut 2, or R2, will be the first human-like robot in space when it flies on Discovery for its permanent residency aboard the ISS.</t>
  </si>
  <si>
    <t>PWaTzPt3M6w</t>
  </si>
  <si>
    <t>https://youtu.be/dSpSushTDVw</t>
  </si>
  <si>
    <t>Next Shuttle Mission Features Two Spacewalks</t>
  </si>
  <si>
    <t>The STS-133 mission will feature two spacewalks to do maintenance work and install new components outside the International Space Station. Space shuttle Discovery and it six-member crew is targeted to launch on Nov. 1.</t>
  </si>
  <si>
    <t>dSpSushTDVw</t>
  </si>
  <si>
    <t>https://youtu.be/ZU6lE7pAXIo</t>
  </si>
  <si>
    <t>Managers Update Status of Space Shuttle Program</t>
  </si>
  <si>
    <t>Space Shuttle Program managers in Houston discuss the final two missions to the International Space Station before the space shuttle is retired. The next mission, STS-133, is targeted to begin Nov. 1; it'll be the final flight of space shuttle Discovery. The last shuttle mission, STS-134, is slated to lift off on Feb. 27.</t>
  </si>
  <si>
    <t>ZU6lE7pAXIo</t>
  </si>
  <si>
    <t>2010 10 19</t>
  </si>
  <si>
    <t>https://youtu.be/so5i_t3bGIs</t>
  </si>
  <si>
    <t>Veteran Crew to Fly Next Shuttle Mission</t>
  </si>
  <si>
    <t>A profile of the six members of the STS-133 crew that'll fly space shuttle Discovery to the International Space Station. Discovery's commander is Steve Lindsey: Eric Boe is pilot. Rounding out the crew are Mission Specialists Alvin Drew, Mike Barratt, Tim Kopra and Nicole Stott. All have prior spaceflight experience. STS-133 will carry and install the Permanent Multipurpose Module, critical spare components for the station and deliver R2, the first human-like robot, who'll become a permanent space station resident.</t>
  </si>
  <si>
    <t>so5i_t3bGIs</t>
  </si>
  <si>
    <t>2010 10 18</t>
  </si>
  <si>
    <t>https://youtu.be/rvKUMQ4emVk</t>
  </si>
  <si>
    <t xml:space="preserve"> Slow and Steady  Shuttle Crawls to Launch Pad</t>
  </si>
  <si>
    <t>In this episode of NASA Behind the Scenes, take a look at what's needed to roll a space shuttle out of the Vehicle Assembly Building and out to the launch pad. Astronaut Mike Massimino talks to some of the people involved in the transport of the shuttle, including the ones who actually drive the huge crawler transporter.</t>
  </si>
  <si>
    <t>rvKUMQ4emVk</t>
  </si>
  <si>
    <t>https://youtu.be/i9OMpqSN1jM</t>
  </si>
  <si>
    <t>Six STS-133 Astronauts Ready for Final Flight of Discovery</t>
  </si>
  <si>
    <t>An overview of the next space shuttle mission to the International Space Station. STS-133 will carry and install the Permanent Multipurpose Module, critical spare components for the station and deliver R2, the first human-like robot, who'll become a permanent space station resident. Discovery's commander is Steve Lindsey: Eric Boe is pilot. Rounding out the crew are Mission Specialists Alvin Drew, Michael Barratt, Tim Kopra and Nicole Stott.</t>
  </si>
  <si>
    <t>i9OMpqSN1jM</t>
  </si>
  <si>
    <t>2010 10 15</t>
  </si>
  <si>
    <t>https://youtu.be/JPkN8blaDMs</t>
  </si>
  <si>
    <t xml:space="preserve"> NASA Helps Chilean Miners  Tops This Week at NASA</t>
  </si>
  <si>
    <t>A team of four NASA experts journeyed to Chile to assist the Chilean government on everything from what the trapped miners should eat and drink to how they could best adapt to their cramped, prolonged confinement. Also, six the crew members of the next space shuttle mission, STS-133, dress rehearsed their launch at the Kennedy Space Center. Plus, Dryden gets the NAC, LCROSS breaks through with Popular Mechanics, and NASA "airs it out" in Albuquerque.</t>
  </si>
  <si>
    <t>JPkN8blaDMs</t>
  </si>
  <si>
    <t>https://youtu.be/7jEw9LoFCeM</t>
  </si>
  <si>
    <t>NASA's Sarafin Goes from Farm to Flight Director</t>
  </si>
  <si>
    <t>In this episode of NASA Behind the Scenes, astronaut Mike Massimino chats with flight director Mike Sarafin about when he joined NASA and moved from his family's farm in New York to Houston...with his brother in tow. Also, you'll get to walk around the Shuttle Landing Facility runway at the Kennedy Space Center moments after shuttle Atlantis returned from its STS-132 mission and see what it takes to ready the shuttle for towing back to its hangar.</t>
  </si>
  <si>
    <t>7jEw9LoFCeM</t>
  </si>
  <si>
    <t>https://youtu.be/YZIrX1KWKXk</t>
  </si>
  <si>
    <t>Rolling Room Greets Returning Astronauts</t>
  </si>
  <si>
    <t>Have you ever wondered what is the first thing the shuttle crews see after they land? In this episode of NASA Behind the Scenes, astronaut Mike Massimino takes you into the Crew Transport Vehicle, shows you around and introduces you to the people who drive this giant room-on-wheels.</t>
  </si>
  <si>
    <t>YZIrX1KWKXk</t>
  </si>
  <si>
    <t>https://youtu.be/jpn2vUasQdI</t>
  </si>
  <si>
    <t>Astronauts Keep Trainers in BBQ Bliss</t>
  </si>
  <si>
    <t>In this episode of NASA Behind the Scenes, astronaut Mike Massimino talks with astronaut Terry Virts as well as Stephanie Turner, one of the people who keeps the astronaut corps in line. Mass also takes you into the training room where a traditional offering of pulled pork keeps astronaut trainers happy. Finally, Mass will attempt -- unsuccessfully -- to talk about how he learned astronaut Charlie Hobaugh's call sign, "Scorch."</t>
  </si>
  <si>
    <t>jpn2vUasQdI</t>
  </si>
  <si>
    <t>https://youtu.be/vPoE8icyE7c</t>
  </si>
  <si>
    <t>Nickelback Chats with Wheels, Kelly on ISS</t>
  </si>
  <si>
    <t>Three members of the Canadian band Nickelback speak from Mission Control, Houston with astronauts and fans Doug Wheelock and Scott Kelly aboard the International Space Station. Chad Kroeger, Mike Kroeger and Ryan Peake also toured the Johnson Space Center's Space Vehicle Mockup Facility with veteran astronaut Steve Robinson, and got a ride in NASA's shuttle motion-base simulator. The band, from Hanna, Alberta and now based in Vancouver, B.C., was in Houston for two concert appearances.</t>
  </si>
  <si>
    <t>vPoE8icyE7c</t>
  </si>
  <si>
    <t>2010 10 14</t>
  </si>
  <si>
    <t>https://youtu.be/6DQN1Ace8Eo</t>
  </si>
  <si>
    <t xml:space="preserve">Astronauts Chat with  The Beeb </t>
  </si>
  <si>
    <t>Aboard the International Space Station, Expedition 25 Commander Doug Wheelock and Flight Engineers Shannon Walker and Scott Kelly discussed life and work on the orbiting laboratory with the BBC's "Live Stargazing Series" program during an in-flight interview on Oct. 14, 2010.</t>
  </si>
  <si>
    <t>6DQN1Ace8Eo</t>
  </si>
  <si>
    <t>https://youtu.be/pIhAmMyn1Ho</t>
  </si>
  <si>
    <t>Shuttle Discovery Crew, Media Meet at Launch Pad</t>
  </si>
  <si>
    <t>The six-member crew of the next space shuttle mission spoke with reporters on Oct. 14 at Launch Pad 39A at NASA's Kennedy Space Center in Florida. The astronauts for shuttle Discovery's STS-133 mission are at Kennedy to participate in a full launch dress rehearsal, known as the Terminal Countdown Demonstration Test, and related training. The test provides an opportunity for the crew and ground teams to participate in various simulated countdown activities, including equipment familiarization and emergency escape training. 
Discovery is targeted to launch Nov. 1 on its final scheduled flight. During its 11-day mission, astronauts will deliver and install the Permanent Multipurpose Module, critical spare components for the station, and the Express Logistics Carrier 4, an external platform that holds large equipment. Discovery also will deliver Robonaut 2, or R2, to become a permanent resident of the station as the first human-like robot in space.</t>
  </si>
  <si>
    <t>pIhAmMyn1Ho</t>
  </si>
  <si>
    <t>2010 10 13</t>
  </si>
  <si>
    <t>https://youtu.be/pKtof0Ykccc</t>
  </si>
  <si>
    <t>NASA Experts Assist in Chilean Miners' Survival and Rescue</t>
  </si>
  <si>
    <t>On Aug. 31, a NASA team of experts arrived in Santiago for about a week as part of NASA's commitment to provide U.S. assistance. NASA's assistance was only a small contribution to the Chilean government's overall rescue effort. The NASA team included two medical doctors, a psychologist and an engineer. Dr. Michael Duncan, deputy chief medical officer in NASA's Space Life Sciences Directorate at NASA's Johnson Space Center in Houston, 
led the team. The other team members are physician J.D. Polk, psychologist Al Holland and engineer Clint Cragg.</t>
  </si>
  <si>
    <t>pKtof0Ykccc</t>
  </si>
  <si>
    <t>https://youtu.be/tkhdhaNyYqU</t>
  </si>
  <si>
    <t>ISS Offers Congratulations on Rescue of Chilean Miners</t>
  </si>
  <si>
    <t>Aboard the International Space Station, Expedition 25 Commander Doug Wheelock offered his congratulations and that of his crewmates October 13, 2010 for the operation underway to rescue the 33 Chilean miners who have been trapped in the San Jose Mine near Copiapo, Chile for the past 10 weeks. The audio only message was downlinked at 3:55 p.m. EDT as the station flew 225 statute miles over Africa.</t>
  </si>
  <si>
    <t>tkhdhaNyYqU</t>
  </si>
  <si>
    <t>https://youtu.be/bGnQMyw3oFk</t>
  </si>
  <si>
    <t>ISS Cmdr. Wheelock Talks with Military Media</t>
  </si>
  <si>
    <t>Aboard the International Space Station, Expedition 25 Commander Doug Wheelock, an Army Colonel and the first active Army officer to command the complex, fielded questions Oct. 13, 2010, from Soldiers Magazine and Soldiers Radio and TV during an in-flight interview in which he discussed life and work on the station and his impending return to Earth at the end of November.</t>
  </si>
  <si>
    <t>bGnQMyw3oFk</t>
  </si>
  <si>
    <t>2010 10 12</t>
  </si>
  <si>
    <t>https://youtu.be/_auAhph-PF4</t>
  </si>
  <si>
    <t>Melvin to Head NASA Education</t>
  </si>
  <si>
    <t>NASA Administrator Charles Bolden has appointed Leland D. Melvin as the associate administrator for education.  In this role, he is responsible for developing and implementing agency education programs that strengthen student involvement and public awareness about NASA's scientific goals and missions. Prior to this appointment, he led the Education Design Team at Headquarters and also served as the partnership development manager for the agency's new Summer of Innovation education initiative, aimed at engaging middle school students in STEM activities during the summer break.  One such partnership was with recording artist Mary J. Blige and her Foundation for the Advancement of Women Now (FAWN), an organization that has synergies with NASA's Summer of Innovation program. Melvin joined NASA in 1989 as an aerospace research engineer at the agency's Langley Research Center in Hampton, Va. He joined the astronaut corps in 1998 and has served as a mission specialist on two space shuttle missions: STS-122 in 2008 and STS-129 in 2009. He has logged more than 565 hours in space.</t>
  </si>
  <si>
    <t>_auAhph-PF4</t>
  </si>
  <si>
    <t>https://youtu.be/mhyIg2Jszfs</t>
  </si>
  <si>
    <t>Shuttle Crew Arrives in Florida for Prelaunch Test</t>
  </si>
  <si>
    <t>The six-member crew of the next space shuttle mission, STS-133, arrived at NASA's Kennedy Space Center on Oct. 12 to participate in a full launch dress rehearsal, known as the Terminal Countdown Demonstration Test, and related training. The test provides an opportunity for the crew and ground teams to participate in various simulated countdown activities, including equipment familiarization and emergency exit training. Shuttle Discovery's crew members are Commander Steve Lindsey, Pilot Eric Boe and Mission Specialists Alvin Drew, Michael Barratt, Tim Kopra and Nicole Stott. Discovery is targeted to launch Nov. 1 on its final scheduled flight.</t>
  </si>
  <si>
    <t>mhyIg2Jszfs</t>
  </si>
  <si>
    <t>2010 10 10</t>
  </si>
  <si>
    <t>https://youtu.be/J14do2LamhE</t>
  </si>
  <si>
    <t>Expedition 25 Crew Unites Aboard ISS</t>
  </si>
  <si>
    <t>After launching in their Soyuz TMA-01M spacecraft to the International Space Station, Expedition 25 Soyuz Commander Alexander Kaleri, NASA Flight Engineer Scott Kelly and Russian Flight Engineer Oleg Skripochka arrived at the complex Oct. 10 (Oct. 9, U.S. time), docking their craft to the Poisk module on the Zvezda Service Module on the Russian segment of the orbiting laboratory. A few hours after docking to the station, Kaleri, Kelly and Skripochka were greeted by station Commander Doug Wheelock and Flight Engineers Shannon Walker and Fyodor Yurchikhin.</t>
  </si>
  <si>
    <t>J14do2LamhE</t>
  </si>
  <si>
    <t>2010 10 08</t>
  </si>
  <si>
    <t>https://youtu.be/EqLqOc6rK1Q</t>
  </si>
  <si>
    <t>Transformer 3' 'Stars' Pose for NASA Employees</t>
  </si>
  <si>
    <t>NASA Kennedy Space Center employees in Florida were provided a unique photo opportunity on Oct. 8 from some of the robot 'stars' of the upcoming movie, "Transformers 3." Paramount Pictures filmed scenes for the movie at Kennedy from Oct. 4 -- 8. Kennedy employees and their families were invited to see two Transformers characters, Optimus Prime and Bumblebee, in their vehicle form, on display outside Kennedy Space Center Visitor Complex.</t>
  </si>
  <si>
    <t>EqLqOc6rK1Q</t>
  </si>
  <si>
    <t>https://youtu.be/dVfg7Y5XF3c</t>
  </si>
  <si>
    <t>Successful Launch, Congressional Support Top 'This Week @ NASA'</t>
  </si>
  <si>
    <t>Expedition 25 crew members Oleg Skripochka, Scott Kelly and Sasha Kaleri lifted off in the Soyuz capsule for the International Space Station. They're joining Commander Doug Wheelock, Fyodo Yurchikhin and Shannon Walker, who have been in orbit since June. Also, the Congress approved the NASA Authorization Act of 2010, paving the way for the agency's future exploration plans. Plus, Mars Meteorite, Back in the Air, the Best Station Views, and more.</t>
  </si>
  <si>
    <t>dVfg7Y5XF3c</t>
  </si>
  <si>
    <t>https://youtu.be/IhtqJKHC5Ig</t>
  </si>
  <si>
    <t>STS-133 Crew Interview  Eric Boe, Pilot</t>
  </si>
  <si>
    <t>Boe, whose hometown is Atlanta, completed his first space flight as pilot on STS-126.  Highlights of the almost 16-day mission included expanding the living quarters of the space station to eventually house 6 member crews by delivering a new bathroom, kitchenette, two bedrooms, an exercise machine, and a water recycling system, and included a total of four EVAs (spacewalks) by three members of the crew. STS-126 also delivered a new resident to the station, replacing Greg Chamitoff, Expedition 17-18 with Sandy Magnus, Expedition 18.</t>
  </si>
  <si>
    <t>IhtqJKHC5Ig</t>
  </si>
  <si>
    <t>https://youtu.be/_aUxShY0Tiw</t>
  </si>
  <si>
    <t>STS-133 Crew Interview  Steve Lindsey, Commander</t>
  </si>
  <si>
    <t>A veteran of four space flights, Lindsey has logged more than 1,203 hours in space.  He served as pilot on STS-87 in 1997 and STS-95 in 1998, and was the mission commander on STS-104 in 2001 and STS-121 in 2006. Lindsey is a native of the greater Los Angeles area.</t>
  </si>
  <si>
    <t>_aUxShY0Tiw</t>
  </si>
  <si>
    <t>https://youtu.be/gZNXXOGRk0s</t>
  </si>
  <si>
    <t>STS-133 Crew Interview  Nicole Stott, Mission Specialist</t>
  </si>
  <si>
    <t>Stott, who calls Clearwater, Fla. her hometown, completed her first long duration space flight as a Flight Engineer on the ISS Expeditions 20 and 21 crews.  She launched to the International Space Station on the Space Shuttle Discovery with the crew of STS-128 on August 28, 2009.  Nicole performed one spacewalk along with her STS-128 crewmate Danny Olivas with a total duration of 6 hours and 39 minutes.  She returned on the Space Shuttle Atlantis with the crew of STS-129 on November 29, 2009, having logged 91 days in space.</t>
  </si>
  <si>
    <t>gZNXXOGRk0s</t>
  </si>
  <si>
    <t>https://youtu.be/V080m972yFE</t>
  </si>
  <si>
    <t>STS-133 Crew Interview  Alvin Drew, Mission Specialist</t>
  </si>
  <si>
    <t>Selected as a mission specialist by NASA in July 2000, Drew reported for training in August 2000.  Following the completion of two years of training and evaluation, the Washington, DC native was initially assigned technical duties in the Astronaut Office Station Operations Branch.  From January-November 2009 he served as Director of Operations at the Gagarin Cosmonaut Training Center in Star City, Russia.  He has logged more than 305 hours in space, having completed his first space flight on STS-118 in 2007.</t>
  </si>
  <si>
    <t>V080m972yFE</t>
  </si>
  <si>
    <t>https://youtu.be/vNHouLrFx-k</t>
  </si>
  <si>
    <t>STS-133 Crew Interview  Tim Kopra, Mission Specialist</t>
  </si>
  <si>
    <t>Kopra, of Austin, Tex., served with the Expedition 20 crew as a Flight Engineer aboard the International Space Station.  He launched with the STS-127 crew aboard space shuttle Endeavour on July 15, 2009 and returned to Earth with the STS-128 crew aboard space shuttle Discovery on September 11, 2009.  During the two shuttle missions and tour of duty aboard station, Kopra performed one spacewalk totaling 5 hours and 2 minutes, executed assembly tasks with the space station and Japanese robotic arms, and conducted numerous science experiments.</t>
  </si>
  <si>
    <t>vNHouLrFx-k</t>
  </si>
  <si>
    <t>https://youtu.be/84NJXctzzIU</t>
  </si>
  <si>
    <t>STS-133 Crew Interview  Mike Barratt, Mission Specialist</t>
  </si>
  <si>
    <t>Barratt, a native of Camas, Washington (greater Portland) launched on Soyuz TMA-14 on March 26, 2009 to the International Space Station and served as a member of Expeditions 19 and 20.  This time period included the transition from three to six permanent ISS crewmembers, two EVAs, two visiting space shuttles, and arrival of the first Japanese HTV. Completing 199 days in space, Barratt landed on October 11, 2009.</t>
  </si>
  <si>
    <t>84NJXctzzIU</t>
  </si>
  <si>
    <t>2010 10 07</t>
  </si>
  <si>
    <t>https://youtu.be/WgIMIXahv9s</t>
  </si>
  <si>
    <t>Expedition 25 Launches to International Space Station</t>
  </si>
  <si>
    <t>Expedition 25 Soyuz Commander Alexander Kaleri, NASA Flight Engineer Scott Kelly and Russian Flight Engineer Oleg Skripochka were launched on the
Russian Soyuz TMA-01M spacecraft on Oct. 8 (Oct. 7, U.S. time)
from the Baikonur Cosmodrome in Kazakhstan to begin a two-day journey
to the International Space Station. The trio will dock to the
station Oct. 10 (Oct. 9, U.S. time) to start a six-month tour
on the orbiting laboratory, joining station Commander Doug Wheelock,
and Flight Engineers Shannon Walker and Fyodor Yurchikhin,
who have been in orbit since June.</t>
  </si>
  <si>
    <t>WgIMIXahv9s</t>
  </si>
  <si>
    <t>https://youtu.be/0qUr2hv4K8I</t>
  </si>
  <si>
    <t>Exp 25 State Commission Meeting</t>
  </si>
  <si>
    <t>0qUr2hv4K8I</t>
  </si>
  <si>
    <t>2010 10 05</t>
  </si>
  <si>
    <t>https://youtu.be/GE3jZLGaLPs</t>
  </si>
  <si>
    <t>Expedition 25's Kaleri Spaceflight Veteran</t>
  </si>
  <si>
    <t>The sixth member of the Expedition 25 crew, Flight Engineer Alexander "Sasha" Kaleri has spent three long-duration missions aboard space station Mir, and visited the International Space Station once aboard the space shuttle.</t>
  </si>
  <si>
    <t>GE3jZLGaLPs</t>
  </si>
  <si>
    <t>https://youtu.be/jxapK63HUII</t>
  </si>
  <si>
    <t>Expedition 25 Kelly's Second Spaceflight</t>
  </si>
  <si>
    <t>A profile of Scott Kelly, the third American astronaut on the Expedition 25 crew. He'll also take command of Expedition 26 in November when Expedition 25 astronauts Doug Wheeler and Shannon Walker, and cosmonaut Fyodor Yurchikhin leave the station for their return to Earth.</t>
  </si>
  <si>
    <t>jxapK63HUII</t>
  </si>
  <si>
    <t>https://youtu.be/_0cXTjnyFCk</t>
  </si>
  <si>
    <t>Russian Flight Engineer Makes First Foray into Space</t>
  </si>
  <si>
    <t>Oleg Skripochka is a first-time flyer as a member of the International Space Station's Expedition 25 crew.</t>
  </si>
  <si>
    <t>_0cXTjnyFCk</t>
  </si>
  <si>
    <t>https://youtu.be/vtLlnrNrbys</t>
  </si>
  <si>
    <t>Expedition 25 Crew Readies as Rocket Rolls Out To  Launch Pad</t>
  </si>
  <si>
    <t>The Soyuz TMA-01M spacecraft and its booster were moved to its launch pad on a railcar Oct. 5 for final preparations prior to its launch Oct. 8 to the International Space Station. The Soyuz will carry Expedition 25 Soyuz Commander Alexander Kaleri, NASA Flight Engineer Scott Kelly and Russian Flight Engineer Oleg Skripochka to the orbiting laboratory. The trio will spend six months on the complex, joining station Commander Doug Wheelock and Flight Engineers Fyodor Yurchikhin and Shannon Walker, who have been in orbit since June.</t>
  </si>
  <si>
    <t>vtLlnrNrbys</t>
  </si>
  <si>
    <t>https://youtu.be/cmJgAhwETy4</t>
  </si>
  <si>
    <t>Expedition 25 Members Latest Stewards of ISS</t>
  </si>
  <si>
    <t>A profile of the International Space Station crew ommanded by NASA astronaut Doug Wheelock: NASA astronauts Shannon Walker and Scott Kelly, and Russian cosmonauts Fyodor Yurchikhin, Oleg Skripochka and Alexander Kaleri.</t>
  </si>
  <si>
    <t>cmJgAhwETy4</t>
  </si>
  <si>
    <t>https://youtu.be/llix751qov0</t>
  </si>
  <si>
    <t>Latest Inhabitants Continue Research Aboard Station</t>
  </si>
  <si>
    <t>An overview of the Expedition 25 mission to the International Space Station. Expedition 25 is the 25th long-duration mission to the orbiting outpost.</t>
  </si>
  <si>
    <t>llix751qov0</t>
  </si>
  <si>
    <t>https://youtu.be/vaChod1zEAQ</t>
  </si>
  <si>
    <t>WISE  Warms Up  for Post-Cryogenic Mission</t>
  </si>
  <si>
    <t>Now that the onboard supply of frozen coolant enabling NASA's Wide-field Infrared Survey Explorer spacecraft to map the infrared sky has run out, a "warmed up" WISE will now focus on its secondary targets: the asteroids and comets traveling together with our solar system's planets around the sun. The NEOWISE Post-Cryogenic Mission is designed to complete the survey of the solar system and finish the second survey of the rest of the sky at its new warmer temperature of about minus 334 degrees Fahrenheit using its two shortest-wavelength detectors. The survey extension will last one to four months. Interviewee is Hashima Hasan, WISE Program Scientist, NASA Headquarters.</t>
  </si>
  <si>
    <t>vaChod1zEAQ</t>
  </si>
  <si>
    <t>2010 10 01</t>
  </si>
  <si>
    <t>https://youtu.be/ug3Dr6IqZiQ</t>
  </si>
  <si>
    <t>Last Mission Update, The Art of Space, and Hispanic Heritage on This Week@NASA!</t>
  </si>
  <si>
    <t>On this week's show...More Milestones On the Road to the Final Shuttle Launch; New Eagles Land at Dryden; Space Art on the Fly; Celebrating Hispanic American Heritage Month; A Student's Dreams Realized, and a Bilingual Online Chat.</t>
  </si>
  <si>
    <t>ug3Dr6IqZiQ</t>
  </si>
  <si>
    <t>https://youtu.be/qAEjsS0i06k</t>
  </si>
  <si>
    <t xml:space="preserve">Mass Shares Shuttle's  Close-Up </t>
  </si>
  <si>
    <t>In this episode of "NASA Behind the Scenes," astronaut Mike Massimino takes you up to - and under - the space shuttle as it waits on launch pad 39A at the Kennedy Space Center for the start of a recent mission. But first, learn about some of the very famous visitors to the virtual reality laboratory at the Johnson Space Center, as Mass takes you on a tour of this facility where astronauts train for and simulate spacewalks.</t>
  </si>
  <si>
    <t>qAEjsS0i06k</t>
  </si>
  <si>
    <t>https://youtu.be/3zuIcj2PcH4</t>
  </si>
  <si>
    <t>Astros' Pockets Deep in Mystery</t>
  </si>
  <si>
    <t>Host Mike Massimino returns to the pre-launch suit up room at the Kennedy Space Center to reexamine the question: what's inside all those pockets of the astronauts' big orange suits? Find out on "NASA Behind the Scenes."</t>
  </si>
  <si>
    <t>3zuIcj2PcH4</t>
  </si>
  <si>
    <t>2010 09 30</t>
  </si>
  <si>
    <t>https://youtu.be/MlIQTEwiKzQ</t>
  </si>
  <si>
    <t xml:space="preserve">External Tank Gets Lift for  Checkout </t>
  </si>
  <si>
    <t>The external fuel tank for space shuttle Endeavour's STS-134 mission was lifted into a "checkout cell" on Sept. 29 in the Vehicle Assembly Building at NASA's Kennedy Space Center in Florida. ET-122 arrived at Kennedy on Sept. 27, and was taken off its transport barge and moved into the Vehicle Assembly Building on Sept. 28. The tank will be inspected for its flight in the cell for about 15 days and then moved onto a mobile launch platform where it will be attached to two solid rocket boosters and eventually Endeavour. The STS-134 mission to the International Space Station is targeted for liftoff in February 2011. The video includes time-lapse video of the initial lifting of the external tank.</t>
  </si>
  <si>
    <t>MlIQTEwiKzQ</t>
  </si>
  <si>
    <t>https://youtu.be/HtpR8TmZGW4</t>
  </si>
  <si>
    <t>NASA Spacecraft Reveals Changes at Solar System's Edge</t>
  </si>
  <si>
    <t>For the first time, NASA's Interstellar Boundary Explorer, or IBEX, spacecraft reveals changing conditions at the edge of our solar system. The heliosphere changes size through the solar cycle, which affects the number of cosmic rays that reach Earth. Scientists now have a better understanding of the dynamic nature of our home in the galaxy.</t>
  </si>
  <si>
    <t>HtpR8TmZGW4</t>
  </si>
  <si>
    <t>2010 09 29</t>
  </si>
  <si>
    <t>https://youtu.be/_HoxR1W6uVg</t>
  </si>
  <si>
    <t>Alumna Walker Quizzed by Houston School's Students</t>
  </si>
  <si>
    <t>Aboard the International Space Station, Expedition 25 Flight Engineer Shannon Walker discussed life and work on the orbiting laboratory with students from the Johnston Middle School in Houston, Texas, during an in-flight educational event on Sept. 29, 2010. Walker, who attended the school and is the first native-born Houstonian astronaut to fly in space, was joined for the event by Expedition 25 Commander Doug Wheelock.</t>
  </si>
  <si>
    <t>_HoxR1W6uVg</t>
  </si>
  <si>
    <t>https://youtu.be/UqhkfIrJ_Ic</t>
  </si>
  <si>
    <t>First  Goldilocks  Exoplanet Discovered by NASA-funded Researchers</t>
  </si>
  <si>
    <t>A team of planet hunters led by astronomers at the University of California (UC), Santa Cruz and the Carnegie Institution of Washington has announced the discovery of a planet orbiting a nearby star, Gliese 581, at a distance that places it squarely in the middle of the star's "habitable zone." This would be the most Earth-like exoplanet and the first truly habitable one yet discovered. The research was supported by grants from NASA and the National Science Foundation. "Goldilocks" refers to an exoplanet whose temperatures are "not too cold, not too hot, but just right" to maintain water and support Earth-like life.</t>
  </si>
  <si>
    <t>UqhkfIrJ_Ic</t>
  </si>
  <si>
    <t>https://youtu.be/G40G1q1I7u8</t>
  </si>
  <si>
    <t>Hispanic American Month Profile   Dr. Ellen Ochoa</t>
  </si>
  <si>
    <t>In 1993, Dr.  Ellen Ochoa launched aboard space shuttle Discovery on a nine-day mission to the International Space Station; that trip made her the first Hispanic woman in space.</t>
  </si>
  <si>
    <t>G40G1q1I7u8</t>
  </si>
  <si>
    <t>2010 09 28</t>
  </si>
  <si>
    <t>https://youtu.be/_NJSRankJhE</t>
  </si>
  <si>
    <t>External Fuel Tank for Last Shuttle Mission Moves to VAB</t>
  </si>
  <si>
    <t>After  900-miles and six days at sea, ET-122, the external fuel tank that will power the last planned space shuttle flight into orbit is now inside the Kennedy Space Center's Vehicle Assembly Building being prepped for mission STS-134.</t>
  </si>
  <si>
    <t>_NJSRankJhE</t>
  </si>
  <si>
    <t>https://youtu.be/a7DBqWj62Rc</t>
  </si>
  <si>
    <t xml:space="preserve"> Road to the Red Planet </t>
  </si>
  <si>
    <t>NASA and the European Space Agency have announced three new joint science missions to Mars, including one that will return to Earth with a sample taken from the Martian surface. "Road to the Red Planet" notes these missions in movie-trailer parody produced by NASA Television for a themed exhibit at an international conference. To learn more about the NASA/ESA Mars missions, visit www.nasa.gov/mars</t>
  </si>
  <si>
    <t>a7DBqWj62Rc</t>
  </si>
  <si>
    <t>https://youtu.be/wcd2ht79HKA</t>
  </si>
  <si>
    <t xml:space="preserve"> Conquering the Gas Giant </t>
  </si>
  <si>
    <t>Juno, an upcoming NASA mission to unlock the cloud-hidden mysteries of Jupiter, is spotlighted in this parody of a "coming attraction" trailer created by NASA Television. The video was produced for a NASA movie-themed exhibit at an international conference. Set to launch in August 2011, Juno is scheduled to arrive at Jupiter in July 2016. To learn more about this mission, visit www.nasa.gov/juno</t>
  </si>
  <si>
    <t>wcd2ht79HKA</t>
  </si>
  <si>
    <t>https://youtu.be/9nRgVzwgUqk</t>
  </si>
  <si>
    <t xml:space="preserve"> Romancing the Green </t>
  </si>
  <si>
    <t>The research and development by NASA Aeronautics of next generation "green" technologies and systems are highlighted in this parody of a "coming attraction" trailer produced by NASA Television. The video is one of six pseudo-trailers created for a NASA movie-themed exhibit at an international conference. To learn more about NASA's efforts to reduce aviation noise, emissions, fuel burn and flight delays, visit www.aeronautics.nasa.gov</t>
  </si>
  <si>
    <t>9nRgVzwgUqk</t>
  </si>
  <si>
    <t>https://youtu.be/mtl48NOtyg0</t>
  </si>
  <si>
    <t xml:space="preserve"> Robonaut 2 </t>
  </si>
  <si>
    <t>Robonaut 2 will become the first humanoid robot in space when it arrives at the International Space Station aboard shuttle Discovery on STS-133. This video spotlighting R2 is one in a series of six movie-trailer parodies produced by NASA Television for a themed exhibit at an international conference. To learn more about Robonaut 2's primary job of teaching engineers how dexterous robots behave in space, and how Robonaut 2 may one day venture outside the station to help spacewalkers, visit www.nasa.gov/robonaut</t>
  </si>
  <si>
    <t>mtl48NOtyg0</t>
  </si>
  <si>
    <t>https://youtu.be/K7ssZ-Lnaeg</t>
  </si>
  <si>
    <t xml:space="preserve"> Glory and the Curse of the Black Carbon </t>
  </si>
  <si>
    <t>NASA's Glory spacecraft will improve our understanding of how the sun and airborne particles called aerosols (black carbons among them), affect Earth's climate. Set to launch this November, the mission is one of six highlighted in parodies of "coming attraction" trailers produced by NASA Television for a movie-themed exhibit at an international conference. To learn more about this mission, visit www.nasa.gov/glory</t>
  </si>
  <si>
    <t>K7ssZ-Lnaeg</t>
  </si>
  <si>
    <t>2010 09 27</t>
  </si>
  <si>
    <t>https://youtu.be/FAp6l_lwp5g</t>
  </si>
  <si>
    <t>Shuttle's Final Fuel Tank Arrives at Kennedy</t>
  </si>
  <si>
    <t>The external fuel tank that will power the last planned space shuttle flight into orbit now is at NASA's Kennedy Space Center in Florida for launch preparations. The external tank, designated ET-122, was restored to flight configuration at NASA's Michoud Assembly Facility in New Orleans after sustaining damage during Hurricane Katrina in 2005.
ET-122 arrived at Kennedy Sept. 27 following a 900 mile, 6-day sea journey. It will taken off its transport barge, Pegasus, and moved into Kennedy's Vehicle Assembly Building on Sept. 28. The tank then will be lifted into a checkout cell where it and two solid rocket boosters eventually will be attached to space shuttle Endeavour for the STS-134 mission to the International Space Station, which is targeted for liftoff in February 2011. STS-134 currently is scheduled to be the last mission in the Space Shuttle Program.</t>
  </si>
  <si>
    <t>FAp6l_lwp5g</t>
  </si>
  <si>
    <t>https://youtu.be/Cp3Ann1pebk</t>
  </si>
  <si>
    <t>Astronauts Get  Float  Training for Spacewalks</t>
  </si>
  <si>
    <t>In this episode of "NASA Behind the Scenes," astronaut Mike Massimino continues his visit with safety divers and flight doctors at the Johnson Space Center's Neutral Buoyancy Laboratory as they compare underwater training to what it's like to work in space. Also, members of NASA's shuttle closeout crew go into greater depth with Mike about strapping in the astronauts before liftoff.</t>
  </si>
  <si>
    <t>Cp3Ann1pebk</t>
  </si>
  <si>
    <t>https://youtu.be/xRihDyoSDNo</t>
  </si>
  <si>
    <t>Glenn's Flight Training Gets Second Look</t>
  </si>
  <si>
    <t>Join astronaut Mike Massimino to learn more about John Glenn's shuttle mission training, and the STS-132 crew's astro van ride to the pad to practice their launch countdown on "NASA Behind the Scenes."</t>
  </si>
  <si>
    <t>xRihDyoSDNo</t>
  </si>
  <si>
    <t>2010 09 25</t>
  </si>
  <si>
    <t>https://youtu.be/BcLF0tZC1NM</t>
  </si>
  <si>
    <t>Traditional Style Homecoming for Expedition 24 Crew</t>
  </si>
  <si>
    <t>Expedition 24 Alexander Skvortsov, NASA Flight Engineer Tracy Caldwell Dyson and Russian Flight Engineer Mikhail Kornienko were warmly welcomed back to earth in a traditional ceremony at the airport in Karaganda, Kazakhstan, Sept. 24, just a few hours after their landing on the steppe of Kazakhstan. Later Skvortsov and Kornienko returned to Russia, while Caldwell Dyson prepared for her return to Houston.</t>
  </si>
  <si>
    <t>BcLF0tZC1NM</t>
  </si>
  <si>
    <t>https://youtu.be/WKM8j0qFLy4</t>
  </si>
  <si>
    <t>Expedition 24 Crew Lands Safely on the Steppe of Kazakhstan</t>
  </si>
  <si>
    <t>Expedition 24 Commander Alexander Skvortsov, NASA Flight Engineer Tracy Caldwell Dyson and Russian Flight Engineer Mikhail Kornienko landed safely in Kazakhstan on Sept. 25 following farewells and undocking from the International Space Station. The trio was originally scheduled to return to Earth on the Sept. 24, but problems with the Poisk module docking mechanism forced managers and engineers to postpone the trip by one day. Skvortsov, Caldwell Dyson and Kornienko spent almost six months in space.</t>
  </si>
  <si>
    <t>WKM8j0qFLy4</t>
  </si>
  <si>
    <t>https://youtu.be/xIYLhtYLA-g</t>
  </si>
  <si>
    <t>Return of Space Travelers Explored on This Week @ NASA</t>
  </si>
  <si>
    <t>After almost six months aboard the International Space Station, Expedition 24 Soyuz Commander Alexander Skvortsov, NASA Flight Engineer Tracy Caldwell Dyson and Russian Flight Engineer Mikhail Kornienko made a safe return in the Soyuz TMA-18 spacecraft landing in southern Kazakhstan. Also, the four-person crew that'll standby in case it's needed for a shuttle rescue mission has been named. Plus, Discovery rolls out to the pad, curiosity about "Curiosity," and looking at the moon the world over.</t>
  </si>
  <si>
    <t>xIYLhtYLA-g</t>
  </si>
  <si>
    <t>https://youtu.be/K8T8uuKTips</t>
  </si>
  <si>
    <t>Soyuz Undocks from Space Station</t>
  </si>
  <si>
    <t>The Soyuz spacecraft that'll carry Expedition 24 Commander Alexander Skvortsov, NASA Flight Engineer Tracy Caldwell Dyson and Russian Flight Engineer Mikhail Kornienko back to Earth is seen as it undocks from the International Space Station on Sept. 23. The trio is completing almost six months in space.</t>
  </si>
  <si>
    <t>K8T8uuKTips</t>
  </si>
  <si>
    <t>https://youtu.be/twRXaQMlXfM</t>
  </si>
  <si>
    <t>Earthbound Trio Bids Farewell to ISS Crew</t>
  </si>
  <si>
    <t>Before the hatch closed behind them, Expedition 24 Commander Alexander Skvortsov, NASA Flight Engineer Tracy Caldwell Dyson and Russian Flight Engineer Mikhail Kornienko bid farewell to the International Space Station and Expedition 25 Commander Doug Wheelock, and Flight Engineers Fyodor Yurchikhin and Shannon Walker. Skvortsov, Caldwell Dyson and Kornienko boarded a Soyuz spacecraft that'll return them to Earth on Sept. 25 after almost six months in space.</t>
  </si>
  <si>
    <t>twRXaQMlXfM</t>
  </si>
  <si>
    <t>2010 09 24</t>
  </si>
  <si>
    <t>https://youtu.be/AlAEJyn5A1w</t>
  </si>
  <si>
    <t>New Crew Announcement, Discovery Rolled Out on This Week @ NASA</t>
  </si>
  <si>
    <t>Veteran astronauts Chris Ferguson, Doug Hurley, Sandy Magnus and Rex Walheim will make up the crew of STS-335. The rescue mission will fly only if members of STS-134 aboard shuttle Endeavour become stranded in space. Also, space shuttle Discovery stands on its launch pad at the Kennedy Space Center for STS-133, scheduled to begin its flight to the International Space Station on the afternoon of Nov. 1. Plus, there's curiosity about "Curiosity," and a worldwide look at the moon.</t>
  </si>
  <si>
    <t>AlAEJyn5A1w</t>
  </si>
  <si>
    <t>https://youtu.be/LZ1cT47u75w</t>
  </si>
  <si>
    <t>Undocking Waived Off for Soyuz Crew</t>
  </si>
  <si>
    <t>The undocking from the International Space Station of the Soyuz TMA-18 spacecraft that will return Expedition 24 crew members Alexander Skvortsov, Tracy Caldwell Dyson and Mikhail Kornienko to Earth was waived off shortly after midnight EDT on Friday, Sept. 24. Managers and engineers are assessing an apparent problem with the Poisk module docking mechanism. Another attempt is scheduled for later today.
Earlier, an initial attempt by Flight Engineer Fyodor Yurchikhin to close the Poisk hatch met with resistance and microswitches did not indicate it was closed. Eventually, the hatch was closed and leak checks were conducted. Later, as the first undocking attempt approached, the Poisk hooks and latches failed to open. During troubleshooting of that issue, Yurchikhin opened the Poisk side of the docking mechanism and reported finding a loose piece of a gear mechanism with two teeth broken off.
Expedition 24 crew members Alexander Skvortsov, Tracy Caldwell Dyson and Mikhail Kornienko rejoin their crewmates inside the station while analysis of the issue continues.</t>
  </si>
  <si>
    <t>LZ1cT47u75w</t>
  </si>
  <si>
    <t>https://youtu.be/izR0i-LaUro</t>
  </si>
  <si>
    <t>Trio's Farewell Proves Premature</t>
  </si>
  <si>
    <t>Video of Expedition 24 Commander Alexander Skvortsov, NASA Flight Engineer Tracy Caldwell Dyson and Russian Flight Engineer Mikhail Kornienko as they bid farewell to the International Space Station and Expedition 25 Commander Doug Wheelock, and Flight Engineers Fyodor Yurchikhin and Shannon Walker on Sept. 23. Skvortsov, Caldwell Dyson and Kornienko then boarded the Soyuz spacecraft that was to take them back to Earth on Sept. 24, only to return to the station after problems with a docking mechanism cancelled their undocking.</t>
  </si>
  <si>
    <t>izR0i-LaUro</t>
  </si>
  <si>
    <t>2010 09 22</t>
  </si>
  <si>
    <t>https://youtu.be/uJLPuftMGOU</t>
  </si>
  <si>
    <t>Space Station Command Changes Hands</t>
  </si>
  <si>
    <t>During a special Change of Command Ceremony aboard the International Space Station, the reins of the International Space Station were passed from Expedition 24 Commander Alexander Skvortsov to Expedition 25 Commander Doug Wheelock.  Expedition 24 crew membersTracy Caldwell Dyson and Mikhail Kornienko will return to Earth on Sept. 24.</t>
  </si>
  <si>
    <t>uJLPuftMGOU</t>
  </si>
  <si>
    <t>2010 09 21</t>
  </si>
  <si>
    <t>https://youtu.be/UJu7Y-yCMiw</t>
  </si>
  <si>
    <t>Shuttle Discovery Rolled Out to Pad for Next Mission</t>
  </si>
  <si>
    <t>On September 20, Space shuttle Discovery left the Vehicle Assembly Building headed to Launch Pad 39A at NASA's Kennedy Space Center.   It arrived the morning of September 21, where it will stay until its scheduled launch on Nov. 1  for its STS-133 mission.  The move is called a "rollout."</t>
  </si>
  <si>
    <t>UJu7Y-yCMiw</t>
  </si>
  <si>
    <t>2010 09 17</t>
  </si>
  <si>
    <t>https://youtu.be/PDc3TxWc0vM</t>
  </si>
  <si>
    <t>Progress Docking and Desert RATS Top This Week @NASA</t>
  </si>
  <si>
    <t>The crew aboard the International Space Station welcomed the latest unpiloted Progress spacecraft packed with cargo and supplies. Also, NASA engineers, scientists and astronauts spend two weeks in northern Arizona simulating a mission on the moon. Plus, celebrating comets, a meeting with two masters, and being prepared.</t>
  </si>
  <si>
    <t>PDc3TxWc0vM</t>
  </si>
  <si>
    <t>https://youtu.be/g02meEV6hI4</t>
  </si>
  <si>
    <t>Next ISS Crew Meets Media and Pays Homage at Red Square</t>
  </si>
  <si>
    <t>The Expedition 25 crew of Russian cosmonaut and Soyuz Commander Alexander Kaleri, NASA Flight Engineer Scott Kelly and Russian Flight Engineer Oleg Skripochka met with media at the Gagarin Cosmonaut Training Center in Star City, Russia Sept.17 before traveling to Moscow to lay flowers at the Kremlin Wall. The traditional activities lead up to their Sept. 25th departure for the Baikonur Cosmodrome in Kazakhstan, from where they're scheduled to launch aboard their Soyuz spacecraft to the International Space Station on Oct. 7.</t>
  </si>
  <si>
    <t>g02meEV6hI4</t>
  </si>
  <si>
    <t>https://youtu.be/65LeVveG-Po</t>
  </si>
  <si>
    <t>Station Follows Trio of Hurricanes</t>
  </si>
  <si>
    <t>Cameras on the International Space Station captured new video of the three hurricanes in the Atlantic and the Bay of Campeche on Sept. 17, 2010, from an altitude of 225 miles. Hurricane Julia was moving west-northwest across the central Atlantic and weakening with winds of 85 miles an hour. Hurricane Igor was moving northwest across the western Atlantic with winds of 120 miles an hour, posing a threat to Bermuda over the weekend into Monday. Hurricane Karl blossomed overnight into a major Category 3 storm with winds of 120 miles an hour and could strengthen further before it makes landfall over the western coast of Mexico near Veracruz late Friday night.</t>
  </si>
  <si>
    <t>65LeVveG-Po</t>
  </si>
  <si>
    <t>2010 09 16</t>
  </si>
  <si>
    <t>https://youtu.be/SC1PSGugtXA</t>
  </si>
  <si>
    <t>LRO Spacecraft Exposes Moon's Turbulent Past</t>
  </si>
  <si>
    <t>New results from NASA's Lunar Reconnaissance Orbiter (LRO) spacecraft describe a Moon bombarded by two different populations of asteroids or comets in its youth, and a lunar surface more complex than previously thought.</t>
  </si>
  <si>
    <t>SC1PSGugtXA</t>
  </si>
  <si>
    <t>https://youtu.be/gXju8_EXko0</t>
  </si>
  <si>
    <t>Three Hurricanes Tracked by Station Cameras</t>
  </si>
  <si>
    <t>Cameras on the International Space Station captured new views of Hurricanes Julia and Igor from 225 statute miles above the Earth on September 16, 2010 as well as views of newly formed Hurricane Karl. Julia is weakening, but is seen in the video as a formidable Category 2 hurricane as it moved northwest across the eastern Atlantic with winds of 105 miles an hour. Igor remains a powerful hurricane and strengthened overnight back to a Category 4 storm as it moved west-northwest across the western Atlantic with winds of 145 miles an hour. What was Tropical Storm Karl crossed the Yucatan Peninsula overnight and strengthened into a Category 1 hurricane over the Bay of Campeche Thursday morning with winds of 75 miles an hour.</t>
  </si>
  <si>
    <t>gXju8_EXko0</t>
  </si>
  <si>
    <t>2010 09 15</t>
  </si>
  <si>
    <t>https://youtu.be/WsSF-VYY9vs</t>
  </si>
  <si>
    <t>ISS Crew Gives Perspective on Huricanes to Weather Channel</t>
  </si>
  <si>
    <t>Traveling more than 200 miles above the earth, Expedition 24 Flight Engineers Tracy Caldwell Dyson and Doug Wheelock discussed the views of hurricanes Julia and Igor from their vantage point and other earth characteristics during an in-flight interview with the Weather Channel on Sept. 15, 2010.</t>
  </si>
  <si>
    <t>WsSF-VYY9vs</t>
  </si>
  <si>
    <t>https://youtu.be/ki-bYvLOZ6s</t>
  </si>
  <si>
    <t>ISS Cameras Eye Hurricanes Julia and Igor</t>
  </si>
  <si>
    <t>Cameras on the International Space Station captured views on September 15, 2010 of Category 4 Hurricanes Julia and Igor as they churned across the Atlantic packing winds of 135  and 145 miles per hour, respectively.</t>
  </si>
  <si>
    <t>ki-bYvLOZ6s</t>
  </si>
  <si>
    <t>2010 09 14</t>
  </si>
  <si>
    <t>https://youtu.be/TNwrRY4FvJU</t>
  </si>
  <si>
    <t>Dual Hurricanes in the Atlantic</t>
  </si>
  <si>
    <t>Cameras on the International Space Station show views of Hurricane Julia and Hurricane Igor, both moving west-northwest across the Atlantic on Sept. 14, 2010. At the time the video was captured, Julia was a Category 1 hurricane with winds of about 75 miles an hour, while Igor remained a Category 4 storm with winds 135 miles an hour.</t>
  </si>
  <si>
    <t>TNwrRY4FvJU</t>
  </si>
  <si>
    <t>https://youtu.be/_WySURo4_u0</t>
  </si>
  <si>
    <t>Expedition 24 Discusses Mission with Media</t>
  </si>
  <si>
    <t>Expedition 24 Flight Engineers Tracy Caldwell Dyson, Shannon Walker and Doug Wheelock discussed their mission with Voice of America and ABC News during a pair of in-flight interviews on Sept. 14. Caldwell Dyson is scheduled to return to Earth on Sept. 23, to complete more than five months in space.</t>
  </si>
  <si>
    <t>_WySURo4_u0</t>
  </si>
  <si>
    <t>2010 09 13</t>
  </si>
  <si>
    <t>https://youtu.be/Zq8TQHABi2s</t>
  </si>
  <si>
    <t>Space Station Cameras Capture Igor</t>
  </si>
  <si>
    <t>From the International Space Station, views of Hurricane Igor on Sunday, Sept. 12, 2010, and again on Monday, Sept. 13, 2010 as it churned west across the Atlantic Ocean. On Sunday, Igor increased in strength to a category 4 hurricane with winds of up to 150 miles an hour.</t>
  </si>
  <si>
    <t>Zq8TQHABi2s</t>
  </si>
  <si>
    <t>https://youtu.be/4uAms3uSKhg</t>
  </si>
  <si>
    <t>New Supplies Arrive at International Space Station</t>
  </si>
  <si>
    <t>An unpiloted Russian cargo ship made an automated docking at the aft port of the Zvezda Service Module of the International Space Station on Sept. 12, delivering 2 ∏ tons of food, fuel and supplies for the six crew members on board. The ISS Progress 39 resupply vehicle linked up to Zvezda at 6:58 a.m. CDT, two days after its launch from the Baikonur Cosmodrome in Kazakhstan.</t>
  </si>
  <si>
    <t>4uAms3uSKhg</t>
  </si>
  <si>
    <t>https://youtu.be/YOT-Ij6bv9M</t>
  </si>
  <si>
    <t>Comet Research Celebrated</t>
  </si>
  <si>
    <t>NASA commemorated a quarter-century of comet discoveries, and looked forward to future comet encounters during a symposium at the Newseum in Washington.  A team of NASA scientists and academicians who study comets discussed the impact of these celestial formations on the evolution of Earth.</t>
  </si>
  <si>
    <t>YOT-Ij6bv9M</t>
  </si>
  <si>
    <t>2010 09 12</t>
  </si>
  <si>
    <t>https://youtu.be/YqDPaOEWqo8</t>
  </si>
  <si>
    <t>The Progress 39 unpiloted spacecraft carrying food, fuel and other supplies docked to the International Space Station on Sunday, Sept. 12</t>
  </si>
  <si>
    <t>YqDPaOEWqo8</t>
  </si>
  <si>
    <t>2010 09 10</t>
  </si>
  <si>
    <t>https://youtu.be/tbX3NGDv_wI</t>
  </si>
  <si>
    <t>NASA'S Green Summit, Discovery's Rollover, Marshall's 50th and more on This Week at NASA!</t>
  </si>
  <si>
    <t>This Week, NASA keeps it green at the Aviation Summit; space shuttle Discovery rolls one step closer to lift-off; NASA's Summer of Innovation in the spotlight, and the Marshall Space Flight Center celebrates its golden year.  All this and more on the latest addition of This Week at NASA!</t>
  </si>
  <si>
    <t>tbX3NGDv_wI</t>
  </si>
  <si>
    <t>2010 09 09</t>
  </si>
  <si>
    <t>https://youtu.be/baRvcLVsNwc</t>
  </si>
  <si>
    <t>Bolden Delivers Lecture At Purdue University</t>
  </si>
  <si>
    <t>Speaking before students and faculty at Purdue University, NASA Administrator Charles Bolden talked about the future of the United States in space, during the school's annual William E. Boeing Lecture series. The event was sponsored by the College of Engineering's School of Aeronautics and Astronautics and the Indiana Space Grant Consortium.</t>
  </si>
  <si>
    <t>baRvcLVsNwc</t>
  </si>
  <si>
    <t>https://youtu.be/IyIweRep6OY</t>
  </si>
  <si>
    <t>NASA Administrator Stresses Environmental Responsibility at Green Aviation Summit</t>
  </si>
  <si>
    <t>In his keynote address at the Green Aviation Summit underway at NASA's Ames Research Center, Administrator Charles Bolden talked about the agency's "critical responsibility," to the flying public to develop environmentally cleaner and quieter  aviation technologies with fewer delays for travelers.  The two-day summit has brought together about 2000 experts from NASA, and other organizations, to discuss technologies that can help alleviate problems with issues like aircraft noise, emissions and fuel consumption.</t>
  </si>
  <si>
    <t>IyIweRep6OY</t>
  </si>
  <si>
    <t>2010 09 08</t>
  </si>
  <si>
    <t>https://youtu.be/rQ4n2HjppWo</t>
  </si>
  <si>
    <t>Chandra Presents the Rosette Nebula</t>
  </si>
  <si>
    <t>The Rosette star formation region is located about 5,000 light years from Earth.   X-rays reveal hundreds of young stars clustered in the center of a new image taken by the Chandra X-ray Observatory, and additional fainter clusters on either side. The Rosette Nebula has long been a favorite target of amateur astronomers in the constellation Monoceros, the Unicorn, and can be occasionally seen by small telescopes from earth.</t>
  </si>
  <si>
    <t>rQ4n2HjppWo</t>
  </si>
  <si>
    <t>2010 09 07</t>
  </si>
  <si>
    <t>https://youtu.be/T-zfZN3ZCzs</t>
  </si>
  <si>
    <t>Lending a Hand - NASA Talks with Reporters About Supporting Chilean Miners</t>
  </si>
  <si>
    <t>A NASA team offering support to 33 Chilean miners trapped in a gold and copper mine near Copiapo since August 5, spoke with reporters during a news conference at the Johnson Space Center in Houston on Sept. 7.  The group, an amalgam of medical staff, an engineer and a psychologist, is lending NASA's expertise dealing with astronauts living in relative isolation miles above earth, to this effort.</t>
  </si>
  <si>
    <t>T-zfZN3ZCzs</t>
  </si>
  <si>
    <t>2010 09 03</t>
  </si>
  <si>
    <t>https://youtu.be/lLJvG1K1N9M</t>
  </si>
  <si>
    <t>Closest-Ever Probe of Sun is  New NASA Mission</t>
  </si>
  <si>
    <t>Solar Probe Plus, a new NASA mission to visit and study the sun closer than ever before, is officially underway. The spacecraft will plunge directly into the sun's atmosphere at approximately 4 million miles from the surface into a region no 
other spacecraft has ever encountered.</t>
  </si>
  <si>
    <t>lLJvG1K1N9M</t>
  </si>
  <si>
    <t>https://youtu.be/TJesh8DWBoc</t>
  </si>
  <si>
    <t>Rocket Motor Test, Tech Chief Tour Tops This Week @ NASA</t>
  </si>
  <si>
    <t>NASA's next-generation, five-segment solid rocket development motor -- DM-2 -- is successfully cold-fired in its test stand at ATK's facility in Promontory, Utah. Also, NASA's Chief Technologist visits facilities developing cutting-edge technologies at three NASA centers. Plus, MMS passes its critical design review; Glenn hosts a groundbreaking for its new central office building; NASA needs deejays; and the agency's one-girl food drive force in West Virginia.</t>
  </si>
  <si>
    <t>TJesh8DWBoc</t>
  </si>
  <si>
    <t>2010 09 02</t>
  </si>
  <si>
    <t>https://youtu.be/UG9d_cP4iZ0</t>
  </si>
  <si>
    <t>Station Cameras Provide New View of Hurricane Earl</t>
  </si>
  <si>
    <t>Cameras mounted on the International Space Station captured new views of Hurricane Earl late in the afternoon of Sept. 2 from an altitude of 218 statute miles as the storm churned due east of South Carolina heading north on a track that would skirt the eastern seaboard of the United States. Earl was packing winds of about 115 miles an hour at the time the video was acquired.</t>
  </si>
  <si>
    <t>UG9d_cP4iZ0</t>
  </si>
  <si>
    <t>https://youtu.be/M1x5JiF1iuk</t>
  </si>
  <si>
    <t>Upgrades Completed at Kennedy Test Facility</t>
  </si>
  <si>
    <t>The Launch Equipment Test Facility (LETF) at NASA's Kennedy Space Center in Florida held a 'ribbon cutting' ceremony on Aug. 27 to mark the four year, $35 million comprehensive upgrade the facility has undergone. The LETF was established in the 1970s to support the qualification of the Space Shuttle Program's umbilical and launch mechanisms. Throughout the years, the facility has supported the development of systems for shuttle and space station, Delta and Atlas rockets, and various research and development programs across the agency. The LETF has unique capabilities to evolve into a versatile test and development area that supports a wide spectrum of programs.</t>
  </si>
  <si>
    <t>M1x5JiF1iuk</t>
  </si>
  <si>
    <t>https://youtu.be/CM4gaWo--fU</t>
  </si>
  <si>
    <t>Rocket Motor Fired in Utah Test Stand</t>
  </si>
  <si>
    <t>NASA's next-generation, five-segment solid rocket development motor -- or DM-2 -- was successfully fired in its test stand at ATK in Promontory, Utah. Prior to the firing, which lasted just more than two minutes, the motor's overall temperature was lowered to 40 degrees Fahrenheit to validate the motor's ability to perform properly in cold weather.</t>
  </si>
  <si>
    <t>CM4gaWo--fU</t>
  </si>
  <si>
    <t>2010 09 01</t>
  </si>
  <si>
    <t>https://youtu.be/QAArGSgSQu8</t>
  </si>
  <si>
    <t>Station Cameras Obtain Birds-Eye View of Earl and Fiona</t>
  </si>
  <si>
    <t>At an altitude of 218 statute miles, cameras outside the International Space Station captured views of Tropical Storm Fiona at 3:10 p.m. EDT and, on the next orbit of the Earth, of Hurricane Earl at 4:45 p.m. EDT on Sept. 1 as the two systems churned over the north Atlantic. At the time the video was obtained, Fiona was packing winds of 60 miles an hour north off the Lesser Antilles, moving northwest. Earl was bordering on a Category 4 hurricane, with winds of 125 miles an hour as it moved northwest north of the Bahamas.</t>
  </si>
  <si>
    <t>QAArGSgSQu8</t>
  </si>
  <si>
    <t>https://youtu.be/QyiI38FWU74</t>
  </si>
  <si>
    <t>Earl's Eye Covered By NASA Research Flight</t>
  </si>
  <si>
    <t>The eye of Hurricane Earl in the Atlantic Ocean is captured by videographer Jane Peterson aboard NASA's DC-8 research aircraft on Monday, Aug. 30, 2010. The DC-8 passed through the eye of the storm six times just as Earl was intensifying from a Category 2 to a Category 4 hurricane. The flights are part of the Genesis and Rapid Intensification Processes (GRIP) experiment, a NASA Earth science field experiment being conducted to better understand how tropical storms form and develop into major hurricanes.</t>
  </si>
  <si>
    <t>QyiI38FWU74</t>
  </si>
  <si>
    <t>2010 08 31</t>
  </si>
  <si>
    <t>https://youtu.be/vUfM17hvEFg</t>
  </si>
  <si>
    <t>Hurricane Earl as Seen from ISS</t>
  </si>
  <si>
    <t>From an altitude of 218 miles, the International Space Station flies over Hurricane Earl as it churns as a Category 4 storm northeast of Puerto Rico near the northern Antilles islands. The station's Progress 37 cargo craft and the Soyuz TMA-18 spacecraft are in the foreground.</t>
  </si>
  <si>
    <t>vUfM17hvEFg</t>
  </si>
  <si>
    <t>https://youtu.be/2xaRotYad1o</t>
  </si>
  <si>
    <t>Shuttle Astronaut Bill Lenoir Dies</t>
  </si>
  <si>
    <t>Former NASA astronaut William 'Bill' Lenoir, who flew aboard the first operational flight of space shuttle Columbia in November 1982, died on Saturday, August 28 from head injuries suffered during a bicycle accident two days earlier. He was 71.  Lenoir served as a mission specialist on STS-5 which became known as the "We Deliver" mission. Two commercial communications satellites were successfully deployed from the orbiter's cargo bay. Lenoir was selected as a scientist-astronaut by NASA in August 1967.  He logged more than 122 hours in space and retired from NASA in 1992.</t>
  </si>
  <si>
    <t>2xaRotYad1o</t>
  </si>
  <si>
    <t>2010 08 30</t>
  </si>
  <si>
    <t>https://youtu.be/nSG2qvDsmvY</t>
  </si>
  <si>
    <t>Walker Talks with Hometown TV</t>
  </si>
  <si>
    <t>Joined by crew members Doug Wheelock and Tracy Caldwell Dyson, Expedition 24 Flight Engineer Shannon Walker answered questions from KPRC-TV, the NBC affiliate in her hometown of Houston. Walker is the first native Houstonian to fly in space.</t>
  </si>
  <si>
    <t>nSG2qvDsmvY</t>
  </si>
  <si>
    <t>https://youtu.be/livOZ-fDQ88</t>
  </si>
  <si>
    <t>Newly-Discovered Sun-Like System Highlights This Week @ NASA</t>
  </si>
  <si>
    <t>The continuous monitoring of more than 156,000 stars for subtle brightness changes has led to the discovery by NASA's Kepler Mission of the first confirmed system outside our own that has more than one planet transiting the same star. Also, researchers head north to "Mars on Earth;" "Avatar" director and film's imagery featured in NASA Earth science public service campaign; Mary J. Blige encourages students "to reach for the stars;" NASA helps celebrate "Star Wars;" and more.</t>
  </si>
  <si>
    <t>livOZ-fDQ88</t>
  </si>
  <si>
    <t>2010 08 27</t>
  </si>
  <si>
    <t>https://youtu.be/Uul7nB7ZUtU</t>
  </si>
  <si>
    <t>Expedition 23  From Launch to Landing</t>
  </si>
  <si>
    <t>Flight Engineer T.J. Creamer's voyage on the International Space Station is featured from his launch aboard a Soyuz TMA-17 spacecraft in December 2009, to his landing on the steppes of Kazakhstan in June of this year.</t>
  </si>
  <si>
    <t>Uul7nB7ZUtU</t>
  </si>
  <si>
    <t>https://youtu.be/z3aH4VQ-TDQ</t>
  </si>
  <si>
    <t>Interview about NASA assistance to trapped miners in Chile</t>
  </si>
  <si>
    <t>Dr. Michael Duncan, NASA/Johnson Space Center Deputy Chief Medical Officer, talks about NASA's assistance to trapped miners in Chile.</t>
  </si>
  <si>
    <t>z3aH4VQ-TDQ</t>
  </si>
  <si>
    <t>https://youtu.be/ciHVOGCHpNE</t>
  </si>
  <si>
    <t>U2 in Space and On Tour with NASA</t>
  </si>
  <si>
    <t>A year's worth of collaboration between NASA and U2 both in space and on the Irish rock band's "360" world tour is highlighted in a new video produced by the group. In 2009, U2 approached NASA with the idea to include the crew of the International Space Station in its shows, and the astronauts agreed to participate in this unique experience. Bono, The Edge, Adam Clayton and Larry Mullen, Jr. spoke with the Expedition 20 crew on the space station several times before the astronauts recorded a video segment that U2 incorporated into its concerts. The crew members include Michael Barratt of NASA, Frank De Winne of the European Space Agency, Bob Thirsk of the Canadian Space Agency, Koichi Wakata of the Japan Aerospace Exploration Agency, and Gennady Padalka and Roman Romanenko of the Russian Federal Space Agency.</t>
  </si>
  <si>
    <t>ciHVOGCHpNE</t>
  </si>
  <si>
    <t>2010 08 26</t>
  </si>
  <si>
    <t>https://youtu.be/5qMHgAI2z8o</t>
  </si>
  <si>
    <t>NASA Gets  GRIP  on Hurricane Formation</t>
  </si>
  <si>
    <t>NASA's GRIP 2010 hurricane mission is in full force. During this year's Atlantic hurricane season, researchers using powerful instruments onboard three aircraft will be able to "see" below the cloud-tops and uncover what is happening in the internal structure of a storm and what "kick-starts" a tropical depression into a hurricane. The NASA aircraft will be deployed from Florida (DC-8), Texas (WB-57) and California (Global Hawk) and will fly at varying altitudes over tropical storms in an attempt to capture them at different stages of development.</t>
  </si>
  <si>
    <t>5qMHgAI2z8o</t>
  </si>
  <si>
    <t>https://youtu.be/OxjffeDfpgQ</t>
  </si>
  <si>
    <t>First Multi-Planet System Discovered by Kepler</t>
  </si>
  <si>
    <t>NASA's Kepler Mission has discovered the first confirmed planetary system with more than one planet transiting the same star. The announcement of the discovery of the two planets, Kepler 9b and 9c, is based on seven months of observations. Kepler is monitoring more than 156,000 stars for subtle brightness changes as part of an ongoing search for Earth-size planets outside our solar system. Scientists designated the sun-like star Kepler-9.</t>
  </si>
  <si>
    <t>OxjffeDfpgQ</t>
  </si>
  <si>
    <t>2010 08 24</t>
  </si>
  <si>
    <t>https://youtu.be/8bn7t2-FCEs</t>
  </si>
  <si>
    <t xml:space="preserve"> Avatar  Director in NASA Earth Science Exploration PSAs</t>
  </si>
  <si>
    <t>James Cameron, director of "Avatar," talks about many of the contributions that NASA's Earth science program has made in regards to environmental awareness and exploration of our home planet. "A Planet in Peril" is one of three public service announcements featuring "Avatar" film imagery and computer animations and data from NASA's fleet of Earth-observing satellites. NASA has 14 science satellites in orbit making cutting-edge global observations of the entire global system including the atmosphere, oceans, land surface, snow and ice.</t>
  </si>
  <si>
    <t>8bn7t2-FCEs</t>
  </si>
  <si>
    <t>https://youtu.be/PvrEtSUP7_M</t>
  </si>
  <si>
    <t xml:space="preserve"> A Steady Eye on Home  Features  Avatar  Director</t>
  </si>
  <si>
    <t>James Cameron, director of "Avatar," is featured in a series of public service announcements that describe the many contributions of NASA's Earth science program to environmental awareness and exploration of our home planet. "A Steady Eye on Home" is one of three public service announcements featuring "Avatar" film imagery and computer animations and data from NASA's fleet of Earth-observing satellites. NASA has 14 science satellites in orbit making cutting-edge global observations of the entire global system including the atmosphere, oceans, land surface, snow and ice.</t>
  </si>
  <si>
    <t>PvrEtSUP7_M</t>
  </si>
  <si>
    <t>https://youtu.be/oRm0fnWyklo</t>
  </si>
  <si>
    <t>Galactic Super Volcano Similar to Disruptive, Icelandic Phenomenon</t>
  </si>
  <si>
    <t>Earlier this year, a powerful volcano in Iceland erupted and caused havoc with air traffic around Europe.  Elsewhere in the Universe, a similar galactic super volcano has been erupting for millions of years.  This composite image from NASAs Chandra X-ray Observatory with radio data from the Very Large Array shows a cosmic volcano being driven by a black hole in the center of the M87 galaxy. This eruption is pumping energy into the black holes surroundings and preventing hundreds of millions of new stars from forming  just as the volcano in Iceland caused disruptions in the Earth's atmosphere.  The comparison between the black hole in M87 and the volcano in Iceland shows that even though astronomical phenomena occur in exotic settings and over huge scales, the physics can be very similar to events on Earth.</t>
  </si>
  <si>
    <t>oRm0fnWyklo</t>
  </si>
  <si>
    <t>https://youtu.be/fHQrXERODS0</t>
  </si>
  <si>
    <t xml:space="preserve"> Avatar  Director James Cameron on NASA Earth Science</t>
  </si>
  <si>
    <t>James Cameron, director of "Avatar," describes many contributions of NASA's Earth science program has made to environmental awareness and exploration of our home planet. "Part of the Global Network" is one of three public service announcements featuring "Avatar" film imagery and computer animations and data from NASA's fleet of Earth-observing satellites. NASA has 14 science satellites in orbit making cutting-edge global observations of the entire global system including the atmosphere, oceans, land surface, snow and ice.</t>
  </si>
  <si>
    <t>fHQrXERODS0</t>
  </si>
  <si>
    <t>https://youtu.be/TDtBT5XL5KQ</t>
  </si>
  <si>
    <t>Researchers Explore Next-Gen Trash Bag</t>
  </si>
  <si>
    <t>After answering the question of how the space potty works, astronaut Mike Massimino now visits the Advanced Water Recovery Systems Development Facility at NASA's Johnson Space Center. Chemists have been working hard to develop a next-generation trash bag for future exploration, including testing different forms of trash...and fake vomit. Watch as Massimino and the scientists lend their noses in the name of exploration and see if NASA's mixture is potent enough in this edition of "NASA Behind the Scenes."</t>
  </si>
  <si>
    <t>TDtBT5XL5KQ</t>
  </si>
  <si>
    <t>2010 08 20</t>
  </si>
  <si>
    <t>https://youtu.be/3vQMraQb4D0</t>
  </si>
  <si>
    <t>Kennedy Ships Off ISS Spare Parts to Japan</t>
  </si>
  <si>
    <t>Cargo bound for the International Space Station is on its way to the Japan Aerospace Exploration Agency's Tanegashima Space Center in Japan to begin final processing for launch. A flex hose rotary coupler and a cargo transportation container departed the Space Station Processing Facility at NASA's Kennedy Space Center in Florida on Thursday, Aug. 19. 
The flex hose rotary couple is used to transfer liquid ammonia across the rotary joints that allow the space station's radiators to rotate. The spare parts will travel by truck, plane and boat before arriving at Tanegashima on Sept. 1. The cargo will travel to the station aboard HTV-2,  a cargo spacecraft that's scheduled to launch on an H-IIB rocket on Jan. 20, 2011.</t>
  </si>
  <si>
    <t>3vQMraQb4D0</t>
  </si>
  <si>
    <t>https://youtu.be/YBg2tuJxYTM</t>
  </si>
  <si>
    <t>Spacewalkers Provide Cool Under Pressure on This Week @ NASA</t>
  </si>
  <si>
    <t>The third of three spacewalks by Expedition 24 Flight Engineers Doug Wheelock and Tracy Caldwell Dyson restored a pressurized cooling loop aboard the International Space Station. The duo removed and replaced a failed ammonia pump that brought down one of the station's two cooling loops July 31. Also, NASA hosted some 1,000 participants at its first Information Technology Summit held outside Washington; a closeout of open-door tests aboard SOFIA; the nation's top teachers are schooled on space; NASA Exploration Day at Busch Gardens; and a Gemini program mission marks its 45th anniversary.</t>
  </si>
  <si>
    <t>YBg2tuJxYTM</t>
  </si>
  <si>
    <t>https://youtu.be/GJL6EMiD3-Y</t>
  </si>
  <si>
    <t>Moon Reveals New Secrets to Spacecraft</t>
  </si>
  <si>
    <t>Newly discovered cliffs in the lunar crust indicate the moon shrank globally in the geologically recent past and might still be shrinking today, according to a team analyzing new images from NASA's Lunar Reconnaissance Orbiter, or LRO spacecraft. The results provide important clues to the moon's recent geologic and tectonic evolution.</t>
  </si>
  <si>
    <t>GJL6EMiD3-Y</t>
  </si>
  <si>
    <t>https://youtu.be/QmEAIlsqXDs</t>
  </si>
  <si>
    <t>Rising Temperatures Mean Falling Plant Productivity Overall</t>
  </si>
  <si>
    <t>The past decade is officially the warmest on record since instrumental measurements began in the 1880s.  Previous research suggested that in the '80s and '90s, warmer global temperatures and higher levels of precipitation -- factors associated with climate change - were generally good for plant productivity. An updated analysis based on NASA satellite data and published this week in the journal Science indicates that, as temperatures have continued to rise, the benefits to plants are now overwhelmed by longer and more frequent droughts.</t>
  </si>
  <si>
    <t>QmEAIlsqXDs</t>
  </si>
  <si>
    <t>2010 08 18</t>
  </si>
  <si>
    <t>https://youtu.be/NVmIbPP1iAM</t>
  </si>
  <si>
    <t>Mary J. Blige Joins NASA to Promote STEM Careers for Women</t>
  </si>
  <si>
    <t>In this second of two public service announcements, award-winning recording artist Mary J. Blige appears with veteran NASA space shuttle astronaut Leland Melvin to encourage young women to expand their career choices by studying science, technology, engineering and mathematics (STEM). Both PSAs are now on NASA TV and the agency's website at: http://www.nasa.gov. NASA's Summer of Innovation (SoI) project and Blige's Foundation for the Advancement of Women Now (FFAWN) both show students the many possibilities available if they follow their dreams and reach for the stars</t>
  </si>
  <si>
    <t>NVmIbPP1iAM</t>
  </si>
  <si>
    <t>https://youtu.be/HBJZyzY55J0</t>
  </si>
  <si>
    <t>NASA and Mary J. Blige Encourage Science Careers for Women</t>
  </si>
  <si>
    <t>In this first of two public service announcements, award-winning recording artist Mary J. Blige appears with veteran NASA space shuttle astronaut Leland Melvin to encourage young women to pursue exciting experiences and career choices by studying science, technology, engineering and mathematics (STEM). Both PSAs are now on NASA TV and the agency's website at: http://www.nasa.gov. NASA's Summer of Innovation (SoI) project and Blige's Foundation for the Advancement of Women Now (FFAWN) both show students the many possibilities available if they follow their dreams and reach for the stars.</t>
  </si>
  <si>
    <t>HBJZyzY55J0</t>
  </si>
  <si>
    <t>2010 08 17</t>
  </si>
  <si>
    <t>https://youtu.be/fiU3zPibBSI</t>
  </si>
  <si>
    <t>Third Time's the Charm for Spacewalkers</t>
  </si>
  <si>
    <t>Expedition 24 Flight Engineers Doug Wheelock and Tracy Caldwell Dyson installed a spare ammonia pump in the International Space Station's starboard truss to replace a similar unit that had failed two weeks ago.  The seven-hour, 20-minute EVA conducted on Aug. 16 was the final of three excursions needed to bring the station's cooling system back to full capability. The cooling loop, one of two aboard the ISS, is expected to be reactivated this Thursday, Aug. 19.</t>
  </si>
  <si>
    <t>fiU3zPibBSI</t>
  </si>
  <si>
    <t>2010 08 13</t>
  </si>
  <si>
    <t>https://youtu.be/D2C_Vsd5unA</t>
  </si>
  <si>
    <t>End of Greenland Glacier Breaks Away</t>
  </si>
  <si>
    <t>On August 5, 2010, an enormous chunk of ice, roughly 97 square miles (251 square kilometers) in size, broke off the Petermann Glacier, along the northwestern coast of Greenland. The glacier lost about one-quarter of its 70-kilometer (40-mile) long floating ice shelf, the Northern Hemisphere's largest. It's not unusual for large icebergs to calve off the Petermann Glacier, but this new one is the largest to form in the Arctic since 1962.</t>
  </si>
  <si>
    <t>D2C_Vsd5unA</t>
  </si>
  <si>
    <t>https://youtu.be/griaUjEFH_g</t>
  </si>
  <si>
    <t>New Science Module Slated for Station on This Week @ NASA</t>
  </si>
  <si>
    <t>The next hardware to fly to the International Space Station,  the permanent multi-purpose module, was unveiled to reporters at the Kennedy Space Center. Once unloaded of spare parts and supplies, the PMM will be installed on the station and used for numerous microgravity experiments. Also, America's top teachers go to space camp;  the "Dean of Invention" comes to Langley; Palmdale gets special flag; and astronaut Leland Melvin "floats" at the Football Hall of Fame parade.</t>
  </si>
  <si>
    <t>griaUjEFH_g</t>
  </si>
  <si>
    <t>https://youtu.be/wR6sYM6r5JU</t>
  </si>
  <si>
    <t xml:space="preserve">Mars Orbiter Helps Scientists  Follow the Water </t>
  </si>
  <si>
    <t>Five years ago, NASA's Mars Reconnaissance Orbiter was launched in search of evidence that water persisted on the surface of Mars over a prolonged period of time. Previous Mars missions indicated that, at some point in the Red Planet's history, water flowed across its surface. Throughout the years, MRO has continued to analyze minerals, look for water, trace the distribution of dust in the atmosphere and monitor Martian weather.</t>
  </si>
  <si>
    <t>wR6sYM6r5JU</t>
  </si>
  <si>
    <t>https://youtu.be/s8QC5sbKnF0</t>
  </si>
  <si>
    <t>Echo 1 Launched Communications Revolution</t>
  </si>
  <si>
    <t>50 years ago, NASA launched its first communications satellite, Echo 1. Made from mylar polyester film and measuring about 100 feet across, the balloon-shaped spacecraft was designed as a passive communications reflector for transcontinental and intercontinental telephone, radio, and television signals.  During orbit, a special recorded message from President Dwight Eisenhower was bounced off Echo 1 and picked up by radio operators across the nation.</t>
  </si>
  <si>
    <t>s8QC5sbKnF0</t>
  </si>
  <si>
    <t>2010 08 12</t>
  </si>
  <si>
    <t>https://youtu.be/85YQx89ICQQ</t>
  </si>
  <si>
    <t>Second EVA Completed to Replace Pump on ISS</t>
  </si>
  <si>
    <t>Expedition 24 Flight Engineers Doug Wheelock and Tracy Caldwell Dyson completed the second spacewalk to replace a failed ammonia pump module on the International Space Station. The duo successfully detached and removed the failed unit from the station's cooling system. The two spacewalkers will put the new pump in place and connect it to the loop's fluid lines during a third EVA scheduled for this Monday.</t>
  </si>
  <si>
    <t>85YQx89ICQQ</t>
  </si>
  <si>
    <t>2010 08 09</t>
  </si>
  <si>
    <t>https://youtu.be/OPuoMvTsM-4</t>
  </si>
  <si>
    <t>Spacewalkers Make Progress on This Week @ NASA</t>
  </si>
  <si>
    <t>Expedition 24 Flight Engineers Doug Wheelock and Tracy Caldwell Dyson completed the first spacewalk to replace a failed ammonia pump module on the International Space Station. The 8 hour, 3 minute excursion fell short of removing the failed Pump Module due to a leak in the fourth of four ammonia line connectors. 
Also, NASA and ESA, the European Space Agency, have joined forces and resources to explore the Red Planet; ATHLETE the robotic rover has a stretch run; a revealing composite image of two galaxies that first collided more than 100 million years ago; NASA summer interns learn flight testing with a remote-controlled airplane; and two NASA anniversaries are celebrated August 12.</t>
  </si>
  <si>
    <t>OPuoMvTsM-4</t>
  </si>
  <si>
    <t>2010 08 07</t>
  </si>
  <si>
    <t>https://youtu.be/DIYYUuP-jKs</t>
  </si>
  <si>
    <t>Astronauts Make Progress on Spacewalk</t>
  </si>
  <si>
    <t>Expedition 24 astronauts Doug Wheelock and Tracy Caldwell Dyson conducted the first of two planned spacewalks needed to replace a failed ammonia pump module that helps cool the International Space Station on Aug. 7. They will conduct a second spacewalk no earlier than Aug. 11, and possibly a third to continue the pump replacement effort.</t>
  </si>
  <si>
    <t>DIYYUuP-jKs</t>
  </si>
  <si>
    <t>2010 08 05</t>
  </si>
  <si>
    <t>https://youtu.be/p8tqynqDL2E</t>
  </si>
  <si>
    <t>NASA Explores Life and Death of Hurricanes</t>
  </si>
  <si>
    <t>From August 15th to September 25th, NASA will begin the GRIP or Genesis and Rapid Intensification Mission to study how hurricanes form and intensify.  During the most active period of the hurricane season, numerous NASA satellites and aircraft will help scientists better understand the life cycles of some of Earth's most destructive forces.</t>
  </si>
  <si>
    <t>p8tqynqDL2E</t>
  </si>
  <si>
    <t>2010 08 04</t>
  </si>
  <si>
    <t>https://youtu.be/n_N6ybnawR0</t>
  </si>
  <si>
    <t>NASA and, ESA Unite for Mars Missions</t>
  </si>
  <si>
    <t>NASA and the European Space Agency (ESA) have joined to share resources and expertise on three future science missions to Mars.  In three separate robotic missions (the first in 2016), both agencies will study the possibility of past life on the Red Planet, as well as test communications relays and other geochemical and biological mysteries. The third mission, in the 2020's, will return to Earth a sample taken from the Martian surface.</t>
  </si>
  <si>
    <t>n_N6ybnawR0</t>
  </si>
  <si>
    <t>https://youtu.be/urdFzTATwWg</t>
  </si>
  <si>
    <t>D-RATS Help Ready Robot Exploration</t>
  </si>
  <si>
    <t>Members of the NASA Kennedy Space Center D-RATS (Desert Research and Technology Studies) team are headed into the high Arizona desert to evaluate and test human-robotic exploration techniques. They'll carry specially-designed backpacks containing GPS antennas, communications components and cameras.  The exercise helps evaluate operational exploration concepts for ground surface support that include rovers and extra vehicular activities.</t>
  </si>
  <si>
    <t>urdFzTATwWg</t>
  </si>
  <si>
    <t>https://youtu.be/zWpD-fCC9lc</t>
  </si>
  <si>
    <t>100 Million Years Later, Galactic Collision Continues</t>
  </si>
  <si>
    <t>This new, composite image from the Chandra X-ray Observatory, the Hubble Space Telescope, and the Spitzer Space Telescope shows two colliding galaxies more than a 100 million years after they first impacted each other. The continuing collision of the Antennae galaxies, located about 62 million light years from Earth,  has triggered the formation of millions of stars in clouds of dusts and gas in the galaxies. The X-ray image from Chandra shows huge clouds of hot, interstellar gas that have been injected with rich deposits of elements from supernova explosions. This enriched gas, which includes elements such as oxygen, iron, magnesium and silicon, will one day be incorporated into new generations of stars and planets.</t>
  </si>
  <si>
    <t>zWpD-fCC9lc</t>
  </si>
  <si>
    <t>2010 08 03</t>
  </si>
  <si>
    <t>https://youtu.be/BK6C4m8wY5M</t>
  </si>
  <si>
    <t>Practice Makes Perfect EVAs</t>
  </si>
  <si>
    <t>Astronauts Cady Coleman and Suni Williams conducted an underwater practice spacewalk session at Johnson Space Center's Neutral Buoyancy Laboratory August 2. The session was to help International Space Station team members identify challenges Expedition 24 astronauts Doug Wheelock and Tracy Caldwell Dyson may encounter on the first of two planned spacewalks later this week to replace a failed ammonia pump module that helps cool the orbiting complex. The spare replacement unit was delivered to the station on the STS-121 mission in July 2006.</t>
  </si>
  <si>
    <t>BK6C4m8wY5M</t>
  </si>
  <si>
    <t>https://youtu.be/ggDveAjJacA</t>
  </si>
  <si>
    <t>Spacewalk Preview Briefing</t>
  </si>
  <si>
    <t>At a news briefing held at the Johnson Space Center on August 2, flight managers discussed revised plans for two International Space Station spacewalks. Expedition 24 Flight Engineers Doug Wheelock and Tracy Caldwell Dyson are scheduled to perform the EVAs (Extravehicular Activities) to replace an ammonia coolant pump that failed July 31.  Spacewalk coverage begins 6 a.m. on Saturday, Aug. 7th.</t>
  </si>
  <si>
    <t>ggDveAjJacA</t>
  </si>
  <si>
    <t>2010 07 30</t>
  </si>
  <si>
    <t>https://youtu.be/AJvzZF2Q1lo</t>
  </si>
  <si>
    <t>First Robotic Crew Member to Tweet from Space</t>
  </si>
  <si>
    <t>NASA's Robonaut 2, known as R2, on Monday inaugurated its Twitter account, @AstroRobonaut. 
With the help of its supporting team the robot will document its preparations for launch and, eventually, its stay at the International Space Station. R2 s scheduled to travel to the station aboard Discovery as part of the STS-133 mission, targeted to launch in November. For the past several months R2 has been undergoing tests and upgrades at NASA's Johnson Space Center in Houston. In August it will be shipped to NASA's Kennedy Space Center in Florida for final testing and packing.</t>
  </si>
  <si>
    <t>AJvzZF2Q1lo</t>
  </si>
  <si>
    <t>https://youtu.be/t1a3klbJQ4I</t>
  </si>
  <si>
    <t>Rover's First  Steps  Make  Parents  Proud on This Week @ NASA</t>
  </si>
  <si>
    <t>The Mars Science Laboratory, also known as Curiosity, rolled across a clean room floor at NASA's Jet Propulsion Laboratory, essentially taking its first "steps" before proud mission team members. The largest rover ever made for Mars is scheduled to launch to the Red Planet in the fall of 2011. Also, two Russian cosmonauts made a successful spacewalk outside the International Space Station; wind tunnel testing is making human spaceflight safer; the first map to cover the entire surface of Mars makes its debut online, and more.</t>
  </si>
  <si>
    <t>t1a3klbJQ4I</t>
  </si>
  <si>
    <t>https://youtu.be/XVfcpROR2J8</t>
  </si>
  <si>
    <t>Spirit Hibernating, May Not Call Home</t>
  </si>
  <si>
    <t>NASA mission controllers have not heard from the Mars Exploration Rover Spirit since March 22, and the rover is facing its toughest challenge yet -- trying to survive the harsh Martian winter. The rover team anticipated Spirit would go into a low-power "hibernation" mode since the rover was not able to get to a favorable slope for its fourth Martian winter, which runs from May through November. The low angle of sunlight during these months limits the power generated from the rover's solar panels. During hibernation, the rover suspends communications and other activities so available energy can be used to recharge and heat batteries, and to keep the mission clock running.</t>
  </si>
  <si>
    <t>XVfcpROR2J8</t>
  </si>
  <si>
    <t>2010 07 23</t>
  </si>
  <si>
    <t>https://youtu.be/wswhFnYQdRs</t>
  </si>
  <si>
    <t>Soccer-Ball-Shaped Molecules Detected in Space</t>
  </si>
  <si>
    <t>The Spitzer Space Telescope has located some elusive carbon molecules floating in space.  Called "Buckyballs," due to their resemblance to architect Buckminster Fuller's geodesic domes, these three-dimensional, spherical structures are now the largest molecules known to exist in space, and until now, have escaped detection. Buckyballs hold unique properties in the physical and chemical processes of space .</t>
  </si>
  <si>
    <t>wswhFnYQdRs</t>
  </si>
  <si>
    <t>https://youtu.be/5CAouXYLC2U</t>
  </si>
  <si>
    <t>New Hubble Discovery, SOFIA's Second Series, and More on This Week @ NASA</t>
  </si>
  <si>
    <t>The Hubble Space Telescope has confirmed the existence of a giant scorched planet with a tail like a comet. About 153 light years from Earth, this exoplanet (outside our solar system) is so close to its star that one of its years is 3-and-a-half of our days. Also, NASA's Stratospheric Observatory for Infrared Astronomy is flying its second series of flight tests to prove its airworthiness for 20 years worth of science gathering. Plus, Girls in Space, Kids to Work, Mars Day, and Crew Visit.</t>
  </si>
  <si>
    <t>5CAouXYLC2U</t>
  </si>
  <si>
    <t>2010 07 21</t>
  </si>
  <si>
    <t>https://youtu.be/VCZEp7jgCzc</t>
  </si>
  <si>
    <t>Spacewalk Could Last Six Hours</t>
  </si>
  <si>
    <t>In a briefing held at NASA's Johnson Space Center in Houston, Expedition 24 managers previewed the mission's first spacewalk set to begin at 11:45 p.m. EDT on July 26. Flight Engineers Mikhail Kornienko and Fyodor Yurchikhin will outfit the Rassvet module for a Kurs automated rendezvous system, which will allow unmanned Russian vehicles, such as Progress resupply craft, to dock there. The EVA is scheduled to end around 5:40 a.m. on July 27.</t>
  </si>
  <si>
    <t>VCZEp7jgCzc</t>
  </si>
  <si>
    <t>https://youtu.be/030_pKgXUI8</t>
  </si>
  <si>
    <t>Georgia Students Quiz Space Station Residents</t>
  </si>
  <si>
    <t>Aboard the International Space Station, Expedition 24 Flight Engineers Doug Wheelock, Shannon Walker and Tracy Caldwell Dyson took questions about life in space from students at the Conyers, Ga., Middle School during an in-flight educational event on July 21.</t>
  </si>
  <si>
    <t>030_pKgXUI8</t>
  </si>
  <si>
    <t>2010 07 16</t>
  </si>
  <si>
    <t>https://youtu.be/8Q7NHKl0nSI</t>
  </si>
  <si>
    <t>Release of Endangered Turtle Hatchlings at Kennedy Tops This Week @ NASA</t>
  </si>
  <si>
    <t>The first nest of endangered Kemp's ridley turtle eggs rescued from Florida and Alabama Gulf Coast beaches threatened by the BP oil spill makes its way to  the Kennedy Space Center. After incubation is complete, 22 baby turtles are released into the Atlantic Ocean off Kennedy. Among This Week's other stories: the last external tank built for the Space Shuttle Program arrives in Florida from New Orleans;  a Star Trek legend visits the Johnson Space Center; and the world's first space partnership between the U.S. and the Soviet Union is remembered 30 years later.</t>
  </si>
  <si>
    <t>8Q7NHKl0nSI</t>
  </si>
  <si>
    <t>2010 07 15</t>
  </si>
  <si>
    <t>https://youtu.be/hzZfAXz4kgE</t>
  </si>
  <si>
    <t>Last Shuttle External Tank Arrives at Kennedy</t>
  </si>
  <si>
    <t>The external fuel tank designated for space shuttle Endeavour's STS-134 mission to the International Space Station now is at NASA's Kennedy Space Center in Florida for launch preparations. ET-138, the final external fuel tank produced at the Michoud Assembly Facility in New Orleans, arrived at Kennedy July 13 after its 900-mile water journey from Louisiana. It was towed off its transport barge, Pegasus, and moved into Kennedy's Vehicle Assembly Building on July 14. The tank and twin solid rocket boosters will be attached to Endeavour for a liftoff targeted for Feb. 26, 2011. STS-134 is the last scheduled mission of NASA's Space Shuttle Program.</t>
  </si>
  <si>
    <t>hzZfAXz4kgE</t>
  </si>
  <si>
    <t>2010 07 13</t>
  </si>
  <si>
    <t>https://youtu.be/7ollX4iUcdU</t>
  </si>
  <si>
    <t>New Space Technology Program Seeks Innovative Solutions</t>
  </si>
  <si>
    <t>NASA's Office of the Chief Technologist will complement the technology development activities within NASA's Mission Directorates, leveraging synergies between them, and delivering forward-reaching technology solutions for future NASA science and exploration missions, and significant national needs.</t>
  </si>
  <si>
    <t>7ollX4iUcdU</t>
  </si>
  <si>
    <t>https://youtu.be/mB9_7OJHDrI</t>
  </si>
  <si>
    <t>Endangered Turtle Hatchlings Released at Kennedy</t>
  </si>
  <si>
    <t>The first group of hatchlings from endangered sea turtle eggs brought from beaches along the northern U.S. Gulf Coast was released into the Atlantic Ocean off NASA's Kennedy Space Center in Florida on July 11. Twenty-two Kemp's ridley turtles were set free on a Kennedy Space Center/Canaveral National Seashore beach. The release and relocation work is part of an effort by the U.S. Fish and Wildlife Service, the Florida Fish and Wildlife Conservation Commission, the National Park Service, NOAA and conservationists to help minimize the risk to this year's sea turtle hatchlings from impacts of the BP Deepwater Horizon oil spill in the Gulf of Mexico. This plan involves carefully moving an anticipated 700 nests deposited on Florida Panhandle and Alabama beaches during the next several months.</t>
  </si>
  <si>
    <t>mB9_7OJHDrI</t>
  </si>
  <si>
    <t>2010 07 12</t>
  </si>
  <si>
    <t>https://youtu.be/KJfJbpDcqKA</t>
  </si>
  <si>
    <t>Last Discovery Crew Inspects Flight Hardware</t>
  </si>
  <si>
    <t>The crew that will launch aboard space shuttle Discovery on its STS-133 mission participated in a crew equipment interface test, July 9 and 10 at NASA's Kennedy Space Center, Fla. During the test, the crew inspected mission hardware and flight equipment they will use in space during Discovery's last scheduled flight. 
The STS-133 crew members are Commander Steve Lindsey, Pilot Eric Boe, and Mission Specialists Alvin Drew, Tim Kopra, Michael Barratt and Nicole Stott. Discovery's launch is targeted for Nov. 1.</t>
  </si>
  <si>
    <t>KJfJbpDcqKA</t>
  </si>
  <si>
    <t>https://youtu.be/rDHiamFar6o</t>
  </si>
  <si>
    <t>The Last ET, Virtual Moon Mission and a Job Well Done on This Week @ NASA</t>
  </si>
  <si>
    <t>Also, Journey Complete, and 12,000 Days.</t>
  </si>
  <si>
    <t>rDHiamFar6o</t>
  </si>
  <si>
    <t>2010 07 09</t>
  </si>
  <si>
    <t>https://youtu.be/-HEHIAaeFPs</t>
  </si>
  <si>
    <t>Final Shuttle Tank Gets New Orleans Send-Off</t>
  </si>
  <si>
    <t>The last external fuel tank scheduled to fly on a space shuttle mission
was rolled away July 8 from the Michoud Assembly Facility in New Orleans
in preparation for its 900-mile sea journey to the Kennedy Space Center
in Florida. The tank, designated ET-138, was completed by Lockheed
Martin workers on June 28. NASA and Lockheed Martin held a ceremony to
pay tribute to the Michoud employees who built and delivered 134 ETs to
the Space Shuttle Program over a span of 37 years. Once at Kennedy, the
tank will be used to send shuttle Endeavour into space on its STS-134
mission targeted for November first.</t>
  </si>
  <si>
    <t>-HEHIAaeFPs</t>
  </si>
  <si>
    <t>https://youtu.be/GL0P6ZAgsls</t>
  </si>
  <si>
    <t>Walker Talks with Houston From Space</t>
  </si>
  <si>
    <t>Aboard the International Space Station, Expedition 24 Flight Engineer
Shannon Walker, the first native Houstonian to fly in space, fields
questions from Houston TV stations KHOU, KRIV and KTRK during a series
of in-flight interviews on July 8, 2010.</t>
  </si>
  <si>
    <t>GL0P6ZAgsls</t>
  </si>
  <si>
    <t>2010 07 04</t>
  </si>
  <si>
    <t>https://youtu.be/aFXXrM6_aAI</t>
  </si>
  <si>
    <t>Docking, Apollo Module Moved, and Goddard Day 2010 on This Week @ NASA</t>
  </si>
  <si>
    <t>Also, students "Rock On" and discover Martian cave, on the road with the 132 crew, and a day at the office</t>
  </si>
  <si>
    <t>aFXXrM6_aAI</t>
  </si>
  <si>
    <t>https://youtu.be/_rOIgDlT_Q4</t>
  </si>
  <si>
    <t>Wheels Installed on Next Mars Rover</t>
  </si>
  <si>
    <t>The wheels and suspension system have been installed on NASA's next Mars rover, Curiosity, a key step in assembly and testing of the flight system for the Mars Science Laboratory mission slated to launch next year. The centerpiece of MSL, Curiosity has six wheels and a rocker-bogie suspension system like its smaller predecessors: Spirit, Opportunity and Sojourner. Each wheel has its own drive motor and the corner wheels also have independent steering motors. Unlike earlier Mars rovers, Curiosity will also use its mobility system as landing gear when the mission's rocket-powered descent stage lowers the rover directly onto the Martian surface on a tether in August 2012.</t>
  </si>
  <si>
    <t>_rOIgDlT_Q4</t>
  </si>
  <si>
    <t>https://youtu.be/ud4Pm_DCUrM</t>
  </si>
  <si>
    <t>Cargo Reaches Space Station</t>
  </si>
  <si>
    <t>The ISS Progress 38 resupply ship docked to the aft end of the International Space Station's Zvezda service module at 12:17 p.m. Eastern on July 4, delivering almost two tons of food, fuel and other necessities to the six-member Expedition 24 crew.. Launched from the Baikonur Cosmodrome in Kazakhstan on June 30, the unpiloted spacecraft failed to dock as planned on July 2 when its telemetry failed about 28 minutes from the ISS. Progress 38 delivered 1,918 pounds of propellant, 110 pounds of oxygen and air, 220 pounds of water and 2,667 pounds of supplies, spare parts and experiment hardware.</t>
  </si>
  <si>
    <t>ud4Pm_DCUrM</t>
  </si>
  <si>
    <t>2010 07 02</t>
  </si>
  <si>
    <t>https://youtu.be/JWUXOWWRAPI</t>
  </si>
  <si>
    <t>Saturn, Venus Among Skywatchers'  Stars  this Month</t>
  </si>
  <si>
    <t>On "What's Up for July," Jane Houston-Jones of NASA's Jet Propulsion Laboratory discusses our home galaxy, its different types of nebulae, and which of its favorite "attractions" are visible this month.</t>
  </si>
  <si>
    <t>JWUXOWWRAPI</t>
  </si>
  <si>
    <t>https://youtu.be/WAQYRA2atvg</t>
  </si>
  <si>
    <t>Be a Star!</t>
  </si>
  <si>
    <t>Astronaut Leland Melvin and actor/rapper Daniel Curtis Lee (Disney TV's "Zeke and Luther;" Nickelodeon's "Ned's Declassified School Survival Guide") remind students how doing well in science, technology, engineering, and math can lead to success.</t>
  </si>
  <si>
    <t>WAQYRA2atvg</t>
  </si>
  <si>
    <t>https://youtu.be/8lNsWWc5M5k</t>
  </si>
  <si>
    <t>Hurricane Alley  The Movie</t>
  </si>
  <si>
    <t>Keep an "eye" on hurricanes  and other storms in the Atlantic Ocean using new, updated satellite data from the Geostationary Operational Environmental Satellite, GOES-13. A "full disk movie" of "Hurricane Alley" like this one uses satellite images captured at 15 minute intervals and shown for the most recent three days. www.nasa.gov/hurricane</t>
  </si>
  <si>
    <t>8lNsWWc5M5k</t>
  </si>
  <si>
    <t>https://youtu.be/DdvMsKkpgPw</t>
  </si>
  <si>
    <t>New Citizens at KSC</t>
  </si>
  <si>
    <t>NASA helped welcome more than 100 people as new U.S. citizens during a naturalization ceremony at Kennedy Space Center Visitor Complex, Fla., on July 1. This was the first time a naturalization ceremony was held at a NASA facility. U.S. Citizenship and Immigration Services  administered the Oath of Allegiance to a group of candidates representing 36 countries in honor of the upcoming Independence Day holiday. An estimated 3,800 candidates will become citizens at 55 special ceremonies nationwide and around the world from July 1-6.</t>
  </si>
  <si>
    <t>DdvMsKkpgPw</t>
  </si>
  <si>
    <t>2010 06 30</t>
  </si>
  <si>
    <t>https://youtu.be/eqEIODCWI7Q</t>
  </si>
  <si>
    <t>Venus Among Skywatchers'  Stars  this Month</t>
  </si>
  <si>
    <t>eqEIODCWI7Q</t>
  </si>
  <si>
    <t>2010 06 28</t>
  </si>
  <si>
    <t>https://youtu.be/Z_rqoks3j60</t>
  </si>
  <si>
    <t>Soyuz Moved for Progress Arrival</t>
  </si>
  <si>
    <t>Expedition 24 Flight Engineers Fyodor Yurchikhin, Doug Wheelock and Shannon Walker relocated their Soyuz TMA-19 spacecraft on June 28 from the aft end of the Zvezda Service Module to the Rassvet module, which was installed in May. Yurchikhin manually docked the Soyuz to Rassvet for the first-ever linkup to the module. The move opens the aft port of Zvezda for the arrival of a new unpiloted Russian Progress resupply craft with food, fuel and supplies on July 2.</t>
  </si>
  <si>
    <t>Z_rqoks3j60</t>
  </si>
  <si>
    <t>https://youtu.be/GQkwM-HRLho</t>
  </si>
  <si>
    <t>Polar Ice Study, Soccer Ball Science and Communication Satellite Retired This Week @ NASA</t>
  </si>
  <si>
    <t>Also, STS-131 crew on tour, and Orion returns to Dryden.</t>
  </si>
  <si>
    <t>GQkwM-HRLho</t>
  </si>
  <si>
    <t>2010 06 25</t>
  </si>
  <si>
    <t>https://youtu.be/5fo9fhYTOoY</t>
  </si>
  <si>
    <t>KSC Co-Hosts Job Fair for Shuttle Workers</t>
  </si>
  <si>
    <t>Forty-seven private sector companies and federal employers participated in a two-day job fair hosted by NASA and Brevard Workforce at the Kennedy Space Center and Cape Canaveral, Fla. The goal was to help prepare employees with their future planning and career placement as NASA's Space Shuttle Program nears retirement.</t>
  </si>
  <si>
    <t>5fo9fhYTOoY</t>
  </si>
  <si>
    <t>https://youtu.be/HuNu39p_GFI</t>
  </si>
  <si>
    <t>Students Discover Cave on Mars</t>
  </si>
  <si>
    <t>California middle school students using the camera on NASA's Mars Odyssey orbiter recently discovered a cave on Mars. The discovery by the seventh-grade class at Evergreen Middle School in Cottonwood, Calif., was made possible by NASA's Mars Student Imaging Program -- a program that invites classrooms nationwide to conduct planetary exploration and science using NASA instruments. The program is run by Arizona State University, Tempe, and NASA's Jet Propulsion Laboratory, Pasadena, Calif.</t>
  </si>
  <si>
    <t>HuNu39p_GFI</t>
  </si>
  <si>
    <t>2010 06 24</t>
  </si>
  <si>
    <t>https://youtu.be/2rR1TGRIebw</t>
  </si>
  <si>
    <t>Lunar Orbiter Marks First Year at Moon</t>
  </si>
  <si>
    <t>The Lunar Reconnaissance Orbiter, LRO, has completed one full year of scouting the moon.  Since officially reaching lunar orbit on June 23nd, 2009, LRO's observations have led to a number of major scientific accomplishments. Shown here are ten of the many 'cool' things LRO has seen over the last twelve months.</t>
  </si>
  <si>
    <t>2rR1TGRIebw</t>
  </si>
  <si>
    <t>2010 06 18</t>
  </si>
  <si>
    <t>https://youtu.be/HsAXMi05Nug</t>
  </si>
  <si>
    <t>Doubling Up, Continuing Search and Hayabusa's Homecoming on This Week @ NASA</t>
  </si>
  <si>
    <t>Plus, mail room mayday, "Launchpad" Emmy and "Take Your Kids to Work Day."</t>
  </si>
  <si>
    <t>HsAXMi05Nug</t>
  </si>
  <si>
    <t>https://youtu.be/HssASU-K7Ec</t>
  </si>
  <si>
    <t>NASA's Arctic Voyage Underway</t>
  </si>
  <si>
    <t>NASA's first oceanographic research expedition left Alaska on June 15, 2010. The five-week ICESCAPE mission is headed into the Arctic to study sea ice and the changing ocean ecosystem. Listen to the scientists as they get ready to head to sea.</t>
  </si>
  <si>
    <t>HssASU-K7Ec</t>
  </si>
  <si>
    <t>https://youtu.be/CAM9RBPjSzQ</t>
  </si>
  <si>
    <t>New Crew Greeted at Space Station</t>
  </si>
  <si>
    <t>Expedition 24 Soyuz Commander Fyodor Yurchikhin and NASA Flight Engineers Doug Wheelock and Shannon Walker arrived at the International Space Station June 17, docking their craft to the aft port of the Zvezda Service Module on the Russian segment of the station. A few hours later, the hatch opened and Yurchikhin, Wheelock and Walker were greeted by Alexander Skvortsov, Mikhail Kornienko and Tracy Caldwell Dyson, who've been on the station since April. The three newcomers were also welcomed by officials gathered at the Russian Mission Control Center outside Moscow.</t>
  </si>
  <si>
    <t>CAM9RBPjSzQ</t>
  </si>
  <si>
    <t>2010 06 17</t>
  </si>
  <si>
    <t>https://youtu.be/iqay-OJcin8</t>
  </si>
  <si>
    <t>Expedition 24 Crew Docks To The Space Station</t>
  </si>
  <si>
    <t>Expedition 24 Soyuz Commander Fyodor Yurchikhin and NASA Flight Engineers Doug Wheelock and Shannon Walker arrived at the International Space Station June 17, docking their craft to the aft port of the Zvezda Service Module on the Russian segment of the station.</t>
  </si>
  <si>
    <t>iqay-OJcin8</t>
  </si>
  <si>
    <t>2010 06 15</t>
  </si>
  <si>
    <t>https://youtu.be/fADJUVsWIoI</t>
  </si>
  <si>
    <t>New Crew Begins Journey to ISS</t>
  </si>
  <si>
    <t>Expedition 24 Soyuz Commander Fyodor Yurchikhin and NASA Flight Engineers Doug Wheelock and Shannon Walker lifted off on their Russian Soyuz TMA-19 spacecraft June 15, 2010, at 5:35 p.m. EDT, from the Baikonur Cosmodrome in Kazakhstan. The launch begins a two-day journey to the International Space Station; the trio's spacecraft will dock to the station June 18. Yurchikhin, Wheelock and Walker will spend six months on the complex, complementing the Expedition 24 crew of Alexander Skvortsov, Mikhail Kornienko and Tracy Caldwell Dyson, who've been in orbit since April.</t>
  </si>
  <si>
    <t>fADJUVsWIoI</t>
  </si>
  <si>
    <t>2010 06 14</t>
  </si>
  <si>
    <t>https://youtu.be/iw64pFuGdjE</t>
  </si>
  <si>
    <t>New Station Crew Readies For Flight</t>
  </si>
  <si>
    <t>Expedition 24 Soyuz Commander Fyodor Yurchikhin and NASA Flight Engineers Doug Wheelock and Shannon Walker conducted a series of prelaunch activities June 15 in Baikonur, Kazakhstan, as they prepare for their June 16 liftoff to the International Space Station on the Soyuz TMA-19 vehicle. Among the events were the crew's appearance before the Russian State Commission and their final pre-launch news conference.</t>
  </si>
  <si>
    <t>iw64pFuGdjE</t>
  </si>
  <si>
    <t>https://youtu.be/5ynP-eGB8cg</t>
  </si>
  <si>
    <t>Moon Water More Abundant than Previously Believed</t>
  </si>
  <si>
    <t>NASA-funded scientists estimate that the volume of water molecules locked in minerals in the moon's interior could exceed the volume of water in the Great Lakes here on Earth. Scientists at the Carnegie Institution's Geophysical Laboratory, along with scientists across the nation, determined that the water was likely present very early in the moon's formation history as the hot magma started to cool and crystallize. The result means water is native to the moon; it's found in its structural form, hydroxyl, a very minor component of the rocks that make up the lunar interior. For more: www.nasa.gov  http://www.nasa.gov</t>
  </si>
  <si>
    <t>5ynP-eGB8cg</t>
  </si>
  <si>
    <t>https://youtu.be/_PGWRLy6OG8</t>
  </si>
  <si>
    <t>Hayabusa's Fiery Homecoming Ends Seven-Year Journey</t>
  </si>
  <si>
    <t>A team of astronomers and scientists from NASA, the Japanese Aerospace Exploration Agency and other organizations had a front row seat as the Hayabusa spacecraft made a fiery return to Earth's atmosphere on June 12, 2010. Special cameras and other imaging instruments aboard NASA's DC-8 airborne laboratory captured the Japanese spacecraft's high-speed re-entry over an unpopulated area of central Australia. Hayabusa completed a seven-year journey to return a sample of the asteroid Itokawa. Scientists aren't sure a sample was obtained; if they do find one, it'll weigh no more than a gram.</t>
  </si>
  <si>
    <t>_PGWRLy6OG8</t>
  </si>
  <si>
    <t>2010 06 11</t>
  </si>
  <si>
    <t>https://youtu.be/NAeq7YZJZxo</t>
  </si>
  <si>
    <t>Stimulating Summer Learning, Three New Crew, and Making Water Landings Safe on This Week at NASA</t>
  </si>
  <si>
    <t>Plus, Marshall honors its best, Global Hawk flies, making Smart Skies and the Traveling Space Museum.</t>
  </si>
  <si>
    <t>NAeq7YZJZxo</t>
  </si>
  <si>
    <t>https://youtu.be/xGUM-xmE_xM</t>
  </si>
  <si>
    <t xml:space="preserve"> Summer of Innovation  a Stimulating Experience</t>
  </si>
  <si>
    <t>More than 250 students joined with astronaut Leland Melvin and Administrator Charles Bolden at the Jet Propulsion Laboratory to help kickoff NASA's Summer of Innovation. The education initiative will use the excitement and inspiration of NASA missions to engage thousands of middle school students and teachers nationwide in stimulating math- and science-based programs during the summer months, a time when learning skills often decline.</t>
  </si>
  <si>
    <t>xGUM-xmE_xM</t>
  </si>
  <si>
    <t>2010 06 10</t>
  </si>
  <si>
    <t>https://youtu.be/z9-WrRNVZJo</t>
  </si>
  <si>
    <t>Science Keeps Station Crew Busy</t>
  </si>
  <si>
    <t>During their six-month Expedition 24, crew members Alexander Skvortsov, Mikhail Kornienko, Tracy Caldwell Dyson and soon-to-be newcomers Fyodor Yurchikhin, Doug Wheelock and Shannon Walker will have helped conduct some 130 ongoing science experiments aboard the International Space Station.</t>
  </si>
  <si>
    <t>z9-WrRNVZJo</t>
  </si>
  <si>
    <t>https://youtu.be/a7-gatElpos</t>
  </si>
  <si>
    <t>Expedition 24  Twice the Effort</t>
  </si>
  <si>
    <t>The soon-to-be-doubled Expedition 24 crew of Commander Alexander Skvortsov, Mikhail Kornienko, Tracy Caldwell Dyson and newcomers Fyodor Yurchikhin, Doug Wheelock and Shannon Walker will welcome the last planned shuttle flights and continue to usher in a new era of scientific research, with some 130 ongoing experiments in human research, biology and biotechnology, physical and materials sciences, technology development, and Earth and space sciences.</t>
  </si>
  <si>
    <t>a7-gatElpos</t>
  </si>
  <si>
    <t>https://youtu.be/EiUpgWsP-2k</t>
  </si>
  <si>
    <t>Expedition 24 Crew to Double on ISS</t>
  </si>
  <si>
    <t>Profiles of NASA astronauts Doug Wheelock and Shannon Walker, and cosmonaut Fyodor Yurchikhin. They're scheduled to launch on their Soyuz TMA-19 to the International Space Station at 5:35 p.m. Eastern on June 15 from the Baikonur Cosmodrome in Kazakhstan. Wheelock and Yurchikin are both spaceflight veterans; Walker, the only native Houstonian chosen as an astronaut, will be making her first visit to space. The Soyuz crew will join Expedition 24 crewmates Tracy Caldwell Dyson, Mikhail Kornienko and Commander Alexander Skvortsov aboard the orbiting laboratory.</t>
  </si>
  <si>
    <t>EiUpgWsP-2k</t>
  </si>
  <si>
    <t>2010 06 08</t>
  </si>
  <si>
    <t>https://youtu.be/xF3P2ewE6eg</t>
  </si>
  <si>
    <t>Shuttle Atlantis  From the Inside</t>
  </si>
  <si>
    <t>An unprecedented up close, inside look in high-definition of space shuttle Atlantis as it was readied for "towback" from Kennedy's Shuttle Landing Facility runway to Orbiter Processing Facility-1 following its May 26 landing on STS-132. After every shuttle landing, about 150 trained workers assist the crew out and prepare the shuttle for towing atop a large diesel-driven tractor to its processing hangar.</t>
  </si>
  <si>
    <t>xF3P2ewE6eg</t>
  </si>
  <si>
    <t>https://youtu.be/Wd-8B-L4rcg</t>
  </si>
  <si>
    <t>Soyuz Landing Spotlighted with New View</t>
  </si>
  <si>
    <t>A camera mounted on an all-terrain vehicle that was part of the Russian Search and Recovery Forces team in Kazakhstan captured never-before-seen views of the landing of the Expedition 23 crew in the Soyuz TMA-17 spacecraft east of the town of Dzezhgazkan on June 2, 2010. Soyuz Commander Oleg Kotov and Flight Engineers T.J. Creamer and Soichi Noguchi returned to Earth after 163 days in space.</t>
  </si>
  <si>
    <t>Wd-8B-L4rcg</t>
  </si>
  <si>
    <t>2010 06 07</t>
  </si>
  <si>
    <t>https://youtu.be/NYaXA-7xo08</t>
  </si>
  <si>
    <t>Four Join Astronaut Hall of Fame</t>
  </si>
  <si>
    <t>NASA Administrator and former astronaut Charles Bolden joined with other well-wishers at the U.S. Astronaut Hall of Fame on Saturday, June 5, to welcome four new honorees:  Guy Bluford, the first African-American to fly in space, on STS-8 in 1993; Ken Bowersox, shuttle Endeavour's pilot on the first mission to service the Hubble Space Telescope; Frank Culbertson Jr., commander of the first space shuttle night landing at Kennedy in 1993; and Kathy Thornton, a veteran of three shuttle missions and more than 975 hours in space. Hosting the event at the Kennedy Space Center Visitor Complex was Jon Cryer, Emmy Award-winning comedian of TV's "Two and a Half Men." The four new inductees bring to 77 the number of those enshrined in the U.S. Astronaut Hall of Fame.</t>
  </si>
  <si>
    <t>NYaXA-7xo08</t>
  </si>
  <si>
    <t>2010 06 04</t>
  </si>
  <si>
    <t>https://youtu.be/6SOc_FHQP6I</t>
  </si>
  <si>
    <t>SpaceX Launch A Success</t>
  </si>
  <si>
    <t>Space Exploration Technologies' Falcon 9 test rocket was successfully launched at 2:45 p.m. EDT from Cape Canaveral Air Force Station's Launch Complex-40 on Friday, June 4. SpaceX says its Dragon spacecraft now is in orbit. A statement issued by NASA Administrator Charles Bolden says the launch "gives us even more confidence that a resupply vehicle will be available after the space shuttle fleet is retired."</t>
  </si>
  <si>
    <t>6SOc_FHQP6I</t>
  </si>
  <si>
    <t>https://youtu.be/4IC72SdxLS8</t>
  </si>
  <si>
    <t>Soyuz's Safe Landing, Tracking Climate Change, and Student Balloon Launch top This Week @ NASA</t>
  </si>
  <si>
    <t>Plus, VIPs' visit, a re-dedication, and going full-scale in Big Apple</t>
  </si>
  <si>
    <t>4IC72SdxLS8</t>
  </si>
  <si>
    <t>2010 06 03</t>
  </si>
  <si>
    <t>https://youtu.be/yy0hqtygKuk</t>
  </si>
  <si>
    <t>STS-132  Atlantis' Final Flight</t>
  </si>
  <si>
    <t>A look back at the successful 12-day flight to the International Space
Station of Commander Ken Ham, Pilot Tony Antonelli, and Mission
Specialists Garrett Reisman, Piers Sellers, Mike Good and Steve Bowen
aboard space shuttle Atlantis, the orbiter's 32nd and final mission.</t>
  </si>
  <si>
    <t>yy0hqtygKuk</t>
  </si>
  <si>
    <t>https://youtu.be/pe-Lo95mDzo</t>
  </si>
  <si>
    <t>Mars Rover Spirit Finds Clue to Planet's Past and Environment for Life</t>
  </si>
  <si>
    <t>Rocks examined by NASA's Spirit Mars Rover hold evidence of a wet, non-acidic 
ancient environment that may have been favorable for life. Confirming this mineral 
clue took four years of analysis by several scientists, including Dick Morris of the Johnson Space Center.. 
This is one of the most significant findings by the rovers.</t>
  </si>
  <si>
    <t>pe-Lo95mDzo</t>
  </si>
  <si>
    <t>https://youtu.be/bZQ1VVqdsog</t>
  </si>
  <si>
    <t>Crew Follows Traditional Pre-Launch Path</t>
  </si>
  <si>
    <t>Expedition 24 Soyuz Commander Fyodor Yurchikhin, NASA Flight Engineers Doug Wheelock and Shannon Walker, and backup crewmembers Dmitri Kondratyev, Catherine Coleman and Paolo Nespoli of the European Space Agency participated in traditional ceremonies at Red Square in Moscow May 31, 2010, laying flowers at the Kremlin Wall as they paid tribute to iconic Russian officials buried there.  The ceremony is part of the traditional activities in advance of their launch June 16 to the International Space Station. Prior to that, they fielded questions from reporters at their training base at the Gagarin Cosmonaut Training Center in Star City, Russia, outside Moscow.</t>
  </si>
  <si>
    <t>bZQ1VVqdsog</t>
  </si>
  <si>
    <t>https://youtu.be/nXiKY6x4Qi8</t>
  </si>
  <si>
    <t>Going Up  New Mobile Rocket Launcher</t>
  </si>
  <si>
    <t>At NASA's Kennedy Space Center in Florida, construction of the new mobile launcher, or ML, progresses with placement of the launch mount on May 26. The construction is taking place in Launch Complex 39 in the mobile launcher park site north of Kennedy's Vehicle Assembly Building. The new launcher is 355 feet tall 
and has multiple platforms for personnel access. The base of the launcher is lighter than space shuttle mobile launcher platforms so the crawler-transporter can pick up the heavier load of the tower and a taller rocket.</t>
  </si>
  <si>
    <t>nXiKY6x4Qi8</t>
  </si>
  <si>
    <t>https://youtu.be/zHn0aRbIVaI</t>
  </si>
  <si>
    <t>Robotics Students  Dig Up Dirt  for Scholarship</t>
  </si>
  <si>
    <t>Twenty-two teams of undergraduate and graduate students from throughout the country tested their robot designs in a "head-to-head" challenge at the U.S. Astronaut Hall of Fame, near NASA's Kennedy Space Center, Fla., May 27-28. Teams remotely controlled their excavators or "lunabots" to determine which one could collect the most simulated lunar regolith, or dirt, in a given time. The 1st place winning team was Montana State University, whose lunabot excavated 21.6 kilograms, or about 47 pounds, of dirt within 15 minutes, received a $5,000 scholarship provided by NASA's Exploration Systems Mission Directorate and an invitation to return to Kennedy to view a future launch.</t>
  </si>
  <si>
    <t>zHn0aRbIVaI</t>
  </si>
  <si>
    <t>2010 06 02</t>
  </si>
  <si>
    <t>https://youtu.be/vOjq0CmwlnQ</t>
  </si>
  <si>
    <t>Climate Simulation Center To Help Track Global Warming</t>
  </si>
  <si>
    <t>NASA, a world leader in the development of climate models, is opening an updated supercomputing center that will allow scientists to simulate and better understand Earth's climate and weather. With a supercomputer able to perform a staggering 160 trillion or more calculations per second and an enormous 17- by 6-foot video hyperwall, this new facility will allow us to view our complex planet with unparalleled clarity and see just how model projections are beginning to match up with real world events.</t>
  </si>
  <si>
    <t>vOjq0CmwlnQ</t>
  </si>
  <si>
    <t>https://youtu.be/LFVc8CxfO1o</t>
  </si>
  <si>
    <t>Sub-Scale Rocket Test Saves Time, Money</t>
  </si>
  <si>
    <t>A small-scale solid rocket motor was successfully tested May 27 at NASA's Marshall Space Flight Center. The 21-second firing tested a NASA sub-scale motor designed as a versatile, quick-turnaround and low-cost way to determine the performance of new materials and designs.  Finding adequate parts replacements for highly- reliable systems used in human spaceflight programs involves extensive testing and qualification efforts. Testing a sub-scale version of a rocket motor is a cost-effective way to assess new materials, technologies or processes, and rapidly evaluate performance.</t>
  </si>
  <si>
    <t>LFVc8CxfO1o</t>
  </si>
  <si>
    <t>https://youtu.be/HAxhAGSRQuE</t>
  </si>
  <si>
    <t>Change of Command on ISS</t>
  </si>
  <si>
    <t>The reins of the International Space Station were passed from Expedition 23 Commander Oleg Kotov to Expedition 24 Commander Alexander Skvortsov in a ceremony aboard the complex May 31, 2010, as the other Expedition crew members looked on. Kotov, JAXA's Soichi Noguchi and NASA's T.J. Creamer will return to Earth June 2 in their Soyuz TMA-17 spacecraft.</t>
  </si>
  <si>
    <t>HAxhAGSRQuE</t>
  </si>
  <si>
    <t>https://youtu.be/lslBglu98nQ</t>
  </si>
  <si>
    <t>Expedition Crew Lands Safely in Kazakhstan</t>
  </si>
  <si>
    <t>Expedition 23 Commander Oleg Kotov, JAXA's Soichi Noguchi and NASA's T.J. Creamer landed safely on the steppe of Kazakhstan on June 2, 2010 after bidding farewell to the Expedition 24 crew and undocking their Soyuz TMA-17 spacecraft from the International Space Station.  The trio completed almost six months in space following launch on December 21, 2009 and docking on December 23. They are shown being assisted by Russian personnel into reclining chairs to begin their adaptation to gravity after being extracted from their capsule in Kazakhstan. Remaining on the ISS are Russian cosmonaut Mikhail Kornienko, NASA astronaut Tracy Caldwell Dyson, and Commander Alexander Skvortsov, who now become members of Expedition 24.</t>
  </si>
  <si>
    <t>lslBglu98nQ</t>
  </si>
  <si>
    <t>2010 05 28</t>
  </si>
  <si>
    <t>https://youtu.be/uwnR2NQX1c4</t>
  </si>
  <si>
    <t>Asian Pacific American Heritage Month Profile  Jaiwon Shin</t>
  </si>
  <si>
    <t>Jaiwon Shin is the associate administrator for NASA's Aeronautics Research Mission Directorate in Washington. High-speed research and aircraft icing are Shin's areas of technical expertise. He has been instrumental in restructuring NASA's aeronautics program to focus on fundamental research and better align with plans for the nation's Next Generation Air Transportation System.</t>
  </si>
  <si>
    <t>uwnR2NQX1c4</t>
  </si>
  <si>
    <t>https://youtu.be/tUndKqvYfuc</t>
  </si>
  <si>
    <t>Final Flight, NextGen Explorers, and Exciting FORCAST on This Week @ NASA</t>
  </si>
  <si>
    <t>Plus, sounding rocket send-off, visit to HQ, and ISS anniversary.</t>
  </si>
  <si>
    <t>tUndKqvYfuc</t>
  </si>
  <si>
    <t>https://youtu.be/sSO5DDLHnhQ</t>
  </si>
  <si>
    <t xml:space="preserve"> Ice Team  Inspects NASA's Shuttle Atlantis During STS-132 Launch Countdown</t>
  </si>
  <si>
    <t>At NASA's Kennedy Space Center in Florida, members of the Final Inspection Team, also known as the "Ice Team," performs a walkdown of Kennedy's Launch Pad 39A during space shuttle Atlantis' STS-132 launch countdown on May 14. The six-member team walks on every level of the pad's fixed service structure, inspecting the shuttle, external fuel tank, solid rocket boosters, pad structure and ground equipment for signs of ice buildup, debris or anything else that might be amiss prior to launch. As part of the inspection, photos are taken and transmitted to the launch team for review. 
A videographer for NASA was included as a member of the team to capture the first-ever up close, high-definition video of this important and hazardous inspection process.</t>
  </si>
  <si>
    <t>sSO5DDLHnhQ</t>
  </si>
  <si>
    <t>https://youtu.be/M6i1eKW8M6Q</t>
  </si>
  <si>
    <t>NASA Satellites Capture Growing Oil Spill</t>
  </si>
  <si>
    <t>NASA's Terra and Aqua satellites have captured images of the oil spill in the Gulf of Mexico, which began April 20, 2010, with the explosion of the Deepwater Horizon BP oil rig. In time lapse, the video reveals a space-based view of the evolution of the oil spill through May 24. The oil slick appears greyish-beige in the image.</t>
  </si>
  <si>
    <t>M6i1eKW8M6Q</t>
  </si>
  <si>
    <t>2010 05 26</t>
  </si>
  <si>
    <t>https://youtu.be/i4VOUacqDFU</t>
  </si>
  <si>
    <t>Shuttle Astronauts Happy to be Home</t>
  </si>
  <si>
    <t>STS-132 Commander Ken Ham, Pilot Tony Antonelli and Mission Specialists Garrett Reisman, Steve Bowen, Mike Good and Piers Sellers speak with journalists about the accomplishments of their twelve-day, round trip journey to the International Space Station and how it feels to be back on Earth.</t>
  </si>
  <si>
    <t>i4VOUacqDFU</t>
  </si>
  <si>
    <t>https://youtu.be/BgM76yQrT8I</t>
  </si>
  <si>
    <t>STS-132  The Mission Highlights</t>
  </si>
  <si>
    <t>From pre-launch preparations to a safe landing twelve days later, the milestones of STS-132 and its crew's accomplishments are recapped in this comprehensive look back at the latest shuttle mission to the International Space Station. Along with Atlantis' launch and return to NASA's Kennedy Space Center, other highlighted events include the mission's three spacewalks, the installation of the Russian Mini Research Module-1, Rassvet ("dawn") on the ISS's Zarya module, and media interviews of the STS-132 crew of Commander Ken Ham, Pilot Tony Antonelli and Mission Specialists Garrett Reisman, Steve Bowen, Mike Good and Piers Sellers. This was the final of 32 flights by shuttle Atlantis, completing a 25-year career covering more than 120 million miles.</t>
  </si>
  <si>
    <t>BgM76yQrT8I</t>
  </si>
  <si>
    <t>https://youtu.be/IMUxWcihwEE</t>
  </si>
  <si>
    <t>Mission Objectives Met on STS-132</t>
  </si>
  <si>
    <t>Speaking at a post-landing news conference held at NASAs Kennedy Space Center, Fla., Space Shuttle Program managers declare STS-132 a success. Space shuttle Atlantis and its six-member crew delivered cargo and a Russian research module to the International Space Station. Three spacewalks were conducted to install an antenna and changeout batteries on the ISSs P6 Truss segment.</t>
  </si>
  <si>
    <t>IMUxWcihwEE</t>
  </si>
  <si>
    <t>https://youtu.be/vmDYSqjodEQ</t>
  </si>
  <si>
    <t>Safe Landing Ends Atlantis' Final Flight</t>
  </si>
  <si>
    <t>STS-132 Commander Ken Ham and his five crewmates: Pilot Tony Antonelli and Mission Specialists Garrett Reisman, Steve Bowen, Mike Good and Piers Sellers are safely back on Earth after space shuttle Atlantis glided to a picture-perfect landing at NASA's Kennedy Space Center, Fla. on Wednesday morning, May 26. It was Atlantis' 32nd and final flight, traveling a total of more than 120 million miles. The 12-day, STS-132 mission delivered the Russian Mini Research Module-1, Rassvet ("dawn") to the International Space Station.</t>
  </si>
  <si>
    <t>vmDYSqjodEQ</t>
  </si>
  <si>
    <t>2010 05 25</t>
  </si>
  <si>
    <t>https://youtu.be/fr-WUy6geKs</t>
  </si>
  <si>
    <t>Atlantis Astronauts Ready for Return</t>
  </si>
  <si>
    <t>Preparations by Commander Ken Ham and crew for space shuttle Atlantis' scheduled Wednesday landing are among the video highlights of Flight Day 12 of STS-132. Weather permitting, Ham, Pilot Tony Antonelli and Mission Specialists Garrett Reisman, Steve Bowen, Mike Good and Piers Sellers will touch down at NASA's Kennedy Space Center, Fla. tomorrow morning.</t>
  </si>
  <si>
    <t>fr-WUy6geKs</t>
  </si>
  <si>
    <t>https://youtu.be/cKPqomW5kDI</t>
  </si>
  <si>
    <t>New Looks at Atlantis Launch</t>
  </si>
  <si>
    <t>Highlights of the launch of space shuttle Atlantis from NASAs Kennedy Space Center, Fla. on May 14, 2010 to begin the STS-132 mission to the International Space Station. Video includes views of the liftoff from multiple cameras in and around launch pad 39A.</t>
  </si>
  <si>
    <t>cKPqomW5kDI</t>
  </si>
  <si>
    <t>https://youtu.be/btc70vURm4o</t>
  </si>
  <si>
    <t>Chief Technologist Helps Chart New Course for Research and Development</t>
  </si>
  <si>
    <t>NASA Chief Technologist Bobby Braun briefs employees about the structure of his new office, future innovative technologies, and agency-wide technology policy and programs. Braun also answers questions from agency employees.</t>
  </si>
  <si>
    <t>btc70vURm4o</t>
  </si>
  <si>
    <t>https://youtu.be/QUh5LIKoFJk</t>
  </si>
  <si>
    <t>Shuttle's Systems Checked Before Landing</t>
  </si>
  <si>
    <t>The STS-132 crew tested two systems critical to shuttle Atlantis safe operation. Both the orbiters Flight Control and Reaction Control systems were found to be working properly. Commander Ken Ham, Pilot Tony Antonelli and Mission Specialists Garrett Reisman, Steve Bowen, Mike Good and Piers Sellers are scheduled to land on Wednesday morning at NASAs Kennedy Space Center, Fla.</t>
  </si>
  <si>
    <t>QUh5LIKoFJk</t>
  </si>
  <si>
    <t>2010 05 24</t>
  </si>
  <si>
    <t>https://youtu.be/qpM1svEbJy0</t>
  </si>
  <si>
    <t>Shuttle Crew Enjoys Final Days of Mission</t>
  </si>
  <si>
    <t>STS-132 Commander Ken Ham and his five crew members capture high-definition video of Flight Day 11 of their mission to the International Space Station. The day's milestones included the final safety check of space shuttle Atlantis that cleared the crew for its scheduled return to Earth on Wednesday.</t>
  </si>
  <si>
    <t>qpM1svEbJy0</t>
  </si>
  <si>
    <t>https://youtu.be/aXqPcC8AchY</t>
  </si>
  <si>
    <t>Safety Check Shows Shuttle's  Shield  Sound</t>
  </si>
  <si>
    <t>The late-mission inspection that showed space shuttle Atlantis's heat shield ready for re-entry is among the video highlights of Flight Day 11 of STS-132. Commander Ken Ham, Pilot Tony Antonelli and Mission Specialists Garrett Reisman, Steve Bowen, Mike Good and Piers Sellers have been cleared by mission managers for their scheduled landing on Wednesday at NASA's Kennedy Space Center, Fla.</t>
  </si>
  <si>
    <t>aXqPcC8AchY</t>
  </si>
  <si>
    <t>https://youtu.be/oiElFC1HKdM</t>
  </si>
  <si>
    <t>Shuttle Heat Shield in Good Shape</t>
  </si>
  <si>
    <t>A late-mission inspection of shuttle Atlantis' thermal protection system by the STS-132 showed the heat shield appeared to have suffered no damage from space debris during its stay at the International Space Station. Commander Ken Ham, Pilot Tony Antonelli and Mission Specialists Garrett Reisman, Steve Bowen, Mike Good and Piers Sellers are scheduled to conclude their 12-day mission to the International Space Station with a landing Wednesday morning at NASA's Kennedy Space Center, Fla.</t>
  </si>
  <si>
    <t>oiElFC1HKdM</t>
  </si>
  <si>
    <t>https://youtu.be/mwoYGl1CKUY</t>
  </si>
  <si>
    <t>Atlantis Cleared for Wednesday Return</t>
  </si>
  <si>
    <t>Meeting at NASA's Johnson Space Center, the STS-132 Mission Management Team gave a collective "thumbs up" for space shuttle Atlantis to return to Earth on Wednesday to conclude the crew's 12-day journey to the International Space Station. Mission managers came to their decision after a late-inspection by the shuttles crew showed the orbiters thermal protection system was intact and had not been compromised during its week-long stay at the ISS.</t>
  </si>
  <si>
    <t>mwoYGl1CKUY</t>
  </si>
  <si>
    <t>2010 05 23</t>
  </si>
  <si>
    <t>https://youtu.be/5o67zNhntUI</t>
  </si>
  <si>
    <t>Farewell, Undocking &amp; Flyaround Highlight Day in Space</t>
  </si>
  <si>
    <t>After the crew of STS-132 said its goodbyes to the International Space Station and the six Expedition 23 crew members, space shuttle Atlantis undocked from and flew around the ISS, then headed for home. Commander Ken Ham, Pilot Tony Antonelli and Mission Specialists Garrett Reisman, Steve Bowen, Mike Good and Piers Sellers are scheduled to conclude their 12-day mission with a landing Wednesday at NASA's Kennedy Space Center.</t>
  </si>
  <si>
    <t>5o67zNhntUI</t>
  </si>
  <si>
    <t>https://youtu.be/sESFVA-2dF0</t>
  </si>
  <si>
    <t>Focus on Shuttle's Protective Shield</t>
  </si>
  <si>
    <t>An inspection of space shuttle Atlantis' thermal protection system, or heat shield, will be the main focus of the STS-132 crew on Flight Day 11. The inspection is to detect any damage to the orbiter's heat shield by debris encountered in orbit. Weather permitting, Commander Ken Ham, Pilot Tony Antonelli and Mission Specialists Garrett Reisman, Steve Bowen, Mike Good and Piers Sellers are scheduled to land at NASA's Kennedy Space Center on Wednesday.</t>
  </si>
  <si>
    <t>sESFVA-2dF0</t>
  </si>
  <si>
    <t>https://youtu.be/NeY4JIy_Css</t>
  </si>
  <si>
    <t>Crews Recount Busy Week's Work</t>
  </si>
  <si>
    <t>Before their departure from the International Space Station, the six STS-132 astronauts joined up with the six members of the Expedition 23 crew to take questions from American, Russian and Japanese journalists about their week together in space. The STS-132 astronauts, Commander Ken Ham, Pilot Tony Antonelli and Mission Specialists Garrett Reisman, Steve Bowen, Mike Good and Piers Sellers have begun their return to Earth. They're scheduled to land aboard space shuttle Atlantis on Wednesday.</t>
  </si>
  <si>
    <t>NeY4JIy_Css</t>
  </si>
  <si>
    <t>https://youtu.be/wRkLOHZ2r6k</t>
  </si>
  <si>
    <t>Atlantis Astronauts Homeward Bound</t>
  </si>
  <si>
    <t>The STS-132 crew of Commander Ken Ham, Pilot Tony Antonelli and Mission Specialists Garrett Reisman, Steve Bowen, Mike Good and Piers Sellers are on their way back home. Their spacecraft, shuttle Atlantis, "separated" from the International Space Station following a busy, week-long visit. Atlantis delivered the station's newest module, the Russian Mini Research Module-1, Rassvet, and cargo and supplies to the ISS. The mission's three spacewalks replaced batteries and installed an antenna outside the station. Atlantis is scheduled to return to Earth on Wednesday, May 26.</t>
  </si>
  <si>
    <t>wRkLOHZ2r6k</t>
  </si>
  <si>
    <t>https://youtu.be/rO0fyCyHEOE</t>
  </si>
  <si>
    <t xml:space="preserve">New Views of ISS Captured on  Flyaround </t>
  </si>
  <si>
    <t>Before it headed back to Earth, space shuttle Atlantis and its STS-132 completed a "flyaround" of the International Space Station to capture the latest images of the orbiting complex. Commander Ken Ham, Pilot Tony Antonelli and Mission Specialists Garrett Reisman, Steve Bowen, Mike Good and Piers Sellers delivered the station's newest module, the Russian Mini Research Module-1, Rassvet, and cargo and supplies.</t>
  </si>
  <si>
    <t>rO0fyCyHEOE</t>
  </si>
  <si>
    <t>https://youtu.be/cZXoYoldz90</t>
  </si>
  <si>
    <t>Atlantis Undocks After Week's Stay at Station</t>
  </si>
  <si>
    <t>The six STS-132 crew members continued preparations for their return to Earth as space shuttle Atlantis undocked from the International Space Station. Commander Ken Ham, Pilot Tony Antonelli and Mission Specialists Garrett Reisman, Steve Bowen, Mike Good and Piers Sellers are scheduled to land on Wednesday, May 26, concluding their 12-day mission and the 32nd and final flight of the Atlantis orbiter.</t>
  </si>
  <si>
    <t>cZXoYoldz90</t>
  </si>
  <si>
    <t>https://youtu.be/cUg2XnS3eyU</t>
  </si>
  <si>
    <t>Shuttle, Station Crews Part Ways</t>
  </si>
  <si>
    <t>The six STS-132 astronauts bid farewell to their Expedition 23 colleagues and, with the hatch closing behind them, conclude their week-long visit to the International Space Station. Commander Ken Ham, Pilot Tony Antonelli and Mission Specialists Garrett Reisman, Steve Bowen, Mike Good and Piers Sellers will now focus on their flight home aboard space shuttle Atlantis; their landing is scheduled for this Wednesday, May 26.</t>
  </si>
  <si>
    <t>cUg2XnS3eyU</t>
  </si>
  <si>
    <t>https://youtu.be/wgzd6FIicq0</t>
  </si>
  <si>
    <t>Moving Day in Space</t>
  </si>
  <si>
    <t>STS-132 astronauts continues transferring cargo and supplies from space shuttle Atlantis to the International Space Station on Flight Day 9 of STS-132, and the Canadarm 2 berths the Integrated Cargo Carrier in Atlantiss cargo bay. Atlantis and crew will begin their return to Earth on Sunday, with landing scheduled for Wednesday.</t>
  </si>
  <si>
    <t>wgzd6FIicq0</t>
  </si>
  <si>
    <t>https://youtu.be/M6GpYdhfa3c</t>
  </si>
  <si>
    <t xml:space="preserve">Shuttle Crew's  Highlight Reel </t>
  </si>
  <si>
    <t>Using their hand-held, high-definition video camera, members of the STS-132 crew record their experiences and milestones of their eighth day in space that included the missions final spacewalk. Between them, Garrett Reisman, Steve Bowen and Mike Good performed three EVAs outside the International Space Station. The three astronauts, along with STS-132 Commander Ken Ham, Pilot Tony Antonelli and Mission Specialist Piers Sellers, are scheduled to return to Earth aboard space shuttle Atlantis on Wednesday, May 26.</t>
  </si>
  <si>
    <t>M6GpYdhfa3c</t>
  </si>
  <si>
    <t>https://youtu.be/cVRZRStGZVA</t>
  </si>
  <si>
    <t>Canadarm Caches Cargo Carrier</t>
  </si>
  <si>
    <t>The Space Station Remote Manipulator System, Canadarm 2, berths a now-empty Integrated Cargo Carrier in the orbiters cargo bay, and the STS-132 crew continues to relocate cargo and supplies from Atlantis middeck to the International Space Station to highlight the missions ninth day. Atlantis will undock from the ISS on Sunday to begin the last leg of its 32nd and final flight.</t>
  </si>
  <si>
    <t>cVRZRStGZVA</t>
  </si>
  <si>
    <t>2010 05 22</t>
  </si>
  <si>
    <t>https://youtu.be/zIlBAMdQwsE</t>
  </si>
  <si>
    <t>Atlantis Crew Takes a Break</t>
  </si>
  <si>
    <t>Nearing the end of their busy, week-long stay at the International Space Station, the STS-132 crew members enjoy a well-deserved five-plus hours of off-duty time.  Commander Ken Ham, Pilot Tony Antonelli and Mission Specialists Garrett Reisman, Steve Bowen, Mike Good and Piers Sellers are scheduled to begin their journey back to Earth on Sunday when space shuttle Atlantis undocks from the ISS. Landing is slated for Wednesday.</t>
  </si>
  <si>
    <t>zIlBAMdQwsE</t>
  </si>
  <si>
    <t>https://youtu.be/PNnLPr4oV1A</t>
  </si>
  <si>
    <t>Students Link Up with Space Travelers</t>
  </si>
  <si>
    <t>Expedition 23 Flight Engineer Tracy Caldwell Dyson and crewmates take video-recorded questions about their mission aboard the International Space Station from NASA Explorer School students back on Earth. Caldwell Dyson has been aboard the ISS since April; shes scheduled to return to Earth in September.</t>
  </si>
  <si>
    <t>PNnLPr4oV1A</t>
  </si>
  <si>
    <t>https://youtu.be/K__IO9atbVI</t>
  </si>
  <si>
    <t>Shuttle's Twin Boosters Supply Stunning Views</t>
  </si>
  <si>
    <t>Video recorded by cameras mounted atop each of the twin solid rocket boosters that helped propel space shuttle Atlantis into Earth orbit on May 14 provide two new and unique views of the launch. The reusable SRBs were recovered  shortly after launch  May 14th from the Atlantic Ocean approximately 140 miles downrange from  NASA's Kennedy Space Center where the STS-132 mission to the International Space Station began. Commander Ken Ham, Pilot Tony Antonelli and Mission Specialists Garrett Reisman, Steve Bowen, Mike Good and Piers Sellers are scheduled to leave the orbiting complex on Sunday when Atlantis undocks and begins its flight home.</t>
  </si>
  <si>
    <t>K__IO9atbVI</t>
  </si>
  <si>
    <t>2010 05 21</t>
  </si>
  <si>
    <t>https://youtu.be/kCIH0Zdvfac</t>
  </si>
  <si>
    <t>Switching Batteries Powers Final Spacewalk</t>
  </si>
  <si>
    <t>The replacement of batteries on the P6 truss segment of the International Space Station was completed on the third and final spacewalk of STS-132 by Mission Specialists Mike Good and Garrett Reisman to finish the task begun on the missions previous EVA. The 132 crews eighth day of spaceflight was also highlighted by Good and Reismans relocation of a grapple fixture from Atlantis payload bay to the station for use as a spare.</t>
  </si>
  <si>
    <t>kCIH0Zdvfac</t>
  </si>
  <si>
    <t>https://youtu.be/HUpjCRk93Ac</t>
  </si>
  <si>
    <t>Battery Changeout Completed at ISS</t>
  </si>
  <si>
    <t>Mission Specialists Mike Good and Garrett Reisman installed the final three new batteries on the P6 truss segment of the International Space Station on the third and final spacewalk of STS-132. Good, Reisman and the other four members of the space shuttle Atlantis crew will conclude a weeks stay at the ISS on Sunday.</t>
  </si>
  <si>
    <t>HUpjCRk93Ac</t>
  </si>
  <si>
    <t>https://youtu.be/FZMmNJ6ItwU</t>
  </si>
  <si>
    <t xml:space="preserve"> Tweeps  Awed by Atlantis Launch</t>
  </si>
  <si>
    <t>STS-132 Tweetup participants share their impressions of the launch of space shuttle Atlantis on May 14 at NASA's Kennedy Space Center, Fla. The 150 Tweeps, or people who use the Twitter networking service, were invited by NASA to view Atlantis' liftoff and share their unique experiences with their followers of the social medium. "Tweeps" randomly selected from more than 1,000 online registrants attended from more than 30 states, the District of Columbia, Puerto Rico, the Netherlands, New Zealand, Germany and England.</t>
  </si>
  <si>
    <t>FZMmNJ6ItwU</t>
  </si>
  <si>
    <t>https://youtu.be/y-1iF-aEUxA</t>
  </si>
  <si>
    <t>All  A-Twitter  About Upcoming Mission</t>
  </si>
  <si>
    <t>Participants in a "Tweetup" held at NASA's Kennedy Space Center, Fla. look forward to watching Monday's launch of space shuttle Atlantis on its STS-132 mission to the International Space Station. NASA hosted 150 "Tweeps" - people who use "Twitter" - from around the world and provided them with a behind-the-scenes perspective to share with their followers via the social networking service. They met with shuttle technicians, managers, engineers and astronauts, and were given a tour of the NASA facility.</t>
  </si>
  <si>
    <t>y-1iF-aEUxA</t>
  </si>
  <si>
    <t>https://youtu.be/ug5UeLJSs9k</t>
  </si>
  <si>
    <t>'Spinoff Day', Record-Setting Rover, and Going to an Extreme on This Week @ NASA.</t>
  </si>
  <si>
    <t>Plus, open house, crew visit, command performance, loss in space, and Tour de Ames.</t>
  </si>
  <si>
    <t>ug5UeLJSs9k</t>
  </si>
  <si>
    <t>2010 05 20</t>
  </si>
  <si>
    <t>https://youtu.be/vnN4sjhdjhQ</t>
  </si>
  <si>
    <t>Shuttle Astronauts Produce Highlight Video</t>
  </si>
  <si>
    <t>High-definition video selected and produced by the STS-132 crew capture the "choice" events of their seventh day of spaceflight that include the hatch opening of the Russian Mini Research Module-1, Rassvet. Commander Ken Ham, Pilot Tony Antonelli and Mission Specialists Garrett Reisman, Steve Bowen, Mike Good and Piers Sellers are scheduled to leave the orbiting complex on Sunday when space shuttle Atlantis undocks and begins its flight home.</t>
  </si>
  <si>
    <t>vnN4sjhdjhQ</t>
  </si>
  <si>
    <t>https://youtu.be/o4JIMdUbA8c</t>
  </si>
  <si>
    <t xml:space="preserve"> Dawn  Comes to Research on ISS</t>
  </si>
  <si>
    <t>The opening of the hatch on the Russian Mini Research Module-1, Rassvet ("dawn") highlights the STS-132 crew's seventh day in space. Rassvet is now attached to the International Space Station's Zarya module, where it will help station crew members conduct science research in microgravity.  Also, cargo was transferred from space shuttle Atlantis' middeck to the space station.</t>
  </si>
  <si>
    <t>o4JIMdUbA8c</t>
  </si>
  <si>
    <t>https://youtu.be/pb8Er9noHTI</t>
  </si>
  <si>
    <t>Station Provides Unique Platform for Research</t>
  </si>
  <si>
    <t>Human physiological research and commercial partnerships in space are among the topics discussed at this briefing held Saturday, April 3, 2010, at NASAs Kennedy Space Center, Fla. , two days prior to the launch of space shuttle Discovery on STS-131.</t>
  </si>
  <si>
    <t>pb8Er9noHTI</t>
  </si>
  <si>
    <t>https://youtu.be/6X8b_j9RONQ</t>
  </si>
  <si>
    <t>Good and Reisman Prepare for 3rd Spacewalk</t>
  </si>
  <si>
    <t>Mission Specialists Mike Good and Garrett Reisman will be ready for the third and final spacewalk of STS-132 tomorrow by sleeping in the International Space Stations Quest airlock. This campout will purge their bodies of nitrogen and reduce the duos susceptibility to the bends. Good and Reisman will use the EVA to finish replacing batteries on the ISSs P6 truss, or backbone segment.</t>
  </si>
  <si>
    <t>6X8b_j9RONQ</t>
  </si>
  <si>
    <t>https://youtu.be/uWSCKHr9bEY</t>
  </si>
  <si>
    <t>Astronauts Talk About Life in Space with Media</t>
  </si>
  <si>
    <t>Aboard the International Space Station, STS-132 Commander Ken Ham, Pilot Tony Antonelli, Mission Specialist Piers Sellers and Flight Engineer Tracy Caldwell Dyson of Expedition 23 chat about their work and life in space with journalists from the Associated Press, Fox News Radio and CBS News.</t>
  </si>
  <si>
    <t>uWSCKHr9bEY</t>
  </si>
  <si>
    <t>https://youtu.be/AZvKBAaHnsQ</t>
  </si>
  <si>
    <t>NASA Chief Technologist Bobby Braun Talks About Technology's Role in NASA's Future</t>
  </si>
  <si>
    <t>NASA Chief Technologist Bobby Braun talks to NASA managers about the vital role technology research and development will play in NASA's future. Braun discusses how NASA will use new technologies to gain knowledge and capabilities for future exploration of the universe and our home planet.</t>
  </si>
  <si>
    <t>AZvKBAaHnsQ</t>
  </si>
  <si>
    <t>https://youtu.be/wbC7YtC-eAo</t>
  </si>
  <si>
    <t xml:space="preserve">Good and Bowen Begin Battery  Changeout </t>
  </si>
  <si>
    <t>The second spacewalk of STS-132 highlighted the mission's Flight Day 6 as Mission Specialists Mike Good and Steve Bowen began the process of replacing batteries on the P6 truss segment of the International Space Station. The task will be completed by Good and Garrett Reisman on the third and final EVA of the mission scheduled for Friday.</t>
  </si>
  <si>
    <t>wbC7YtC-eAo</t>
  </si>
  <si>
    <t>2010 05 19</t>
  </si>
  <si>
    <t>https://youtu.be/9-8gIMIjCCk</t>
  </si>
  <si>
    <t xml:space="preserve"> Shuttle Crew Focused </t>
  </si>
  <si>
    <t>High-definition video captured with their hand-held camera documents the workings of the six STS-132 crew members as they continue their 12-day mission to the International Space Station. Commander Ken Ham, Pilot Tony Antonelli and Mission Specialists Garrett Reisman, Steve Bowen, Mike Good and Piers Sellers are slated to begin their journey home on Sunday after spending a week at the ISS. Space shuttle Atlantis is scheduled to return to Earth on Wednesday, May 26.</t>
  </si>
  <si>
    <t>9-8gIMIjCCk</t>
  </si>
  <si>
    <t>https://youtu.be/pfF32oTEW5s</t>
  </si>
  <si>
    <t>Mission's Second Spacewalk on Stride</t>
  </si>
  <si>
    <t>Mission Specialists Mike Good and Steve Bowen conducted the second EVA of STS-132, completing the goals set for their multi-hour trek outside the International Space Station. The two Atlantis astronauts worked to replace batteries on a truss segment of the orbiting complex. A third spacewalk by Good and Garrett Reisman, scheduled for Friday, will complete the task.</t>
  </si>
  <si>
    <t>pfF32oTEW5s</t>
  </si>
  <si>
    <t>https://youtu.be/8F3OSLuP010</t>
  </si>
  <si>
    <t xml:space="preserve"> The View from the Crew </t>
  </si>
  <si>
    <t>Members of the shuttle Atlantis crew provide their "take" of the day's events in space in HD video captured aboard the orbiter and the International Space Station, where they are guests of the Expedition 23 crew. Commander Ken Ham, Pilot Tony Antonelli and Mission Specialists Garrett Reisman, Steve Bowen, Mike Good and Piers Sellers are spending a week aboard the orbiting complex.</t>
  </si>
  <si>
    <t>8F3OSLuP010</t>
  </si>
  <si>
    <t>https://youtu.be/XR_met6iavw</t>
  </si>
  <si>
    <t xml:space="preserve"> Dawn  Comes to Station's Zarya Module</t>
  </si>
  <si>
    <t>The installation of the Russian Mini Research Module-1, Rassvet, meaning "dawn," to the nadir port of the International Space Station's Zarya module is among the highlights of STS-132's fifth day of spaceflight.</t>
  </si>
  <si>
    <t>XR_met6iavw</t>
  </si>
  <si>
    <t>2010 05 18</t>
  </si>
  <si>
    <t>https://youtu.be/Dlo0x8aFjTk</t>
  </si>
  <si>
    <t>Astronauts, Cosmonauts Share Experiences</t>
  </si>
  <si>
    <t>Meeting via video downlink, Expedition 23 Commander Oleg Kotov, STS-132 Commander Ken Ham, and members of their crews talk about their mission and life in space with journalists from MSNBC, Fox News Channel, and CNN's "Situation Room."</t>
  </si>
  <si>
    <t>Dlo0x8aFjTk</t>
  </si>
  <si>
    <t>https://youtu.be/W6dazVnt-HQ</t>
  </si>
  <si>
    <t>Next Up on STS-132  Spacewalk %232</t>
  </si>
  <si>
    <t>Spacewalkers Steve Bowen and Mike Good are getting ready for the second EVA of STS-132; they'll venture outside the International Space Station on Wednesday to replace batteries on the P6 tress segment of the orbiting complex.
A third spacewalk by Good and fellow Mission Specialist Garrett Reisman is slated for Friday.</t>
  </si>
  <si>
    <t>W6dazVnt-HQ</t>
  </si>
  <si>
    <t>https://youtu.be/o6M7hGidWE8</t>
  </si>
  <si>
    <t>Successful Spacewalk Tops Flight Day 4</t>
  </si>
  <si>
    <t>The fourth day of STS-132 includes video of Atlantis astronauts Garrett Reisman and Steve Bowen successfully installing a radio antenna and a new tool platform on the International Space Station's exterior during the first of the mission's three spacewalks. Reisman and Bowen will each do one more EVA with Mike Good to replace batteries on a station truss segment.</t>
  </si>
  <si>
    <t>o6M7hGidWE8</t>
  </si>
  <si>
    <t>2010 05 17</t>
  </si>
  <si>
    <t>https://youtu.be/RFZx_V7UtU8</t>
  </si>
  <si>
    <t>Radio Antenna, Tool Platform Installed on ISS</t>
  </si>
  <si>
    <t>Conducting the first spacewalk of STS-132, mission specialists Garrett Reisman and Steve Bowen successfully installed a radio antenna and new tool platform outside the International Space Station. In all, three spacewalks are slated for the week-long visit to the station by space shuttle Atlantis and its six-member crew commanded by Ken Ham.</t>
  </si>
  <si>
    <t>RFZx_V7UtU8</t>
  </si>
  <si>
    <t>https://youtu.be/pjckTbBEsno</t>
  </si>
  <si>
    <t>Flight Day 3 Momentous for STS-132</t>
  </si>
  <si>
    <t>Atlantis' "back flip for safety", its docking to the International Space Station and the warm welcome the six astronauts receive from the Expedition 23 crew upon boarding the orbiting complex are among the highlights of STS-132's third day.</t>
  </si>
  <si>
    <t>pjckTbBEsno</t>
  </si>
  <si>
    <t>2010 05 16</t>
  </si>
  <si>
    <t>https://youtu.be/Co6mzeL23dg</t>
  </si>
  <si>
    <t>Atlantis  Flips  for Safety Check</t>
  </si>
  <si>
    <t>Space shuttle Atlantis performs a Roll Pitch Maneuver, or back flip (sped up here), as it arrives at the International Space Station so the station's crew can video the orbiter's underside. The view will help the STS-132 mission team in Houston assess the status of Atlantis' protective tiles and whether the orbiter is ready to make a safe return to Earth.</t>
  </si>
  <si>
    <t>Co6mzeL23dg</t>
  </si>
  <si>
    <t>https://youtu.be/kbfJfbgIsFo</t>
  </si>
  <si>
    <t>Managers Say STS-132 Ready for First Spacewalk</t>
  </si>
  <si>
    <t>Astronauts Garrett Reisman and Steve Bowen are in final preparations for the first spacewalk of STS-132. The two mission specialists will install a new radio antenna and tool platform outside the International Space Station. Two more spacewalks are slated later this week.</t>
  </si>
  <si>
    <t>kbfJfbgIsFo</t>
  </si>
  <si>
    <t>https://youtu.be/qjob5B7nLe8</t>
  </si>
  <si>
    <t>Smooth Sailing for STS-132</t>
  </si>
  <si>
    <t>With space shuttle Atlantis remaining docked to the International Space Station, the STS-132 crew prepared for the first of their three spacewalks scheduled for the mission. Mission Specialists Garrett Reisman, Steve Bowen and Mike Good will each conduct two of the EVAs.</t>
  </si>
  <si>
    <t>qjob5B7nLe8</t>
  </si>
  <si>
    <t>https://youtu.be/9h9u2QfIf3M</t>
  </si>
  <si>
    <t xml:space="preserve"> Red Carpet  Out for ISS Guests</t>
  </si>
  <si>
    <t>Expedition 23 Commander Oleg Kotov, and Flight Engineers Mikhail Kornienko, Alexander Skvortsov, NASA astronauts Tracy Caldwell Dyson and T.J. Creamer, and Japan Aerospace Exploration Agency (JAXA) astronaut Soichi Noguchi warmly greeted the STS-132 crew to the International Space Station following space shuttle Atlantis docking Sunday morning. Commander Ken Ham, Pilot Tony Antonelli and Mission Specialists Garrett Reisman, Steve Bowen, Mike Good and Piers Sellers are scheduled to spend a week aboard the station.</t>
  </si>
  <si>
    <t>9h9u2QfIf3M</t>
  </si>
  <si>
    <t>https://youtu.be/Hr6px1r41Nc</t>
  </si>
  <si>
    <t>Shuttle Docks with Space Station</t>
  </si>
  <si>
    <t>Space shuttle Atlantis and its six-member crew joined up with the International Space Station Sunday morning, May 16. STS-132 Commander Ken Ham and crew are delivering spare parts and a Russian Mini Research Module called Rassvet to the orbiting complex.</t>
  </si>
  <si>
    <t>Hr6px1r41Nc</t>
  </si>
  <si>
    <t>https://youtu.be/Kxz8U_NZi5Q</t>
  </si>
  <si>
    <t>Atlantis Inspection Proceeds Despite Cable Snag</t>
  </si>
  <si>
    <t>STS-132 mission managers say the Atlantis crew has successfully used a boom-mounted digital camera to inspect their spacecraft after a snagged cable prevented the use of laser sensors and TV camera from doing the job. Also, Mission Control says the International Space Station will not need to maneuver out of the way of an approaching piece of space junk. Updated tracking information showed the object of unknown origin will remain a safe distance away from the complex.The STS-132 crew aboard space shuttle Atlantis and the Expedition 23 crew members aboard the International Space Station on Sunday, May 16. Docking is scheduled for 10:27 a.m. Eastern.</t>
  </si>
  <si>
    <t>Kxz8U_NZi5Q</t>
  </si>
  <si>
    <t>https://youtu.be/4Cerl9GxYnQ</t>
  </si>
  <si>
    <t>Backup Mode Used to Inspect Shuttle</t>
  </si>
  <si>
    <t>A snagged cable stopped Atlantis astronauts today from inspecting the orbiter with laser sensors and a TV camera; instead, the STS-132 crew used a boom-mounted digital camera as a backup. Also, mission managers are concerned about a piece of space debris of unknown origin whose elliptical orbit could bring it near the International Space Station after shuttle Atlantis docks there tomorrow. Commander Ken Ham, Pilot Tony Antonelli and Mission Specialists Garrett Reisman, Steve Bowen, Mike Good and Piers Sellers will deliver a Russian research module and additional cargo.</t>
  </si>
  <si>
    <t>4Cerl9GxYnQ</t>
  </si>
  <si>
    <t>https://youtu.be/eZYYE8E8Ye8</t>
  </si>
  <si>
    <t>Focus on Shuttles Tiles Top STS-132's Second Day</t>
  </si>
  <si>
    <t>The cable snag that forced STS-132 astronauts to use a backup mode to survey space shuttle Atlantis Thermal Protection System (TPS) is among the topics highlighted on the crews Flight Day 2. Commander Ken Ham, Pilot Tony Antonelli and Mission Specialists Garrett Reisman, Steve Bowen, Mike Good and Piers Sellers are scheduled to join up with the Expedition 23 crew on Sunday.</t>
  </si>
  <si>
    <t>eZYYE8E8Ye8</t>
  </si>
  <si>
    <t>2010 05 15</t>
  </si>
  <si>
    <t>https://youtu.be/5oM862gQY00</t>
  </si>
  <si>
    <t>Launch Tops STS-132 Crews First Day in Space</t>
  </si>
  <si>
    <t>The liftoff and eight-and-a-half minute ascent of shuttle Atlantis into space is among the highlights of STS-132's first flight day of its 12-day mission. The six-member crew of Commander Ken Ham, Pilot Tony Antonelli and Mission Specialists Garrett Reisman, Steve Bowen, Mike Good and Piers Sellers is delivering to the ISS a cargo carrier filled with spare parts and Rassvet, the Russian Mini Research Module-1.</t>
  </si>
  <si>
    <t>5oM862gQY00</t>
  </si>
  <si>
    <t>https://youtu.be/LAjfLAd3yl8</t>
  </si>
  <si>
    <t>Orbiters Spent Tank Cast Off</t>
  </si>
  <si>
    <t>Video captured by the STS-132 crew shows the shuttle's empty external tank floating back to Earths atmosphere where it will burn up after helping send shuttle Atlantis and its six astronauts into space. It took the orbiter and its crew of Commander Ken Ham, Pilot Tony Antonelli and Mission Specialists Garrett Reisman, Steve Bowen, Mike Good and Piers Sellers about eight-and-a-half minutes to reach the required speed of 17,500 m.p.h. to reach Earths orbit.</t>
  </si>
  <si>
    <t>LAjfLAd3yl8</t>
  </si>
  <si>
    <t>https://youtu.be/cT6cDLTAvaY</t>
  </si>
  <si>
    <t>Ascent Team Helps Shuttle Crew into Space</t>
  </si>
  <si>
    <t>Behind-the-scenes video of the Ascent Flight Control Team at NASA's Johnson Space Center as its members help guide the STS-132 crew aboard space shuttle Atlantis into orbit after Friday's launch from the Kennedy Space Center. Aboard Atlantis are Commander Ken Ham, Pilot Tony Antonelli and Mission Specialists Garrett Reisman, Steve Bowen, Mike Good and Piers Sellers.</t>
  </si>
  <si>
    <t>cT6cDLTAvaY</t>
  </si>
  <si>
    <t>https://youtu.be/o5pWUCQKtvU</t>
  </si>
  <si>
    <t>STS-132 Off to Successful Start</t>
  </si>
  <si>
    <t>NASA officials at NASA's Kennedy Space Center tell reporters space shuttle Atlantis' launch on STS-132 was "clean" and that Commander Ken Ham and his five crew members are safely on their way to the International Space Station. The mission calls for three spacewalks outside the ISS to install batteries, a radio antenna and a new tool platform.</t>
  </si>
  <si>
    <t>o5pWUCQKtvU</t>
  </si>
  <si>
    <t>2010 05 14</t>
  </si>
  <si>
    <t>https://youtu.be/3Du2D2CuaRw</t>
  </si>
  <si>
    <t>ISS Program Honored, A Call to Action and Martian  Touchdown  Test on This Week @ NASA</t>
  </si>
  <si>
    <t>Plus, students' help for health, beautiful Hubble book and new focus on the Webb Telescope.</t>
  </si>
  <si>
    <t>3Du2D2CuaRw</t>
  </si>
  <si>
    <t>https://youtu.be/cHoI1FA_n88</t>
  </si>
  <si>
    <t>Atlantis  Into the Sunset</t>
  </si>
  <si>
    <t>With STS-132 as the last planned mission for space shuttle Atlantis, a few of those who have witnessed this shuttle's long career throughout the years express their thoughts. Guests include: Hugh Harris, former Kennedy Space Center Public Affairs director; Craig Covault, veteran space journalist; Angela Brewer, Atlantis flow director; and astronaut Michael Good, STS-132 mission specialist. Here are some of their memories of Atlantis, and the shuttle's contribution to the shuttle program and space exploration throughout the last 25 years.</t>
  </si>
  <si>
    <t>cHoI1FA_n88</t>
  </si>
  <si>
    <t>https://youtu.be/ptF6lxJ9guI</t>
  </si>
  <si>
    <t>The Collier and the ISS  History Made in Space</t>
  </si>
  <si>
    <t>NASA's International Space Station Program has been awarded the 2009 Collier Trophy, considered aviation's highest honor. The National Aeronautic Association, the country's oldest national aviation organization, bestowed the prestigious award on the ISS team not only for its design, development and assembly of the world's largest spacecraft, but also for the complex's promising discoveries and pioneering new standards for international cooperation in space.</t>
  </si>
  <si>
    <t>ptF6lxJ9guI</t>
  </si>
  <si>
    <t>https://youtu.be/6hqoBx6haUc</t>
  </si>
  <si>
    <t>STS-132 Underway - Atlantis Heads to Space Station</t>
  </si>
  <si>
    <t>The six-member crew of STS-132 began their 12-day mission to the International Space Station with the May 14 liftoff of space shuttle Atlantis at 2:20 p.m. Eastern from NASA's Kennedy Space Center, Fla. Commander Ken Ham, Pilot Tony Antonelli and Mission Specialists Garrett Reisman, Steve Bowen, Mike Good and Piers Sellers are delivering to the ISS a cargo carrier filled with spare parts and Rassvet, the Russian Mini Research Module-1.</t>
  </si>
  <si>
    <t>6hqoBx6haUc</t>
  </si>
  <si>
    <t>https://youtu.be/y61L6usYGJc</t>
  </si>
  <si>
    <t>ISS Awarded Aviation's Highest Honor</t>
  </si>
  <si>
    <t>The International Space Station team was presented with the Collier Trophy, considered aviation's highest award, at a ceremony in Washington. Accepting for the ISS team was NASA Deputy Administrator Lori Garver. "The Collier" was awarded by the National Aeronautic Association for its design, assembly and pioneering contributions to international cooperation in space.</t>
  </si>
  <si>
    <t>y61L6usYGJc</t>
  </si>
  <si>
    <t>https://youtu.be/i2hcDmA-GcQ</t>
  </si>
  <si>
    <t>Final Call  The Legacy of space shuttle Atlantis</t>
  </si>
  <si>
    <t>With 32 missions and more than 25 years of service, space shuttle Atlantis has carried more than 200 astronauts and flown more than 100 million miles. Having played a pivotal role in science, exploration and building the International Space Station, Atlantis is prepared to fly its last planned mission, STS-132. Its legacy spans the years from the shuttle-Mir flights, through the construction of the International Space Station, to the final servicing mission of NASA's Hubble Space Telescope.</t>
  </si>
  <si>
    <t>i2hcDmA-GcQ</t>
  </si>
  <si>
    <t>2010 05 13</t>
  </si>
  <si>
    <t>https://youtu.be/FtcypzKWI8o</t>
  </si>
  <si>
    <t>STS-132 Mission Managers' Update</t>
  </si>
  <si>
    <t>NASA Managers held a Countdown Status Briefing on the eve of space shuttle Atlantis's launch to the International Space Station for mission STS-132.  Atlantis and its six-member crew is scheduled to lift off at 2:20 p.m. EDT from Launch Pad 39A.  In preparation, the rotating service structure will be moved away from the spacecraft at 5:30 p.m. on May 13.  According to STS-132 Weather Officer Todd McNamara, the weather appears to be cooperating with a 70 percent chance of favorable conditions at launch time. During the 12-day mission, Atlantis will deliver an Integrated Cargo Carrier and a Russian-built Mini Research Module to the International Space Station.</t>
  </si>
  <si>
    <t>FtcypzKWI8o</t>
  </si>
  <si>
    <t>2010 05 12</t>
  </si>
  <si>
    <t>https://youtu.be/f5qh13Xp-_0</t>
  </si>
  <si>
    <t>NASA Aids Nation's Response to Oil Spill with Aircraft, Satellites</t>
  </si>
  <si>
    <t>NASA has mobilized its remote-sensing assets to help assess the spread and impact of the Deepwater Horizon BP oil spill in the Gulf of Mexico at the request of U.S. disaster response agencies. The aircraft is monitoring the spills path and spread, while the research aircrafts instruments can reckon its thickness and depth.</t>
  </si>
  <si>
    <t>f5qh13Xp-_0</t>
  </si>
  <si>
    <t>https://youtu.be/0D726gnLQ7I</t>
  </si>
  <si>
    <t>Atlantis Ready for Journey to ISS</t>
  </si>
  <si>
    <t>The six STS-132 astronauts inspected space shuttle Atlantis' payload bay before its doors were closed for flight on Launch Pad 39A at NASAs Kennedy Space Center, Fla. Inside is Rassvet (pronounced "Rass-vyet"), the Russian Mini Research Module-1 which, along with an integrated cargo carrier with various spare parts, will be delivered to the International Space Station. STS-132 is scheduled to launch on May 14 at 2:20 p.m. Eastern.</t>
  </si>
  <si>
    <t>0D726gnLQ7I</t>
  </si>
  <si>
    <t>https://youtu.be/IViqvMrhf9Q</t>
  </si>
  <si>
    <t>T-2 Days and Counting</t>
  </si>
  <si>
    <t>The prelaunch mission management team at NASA's Kennedy Space Center say Friday's scheduled launch of space shuttle Atlantis on STS-132 is still a "go", with weather remaining favorable for a 2:20 p.m. Eastern liftoff from Pad 39A.</t>
  </si>
  <si>
    <t>IViqvMrhf9Q</t>
  </si>
  <si>
    <t>https://youtu.be/-4xBVuxxiFM</t>
  </si>
  <si>
    <t>Crew Grabs New Parking Spot in Space</t>
  </si>
  <si>
    <t>Expedition 23 Commander Oleg Kotov and Flight Engineers T.J. Creamer of NASA and Soichi Noguchi of the Japan Aerospace Exploration Agency relocated their Soyuz spacecraft from the Earth-facing port of the Zarya module to the aft port of the Zvezda Service Module. The move opens up the Zarya's port for the installation next week of the new Russian "Rassvet" (RASS-vyee-et) Mini-Research Module 1 by Atlantis' astronauts on the fifth day of the upcoming STS-132 mission to the station.</t>
  </si>
  <si>
    <t>-4xBVuxxiFM</t>
  </si>
  <si>
    <t>2010 05 11</t>
  </si>
  <si>
    <t>https://youtu.be/IzC9FiJh2sk</t>
  </si>
  <si>
    <t>Spacewalkers Drill for Safety</t>
  </si>
  <si>
    <t>Host Mike Massimino talks with Mission Specialists Garrett Reisman, Steve Bowen and Piers Sellers as they train for three spacewalks planned on STS-132. Reisman, Bowen and Mission Specialist Mike Good will each conduct two of the EVAs (extra vehicular activity) outside the International Space Station; Sellers will direct their maneuvers from inside.  Also discussed on this episode of "STS-132: Behind the Scenes, Vol. 5," are the origins of the crews mission patch. STS-132 will deliver to the ISS a cargo carrier and the Russian Mini Research Module "Rassvet."</t>
  </si>
  <si>
    <t>IzC9FiJh2sk</t>
  </si>
  <si>
    <t>https://youtu.be/RzJpWhuY-YE</t>
  </si>
  <si>
    <t>NASA Administrator Celebrates Science with Students</t>
  </si>
  <si>
    <t>Administrator Charles Bolden joined with fifth-grade students at Langdon Elementary School in Washington to help observe National Lab Day. The nationwide initiative promotes scientific experimentation by students in kindergarten through high school with support from educators, university students, scientists, engineers and other volunteers.</t>
  </si>
  <si>
    <t>RzJpWhuY-YE</t>
  </si>
  <si>
    <t>https://youtu.be/n9JKcB4M31w</t>
  </si>
  <si>
    <t>Astros Visit Astros</t>
  </si>
  <si>
    <t>The home of the Houston Astros is visited by six NASA astronauts who use the backdrop of Minute Maid Park for their crew photo, on "STS-132: Behind the Scenes, Vol. 4." The Atlantis crew of Commander Ken Ham, Pilot Tony Antonelli and Mission Specialists Steve Bowen, Piers Sellers, Garrett Reisman and Mike Good will deliver to the International Space Station the Russian-built Mini Research Module, "Rassvet."</t>
  </si>
  <si>
    <t>n9JKcB4M31w</t>
  </si>
  <si>
    <t>https://youtu.be/2T5f9iMQ7lY</t>
  </si>
  <si>
    <t>Shuttle Veteran Reflects on Extensive Career</t>
  </si>
  <si>
    <t>Astronaut Jerry Ross chats with Mike Massimino about his spaceflight career spanning the entire shuttle program, on "STS-132: Behind the Scenes, Vol. 3."  Space shuttle Atlantis will make its final flight on STS-132. Since its maiden voyage in October of 1985 on STS-51J, Atlantis has flown 30 missions, including the final Hubble Space Telescope servicing mission, STS-125, in May 2009. Of his seven shuttle missions, Ross has flown five of them aboard Atlantis, more than any other astronaut.</t>
  </si>
  <si>
    <t>2T5f9iMQ7lY</t>
  </si>
  <si>
    <t>https://youtu.be/AU6jndd5vKs</t>
  </si>
  <si>
    <t>External Tank  Barges  Into Launch Site</t>
  </si>
  <si>
    <t>The external fuel tank, or ET, for space shuttle Discovery's STS-133 mission to the International Space Station has arrived at NASA's Kennedy Space Center, Fla., following its journey via water from the Michoud Assembly Facility in New Orleans. ET-137 was taken off its transport barge, Pegasus, and moved into Kennedys Vehicle Assembly Building where, along with twin solid rocket boosters, it will be attached to the Discovery orbiter for a mission to the International Space Station targeted for this fall.</t>
  </si>
  <si>
    <t>AU6jndd5vKs</t>
  </si>
  <si>
    <t>2010 05 10</t>
  </si>
  <si>
    <t>https://youtu.be/PKSkX-jQhRQ</t>
  </si>
  <si>
    <t>Liftoff Friday for Atlantis Astronauts</t>
  </si>
  <si>
    <t>The six astronauts on the next space shuttle mission arrived at NASA's Kennedy Space Center, Fla., for their prelaunch preparations. Commander Ken Ham, Pilot Tony Antonelli and Mission Specialists Garrett Reisman, Michael Good, Steve Bowen and Piers Sellers are scheduled to liftoff aboard shuttle Atlantis on May 14 at 2:20 p.m. on their STS-132 mission; they'll deliver to the International Space Station the Russia-built Mini Research Module-1, or MRM-1, and a cargo carrier packed with hardware.</t>
  </si>
  <si>
    <t>PKSkX-jQhRQ</t>
  </si>
  <si>
    <t>https://youtu.be/qJ_t_4WbGW8</t>
  </si>
  <si>
    <t>Shuttle launch set, crew escape test, and new tires at NASCAR on This Week @ NASA</t>
  </si>
  <si>
    <t>Plus, satellites follow the oil slick, safeguarding aviation, and more awards for NASA.</t>
  </si>
  <si>
    <t>qJ_t_4WbGW8</t>
  </si>
  <si>
    <t>2010 05 06</t>
  </si>
  <si>
    <t>https://youtu.be/bWm5bjjaxwc</t>
  </si>
  <si>
    <t>Astronaut Safety Takes Step Forward</t>
  </si>
  <si>
    <t>NASA managers say the successful May 6 test of a launch abort system for future human spaceflight missions is a significant step forward in shaping emergency escape systems for crews. The "Pad Abort-1" flight test was conducted at the White Sands Missile Range in New Mexico.</t>
  </si>
  <si>
    <t>bWm5bjjaxwc</t>
  </si>
  <si>
    <t>https://youtu.be/czDwthupW8c</t>
  </si>
  <si>
    <t>Crew Launch Escape Test a Success</t>
  </si>
  <si>
    <t>An emergency system that would carry crew members to safety in the event of an aborted rocket launch was tested successfully on May 6 at the White Sands Missile Range in New Mexico. The 'Pad Abort-1' flight test is part of NASA's ongoing mission to develop safer vehicles for future human spaceflight.</t>
  </si>
  <si>
    <t>czDwthupW8c</t>
  </si>
  <si>
    <t>2010 05 05</t>
  </si>
  <si>
    <t>https://youtu.be/3RMPxt-R_XU</t>
  </si>
  <si>
    <t>Space Shuttle to Liftoff May 14</t>
  </si>
  <si>
    <t>The six-member crew of STS-132 is slated to liftoff aboard space shuttle Atlantis on Friday, May 14. The official launch date was set by Space Shuttle Program managers at a Flight Readiness Review held at NASA's Kennedy Space Center on May 5. Commander Ken Ham, Pilot Tony Antonelli, and Mission Specialists Mike Good, Garrett Reisman, Steve Bowen and Piers Sellers will spend twelve days in space, delivering cargo and "Rassvet", a Russian Mini Research Module, to the International Space Station. The May 14th launch time: 2:20 p.m. EDT.</t>
  </si>
  <si>
    <t>3RMPxt-R_XU</t>
  </si>
  <si>
    <t>https://youtu.be/m1wwzwvfsC0</t>
  </si>
  <si>
    <t>Shuttle's Toilet Requires Special Training</t>
  </si>
  <si>
    <t>Mike Massimino helps answer the one question he and other astronauts get asked most often: "How do you 'go' in space?" Mike catches up with STS-132 Mission Specialists Steve Bowen and Piers Sellers as they get some "refreshers" on the use of shuttle Atlantis' "Space Potty." (Training includes an "alignment camera.") Bowen, Sellers and their four crewmates are scheduled to launch aboard Atlantis for the International Space Station on May 14.  The workings of a space toilet, on "STS-132: Behind the Scenes, Vol. 1."</t>
  </si>
  <si>
    <t>m1wwzwvfsC0</t>
  </si>
  <si>
    <t>https://youtu.be/a6aQ64Mn96Q</t>
  </si>
  <si>
    <t>Flight Simulations Prep Shuttle Crew</t>
  </si>
  <si>
    <t>As they simulate one of the three spacewalks scheduled for their upcoming mission to the International Space Station, Commander Ken Ham and Mission Specialist Mike Good discuss with Mike Massimino their training in Russia, on "STS-132: Behind the Scenes, Vol. 2." The Atlantis crew of Ham, Good, Pilot Tony Antonelli and Mission Specialists Steve Bowen, Piers Sellers, Garrett Reisman and Mike Good will deliver to the ISS the Russian-built Mini Research Module, "Rassvet".</t>
  </si>
  <si>
    <t>a6aQ64Mn96Q</t>
  </si>
  <si>
    <t>2010 05 03</t>
  </si>
  <si>
    <t>https://youtu.be/RR6zecKg6_I</t>
  </si>
  <si>
    <t>Launch Day Nears for STS-132</t>
  </si>
  <si>
    <t>Calling it "an absolute privilege" for his crew to represent NASA's space program, Commander Ken Ham told a Houston news conference that he and the other five STS-132 astronauts in attendance are looking forward to their upcoming mission aboard space shuttle Atlantis. Ham, Pilot Tony Antonelli and Mission Specialists Garrett Reisman, Mike Good, Steve Bowen and Piers Sellers will deliver a cargo carrier and a Russian Mini Research Module, "Rassvet" (dawn), to the International Space Station.  Launch from NASA's Kennedy Space Center is targeted for May 14 at 2:20 p.m. EDT.</t>
  </si>
  <si>
    <t>RR6zecKg6_I</t>
  </si>
  <si>
    <t>https://youtu.be/_bNcVUOniDU</t>
  </si>
  <si>
    <t>Three to Share Spacewalking Duties on Next Shuttle Journey</t>
  </si>
  <si>
    <t>When they visit the International Space Station  later this month, astronauts Garrett Reisman, Mike Good and Steve Bowen will each conduct two EVAs (extra vehicular activity) to stage and install cargo and equipment outside the orbiting complex. The trio, along with Commander Ken Ham, Pilot Tony Antonelli and Mission Specialist Piers Sellers, are targeted to begin their 12-day STS-132 mission with a targeted liftoff aboard space shuttle Atlantis on May 14.  STS-132 is slated to be the final flight of Atlantis.</t>
  </si>
  <si>
    <t>_bNcVUOniDU</t>
  </si>
  <si>
    <t>https://youtu.be/BJororoKuls</t>
  </si>
  <si>
    <t>Atlantis Crew to Deliver Mini-Module to ISS</t>
  </si>
  <si>
    <t>STS-132 mission managers detail how the crew of space shuttle Atlantis will deliver and install on the International Space Station "Rassvet", the Russian Mini Research Module. The six-member STS-132 crew of Commander Ken Ham, Pilot Tony Antonelli, and Mission Specialists Mike Good, Garrett Reisman, Piers Sellers and Steve Bowen will spend 12 days in space; their launch from NASA's Kennedy Space Center is targeted for May 14 at 2:20 p.m. EDT.</t>
  </si>
  <si>
    <t>BJororoKuls</t>
  </si>
  <si>
    <t>https://youtu.be/cNi0sDkx1qw</t>
  </si>
  <si>
    <t>Shuttle, Space Station Teams  Ready  for STS-132 Mission</t>
  </si>
  <si>
    <t>Managers for NASA's space shuttle and International Space Station programs say both are moving towards a targeted May 14 launch of Atlantis to the orbiting complex. A formal launch date for the 12-day mission to deliver an Integrated Cargo Carrier and a Russian-built Mini Research Module to the station is expected to be set at the conclusion of a May 5th Flight Readiness Review.</t>
  </si>
  <si>
    <t>cNi0sDkx1qw</t>
  </si>
  <si>
    <t>2010 05 01</t>
  </si>
  <si>
    <t>https://youtu.be/hmwkcxkP9EI</t>
  </si>
  <si>
    <t>New Supplies for Space Station Crew</t>
  </si>
  <si>
    <t>An unpiloted Russian Progress resupply vehicle delivered more than two and a half tons of food, fuel, oxygen, water and spare parts to the Expedition 23 crew aboard the International Space Station.  Progress docked to the International Space Station's Pirs Docking Compartment on May 1, 2010, three days after its launch from the Baikonur Cosmodrome in Kazakhstan.</t>
  </si>
  <si>
    <t>hmwkcxkP9EI</t>
  </si>
  <si>
    <t>2010 04 29</t>
  </si>
  <si>
    <t>https://youtu.be/4zSgR_WVhP0</t>
  </si>
  <si>
    <t>Operation IceBridge - Part Two - Sea Ice Research</t>
  </si>
  <si>
    <t>The spring 2010 campaign of NASA's Operation IceBridge is underway in Greenland. The mission is measuring the Greenland ice sheet, glaciers and sea ice.  This second phase of the project will use a P-3B airplane which will deploy to Kangerlussuaq, Greenland from the Wallops Flight Facility in Virginia.  IceBridge, is a six-year NASA mission and is the largest airborne survey of Earth's polar ice ever flown. It will yield an unprecedented three-dimensional view of Arctic and Antarctic ice sheets, ice shelves and sea ice. Data collected during IceBridge will help scientists bridge the gap in polar observations between NASA's Ice, Cloud and Land Elevation Satellite (ICESat) -- in orbit since 2003 -- and ICESat-2, planned for late 2015. ICESat stopped collecting science data in 2009, making IceBridge critical for ensuring a continuous series of observations.</t>
  </si>
  <si>
    <t>4zSgR_WVhP0</t>
  </si>
  <si>
    <t>https://youtu.be/4CEFHvFT59Y</t>
  </si>
  <si>
    <t>NASA Lays Groundwork for Safer Spacecraft</t>
  </si>
  <si>
    <t>On May 6, NASA is conducting Pad Abort 1, the first fully integrated test of the launch abort system being developed for the Orion crew vehicle. The information gathered through the test will be used to design and develop future systems that provide a safe escape for crews in the event of an emergency. The test will take place at the U.S. Army's White Sands Missile Range near Las Cruces, N.M.</t>
  </si>
  <si>
    <t>4CEFHvFT59Y</t>
  </si>
  <si>
    <t>https://youtu.be/9E6mbXqCA0U</t>
  </si>
  <si>
    <t>STS-132 Pre-Launch Training at KSC</t>
  </si>
  <si>
    <t>The six-member crew of the next space shuttle mission participated in a full launch dress rehearsal, known as the Terminal Countdown Demonstration Test, and related training at NASA's Kennedy Space Center in Florida. The test gave the crew and ground teams a chance to practice various simulated countdown activities, including equipment familiarization, emergency training and a simulated launch countdown.</t>
  </si>
  <si>
    <t>9E6mbXqCA0U</t>
  </si>
  <si>
    <t>2010 04 27</t>
  </si>
  <si>
    <t>https://youtu.be/SCZlaJznx3E</t>
  </si>
  <si>
    <t>First Earth Day Tweetup in D.C.</t>
  </si>
  <si>
    <t>To mark the 40th anniversary of Earth Day, NASA hosted a Tweetup in Washington on Sunday, April 18. Over forty @NASA Twitter followers attended the outdoor event, part of a weeklong series of Earth Day exhibits and activities on the National Mall.</t>
  </si>
  <si>
    <t>SCZlaJznx3E</t>
  </si>
  <si>
    <t>2010 04 26</t>
  </si>
  <si>
    <t>https://youtu.be/fJmADQkhUeo</t>
  </si>
  <si>
    <t>HUBBLE  Window to the Universe</t>
  </si>
  <si>
    <t>The Hubble Space Telescope is one of the greatest technological achievements in our history, and for two decades has astonished us with dynamic images of our solar system and the world beyond.  To celebrate this important twenty-year milestone, NASA looks back at the contributions of this extraordinary scientific tool, and the scientists who created it, in an engrossing documentary entitled "Hubble: Twenty Years of Discovery".</t>
  </si>
  <si>
    <t>fJmADQkhUeo</t>
  </si>
  <si>
    <t>2010 04 23</t>
  </si>
  <si>
    <t>https://youtu.be/hqgc0a5e64Y</t>
  </si>
  <si>
    <t>Hubble's 20th, nine days of Earth Day, and Robonaut in space on This Week @ NASA</t>
  </si>
  <si>
    <t>lus, STS-130's safe ending, young rocketeers and Apollo 13 remembered.</t>
  </si>
  <si>
    <t>hqgc0a5e64Y</t>
  </si>
  <si>
    <t>2010 04 21</t>
  </si>
  <si>
    <t>https://youtu.be/cgcyJxk017M</t>
  </si>
  <si>
    <t>First Images  The Solar Dynamics Observatory, SDO</t>
  </si>
  <si>
    <t>The first images of NASAs Solar Dynamics Observatory (SDO) released on April 21, 2010. Launched Feb. 11, 2010, SDO is the most advanced spacecraft ever designed to study the sun and its dynamic behavior. The spacecraft can produce images with clarity ten times better than high definition television and provide more comprehensive science data faster than any solar observing spacecraft in history. SDO will help scientists study solar activity to improve forecasts of how the suns weather affects Earth. www.nasa.gov/sdo  http://www.nasa.gov/sdo</t>
  </si>
  <si>
    <t>cgcyJxk017M</t>
  </si>
  <si>
    <t>https://youtu.be/8v_ZLc3ApuY</t>
  </si>
  <si>
    <t>Most Advanced Spacecraft Studies the Sun</t>
  </si>
  <si>
    <t>The first images of NASAs Solar Dynamics Observatory (SDO) have been revealed, astonishing heliophysicists with their brilliant clarity. Launched Feb. 11, 2010, SDO is the most advanced spacecraft ever designed to study the sun and its dynamic behavior. The spacecraft can produce images with clarity ten times better than high definition television and provide more comprehensive science data faster than any solar observing spacecraft in history. SDO will help scientists study solar activity to improve forecasts of how the suns weather affects Earth. www.nasa.gov/sdo</t>
  </si>
  <si>
    <t>8v_ZLc3ApuY</t>
  </si>
  <si>
    <t>2010 04 20</t>
  </si>
  <si>
    <t>https://youtu.be/U6B2SfRLCTI</t>
  </si>
  <si>
    <t>A Productive Performance</t>
  </si>
  <si>
    <t>Watch this video wrap-up of highlights from the seven Discovery astronauts successful 14-day journey to the International Space Station. They include three spacewalks, and high-definition video shot by the crew to document the on-orbit lives of Commander Alan Poindexter, Pilot Jim Dutton, and Mission Specialists Stephanie Wilson, Rick Mastracchio, Clay Anderson, Dottie Metcalf-Lindenburger and Naoko Yamazaki of the Japan Aerospace Exploration Agency.</t>
  </si>
  <si>
    <t>U6B2SfRLCTI</t>
  </si>
  <si>
    <t>https://youtu.be/MuKiaw-t-LM</t>
  </si>
  <si>
    <t>Entry Flight Control Team a Down-to-Earth Group</t>
  </si>
  <si>
    <t>An up-close, behind-the-scenes look at the men and women of  Johnson Space Centers Mission Control in Houston as they help bring the Discovery astronauts home from space.</t>
  </si>
  <si>
    <t>MuKiaw-t-LM</t>
  </si>
  <si>
    <t>https://youtu.be/22-Ji8_kDwg</t>
  </si>
  <si>
    <t xml:space="preserve"> Welcome Back!  Discovery Lands Safely at Kennedy</t>
  </si>
  <si>
    <t>Space shuttle Discovery and seven astronauts ended a two-week journey of more than 6.2 million miles with a Tuesday morning landing at NASA's Kennedy Space Center in Florida. Returning to Earth aboard the orbiter were STS-131 Commander Alan Poindexter, Pilot Jim Dutton, and Mission Specialists Stephanie Wilson, Rick Mastracchio, Clay Anderson, Dottie Metcalf-Lindenburger and Naoko Yamazaki of the Japan Aerospace Exploration Agency. The STS-131 mission to the International Space Station included three spacewalks, the installation of equipment outside the ISS, and the transfer of thousands of pounds of cargo and supplies from the orbiter's payload bay to various locations on the station.</t>
  </si>
  <si>
    <t>22-Ji8_kDwg</t>
  </si>
  <si>
    <t>2010 04 18</t>
  </si>
  <si>
    <t>https://youtu.be/0RVXBP3r8XA</t>
  </si>
  <si>
    <t>Down the Home Stretch</t>
  </si>
  <si>
    <t>The seven astronauts aboard space shuttle Discovery work and enjoy their planned last full day of the STS-131 mission.  They're scheduled to land at the Kennedy Space Center's Shuttle Landing Facility Monday at 8:53 a.m. EDT.</t>
  </si>
  <si>
    <t>0RVXBP3r8XA</t>
  </si>
  <si>
    <t>2010 04 17</t>
  </si>
  <si>
    <t>https://youtu.be/9_xOXvjBUbM</t>
  </si>
  <si>
    <t>Discovery Makes Its Move</t>
  </si>
  <si>
    <t>Its a momentous day in space as shuttle Discoverys crew says its goodbyes to the six inhabitants of the International Space Station, then begins its return trip to Earth. Highlights of the seven astronauts day in orbit.</t>
  </si>
  <si>
    <t>9_xOXvjBUbM</t>
  </si>
  <si>
    <t>https://youtu.be/dU0hlMXIGl8</t>
  </si>
  <si>
    <t>Underbelly Under Scrutiny</t>
  </si>
  <si>
    <t>High-definition video captured by members of the STS-131 crew as they perform a robotic safety scan of space shuttle Discoverys underbelly and leading edge. The photo inspection detects and documents any damage the orbiter may have sustained from junk or debris while in space. Discovery is slated to return to Earth Monday morning.</t>
  </si>
  <si>
    <t>dU0hlMXIGl8</t>
  </si>
  <si>
    <t>https://youtu.be/gp19XonIWr0</t>
  </si>
  <si>
    <t xml:space="preserve">Space Station Gets Final  Once-Over </t>
  </si>
  <si>
    <t>Space shuttle Discovery does a flyaround of the International Space Station before its seven-member STS-131 crew begin their flight home. Discovery is now scheduled to land at NASA's Kennedy Space Center this Monday morning.</t>
  </si>
  <si>
    <t>gp19XonIWr0</t>
  </si>
  <si>
    <t>https://youtu.be/8Fiz8737i1o</t>
  </si>
  <si>
    <t>Heading for Home</t>
  </si>
  <si>
    <t>With their ten-day visit to the International Space Station complete, Commander Alan Poindexter and his six STS-131 crewmates start their return journey to Earth aboard space shuttle Discovery. The orbiter is scheduled to return to the Kennedy Space Center in Florida Monday, Apr. 19.</t>
  </si>
  <si>
    <t>8Fiz8737i1o</t>
  </si>
  <si>
    <t>https://youtu.be/5Kk2YiemdBY</t>
  </si>
  <si>
    <t>Two Spacecraft Go Separate Ways</t>
  </si>
  <si>
    <t>Leaving the International Space Station in orbit 220 miles above Earth, space shuttle Discovery undocked to begin the flight home for its seven STS-131 astronauts. Commander Alan Poindexter, Pilot Jim Dutton, and Mission Specialists Stephanie Wilson, Rick Mastracchio, Clay Anderson, Dottie Metcalf-Lindenburger and Naoko Yamazaki of the Japan Aerospace Exploration Agency are now scheduled to land at the Kennedy Space Center Monday morning.</t>
  </si>
  <si>
    <t>5Kk2YiemdBY</t>
  </si>
  <si>
    <t>https://youtu.be/GWtofoEqDhk</t>
  </si>
  <si>
    <t>STS-131  The Launch of Discovery</t>
  </si>
  <si>
    <t>Highlights of the ascent of space shuttle Discovery from NASA's Kennedy Space Center into space to begin the STS-131 mission to the International Space Station on April 5, 2010.</t>
  </si>
  <si>
    <t>GWtofoEqDhk</t>
  </si>
  <si>
    <t>https://youtu.be/Wz4oADqQdmc</t>
  </si>
  <si>
    <t>Discovery Crew Bids Adieu</t>
  </si>
  <si>
    <t>After ten days together, STS-131's seven astronauts exchanged farewells with the six-member Expedition 23 crew, closed the International Space Station hatch behind them, and prepared to undock the space shuttle to begin its return to Earth.</t>
  </si>
  <si>
    <t>Wz4oADqQdmc</t>
  </si>
  <si>
    <t>https://youtu.be/KNQ6o_iWlyM</t>
  </si>
  <si>
    <t>President Obama Outlines Plan for US Space Program and NASA Achievements Honored</t>
  </si>
  <si>
    <t>Plus, Yuri's Night, "autonomous" air tests, and students "bug" the "lunar surface."</t>
  </si>
  <si>
    <t>KNQ6o_iWlyM</t>
  </si>
  <si>
    <t>2010 04 16</t>
  </si>
  <si>
    <t>https://youtu.be/7T84BBLi-GQ</t>
  </si>
  <si>
    <t>Camera Captures  Clean  Heat Shield</t>
  </si>
  <si>
    <t>Discoverys twelfth day in space is highlighted by the safety inspection of its thermal protection system, or heat shield, by a camera attached to the spacecrafts Orbiter Boom Sensor System.</t>
  </si>
  <si>
    <t>7T84BBLi-GQ</t>
  </si>
  <si>
    <t>https://youtu.be/kRgzdOjBoAU</t>
  </si>
  <si>
    <t xml:space="preserve"> Changing the Game  in Space</t>
  </si>
  <si>
    <t>Where do we go from here?  What new tools will Americas astronauts need to visit future destinations in space? Norm Augustine, chair, Review of U.S. Human Spaceflight Plans Committee, hosts "Jumpstarting the New Technologies to Take Us Beyond," one of four sessions held concurrently during a NASA-hosted "Conference on the American Space Program for the 21st Century" at the Kennedy Space Center to discuss President Obamas new direction for the agency. The Presidents fiscal year 2011 budget request calls for increased investment in game-changing technologies that will propel us further and faster into the cosmos. (Details at: www.nasa.gov )</t>
  </si>
  <si>
    <t>kRgzdOjBoAU</t>
  </si>
  <si>
    <t>https://youtu.be/OTotzOtUANw</t>
  </si>
  <si>
    <t>NASA's Bolden Offers Space Conference Overview</t>
  </si>
  <si>
    <t>NASA Administrator Charles Bolden was joined by Norm Augustine, chair, Review of U.S. Human Spaceflight Plans Committee, and John Holdren, assistant to the President for science and technology and director of the White House Office of Science and Technology Policy, in providing an overview of the space conference hosted by NASA at the Kennedy Space Center on Apr. 15. The one-day Conference on the American Space Program for the 21st Century was organized for senior officials, space leaders, academic experts, industry leaders and others to discuss the Presidents new and innovative plans for the agency and Americas space program. The overview by Bolden, Augustine and Holdren came following comments by President Barack Obama and before four concurrent panel sessions. (Details at: www.nasa.gov)</t>
  </si>
  <si>
    <t>OTotzOtUANw</t>
  </si>
  <si>
    <t>https://youtu.be/9WeCUJHwaB0</t>
  </si>
  <si>
    <t xml:space="preserve">Space Conference Called  Constructive,   Productive </t>
  </si>
  <si>
    <t>Moderators of the "Conference on the American Space Program for the 21st Century" hosted by NASA at the Kennedy Space Center on Apr. 15 agreed that their panel discussions proved productive and worthwhile. Each of the four concurrent sessions focused on a different aspect of President Obama's fiscal year 2011budget request for NASA. Serving as moderators were John Holdren, director of the White House Office of Science and Technology Policy ("Expanding our Reach into the Solar System"); NASA Deputy Administrator Lori Garver ("Harnessing Space to Expand Economic Opportunity"); Norm Augustine, chair, Review of U.S. Human Spaceflight Plans
Committee ("Jumpstarting the New Technologies to Take Us Beyond"); and journalist and NASA Advisory Council member Miles OBrien ("Increasing Access to and Utilization of the International Space Station"). Their remarks came during a conference wrap-up hosted by NASA Administrator Charles Bolden. (Details at: www.nasa.gov)</t>
  </si>
  <si>
    <t>9WeCUJHwaB0</t>
  </si>
  <si>
    <t>https://youtu.be/is_6crooDG0</t>
  </si>
  <si>
    <t>Making Space Pay</t>
  </si>
  <si>
    <t>President Obama's new course for NASA includes jumpstarting a commercial space transportation industry to provide safe and efficient crew and cargo transportation to the International Space Station and create more than 10,000 jobs nationally over the next five years. NASA Deputy Administrator Lori Garver leads a panel discussion about "Harnessing Space to Expand Economic Opportunity."  The session is one of four featured at the Apr.
15 "Conference on the American Space Program for the 21st Century" hosted by NASA at the Kennedy Space Center to assess and discuss President Obama's bold, innovative direction for the agency and Americas space program. (Details at: www.nasa.gov )</t>
  </si>
  <si>
    <t>is_6crooDG0</t>
  </si>
  <si>
    <t>https://youtu.be/MOIKfHWAUmw</t>
  </si>
  <si>
    <t>A National Laboratory with World-Class Promise</t>
  </si>
  <si>
    <t>Advances in cancer research already made on the International Space Station only hint at the future discoveries the complex orbiting 220 miles up holds for scientists back on Earth. Journalist and NASA Advisory Council member Miles O'Brien hosts the panel session, "Increasing Access to and Utilization of the International Space Station," one of four held at the NASA-hosted "Conference on the American Space Program for the 21st Century" at the Kennedy Space Center Apr. 15 to assess different aspects of President Obama's innovative new direction for NASA. (Details at: www.nasa.gov)</t>
  </si>
  <si>
    <t>MOIKfHWAUmw</t>
  </si>
  <si>
    <t>https://youtu.be/7VAPO276VEE</t>
  </si>
  <si>
    <t>Extending the Reach of Exploration</t>
  </si>
  <si>
    <t>Each day brings new discoveries about the world around us. What shape will future space exploration take? How will we go further and faster to deepen our understanding of space? John Holdren, director of the White House Office of Science and Technology Policy, moderates "Expanding our Reach into the Solar System," one of four "breakout" sessions of the April 15 "Conference on the American Space Program for the 21st Century" hosted by NASA at the Kennedy Space Center in Florida. Holdren and a panel of experts discuss how President Obamas bold, new course for NASA will facilitate humankinds ongoing pursuit of knowledge about our sun and planetary neighbors  and beyond. (Details at: www.nasa.gov )</t>
  </si>
  <si>
    <t>7VAPO276VEE</t>
  </si>
  <si>
    <t>https://youtu.be/TmxagW97EHc</t>
  </si>
  <si>
    <t>Moving Module  Doubles  as Dumpster on Return Flight</t>
  </si>
  <si>
    <t>Emptied of 12-thousand pounds of cargo, the Leonardo Multi-Purpose Logistics Module will carry back to Earth about two tons of trash and completed experiments. The MPLM is demated from the International Space Stations Harmony module and reberthed in the payload bay of space shuttle Discovery to top the video highlights from STS-131s 11th day in space.</t>
  </si>
  <si>
    <t>TmxagW97EHc</t>
  </si>
  <si>
    <t>https://youtu.be/3rNn_cUrlmE</t>
  </si>
  <si>
    <t>President Obama Pledges Total Commitment to NASA</t>
  </si>
  <si>
    <t>President Obama says his new budget request to increase NASA's funding by $6 billion over the next five years is an investment in America's future, and a challenge to the agency to build on its legacy of innovation and discovery.
"What we're looking for is not just to continue on the same path", said the President. "We want to leap into the future. We want major breakthroughs, transformative for NASA." 
Making his remarks to an audience of several hundred at the Kennedy Space Center in Florida prior to the start of a one-day "Conference on the American Space Program" for the 21st Century", President Obama reassured those in attendance about his support for NASA.
"The bottom line is, nobody is more committed to manned spaceflight, the human exploration of space, than I am. But we cant do it the same old way, but in the smart way to get where we want to go."
The space conference of senior officials, space and industry leaders, academic experts and others focuses the different aspects of the President's new direction for the agency. President Obama was introduced by NASA Administrator Charles Bolden. (Details at: www.nasa.gov)</t>
  </si>
  <si>
    <t>3rNn_cUrlmE</t>
  </si>
  <si>
    <t>2010 04 15</t>
  </si>
  <si>
    <t>https://youtu.be/DiS4m7MX9bg</t>
  </si>
  <si>
    <t>President Obama says his new budget request to increase NASA's funding by $6 billion over the next five years is an investment in America's future, and a challenge to the agency to build on its legacy of innovation and discovery.
"What we're looking for is not just to continue on the same path", said the President. "We want to leap into the future. We want major breakthroughs, transformative for NASA." 
Making his remarks to an audience of several hundred at the Kennedy Space Center in Florida prior to the start of a one-day "Conference on the American Space Program" for the 21st Century", President Obama reassured those in attendance about his support for NASA.
"The bottom line is, nobody is more committed to manned spaceflight, the human exploration of space, than I am. But we cant do it the same old way, but in the smart way to get where we want to go."
The space conference of senior officials, space and industry leaders, academic experts and others focuses the different aspects of the President's new direction for the agency. President Obama was introduced by NASA Administrator Charles Bolden. (Details at: www.nasa.gov)</t>
  </si>
  <si>
    <t>DiS4m7MX9bg</t>
  </si>
  <si>
    <t>https://youtu.be/pbMvnppbVYo</t>
  </si>
  <si>
    <t>President Concludes NASA Space Conference Visit</t>
  </si>
  <si>
    <t>President Obama departed NASAs Kennedy Space Center in Florida aboard Air Force One on Apr. 15 after delivering remarks about his fiscal year 2011 budget request for NASA and the future of human space exploration. The visit came as NASA hosted a one-day Conference on the American Space Program for the 21st Century for senior officials, space leaders, academic experts, industry leaders and others to discuss the Presidents new and innovative plans for the agency and Americas space program. (Details at: www.nasa.gov)</t>
  </si>
  <si>
    <t>pbMvnppbVYo</t>
  </si>
  <si>
    <t>https://youtu.be/hVS8mjLiP90</t>
  </si>
  <si>
    <t>A New Era of Innovation and Discovery - President Obama's Plan for NASA</t>
  </si>
  <si>
    <t>President Barack Obama's new plan for NASA.</t>
  </si>
  <si>
    <t>hVS8mjLiP90</t>
  </si>
  <si>
    <t>https://youtu.be/kUQksM2OAaY</t>
  </si>
  <si>
    <t>President Arrives in Florida to Launch Space Conference</t>
  </si>
  <si>
    <t>Air Force One carrying President Obama set down at the Shuttle Landing Facility at NASAs Kennedy Space Center in Florida at approximately 1:25 p.m. EDT on Apr.15. The President is at Kennedy to speak about the bold, new course outlined in his fiscal year 2011 budget request for NASA and the future of human space exploration. The speech highlights a one-day Conference on the American Space Program for the 21st Century hosted by NASA to examine different aspects of the President's new direction for the agency and Americas space program. (Details at: www.nasa.gov)</t>
  </si>
  <si>
    <t>kUQksM2OAaY</t>
  </si>
  <si>
    <t>2010 04 14</t>
  </si>
  <si>
    <t>https://youtu.be/hEL5-AprbtA</t>
  </si>
  <si>
    <t>Cargo, Class and Crews' Conference</t>
  </si>
  <si>
    <t>The STS-131 crew members tenth day of spaceflight included moving the last of the cargo brought up by shuttle Discovery to the International Space Station, an on-orbit news conference with the space station crew, and participation in a Q &amp; A session with school children in North Carolina</t>
  </si>
  <si>
    <t>hEL5-AprbtA</t>
  </si>
  <si>
    <t>https://youtu.be/dDjoD_rK-oY</t>
  </si>
  <si>
    <t>Former Teacher Calls Class from Space</t>
  </si>
  <si>
    <t>Astronaut Dottie Metcalf-Lindenburger and other members of the STS-131 crew spoke from space by phone with elementary and middle school students from the Guilford County Schools district in Gibsonville, N.C. Orbiting 220 miles above Earth, the former teacher was joined in the International Space Station's Harmony node by space shuttle Commander Alan Poindexter and Mission Specialists Stephanie Wilson and Clay Anderson. Metcalf-Lindenburger is one of three teachers selected to fly as shuttle mission specialists in the 2004 Educator Astronaut Class.</t>
  </si>
  <si>
    <t>dDjoD_rK-oY</t>
  </si>
  <si>
    <t>https://youtu.be/L6vuOx7AN4w</t>
  </si>
  <si>
    <t>Living It  Up  Together</t>
  </si>
  <si>
    <t>The thirteen astronauts and cosmonauts currently in Earth orbit together discussed their missions aboard the International Space Station and space shuttle Discovery. NASA astronauts Tracy Caldwell Dyson and T.J. Creamer are among Expedition 23s six flyers aboard the ISS, while space shuttle Discovery and its seven-member STS-131 crew remains docked to the station.</t>
  </si>
  <si>
    <t>L6vuOx7AN4w</t>
  </si>
  <si>
    <t>https://youtu.be/zsF3WHWGuoE</t>
  </si>
  <si>
    <t>Supplies Split Up on ISS</t>
  </si>
  <si>
    <t>Relocating cargo from the Leonardo Multi-Purpose Logistics Module to various positions aboard the International Space Station is among the highlights of the shuttle Discovery crew's ninth day in space. Flight Day 9 also included installation of equipment outside the ISS on the third and final spacewalk of STS-131.</t>
  </si>
  <si>
    <t>zsF3WHWGuoE</t>
  </si>
  <si>
    <t>https://youtu.be/8DDaWb-xUEs</t>
  </si>
  <si>
    <t xml:space="preserve"> Moving  Continues In and Out of Station</t>
  </si>
  <si>
    <t>Numerous equipment installations by the spacewalking duo of Rick Mastracchio and Clay Anderson, as well as cargo transfers from the Leonardo module to the International Space Station by the Discovery crew, are captured in HD by STS-131 astronauts.</t>
  </si>
  <si>
    <t>8DDaWb-xUEs</t>
  </si>
  <si>
    <t>2010 04 12</t>
  </si>
  <si>
    <t>https://youtu.be/wQUB_KveKxE</t>
  </si>
  <si>
    <t>Astros Prep to Step In Space</t>
  </si>
  <si>
    <t>STS-131 astronauts Rick Mastracchio and Clay Anderson use much of the missions  eighth day to get ready for their third and final spacewalk outside the International Space Station. Theyll store the stations spent ammonia tank assembly in Discoverys cargo bay, retrieve a light-weight adapter plate assembly and conduct several robotic activities.</t>
  </si>
  <si>
    <t>wQUB_KveKxE</t>
  </si>
  <si>
    <t>https://youtu.be/Ca0Mjoo-eGE</t>
  </si>
  <si>
    <t>Making the Rounds on Orbit</t>
  </si>
  <si>
    <t>STS-131 Commander Alan Poindexter, Pilot Jim Dutton, and Mission Specialists Stephanie Wilson and Dottie Metcalf-Lindenburger discuss their time in space with ABC News Diane Sawyer, and reporters from KUSA-TV, Denver, MSNBC and Fox News Channel.</t>
  </si>
  <si>
    <t>Ca0Mjoo-eGE</t>
  </si>
  <si>
    <t>2010 04 11</t>
  </si>
  <si>
    <t>https://youtu.be/rCn5TqEPXLs</t>
  </si>
  <si>
    <t>Astronauts  Grapple  In Orbit</t>
  </si>
  <si>
    <t>Using robotic grappling equipment, astronauts aboard space shuttle Discovery transfer cargo from the orbiters payload bay to the International Space Station. Spacewalkers Rick Mastracchio and Clay Anderson contribute with the second of three EVAs theyre scheduled to perform on STS-131.</t>
  </si>
  <si>
    <t>rCn5TqEPXLs</t>
  </si>
  <si>
    <t>https://youtu.be/uftxel9ue3Y</t>
  </si>
  <si>
    <t>HD  Crew Choice  Video</t>
  </si>
  <si>
    <t>High-definition video of their seventh day in space as seen by the crew of shuttle Discovery. Crew highlights include the missions second spacewalk by Rick Mastracchio and Clay Anderson, as well as the transfer of equipment and supplies from the shuttle to the station.</t>
  </si>
  <si>
    <t>uftxel9ue3Y</t>
  </si>
  <si>
    <t>https://youtu.be/tu0b2zEHiuk</t>
  </si>
  <si>
    <t>New Equipment Installed Outside ISS</t>
  </si>
  <si>
    <t>A new ammonia tank assembly that helps cool the International Space Station was installed on the station's S1 truss by astronauts Rick Mastracchio and Clay Anderson during their second successful spacewalk of STS-131.</t>
  </si>
  <si>
    <t>tu0b2zEHiuk</t>
  </si>
  <si>
    <t>https://youtu.be/Ftwromsqui8</t>
  </si>
  <si>
    <t>Next Up  Spacewalk %232</t>
  </si>
  <si>
    <t>High-definition video shot on-orbit by the STS-131 crew documents the continued transfer of equipment and supplies from shuttle Discovery to the International Space Station, and the preparations of astronauts Rick Mastracchio and Clay Anderson for their second spacewalk of the 14-day mission.</t>
  </si>
  <si>
    <t>Ftwromsqui8</t>
  </si>
  <si>
    <t>https://youtu.be/GZerpR-poSA</t>
  </si>
  <si>
    <t>A Smooth Day 6 in Space</t>
  </si>
  <si>
    <t>The successful transfers of a stowage rack and a window observational research facility from Discoverys payload bay to the International Space Station are among the highlights of the STS-131 crews sixth day in space.</t>
  </si>
  <si>
    <t>GZerpR-poSA</t>
  </si>
  <si>
    <t>https://youtu.be/Iokt2j7KcGw</t>
  </si>
  <si>
    <t xml:space="preserve"> What's it Like in Space  </t>
  </si>
  <si>
    <t>More than 700 eighth graders join with children of the local military community at the Naval Postgraduate School in Monterey, Calif. for this special Q &amp; A session with STS-131 astronauts Alan Poindexter, Jim Dutton, and former teacher Dottie Metcalf-Lindenburger aboard the International Space Station.</t>
  </si>
  <si>
    <t>Iokt2j7KcGw</t>
  </si>
  <si>
    <t>https://youtu.be/HF-Nx_ESe5o</t>
  </si>
  <si>
    <t>Spacewalkers  Chill,  Chat After First EVA</t>
  </si>
  <si>
    <t>Joined by fellow astronaut Stephanie Wilson, Mission Specialists Rick Mastracchio, and Clay Anderson relax the day after their 6-and-a-half-hour EVA (extra-vehicular activity) and recall for Nebraska Public Radio, the Associated Press, and CBS News what it was like working outside the International Space Station. Mastracchio and Anderson are slated for two more spacewalks on the STS-131 mission.</t>
  </si>
  <si>
    <t>HF-Nx_ESe5o</t>
  </si>
  <si>
    <t>2010 04 09</t>
  </si>
  <si>
    <t>https://youtu.be/J-CwYzo2tVE</t>
  </si>
  <si>
    <t>Life On Orbit</t>
  </si>
  <si>
    <t>Watch highlights of the space shuttle Discovery crews fifth day in space they shot in high-definition aboard the orbiter and the International Space Station. Featured is HD footage of the missions first spacewalk conducted by astronauts Rick Mastracchio and Clay Anderson.</t>
  </si>
  <si>
    <t>J-CwYzo2tVE</t>
  </si>
  <si>
    <t>https://youtu.be/f9zIwdur1ns</t>
  </si>
  <si>
    <t xml:space="preserve">Volcanic Venus, Hi-Tech Tank Dome, and Just Another Day on Mars! on  This Week @ NASA </t>
  </si>
  <si>
    <t>Plus, "Thanks, Marshall!" and the space shuttle celebrates its 29th "birthday."</t>
  </si>
  <si>
    <t>f9zIwdur1ns</t>
  </si>
  <si>
    <t>https://youtu.be/Vq3ciWeixlc</t>
  </si>
  <si>
    <t>Astronauts Have a Busy Work Day in Space</t>
  </si>
  <si>
    <t>STS-131s spacewalkers, Rick Mastracchio and Clay Anderson spent most of their fifth day in space working outside the International Space Station on a six-and-a-half- hour EVA. They completed important tasks such as retrieving a science experiment on the Japanese Kibo Laboratorys exposed facility, replacing a rate gyro assembly on the center segment of the stations truss and the removal of an ammonia tank used to help cool the station from its assembly outside the complex.</t>
  </si>
  <si>
    <t>Vq3ciWeixlc</t>
  </si>
  <si>
    <t>https://youtu.be/xrDiyL-EnF4</t>
  </si>
  <si>
    <t>Astronauts Complete Mission's First Spacewalk</t>
  </si>
  <si>
    <t>STS-131 Mission Specialists Rick Mastracchio and Clay Anderson successfully removed an ammonia tank, retrieved a Japanese experiment that tested the effects of space on exposed metals, and replaced a failed gyroscope on the International Space Station. Two more spacewalks are planned for this mission.</t>
  </si>
  <si>
    <t>xrDiyL-EnF4</t>
  </si>
  <si>
    <t>2010 04 08</t>
  </si>
  <si>
    <t>https://youtu.be/INvGFsDt2_0</t>
  </si>
  <si>
    <t>Spacewalk Preps Among Highlights of Shuttle Crew's Fourth Day in Space</t>
  </si>
  <si>
    <t>Installing and activating the new logistics module on the ISS, and preparations by Rick Mastracchio and Clay Anderson for their first of three EVAs on STS-131 are among the featured video excerpts from the days events on orbit.</t>
  </si>
  <si>
    <t>INvGFsDt2_0</t>
  </si>
  <si>
    <t>https://youtu.be/-n-y1eiLJcM</t>
  </si>
  <si>
    <t>Shuttle Trio Working Hard, Enjoying Time in Space</t>
  </si>
  <si>
    <t>STS-131 Commander Alan Poindexter, and Mission Specialists Rick Mastracchio and Stephanie Wilson discuss their journey to the International Space Station aboard space shuttle Discovery with the Tom Joyner radio program, Fox Radio and Hartfords WVIT-TV.</t>
  </si>
  <si>
    <t>-n-y1eiLJcM</t>
  </si>
  <si>
    <t>2010 04 07</t>
  </si>
  <si>
    <t>https://youtu.be/pF4GMHTZNSI</t>
  </si>
  <si>
    <t>Space Shuttle Discovery Retrospective</t>
  </si>
  <si>
    <t>pF4GMHTZNSI</t>
  </si>
  <si>
    <t>https://youtu.be/816Y-FhplW8</t>
  </si>
  <si>
    <t>Rendezvous Tops Flight Day 3 Highlights</t>
  </si>
  <si>
    <t>Space shuttle Discoverys back flip, its docking to the International Space Station, and the meeting of the shuttle and station crews highlight STS-131s third day in space.</t>
  </si>
  <si>
    <t>816Y-FhplW8</t>
  </si>
  <si>
    <t>https://youtu.be/OX4bLGfl8k8</t>
  </si>
  <si>
    <t>131 Plus 23 Makes Baker's Dozen on Space Station</t>
  </si>
  <si>
    <t>With the opening of both spacecrafts hatches, space shuttle Discovery's seven-person STS-131 crew joined with the six-person Expedition 23 crew on the International Space Station to begin more than a week of work together. Among the thirteen space travelers on the ISS: four women aboard the same spacecraft for the first time. Discovery Mission Specialists Dottie Metcalf-Lindenburger, Stephanie Wilson and Japan Aerospace Exploration Agency (JAXA) astronaut Naoko Yamazaki joined Expedition 23 Flight Engineer Tracy Caldwell Dyson. Yamazaki and Expedition 23 Flight Engineer Soichi Noguchi are the first JAXA Astronauts to fly in space at the same time.</t>
  </si>
  <si>
    <t>OX4bLGfl8k8</t>
  </si>
  <si>
    <t>https://youtu.be/qWJoIsBVTp4</t>
  </si>
  <si>
    <t>STS-131 Crew Arrives Safely at Station</t>
  </si>
  <si>
    <t>Commander Alan Poindexter docked space shuttle Discovery to the International Space Station's Harmony as the two spacecraft flew 225 miles above the Caribbean near Caracas, Venezuela. Poindexter and his six crewmates completed the rendezvous operation without the failed shuttle Ku-band radar, relying instead on an array of other navigation tools to precisely track the space station.</t>
  </si>
  <si>
    <t>qWJoIsBVTp4</t>
  </si>
  <si>
    <t>https://youtu.be/3i0oRu9dHoA</t>
  </si>
  <si>
    <t>Discovery Back Flips for Safety</t>
  </si>
  <si>
    <t>Space shuttle Discovery completed an eight minute-long Rendezvous Pitch Maneuver, a slow back flip that permitted International Space Station crew members Oleg Kotov and T.J. Creamer to snap high resolution photographs of the shuttles heat shield, or thermal protection system. The digital pictures will be transmitted to imagery experts and managers at Mission Control in Houston where theyll do a routine check for damage.</t>
  </si>
  <si>
    <t>3i0oRu9dHoA</t>
  </si>
  <si>
    <t>2010 04 06</t>
  </si>
  <si>
    <t>https://youtu.be/GHz2B_4g2tM</t>
  </si>
  <si>
    <t>Blended Wing Body Completes Phase-1Tests</t>
  </si>
  <si>
    <t>A NASA Dryden, Air Force Research Laboratory and Boeing Phantom Works team has finished its first phase of flight tests on the subscale X-48B blended wing body aircraft at the Dryden Flight Research Center. The team is studying the structural, aerodynamic and operational advantages of the Blended Wing Body concept, a cross between a conventional plane and a flying wing design. 
The 8.5 percent scale, remotely piloted X-48B is dynamically scaled to fly much like the full-size aircraft would fly.</t>
  </si>
  <si>
    <t>GHz2B_4g2tM</t>
  </si>
  <si>
    <t>https://youtu.be/-daDU6xe7Ks</t>
  </si>
  <si>
    <t>Hatch Opens To Complete Station Crew</t>
  </si>
  <si>
    <t>NASA astronaut and Flight Engineer Tracy Caldwell Dyson, along with Soyuz Commander Alexander Skvortsov and Flight Engineer Mikhail Kornienko, were greeted by the three Expedition 23 crew members already aboard the International Space Station on Apr. 4. Expedition 23 Commander Oleg Kotov, and Flight Engineers Soichi Noguchi and T.J. Creamer welcomed the newcomers after their spacecraft docked with the ISS following their journey from the Baikonur Cosmodrome in Kazakhstan. The now-complete six-member Expedition 23 crew received greetings from officials gathered at the Russian Mission Control Center outside Moscow.</t>
  </si>
  <si>
    <t>-daDU6xe7Ks</t>
  </si>
  <si>
    <t>https://youtu.be/vO5dAouznCg</t>
  </si>
  <si>
    <t>Robotics Help Safety Review On Flight Day 2 Highlights</t>
  </si>
  <si>
    <t>As they continue making their way to the International Space Station, STS-131 crew members use Discoverys Orbiter Boom Sensor System to inspect the orbiters Thermal Protection System for damage it may have incurred during launch.</t>
  </si>
  <si>
    <t>vO5dAouznCg</t>
  </si>
  <si>
    <t>https://youtu.be/8FDs9rxFrJ0</t>
  </si>
  <si>
    <t>Luminious Launch Leads Flight Day 1 Highlights</t>
  </si>
  <si>
    <t>Space shuttle Discovery's liftoff from NASA's Kennedy Space Center at 6:21 a.m. EDT tops the first day in space of the seven-member STS-131 crew.  STS-131 is delivering the Leonardo logistics module filled with equipment and cargo for use aboard the orbiting complex</t>
  </si>
  <si>
    <t>8FDs9rxFrJ0</t>
  </si>
  <si>
    <t>2010 04 05</t>
  </si>
  <si>
    <t>https://youtu.be/G8-w8lpba24</t>
  </si>
  <si>
    <t>Astronauts Get Help  Uphill  from Below</t>
  </si>
  <si>
    <t>Watch behind-the-scenes footage of the Ascent Flight Control at NASA's Johnson Space Center as space shuttle Discovery and its seven-member STS-131 crew are seen safely into orbit.</t>
  </si>
  <si>
    <t>G8-w8lpba24</t>
  </si>
  <si>
    <t>https://youtu.be/OcJnIuUFEfk</t>
  </si>
  <si>
    <t>Completing the Crew and Climate Day in SoCal on This Week @ NASA</t>
  </si>
  <si>
    <t>Plus, "Extreme Teaching" and a visit to "ET's home" by the STS-133 crew.</t>
  </si>
  <si>
    <t>OcJnIuUFEfk</t>
  </si>
  <si>
    <t>https://youtu.be/TvZH-nhuxgo</t>
  </si>
  <si>
    <t>Discovery and STS-131 Crew 2 Days from ISS</t>
  </si>
  <si>
    <t>The seven-member STS-131 crew headed to the International Space Station aboard space shuttle Discovery after its launch from NASA's Kennedy Space Center at 6:21 a.m. EDT. The liftoff came 45 minutes before sunrise Monday, Apr. 5, and lit up Florida's Space Coast sky. The STS-131 Commander is Alan Poindexter; Jim Dutton is the Pilot and the Mission Specialists are Rick Mastracchio, Dottie Metcalf-Lindenburger, Stephanie Wilson, Clay Anderson and Japan Aerospace Exploration Agency astronaut Naoko Yamazaki. Dutton, Lindenburger and Yamazaki are making their first spaceflights.</t>
  </si>
  <si>
    <t>TvZH-nhuxgo</t>
  </si>
  <si>
    <t>https://youtu.be/hJhsi1AcD1k</t>
  </si>
  <si>
    <t>NASA Astronaut, Crewmates Reach ISS</t>
  </si>
  <si>
    <t>The spacecraft carrying and her two Russian Expedition 23 crewmates docked with the International Space Station on Apr. 4. Dyson, Soyuz Commander Alexander Skvortsov and Flight Engineer Mikhail Kornienko docked their craft to the station's Poisk module on the Russian segment. The trio of newcomers will spend six months on the ISS and be re-designated as the first members of Expedition 24 when Kotov, Noguchi and Creamer leave for their scheduled return to Earth in June.</t>
  </si>
  <si>
    <t>hJhsi1AcD1k</t>
  </si>
  <si>
    <t>https://youtu.be/9x6j2IAJAQs</t>
  </si>
  <si>
    <t>Hot on the Trail of Earth's Changing Ice</t>
  </si>
  <si>
    <t>Ice Bridge's 2010 Arctic campaign is in full swing. This spring researchers from NASA, University of Kansas, and Columbia University are flying over the Arctic, monitoring sea ice, ice sheets, and glaciers to provide a continuous look at how Arctic ice is changing. The campaign's first priority is to survey Arctic sea ice, which reaches its maximum extent just as spring begins. The amount of sea ice covering the Arctic at the end of each winter is an important indication of the health of the Arctic and Earth's climate system.</t>
  </si>
  <si>
    <t>9x6j2IAJAQs</t>
  </si>
  <si>
    <t>2010 04 02</t>
  </si>
  <si>
    <t>https://youtu.be/I4S3xp_j0uQ</t>
  </si>
  <si>
    <t>In HD  NASA Astronaut Travels to Space Station with Russian Crewmates</t>
  </si>
  <si>
    <t>A high-definition view of Expedition 23 Soyuz Commander Alexander Skvortsov and Flight Engineers Mikhail Kornienko and Tracy Caldwell Dyson launching on the Russian Soyuz TMA-18 spacecraft on April 2, 2010 from the Baikonur Cosmodrome in Kazakhstan to begin a two-day journey to the International Space Station. Once docked to the station, the trio will start a six-month tour on the complex, joining Oleg Kotov, Soichi Noguchi and T.J. Creamer, whove been in orbit since December.</t>
  </si>
  <si>
    <t>I4S3xp_j0uQ</t>
  </si>
  <si>
    <t>https://youtu.be/0oboXn_Pi08</t>
  </si>
  <si>
    <t>NASA Astronaut Travels to Space Station with Russian Crewmates</t>
  </si>
  <si>
    <t>Expedition 23 Soyuz Commander Alexander Skvortsov and Flight Engineers Mikhail Kornienko and Tracy Caldwell Dyson were launched on the Russian Soyuz TMA-18 spacecraft on April 2, 2010 from the Baikonur Cosmodrome in Kazakhstan to begin a two-day journey to the International Space Station. Once docked to the station, the trio will start a six-month tour on the complex, joining Oleg Kotov, Soichi Noguchi and T.J. Creamer, whove been in orbit since December.</t>
  </si>
  <si>
    <t>0oboXn_Pi08</t>
  </si>
  <si>
    <t>2010 04 01</t>
  </si>
  <si>
    <t>https://youtu.be/GuhzvAlUehU</t>
  </si>
  <si>
    <t>Expedition 23 Makes Rounds Before Launch</t>
  </si>
  <si>
    <t>Expedition 23 Soyuz Commander Alexander Skvortsov and Flight Engineers Mikhail Kornienko and Tracy Caldwell Dyson conducted a series of pre-launch activities in Baikonur, Kazakhstan April 1 as they prepared for their next-day liftoff to the International Space Station on the Soyuz TMA-18 vehicle. Among the events: an appearance before the Russian State Commission and their final pre-launch news conference.</t>
  </si>
  <si>
    <t>GuhzvAlUehU</t>
  </si>
  <si>
    <t>https://youtu.be/X8ojgOGtqfY</t>
  </si>
  <si>
    <t>Majestic Shuttle</t>
  </si>
  <si>
    <t>Dennis Lohaus wrote and performed this song in tribute to the Space Shuttle Team and Our Astronauts. Dennis has been part of the Shuttle Program for 31 years as an Engineer. With the shuttle program coming to an end, he and thousands of others are saddened and disappointed to hear the program will no longer be part of our American Dream and Inspiration.</t>
  </si>
  <si>
    <t>X8ojgOGtqfY</t>
  </si>
  <si>
    <t>https://youtu.be/2csADJ2sbIA</t>
  </si>
  <si>
    <t>Practice, Practice, Practice</t>
  </si>
  <si>
    <t>How do you learn to fly the space shuttle? Come along with astronaut/host Mike Massimino aboard NASA's modified Gulfstream jet as Commander Alan Poindexter and pilot Jim Dutton take to the air to simulate shuttle approaches and landings on "STS-131: Behind the Scenes, Vol. 4."</t>
  </si>
  <si>
    <t>2csADJ2sbIA</t>
  </si>
  <si>
    <t>https://youtu.be/NtJOH-aKEVY</t>
  </si>
  <si>
    <t>Welcome Mat Out at Astros' Crew Quarters</t>
  </si>
  <si>
    <t>Host Mike Massimino introduces us to the men and women who make the astronauts feel at home, away from home, at NASA's Kennedy Space Center;  then, climb aboard the "Astrovan" as the space shuttle Discovery crew heads to the pad for their launch dress rehearsal on "STS-131: Behind the Scenes, Vol. 5."</t>
  </si>
  <si>
    <t>NtJOH-aKEVY</t>
  </si>
  <si>
    <t>https://youtu.be/jvW0clxVlZA</t>
  </si>
  <si>
    <t>Three Days and a Wake-Up  STS-131 Crew Ready for Mission</t>
  </si>
  <si>
    <t>The seven members of the STS-131 crew flew into NASAs Kennedy Space Center, Fla. April 1 for their upcoming mission to the International Space Station. Joining Commander Alan Poindexter on space shuttle Discoverys scheduled April 5 launch will be Pilot Jim Dutton, and Mission Specialists Rick Mastracchio, Stephanie Wilson, Dottie Metcalf-Lindenburger, Clay Anderson and Naoko Yamazaki of the Japan Aerospace Exploration Agency. STS-131 mission will deliver a multi-purpose logistics module filled with science racks for use in the stations laboratories. STS-131 also will feature three spacewalks.</t>
  </si>
  <si>
    <t>jvW0clxVlZA</t>
  </si>
  <si>
    <t>2010 03 31</t>
  </si>
  <si>
    <t>https://youtu.be/fd-BukUph9Q</t>
  </si>
  <si>
    <t>Spacecraft  On Track  for Upcoming Launch</t>
  </si>
  <si>
    <t>At the Baikonur Cosmodrome in Kazakhstan, the vehicle that will carry Expedition 23 Soyuz Commander Alexander Skvortsov and Flight Engineers Mikhail Kornienko and Tracy Caldwell Dyson to the International Space Station was moved to its launch pad on a railcar March 31, 2010.  Launch is scheduled for April 2. The trio will spend six months on the station, joining Oleg Kotov, Soichi Noguchi and T.J. Creamer, who have been in orbit since December.</t>
  </si>
  <si>
    <t>fd-BukUph9Q</t>
  </si>
  <si>
    <t>https://youtu.be/ONvJ0xXT2xY</t>
  </si>
  <si>
    <t>Salute to a Legendary Space Artist</t>
  </si>
  <si>
    <t>Long before his passing in February at age 90, famed space artist Bob McCall had mastered painting his unrivaled vision of the Universe. His paintings have appeared in films and on television, and continue to be displayed in galleries and museums, including the Smithsonian's National Air &amp; Space Museum in Washington.</t>
  </si>
  <si>
    <t>ONvJ0xXT2xY</t>
  </si>
  <si>
    <t>2010 03 30</t>
  </si>
  <si>
    <t>https://youtu.be/Y00heegJEHA</t>
  </si>
  <si>
    <t>On-Orbit and On The Record</t>
  </si>
  <si>
    <t>Orbiting 220 miles above earth aboard the International Station, Expedition 22/23 NASA Flight Engineer T.J. Creamer and Japan Aerospace Exploration Agency astronaut and Flight Engineer Soichi Noguchi are interviewed about their mission by Baltimores WJZ-TV during a live event March 29,.</t>
  </si>
  <si>
    <t>Y00heegJEHA</t>
  </si>
  <si>
    <t>https://youtu.be/31oNIKmQwOA</t>
  </si>
  <si>
    <t>Visually-Impaired Students Touch the Stars in Special Hubble Image</t>
  </si>
  <si>
    <t>Once available only for the enjoyment of the sighted, the Hubble Space Telescope's dramatic glimpse of the Carina Nebula, a gigantic cloud of gas that bustles with star-making activity, can now be "seen" by blind students, as well. A touchable, 17-by-11-inch color image of the nebula that's been embossed with lines, slashes, and other markings allow the visually impaired to feel what they cannot see and form a picture of Carina in their minds.</t>
  </si>
  <si>
    <t>31oNIKmQwOA</t>
  </si>
  <si>
    <t>https://youtu.be/JHklvHMJ7Tw</t>
  </si>
  <si>
    <t>NASA Goes to Extremes for Teachers</t>
  </si>
  <si>
    <t>NASA's Spaceward Bound program sent dozens of middle school teachers to California State University's Desert Study Center in Zzyzx, on the edge of the barren Mojave Desert, to conduct science research in an extreme environment.  Participants experienced, first-hand, NASA-related field science and will use their field work to develop experiments, demonstrations and lesson plans for their students, the next generation of space explorers.</t>
  </si>
  <si>
    <t>JHklvHMJ7Tw</t>
  </si>
  <si>
    <t>2010 03 29</t>
  </si>
  <si>
    <t>https://youtu.be/vOKkv2piOkw</t>
  </si>
  <si>
    <t>Roscosmos Shows Off Mini-Module</t>
  </si>
  <si>
    <t>NASA and the Russian Federal Space Agency, Roscosmos, hosted a photo opportunity for media to view the Mini Research Module-1, known as Rassvet, on March 25 at the Astrotech payload processing facility in Port Canaveral, Fla.</t>
  </si>
  <si>
    <t>vOKkv2piOkw</t>
  </si>
  <si>
    <t>https://youtu.be/ogVIo38PdcM</t>
  </si>
  <si>
    <t>Marshall Celebrates 50 Years Supporting America's Space Program</t>
  </si>
  <si>
    <t>From development of the Saturn V rockets that launched Americans to the moon, to cutting-edge research aboard the International Space Station,  NASA's George C. Marshall Space Flight Center in Huntsville, Ala. celebrates a half-century of historic contributions to our nation's exploration of space.</t>
  </si>
  <si>
    <t>ogVIo38PdcM</t>
  </si>
  <si>
    <t>2010 03 26</t>
  </si>
  <si>
    <t>https://youtu.be/G0N_K6LxSFc</t>
  </si>
  <si>
    <t>Telescope Test,  Topping Out  and the  Buzz on Buzz  on This Week @ NASA</t>
  </si>
  <si>
    <t>Plus, "Engineer of the Year", and an update on Discovery's upcoming launch to the International Space Station.</t>
  </si>
  <si>
    <t>G0N_K6LxSFc</t>
  </si>
  <si>
    <t>https://youtu.be/VMAwgdKfb0o</t>
  </si>
  <si>
    <t>Expedition 23 Crew Partners on Orbit</t>
  </si>
  <si>
    <t>Despite different homelands and backgrounds, Commander Oleg Kotov and Flight Engineers T.J. Creamer and Soichi Noguchi share one mission aboard the International Space Station.</t>
  </si>
  <si>
    <t>VMAwgdKfb0o</t>
  </si>
  <si>
    <t>2010 03 25</t>
  </si>
  <si>
    <t>https://youtu.be/j2cVZM7n3JM</t>
  </si>
  <si>
    <t>More Humans Living in Space</t>
  </si>
  <si>
    <t>With the arrival of a Soyuz capsule, the number of residents on the International Space Station jumps from three to six. A profile of the cosmonauts and astronauts wholl make up the final crew complement of Expedition 23.</t>
  </si>
  <si>
    <t>j2cVZM7n3JM</t>
  </si>
  <si>
    <t>https://youtu.be/buuIe5koJ3g</t>
  </si>
  <si>
    <t>NASA Oceanographer Uses Science to Study the Sea</t>
  </si>
  <si>
    <t>In celebration of Women's History Month profile, Callie Hall of the Stennis Space Center is profiled for her use of NASA Earth science research data to design programs aimed at preserving and managing the waters and coastline of the Gulf of Mexico.</t>
  </si>
  <si>
    <t>buuIe5koJ3g</t>
  </si>
  <si>
    <t>https://youtu.be/b1FftFdZjN4</t>
  </si>
  <si>
    <t>New Flight Engineer for Station</t>
  </si>
  <si>
    <t>The newest residents of the International Space Station, cosmonauts Alexander Skvortsov and Mikhail Kornienko and NASA astronaut Tracy Caldwell Dyson, will spend two months split between Expeditions 23 and 24.</t>
  </si>
  <si>
    <t>b1FftFdZjN4</t>
  </si>
  <si>
    <t>https://youtu.be/FD4o18HOzrE</t>
  </si>
  <si>
    <t>Come  Fly  With Me</t>
  </si>
  <si>
    <t>Join astronaut Mike Massimino as crew members simulate several of space shuttle Discovery's on-orbit maneuvers, on "STS-131: Behind the Scenes, Vol. 3."</t>
  </si>
  <si>
    <t>FD4o18HOzrE</t>
  </si>
  <si>
    <t>https://youtu.be/PxZWnzmaJ2o</t>
  </si>
  <si>
    <t>Shuttle's Underside Has  Mass  Appeal</t>
  </si>
  <si>
    <t>Led by crew members of the next space shuttle mission, astronaut Mike Massimino gets under Discovery's belly for a close-up look at the orbiter's protective tiles, on "STS-131: Behind the Scenes, Vol. 2."</t>
  </si>
  <si>
    <t>PxZWnzmaJ2o</t>
  </si>
  <si>
    <t>2010 03 23</t>
  </si>
  <si>
    <t>https://youtu.be/48J5FJ12et8</t>
  </si>
  <si>
    <t>High School Students Put Robots to the Test</t>
  </si>
  <si>
    <t>Sixty-three high school robotics teams faced off in a battle of minds and machines at the Virginia Regional For Inspiration and Recognition of Science and Technology, or FIRST competition. Working closely with teachers and volunteer mentors, student teams have six weeks to design, build, program and test a robot that can perform a series of pre-determined tasks. The event was held at Virginia Commonwealth Universitys Siegel Center. Regional winners will compete in the FIRST world championships in Atlanta next month.</t>
  </si>
  <si>
    <t>48J5FJ12et8</t>
  </si>
  <si>
    <t>https://youtu.be/gdSpKjkcbro</t>
  </si>
  <si>
    <t>From Lunar Orbit to the Stars</t>
  </si>
  <si>
    <t>Apollo astronaut Buzz Aldrin stepped out of the history books and onto the dance floor as a contestant on the ABC Television series, Dancing with the Stars.  Aldrin was teamed with professional dancer, Ashley Costa, a Stars veteran. Spurring Aldrin on was a message from astronaut T.J. Creamer and Expedition 23 crew members aboard the International Space Station. Aldrin and Neil Armstrong were the first men to set foot on the moon on July 20, 1969.</t>
  </si>
  <si>
    <t>gdSpKjkcbro</t>
  </si>
  <si>
    <t>2010 03 22</t>
  </si>
  <si>
    <t>https://youtu.be/BETvz98MPWU</t>
  </si>
  <si>
    <t>Next Shuttle Mission's Payload Proceeds to Pad</t>
  </si>
  <si>
    <t>Equipment and cargo that'll be delivered to the International Space Station by the next space shuttle mission was transported to Launch Pad 39A at NASA's Kennedy Space Center, Fla. March 19. That's from where the STS-131 crew commanded by Alan Poindexter are targeted to lift off aboard space shuttle Discovery the morning of April 5.</t>
  </si>
  <si>
    <t>BETvz98MPWU</t>
  </si>
  <si>
    <t>https://youtu.be/FhQIrEQEfD8</t>
  </si>
  <si>
    <t>New Crew Leaves For Launch Site</t>
  </si>
  <si>
    <t>Expedition 23 Soyuz Commander Alexander Skvortsov and Flight Engineers Mikhail Kornienko and Tracy Caldwell Dyson departed for the Baikonur Cosmodrome in Kazakhstan to train for their launch to the International Space Station in their Soyuz capsule on April 2. Before leaving, the trio participated in traditional ceremonies at the Gagarin Cosmonaut Training Center in Star City, Russia, outside Moscow March 22. In Baikonur, theyll conduct a series of prelaunch activities in preparation for liftoff to the orbital outpost.</t>
  </si>
  <si>
    <t>FhQIrEQEfD8</t>
  </si>
  <si>
    <t>https://youtu.be/q6mujJfFYrA</t>
  </si>
  <si>
    <t>Jaime Waydo   Managing Rover's Mars Mobility</t>
  </si>
  <si>
    <t>Working at NASA's Jet Propulsion Laboratory in Pasadena, California, Mechanical Systems Engineer,  Jaime Waydo leads JPL's effort to ensure the next rover, the Mars Science Laboratory, will successfully traverse the surface of the Red Planet on its mission slated to begin in 2011. The subject of this Women's History Month profile also helped plan the safe entry, descent and landing of rovers Spirit and Opportunity on the Martian surface.</t>
  </si>
  <si>
    <t>q6mujJfFYrA</t>
  </si>
  <si>
    <t>2010 03 19</t>
  </si>
  <si>
    <t>https://youtu.be/SaSBOS47J-Y</t>
  </si>
  <si>
    <t>The  Down to Earth  Station Crew, Women on the Webb, and Exploration in 3-D on This Week @ NASA</t>
  </si>
  <si>
    <t>Also, college cubesats, the "planet-finders" first anniversary, and a little "shrimp" boils up a big surprise for scientists.</t>
  </si>
  <si>
    <t>SaSBOS47J-Y</t>
  </si>
  <si>
    <t>https://youtu.be/xaykOzlXdRg</t>
  </si>
  <si>
    <t xml:space="preserve">Astronauts Honored as Bell Ringers in  Big Apple </t>
  </si>
  <si>
    <t>STS-125 Commander Scott Altman and Mission Specialist Rick Massimino ring the closing bell above the floor of the New York Stock Exchange in Manhattan March 18. STS-125 was the fifth and final shuttle servicing mission to the Hubble Space Telescope (May 2009).</t>
  </si>
  <si>
    <t>xaykOzlXdRg</t>
  </si>
  <si>
    <t>https://youtu.be/x5DJZyXQvT4</t>
  </si>
  <si>
    <t>STS-131  Behind the Scenes, Vol. 1</t>
  </si>
  <si>
    <t>Join astronaut Mike Massimino as he talks with members of the shuttle Discovery crew and their support teams to learn how theyre training and preparing for their upcoming mission to the International Space Station.</t>
  </si>
  <si>
    <t>x5DJZyXQvT4</t>
  </si>
  <si>
    <t>2010 03 18</t>
  </si>
  <si>
    <t>https://youtu.be/rij7fUe3Njg</t>
  </si>
  <si>
    <t>Expedition Crew Makes Safe Landing in Kazakhstan</t>
  </si>
  <si>
    <t>Expedition 22 Commander Jeff Williams and Soyuz Commander Max Suraev land safely on the steppes of Kazakhstan on March 18, 2010 in their Soyuz spacecraft.  Russian personnel helped the duo from their capsule and into reclining chairs to begin their adaptation to gravity Williams and Suraev completed six months in space aboard the International Space Station.</t>
  </si>
  <si>
    <t>rij7fUe3Njg</t>
  </si>
  <si>
    <t>https://youtu.be/C5l671TErCQ</t>
  </si>
  <si>
    <t>NASA, Entrepreneurs  Launch  Water Sustainability Effort</t>
  </si>
  <si>
    <t>NASA and its partners kicked off a series of forums to identify, showcase and support innovative approaches to sustainability challenges. The new initiative is called Launch. Hosted by NASA's Deputy Administrator Lori Garver, the first Forum was called "Launch: Water," and was held at NASA's Kennedy Space Center in Florida from March 16-18.</t>
  </si>
  <si>
    <t>C5l671TErCQ</t>
  </si>
  <si>
    <t>https://youtu.be/3JC42BaPg5A</t>
  </si>
  <si>
    <t>Space Travelers Bid Farewell to International Space Station</t>
  </si>
  <si>
    <t>Space Travelers Bid Farewell to International Space Station (includes hatch closure)</t>
  </si>
  <si>
    <t>3JC42BaPg5A</t>
  </si>
  <si>
    <t>https://youtu.be/XrPvsbZoHtE</t>
  </si>
  <si>
    <t>Soyuz Begins Journey Home with Undocking from Space Station</t>
  </si>
  <si>
    <t>Soyuz Begins Journey Home with Undocking from Space Station (combines internal and external views)</t>
  </si>
  <si>
    <t>XrPvsbZoHtE</t>
  </si>
  <si>
    <t>2010 03 17</t>
  </si>
  <si>
    <t>https://youtu.be/8qSTcXDApas</t>
  </si>
  <si>
    <t>Kids Get  Kicks  Collecting Soccer Balls with Robots</t>
  </si>
  <si>
    <t>Engineers from NASA's Kennedy Space Center, Fla. participated in the FIRST (For Inspiration and Recognition of Science Technology) robotics competition at the University of Central Florida in Orlando on March 12.  More than 50 high school teams competed in the regional event to advance to the national robotics championship.  On a 27-by-54-foot field with bumps, teams try to earn points by collecting soccer balls in goals.</t>
  </si>
  <si>
    <t>8qSTcXDApas</t>
  </si>
  <si>
    <t>https://youtu.be/yp3GCw_F25I</t>
  </si>
  <si>
    <t>Small Shrimp a Big Surprise to Scientists</t>
  </si>
  <si>
    <t>NASA scientists drilling into the thick ice of Antarctica's Ross Ice Shelf in November 2009 were surprised to spot a small shrimp-like creature 600 feet beneath the West Antarctic ice sheet.</t>
  </si>
  <si>
    <t>yp3GCw_F25I</t>
  </si>
  <si>
    <t>https://youtu.be/14YCj1SYX60</t>
  </si>
  <si>
    <t xml:space="preserve">Space Station   Under New Management </t>
  </si>
  <si>
    <t>In a ceremony held 220 miles above the Earth, NASA astronaut Jeff
Williams handed over command of the International Space
Station to Expedition 23 commander, cosmonaut Oleg Kotov. Williams had
been commander of Expedition 22, overseeing completion of the U.S.
segment of the orbiting complex. Williams and Flight Engineer Max Suraev
are slated to land their Soyuz spacecraft in Kazakhstan March 18.</t>
  </si>
  <si>
    <t>14YCj1SYX60</t>
  </si>
  <si>
    <t>2010 03 16</t>
  </si>
  <si>
    <t>https://youtu.be/Kr80vrFe3Bw</t>
  </si>
  <si>
    <t>Handling Hardware Helps Shuttle Crew Prep for Flight</t>
  </si>
  <si>
    <t>The crew that'll launch aboard space shuttle Atlantis on its STS-132 mission participated in a crew equipment interface test, March 12 and 13 at NASA's Kennedy Space Center in Florida. During the test, Commander Ken Ham, Pilot Tony Antonelli, and Mission Specialists Garrett Reisman, Michael Good, Steve Bowen and Piers Sellers inspected mission hardware and flight equipment they'll use on their journey to the International Space Station. Launch is targeted for May 14.</t>
  </si>
  <si>
    <t>Kr80vrFe3Bw</t>
  </si>
  <si>
    <t>https://youtu.be/1v_oXMC6Hq0</t>
  </si>
  <si>
    <t>Peggy Whitson's Command Performance</t>
  </si>
  <si>
    <t>In October 2007, Peggy Whitson became the first female commander of the International Space Station. During her six-month command, the Iowa native oversaw the first expansion in more than six years of the station's living and working space.</t>
  </si>
  <si>
    <t>1v_oXMC6Hq0</t>
  </si>
  <si>
    <t>2010 03 12</t>
  </si>
  <si>
    <t>https://youtu.be/kHaj6EbxIuI</t>
  </si>
  <si>
    <t xml:space="preserve"> Hubble 3-D , Tech Trek and Scientist  Lives with a Star  on This Week @ NASA</t>
  </si>
  <si>
    <t>Plus, the shuttle crew and support teams are on target for launch; and, what they talked about at Goddard's Space Symposium.</t>
  </si>
  <si>
    <t>kHaj6EbxIuI</t>
  </si>
  <si>
    <t>2010 03 11</t>
  </si>
  <si>
    <t>https://youtu.be/aA6iy0qtpD8</t>
  </si>
  <si>
    <t>Hubble Success Chronicled By IMAX in 3-D</t>
  </si>
  <si>
    <t>The final space shuttle mission to repair and upgrade the Hubble Space Telescope is the subject of a new IMAX film.  Narrated by Leonardo Di Caprio, "Hubble 3-D" was premiered during a special event held at the National Air and Space Museum in Washington.  The movie features the NASA astronauts from STS-125 who serviced Hubble in May 2009; an IMAX 3D camera mounted in space shuttle Atlantis' payload bay filmed their progress.</t>
  </si>
  <si>
    <t>aA6iy0qtpD8</t>
  </si>
  <si>
    <t>2010 03 10</t>
  </si>
  <si>
    <t>https://youtu.be/6L61bY7ZZas</t>
  </si>
  <si>
    <t>Shuttle Crew, Teams Say They're  Go  for Journey to Station</t>
  </si>
  <si>
    <t>A series of briefings at NASA's Johnson Space Center on March 9 underscores the readiness of the STS-131 crew and support teams for space shuttle Discovery's targeted April 5th launch from the Kennedy Space Center in Florida for the International Space Station.  www.nasa.gov/shuttle</t>
  </si>
  <si>
    <t>6L61bY7ZZas</t>
  </si>
  <si>
    <t>2010 03 09</t>
  </si>
  <si>
    <t>https://youtu.be/GPvxOWOSZCE</t>
  </si>
  <si>
    <t>Astronaut Duo Tapped for Trio of Spacewalks</t>
  </si>
  <si>
    <t>Mission managers outline what astronauts Rick Mastracchio and Clay Anderson hope to achieve during three six-and-a-half-hour-long spacewalks on STS-131, the next space shuttle mission to the International Space Station targeted to begin April 5 with the launch of Discovery from NASA's Kennedy Space Center in Florida.
www.nasa.gov/shuttle http://www.nasa.gov/shuttle</t>
  </si>
  <si>
    <t>GPvxOWOSZCE</t>
  </si>
  <si>
    <t>https://youtu.be/TkRvWoBDO_0</t>
  </si>
  <si>
    <t>Woman Diver Trains Spacewalkers Underwater</t>
  </si>
  <si>
    <t>Joanna Shell is a Dive Operations Specialist in the Neutral Buoyancy Laboratory (NBL) at NASA's Johnson Space Center in Houston. As a utility diver, she plays a critical role in training astronauts for spacewalks on a life-sized replica of the International Space Station submerged in a 6.2 million gallon pool.</t>
  </si>
  <si>
    <t>TkRvWoBDO_0</t>
  </si>
  <si>
    <t>https://youtu.be/3OmVZTxfrNQ</t>
  </si>
  <si>
    <t>What's Up For March</t>
  </si>
  <si>
    <t>This month Saturn is at Opposition, which is when the sun is on one side of the Earth and Saturn is directly on the opposite side. And it's also as close to Earth as it ever gets in its orbit.</t>
  </si>
  <si>
    <t>3OmVZTxfrNQ</t>
  </si>
  <si>
    <t>2010 03 08</t>
  </si>
  <si>
    <t>https://youtu.be/K0NgxjHBzmM</t>
  </si>
  <si>
    <t>Student Cubesats  Small Payload, Big Payoff</t>
  </si>
  <si>
    <t>Two student-designed spacecraft, each not much bigger than a child's toy block, will fly on a NASA suborbital sounding rocket between 6 and 9 a.m. (EST), March 11, from NASA's  Wallops Flight Facility in Virginia.  Known as  cubesats,  the spacecraft designed by Kentucky and California college students will gather information that could be applied to future small Earth orbiting space vehicles.</t>
  </si>
  <si>
    <t>K0NgxjHBzmM</t>
  </si>
  <si>
    <t>2010 03 05</t>
  </si>
  <si>
    <t>https://youtu.be/2baY3ofzk6Y</t>
  </si>
  <si>
    <t>STS-131 Crew Trains at the Kennedy Space Center</t>
  </si>
  <si>
    <t>After arriving at the Kennedy Space Center, the seven-member crew of the next space shuttle mission eagerly participated in a week's worth of training activities to prepare for their upcoming journey to the International Space Station.   
The training, called the Terminal Countdown Demonstration Test, or TCDT, gives the STS-131 crew and ground teams time to go through simulated countdown activities and execute emergency exit strategies.</t>
  </si>
  <si>
    <t>2baY3ofzk6Y</t>
  </si>
  <si>
    <t>https://youtu.be/ZKIMBunPKQ4</t>
  </si>
  <si>
    <t xml:space="preserve">Saving Station's Solar Array, a  World Wind  Winner, and Discovery Moves Ahead on  This Week @ NASA </t>
  </si>
  <si>
    <t>Also, see how Down Under dishes help up above, the first of FIRST robotics, and astronaut Leland Melvin stirs up students on STEM education.</t>
  </si>
  <si>
    <t>ZKIMBunPKQ4</t>
  </si>
  <si>
    <t>https://youtu.be/HY7F7Y0B4dY</t>
  </si>
  <si>
    <t>State-of-the-Art Weather Satellite Sent Into Space</t>
  </si>
  <si>
    <t>The latest Geostationary Operational Environmental Satellite - GOES-P is now on-orbit.  GOES-P carries state-of-the-art instrumentation designed to detect ocean and land temperatures, monitor space weather, relay communications and provide search-and-rescue support. It's one of a series of meteorological satellites developed to gather data about storm development and weather conditions on Earth. The satellite was launched from Cape Canaveral Air Force Station in Florida on Mar. 4.</t>
  </si>
  <si>
    <t>HY7F7Y0B4dY</t>
  </si>
  <si>
    <t>2010 03 04</t>
  </si>
  <si>
    <t>https://youtu.be/sEhi7NdFrag</t>
  </si>
  <si>
    <t>STS-131 Astronauts Talk to Reporters During Training Break</t>
  </si>
  <si>
    <t>The seven-member crew of the next space shuttle mission, STS-131, took time out from their full launch dress rehearsal, also known as the Terminal Countdown Demonstration Test, to talk with reporters about their upcoming trip to the International Space Station. Discovery is targeted to launch April 5, and will deliver a multi-purpose logistics module filled with science racks to be transferred to the orbiting complexs laboratories.</t>
  </si>
  <si>
    <t>sEhi7NdFrag</t>
  </si>
  <si>
    <t>2010 03 02</t>
  </si>
  <si>
    <t>https://youtu.be/LbVQgqCzXLk</t>
  </si>
  <si>
    <t>Remembering NASA's First Senior Photographer</t>
  </si>
  <si>
    <t>As NASA's first senior photographer,  Bill Taub covered every major agency event from the beginning of the Mercury project through the end of Apollo, giving the public a firsthand look at what NASA was about during those early days.     Bill Taub died on Feb. 20, 2010.  He was 86 years old.</t>
  </si>
  <si>
    <t>LbVQgqCzXLk</t>
  </si>
  <si>
    <t>https://youtu.be/GTLgdfojl2w</t>
  </si>
  <si>
    <t>The STS-131 crew arrived at the Kennedy Space Center on Monday (March 1) for a week of standard prelaunch training and a full-dress launch rehearsal known as the Terminal Countdown Demonstration Test. Space Shuttle Discovery will carry the Crew and a multi-purpose logistics module filled with science racks to the International Space Station. The racks will be installed in  the laboratories aboard the station. The mission has three planned spacewalks, with work to include replacing an ammonia tank assembly, retrieving a Japanese experiment from the station's exterior, and switching out a rate gyro assembly on the S0 segment of the station's truss structure.</t>
  </si>
  <si>
    <t>GTLgdfojl2w</t>
  </si>
  <si>
    <t>https://youtu.be/4UnIBnKNuB4</t>
  </si>
  <si>
    <t>NASA Pioneer Aaron Cohen Dead at 79</t>
  </si>
  <si>
    <t>Spaceflight pioneer Aaron Cohen, a former director of NASA's Johnson Space Center in Houston, died Thursday, Feb. 25 after a lengthy illness. He was 79. Cohen's 33-year career with NASA included key leadership roles critical to the success of the Apollo and shuttle programs. As director, his steady hand at the helm of Johnson helped NASA recover from the shuttle Challenger tragedy and return the space shuttle to flight.</t>
  </si>
  <si>
    <t>4UnIBnKNuB4</t>
  </si>
  <si>
    <t>https://youtu.be/YaMC3JwUfTI</t>
  </si>
  <si>
    <t>Wilson's Supporters  System for Her Success</t>
  </si>
  <si>
    <t>In this Womens History Month profile, veteran NASA astronaut Stephanie Wilson says she couldn't have done it alone. Wilson is scheduled to make her third trip into space aboard space shuttle Discovery on STS-131.</t>
  </si>
  <si>
    <t>YaMC3JwUfTI</t>
  </si>
  <si>
    <t>2010 03 01</t>
  </si>
  <si>
    <t>https://youtu.be/owLGXHOWS8A</t>
  </si>
  <si>
    <t>Shuttle Crew to  Dress  for Success</t>
  </si>
  <si>
    <t>The seven-member crew of the next space shuttle mission arrived at NASA's Kennedy Space Center, Fla., on Monday, March 1, to participate in a full launch dress rehearsal, known as the Terminal Countdown Demonstration Test. The test provides an opportunity for Commander Alan Poindexter, his crew and ground teams to participate in various simulated countdown activities, including equipment familiarization and emergency egress training.</t>
  </si>
  <si>
    <t>owLGXHOWS8A</t>
  </si>
  <si>
    <t>https://youtu.be/5yA5htCJsfQ</t>
  </si>
  <si>
    <t>McCall Mourned by Aerospace Community, Space Enthusiasts</t>
  </si>
  <si>
    <t>Dr. Robert McCall, celebrated painter and long-time contributor to the nation's aerospace fine arts programs, died on February 26.  McCall  spent much of his career documenting and artistically translating Americas space program for the public.</t>
  </si>
  <si>
    <t>5yA5htCJsfQ</t>
  </si>
  <si>
    <t>https://youtu.be/ebB9Hkj4j_s</t>
  </si>
  <si>
    <t xml:space="preserve"> Es El Momento,  Heavenly Rendezvous  This Week @ NASA </t>
  </si>
  <si>
    <t>Also, the GOES-P satellite's ready, set to improve weather forecasting; wind-tunnel truckin' saves big bucks, and, the 95th anniversary of the birth of NASA's aviation ancestor.</t>
  </si>
  <si>
    <t>ebB9Hkj4j_s</t>
  </si>
  <si>
    <t>2010 02 26</t>
  </si>
  <si>
    <t>https://youtu.be/qk7VrKDu11Y</t>
  </si>
  <si>
    <t>Solid Rocket Motor Passes Final Firing Test</t>
  </si>
  <si>
    <t>NASA's Space Shuttle Program conducted the final test firing of a reusable solid rocket motor Feb. 25 in Promontory, Utah. Used on the space shuttle missions, the recyclable solid rocket motor is the largest solid rocket motor ever flown, the only one rated for human flight and the first designed for reuse. Each shuttle launch requires the boost of two reusable solid rocket motors to lift the 4.5-million-pound shuttle vehicle.</t>
  </si>
  <si>
    <t>qk7VrKDu11Y</t>
  </si>
  <si>
    <t>https://youtu.be/ubWZOiEA5vE</t>
  </si>
  <si>
    <t xml:space="preserve">Journey to the Sun  Living with a Star </t>
  </si>
  <si>
    <t>Different views of the launch of NASAs Solar Dynamics Observatory. SDO is the first satellite of NASAs Living with a Star program. The programs goal is to develop the scientific understanding necessary to effectively address those aspects of the sun and solar system that directly affect life and society. This mission will zoom in on the cause of severe space weather—solar activity such as sunspots, solar flares, and coronal mass ejections. The satellite was launched February 11 from Cape Canaveral Air Force Station, Fla. (courtesy United Launch Alliance)</t>
  </si>
  <si>
    <t>ubWZOiEA5vE</t>
  </si>
  <si>
    <t>2010 02 25</t>
  </si>
  <si>
    <t>https://youtu.be/f7eRoxJvPIQ</t>
  </si>
  <si>
    <t xml:space="preserve"> Dishing  Data For Missions' Success</t>
  </si>
  <si>
    <t>As Lead Systems Engineer for NASA's ground stations, Goddard Space Flight Center's Marco Midón designs and implements new, higher data-rate dishes to acquire radio signals from space. The launches of the Solar Dynamics Observatory and the Lunar Reconnaissance Orbiter are among the NASA missions to whose success Midon has been instrumental.</t>
  </si>
  <si>
    <t>f7eRoxJvPIQ</t>
  </si>
  <si>
    <t>https://youtu.be/YBTy_lUjIu0</t>
  </si>
  <si>
    <t>NASA Supports Hispanic Education Campaign</t>
  </si>
  <si>
    <t>NASA is working with Univision Communications Inc. to develop a partnership in support of the Spanish-language media outlet's initiative to improve high school graduation rates, prepare Hispanic students for college, and encourage them to pursue careers in science, technology, engineering and mathematics, or STEM, disciplines. Among other organizations partnering on this initiative are the U.S. Department of Education and the Gates Foundation.</t>
  </si>
  <si>
    <t>YBTy_lUjIu0</t>
  </si>
  <si>
    <t>https://youtu.be/FQVA1e9RJzM</t>
  </si>
  <si>
    <t>Discovery Hooked Up for Spring Mission</t>
  </si>
  <si>
    <t>Discovery,  the next space shuttle scheduled to fly to the International Space Station, was hoisted and attached to its external fuel tank and twin solid rocket boosters on Feb. 22 and 23 in the Vehicle Assembly Building at NASA's Kennedy Space Center, Fla. A seven-member international crew commanded by astronaut Alan Poindexter will deliver  a multi-purpose logistics module filled with science racks to be transferred to the space station's laboratories. STS-131  is targeted to begin with a liftoff from Kennedy's Launch Pad 39A Fla. on Apr. 5 at 6:19 am EST.</t>
  </si>
  <si>
    <t>FQVA1e9RJzM</t>
  </si>
  <si>
    <t>2010 02 24</t>
  </si>
  <si>
    <t>https://youtu.be/e2ByHhf9fOU</t>
  </si>
  <si>
    <t>Rankin's Rovers</t>
  </si>
  <si>
    <t>Arturo Rankin is a rover engineer and senior member of the technical staff at NASA's Jet Propulsion Laboratory, Pasadena, Calif.  He's been working at JPL since 1997. Rankin analyzes mobility and robotic arm data sent to Earth from the rovers Spirit and Opportunity.</t>
  </si>
  <si>
    <t>e2ByHhf9fOU</t>
  </si>
  <si>
    <t>https://youtu.be/rfwqLSHvu3E</t>
  </si>
  <si>
    <t>Soichi Samples Space Sushi</t>
  </si>
  <si>
    <t>In a live interview with Japan's Fuji TV, Japan Aerospace Exploration Agency astronaut and Expedition 22 Flight Engineer Soichi Noguchi demonstrates his love for cooking aboard the International Space Station with the first hand-rolled sushi in space (with salmon).</t>
  </si>
  <si>
    <t>rfwqLSHvu3E</t>
  </si>
  <si>
    <t>2010 02 23</t>
  </si>
  <si>
    <t>https://youtu.be/B8fzZtfu8kk</t>
  </si>
  <si>
    <t>Endeavour's Crew Back Home in Houston</t>
  </si>
  <si>
    <t>After 14-days,  5.7 million miles, a special delivery, and three spacewalks, the crew for space shuttle Endeavour's STS-130 mission to the International Space Station arrived at Ellington Field, near Johnson Space Center in Houston, to a rousing welcome from family, friends and co-workers.</t>
  </si>
  <si>
    <t>B8fzZtfu8kk</t>
  </si>
  <si>
    <t>https://youtu.be/9lI6TajJRek</t>
  </si>
  <si>
    <t>First of Final Four Shuttle Missions Moves Ahead</t>
  </si>
  <si>
    <t>The next space shuttle to launch to the International Space Station took another step toward its targeted launch of April 5.  On February 22, Discovery moved from Orbiter Processing Facility-3 to the Vehicle Assembly Building at NASA's Kennedy Space Center, Fla. The move from Discovery's hangar is referred to as a "rollover."</t>
  </si>
  <si>
    <t>9lI6TajJRek</t>
  </si>
  <si>
    <t>2010 02 22</t>
  </si>
  <si>
    <t>https://youtu.be/Kkuih2XVa4c</t>
  </si>
  <si>
    <t>Returning Shuttle Crew Comments on Successful Mission</t>
  </si>
  <si>
    <t>STS-130 Commander George Zamka, Pilot Terry Virts, and Mission Specialists Kay Hire, Bob Behnken, Nicholas Patrick and Steve Robinson speak to well-wishers from the tarmac at the Kennedy Space Centers Shuttle Landing Facility following their return to Earth aboard space shuttle Endeavour on Feb. 21.</t>
  </si>
  <si>
    <t>Kkuih2XVa4c</t>
  </si>
  <si>
    <t>https://youtu.be/Ot-SeKrPOXk</t>
  </si>
  <si>
    <t>STS-130 Crew's Return, President's Call Top This Week @ NASA</t>
  </si>
  <si>
    <t>The safe landing of space shuttle Endeavour and its crew following delivery of the Tranquility node and its cupola observation deck to the International Space Station; President Obama's congratulatory call from the White House to the Endeavour and Expedition 22 crews aboard the ISS; and a fun, new nformative NASA climate change website just for kids are among This Weeks stories.</t>
  </si>
  <si>
    <t>Ot-SeKrPOXk</t>
  </si>
  <si>
    <t>https://youtu.be/_J56-WRfBFk</t>
  </si>
  <si>
    <t>New Node, New View, President's Call Top STS-130 Highlights</t>
  </si>
  <si>
    <t>A one-hour wrap up of the best of the space shuttle Endeavour crew's visit to the International Space Station, where they delivered, installed and outfitted the Tranquility node and its seven-windowed cupola and, with the Expedition 22 crew, received a congratulatory phone call from President Obama.</t>
  </si>
  <si>
    <t>_J56-WRfBFk</t>
  </si>
  <si>
    <t>https://youtu.be/bumZc8M08Lc</t>
  </si>
  <si>
    <t>Mission Control Helps Synchronize Shuttle's Return</t>
  </si>
  <si>
    <t>Video of the STS-130 Entry Flight Control Team at NASA's Johnson Space Center in Houston as it helps bring space shuttle Endeavour in for a smooth landing at the Kennedy Space Center, Fla.</t>
  </si>
  <si>
    <t>bumZc8M08Lc</t>
  </si>
  <si>
    <t>https://youtu.be/e2dJiFv-R28</t>
  </si>
  <si>
    <t>Endeavour Makes Safe Return on Flight Day 15</t>
  </si>
  <si>
    <t>Commander George Zamka, pilot Terry Virts, and mission specialists Bob Behnken, Nicholas Patrick, Steve Robinson and Kay Hire return to Earth aboard space shuttle Endeavour after their successful mission to the International Space Station.</t>
  </si>
  <si>
    <t>e2dJiFv-R28</t>
  </si>
  <si>
    <t>2010 02 21</t>
  </si>
  <si>
    <t>https://youtu.be/YJaI45wksTk</t>
  </si>
  <si>
    <t>Flight Day 14  Crew Readies Endeavour for Landing</t>
  </si>
  <si>
    <t>STS-130 crew preparations to land space shuttle Endeavour lead today's flight day highlights.</t>
  </si>
  <si>
    <t>YJaI45wksTk</t>
  </si>
  <si>
    <t>https://youtu.be/XY3U5U-gO6A</t>
  </si>
  <si>
    <t>STS-130 Crews Flight Day 13 Video in HD</t>
  </si>
  <si>
    <t>High-definition footage captured by the shuttle Endeavour crew that includes their craft's undocking from the International Space Station.</t>
  </si>
  <si>
    <t>XY3U5U-gO6A</t>
  </si>
  <si>
    <t>https://youtu.be/grJYTWXddto</t>
  </si>
  <si>
    <t>Endeavour Crew Takes Questions in Final On-Orbit Interviews</t>
  </si>
  <si>
    <t>As they continue to make their way home, the STS-130 crew members aboard space shuttle Endeavour take one last round of media questions while in space.</t>
  </si>
  <si>
    <t>grJYTWXddto</t>
  </si>
  <si>
    <t>2010 02 20</t>
  </si>
  <si>
    <t>https://youtu.be/rVRNLXx_b9U</t>
  </si>
  <si>
    <t>Undocking, Flyaround Featured on Flight Day 13</t>
  </si>
  <si>
    <t>Video highlights include the undocking of space shuttle Endeavour and its flyaround of the International Space Station as the STS-130 crew commanded by George Zamka begins its return to Earth.</t>
  </si>
  <si>
    <t>rVRNLXx_b9U</t>
  </si>
  <si>
    <t>https://youtu.be/aWdjte5Ttko</t>
  </si>
  <si>
    <t>Endeavour Flyaround Of ISS Begins</t>
  </si>
  <si>
    <t>ISS Gets Once-Over from STS-130 Crew
Before beginning its return to Earth, space shuttle Endeavour does a fly around of the International Space Station, providing the shuttle crew with a photo opportunity of the ISS and its newly-installed Tranquility node and cupola observation deck.</t>
  </si>
  <si>
    <t>aWdjte5Ttko</t>
  </si>
  <si>
    <t>https://youtu.be/0jMCh5l0hE8</t>
  </si>
  <si>
    <t>Endeavour Undocks From ISS</t>
  </si>
  <si>
    <t>Shuttle, Station Go Separate Ways
After almost ten days joined together in orbit around the Earth, space shuttle Endeavour and the International Space Station part company with the orbiters undocking.</t>
  </si>
  <si>
    <t>0jMCh5l0hE8</t>
  </si>
  <si>
    <t>2010 02 19</t>
  </si>
  <si>
    <t>https://youtu.be/MwVD7xAbX_M</t>
  </si>
  <si>
    <t>Friendship 7  Opening a New Era in Space</t>
  </si>
  <si>
    <t>Forty-eight years ago, on Feb. 20, 1962, NASA astronaut John Glenn became the first American to orbit the Earth when an Atlas rocket successfully carried his Friendship 7 capsule into space. Glenns three orbits of the planet ushered in a new era in space travel, paving the way for the Apollo astronauts to walk on the moon.</t>
  </si>
  <si>
    <t>MwVD7xAbX_M</t>
  </si>
  <si>
    <t>https://youtu.be/0j4aB02DsNg</t>
  </si>
  <si>
    <t>Meet Robert Satcher Jr. -- Astronaut -- MD</t>
  </si>
  <si>
    <t>Surgeon. Chemical engineer. Astronaut. Bobby Satcher has lived a life of learning, discovery and helping others.</t>
  </si>
  <si>
    <t>0j4aB02DsNg</t>
  </si>
  <si>
    <t>https://youtu.be/uvLkNmu01HU</t>
  </si>
  <si>
    <t xml:space="preserve">President's Congratulatory Call Tops  This Week @ NASA </t>
  </si>
  <si>
    <t>From the White House, President Obama speaks with the STS-130 and Expedition 22 crew members aboard the International Space Station; the cupola observation deck on the Tranquility node delivered to the ISS by the shuttle Endeavour crew provides the best view from space of Earth humans have ever had; and, a fun, new and informative NASA climate change website just for kids are among "This Week's" stories.</t>
  </si>
  <si>
    <t>uvLkNmu01HU</t>
  </si>
  <si>
    <t>https://youtu.be/0elUguk05b8</t>
  </si>
  <si>
    <t>Endeavour Crew's HD Highlights of Flight Day 12</t>
  </si>
  <si>
    <t>Video captured in HD by space shuttle Endeavours crew as they get ready to come home to Earth.</t>
  </si>
  <si>
    <t>0elUguk05b8</t>
  </si>
  <si>
    <t>https://youtu.be/Eusgq99qGLM</t>
  </si>
  <si>
    <t>Friendship 7 - Anniversary Promo</t>
  </si>
  <si>
    <t>Eusgq99qGLM</t>
  </si>
  <si>
    <t>https://youtu.be/rVx5MDCstJ0</t>
  </si>
  <si>
    <t>Flight Day 12 Capped by Joint Crew News Conference</t>
  </si>
  <si>
    <t>Highlighting the day in space is a news conference held with both the International Space Station and shuttle Endeavour crews on orbit.</t>
  </si>
  <si>
    <t>rVx5MDCstJ0</t>
  </si>
  <si>
    <t>https://youtu.be/dzC9ZigQWqk</t>
  </si>
  <si>
    <t>The Climb to Space</t>
  </si>
  <si>
    <t>Video highlights set to music of shuttle Endeavours Feb. 8 ascent from Launch Pad 39A at NASAs Kennedy Space Center to begin the STS-130 crews two-week mission to the International Space Station.</t>
  </si>
  <si>
    <t>dzC9ZigQWqk</t>
  </si>
  <si>
    <t>https://youtu.be/wPPLobVBG8g</t>
  </si>
  <si>
    <t>Shuttle Crew Bids Fond Farewell</t>
  </si>
  <si>
    <t>Commander George Zamka and his five crew members say their goodbyes to the Expedition 22 crew, then close the hatch behind them as they leave the International Space Station for space shuttle Endeavour and its return to Earth.</t>
  </si>
  <si>
    <t>wPPLobVBG8g</t>
  </si>
  <si>
    <t>https://youtu.be/rO45KoVPsxk</t>
  </si>
  <si>
    <t>From the Moon to Everest and Back to Space</t>
  </si>
  <si>
    <t>A ribbon-cutting ceremony with Endeavour commander George Zamka and station commander Jeff Williams to celebrate the arrival of Tranquility and its seven-windowed cupola on the International Space Station includes the placement on permanent display in the node of a rock brought back from the moon's Tranquility Base by Apollo 11 astronauts Neil Armstrong and Buzz Aldrin in 1969, and carried by shuttle astronaut Scott Parazynski to the summit of Mt. Everest in 2009</t>
  </si>
  <si>
    <t>rO45KoVPsxk</t>
  </si>
  <si>
    <t>https://youtu.be/IGt-UkL05HA</t>
  </si>
  <si>
    <t>Joint Crew News Conference</t>
  </si>
  <si>
    <t>Station and Shuttle Crews Join Up for Media
A joint crew news conference held aboard the International Space Station is held for media at the Johnson and Kennedy space centers and NASA Headquarters, as well as journalists in Japan. (with English translation)</t>
  </si>
  <si>
    <t>IGt-UkL05HA</t>
  </si>
  <si>
    <t>2010 02 18</t>
  </si>
  <si>
    <t>https://youtu.be/xCNpFNi8IMU</t>
  </si>
  <si>
    <t>Crew Choice Video in HD of Flight Day 11</t>
  </si>
  <si>
    <t>Downlinked high definition video shot by STS-130 crew members while aboard the International Space Station on Flight Day 11 of their mission.</t>
  </si>
  <si>
    <t>xCNpFNi8IMU</t>
  </si>
  <si>
    <t>https://youtu.be/hOI0pYlYihc</t>
  </si>
  <si>
    <t>President Phones Orbiting Astronauts</t>
  </si>
  <si>
    <t>President Obama's phone call to the Endeavour and Expedition crews aboard the ISS highlights STS-130s Flight Day 11.</t>
  </si>
  <si>
    <t>hOI0pYlYihc</t>
  </si>
  <si>
    <t>https://youtu.be/32MRnh9dsv0</t>
  </si>
  <si>
    <t xml:space="preserve">Shuttle Endeavour Crew's  Best of Flight Day 10 </t>
  </si>
  <si>
    <t>Video in high-definition taken by space shuttle Endeavour's crew during its tenth day in space that included the mission's third spacewalk by mission specialists Bob Behnken and Nicholas Patrick.</t>
  </si>
  <si>
    <t>32MRnh9dsv0</t>
  </si>
  <si>
    <t>https://youtu.be/S2XwN_oQ_Yo</t>
  </si>
  <si>
    <t>President Congratulates Shuttle and ISS Crews</t>
  </si>
  <si>
    <t>President Obama spoke via special hookup from the White House with commanders George Zamka and Jeff Williams and their respective STS-130 and Expedition 22 crew members aboard the International Space Station on Feb. 17.</t>
  </si>
  <si>
    <t>S2XwN_oQ_Yo</t>
  </si>
  <si>
    <t>2010 02 17</t>
  </si>
  <si>
    <t>https://youtu.be/NSPPFxbPi0c</t>
  </si>
  <si>
    <t>Kwatsi Alibaruho  In Control</t>
  </si>
  <si>
    <t>Illinois native Kwatsi Alibaruho attributes his success as a NASA space shuttle flight director to a strong parental influence on academics, tenacity and hard work, and a life-long fascination with space and exploration.</t>
  </si>
  <si>
    <t>NSPPFxbPi0c</t>
  </si>
  <si>
    <t>https://youtu.be/wtear4aJvLw</t>
  </si>
  <si>
    <t>Chandra Shines New Light on Dark Energy</t>
  </si>
  <si>
    <t>New findings from NASA's Chandra X-ray Observatory have provided a major advance in understanding a type of supernova critical for studying the dark energy that astronomers think pervades the universe.</t>
  </si>
  <si>
    <t>wtear4aJvLw</t>
  </si>
  <si>
    <t>https://youtu.be/KKqsJixa5UM</t>
  </si>
  <si>
    <t>Final Spacewalk Adds Robotic Work Station to Cupola</t>
  </si>
  <si>
    <t>Mission specialists Bob Behnken and Nicholas Patrick outfit the station's new cupola with a robotics work station on this, their third and final day of spacewalking.</t>
  </si>
  <si>
    <t>KKqsJixa5UM</t>
  </si>
  <si>
    <t>2010 02 16</t>
  </si>
  <si>
    <t>https://youtu.be/ErqMNOz3bvM</t>
  </si>
  <si>
    <t>Crew Highlights of Flight Day 9 in High Definition</t>
  </si>
  <si>
    <t>HD video taken by the STS-130 crew captures portions of their ninth day in space, including the moving of the Pressurized Mating Adpater-3 (PMA 3) to the end of Tranquility to increase protection against micrometeroids, and the continuation of internal outfitting of the station's new observation deck.</t>
  </si>
  <si>
    <t>ErqMNOz3bvM</t>
  </si>
  <si>
    <t>https://youtu.be/ZVcYL_UVqno</t>
  </si>
  <si>
    <t>Flight Day 9 Sees Cupola Configured</t>
  </si>
  <si>
    <t>Among today's highlights is the outfitting of the new, seven-windowed cupola that'll provide station and residents with a much-anticipated, panoramic view from the ISS.</t>
  </si>
  <si>
    <t>ZVcYL_UVqno</t>
  </si>
  <si>
    <t>2010 02 15</t>
  </si>
  <si>
    <t>https://youtu.be/I0ZpOPjjDkM</t>
  </si>
  <si>
    <t>New Spot for Systems on Tranquility (HD)</t>
  </si>
  <si>
    <t>Highlights (in hi-def) of STS-130's Flight Day 8 include the relocation of water recovery and oxygen generation systems aboard the International Space Station's new Tranquility module.</t>
  </si>
  <si>
    <t>I0ZpOPjjDkM</t>
  </si>
  <si>
    <t>https://youtu.be/hYN-7G7mMXE</t>
  </si>
  <si>
    <t>New Spot for Systems on Tranquility</t>
  </si>
  <si>
    <t>Highlights of STS-130's Flight Day 8 include the relocation of water recovery and oxygen generation systems aboard the International Space Station's new Tranquility module.</t>
  </si>
  <si>
    <t>hYN-7G7mMXE</t>
  </si>
  <si>
    <t>https://youtu.be/UK6BJORv0zE</t>
  </si>
  <si>
    <t>Room With a View</t>
  </si>
  <si>
    <t>The seven-windowed cupola that will provide station residents and visitors with a panoramic view of the Earth and space is installed on the International Space Station.</t>
  </si>
  <si>
    <t>UK6BJORv0zE</t>
  </si>
  <si>
    <t>https://youtu.be/7H-d9ZyTLyU</t>
  </si>
  <si>
    <t>Shuttle Boosters Provide New Views of Launch</t>
  </si>
  <si>
    <t>Cameras attached to each of the two solid rocket boosters (SRBs) that helped propel space shuttle Endeavour into orbit have been recovered;  they provide unique video of the STS-130 launch on Feb. 8 from NASA's Kennedy Space Center as well as point-of-view documentation of the reusable SRBs' separation from the orbiter and their subsequent return to Earth in the Atlantic Ocean off Florida.</t>
  </si>
  <si>
    <t>7H-d9ZyTLyU</t>
  </si>
  <si>
    <t>https://youtu.be/8Lh-BGOl5Ps</t>
  </si>
  <si>
    <t>Space Ed 101</t>
  </si>
  <si>
    <t>Crew members of the International Space Station and the visitng space shuttle Endeavour take questions from students back on Earth in a special, live event</t>
  </si>
  <si>
    <t>8Lh-BGOl5Ps</t>
  </si>
  <si>
    <t>2010 02 14</t>
  </si>
  <si>
    <t>https://youtu.be/PmWvZ1kyKwQ</t>
  </si>
  <si>
    <t>Flight Day 7 Highlighted by STS-130 Space Outfitters</t>
  </si>
  <si>
    <t>Spacewalkers Bob Behnken and Nicholas Patrick outfitting the Tranquility module on their second EVA tops the highlights from shuttle Endeavour's seventh day in space.</t>
  </si>
  <si>
    <t>PmWvZ1kyKwQ</t>
  </si>
  <si>
    <t>https://youtu.be/QGw07D0aI8k</t>
  </si>
  <si>
    <t>Spacewalk %232</t>
  </si>
  <si>
    <t>Highlights of the second of three spacewalks mission specialists Bob Behnken and Nicholas Patrick are scheduled to perform on STS-130.</t>
  </si>
  <si>
    <t>QGw07D0aI8k</t>
  </si>
  <si>
    <t>https://youtu.be/vd4-Q-G5ke8</t>
  </si>
  <si>
    <t>Shuttle Endeavour, a History-Making Spacecraft</t>
  </si>
  <si>
    <t>A retrospective about the newest orbiter in NASAs fleet of space shuttles, including its mission to correct the eyesight of the Hubble Space Telescope.</t>
  </si>
  <si>
    <t>vd4-Q-G5ke8</t>
  </si>
  <si>
    <t>https://youtu.be/gblxIAW7BDw</t>
  </si>
  <si>
    <t>STS-130 - The Crew</t>
  </si>
  <si>
    <t>Profile of the six crew members of space shuttle Endeavour on STS-130: Commander George Zamka; pilot Terry Virts; and mission specialists Bob Behnken, Nicholas Patrick, Steve Robinson and Kay Hire.</t>
  </si>
  <si>
    <t>gblxIAW7BDw</t>
  </si>
  <si>
    <t>2010 02 13</t>
  </si>
  <si>
    <t>https://youtu.be/-b7ftih04C4</t>
  </si>
  <si>
    <t>A New View Opens on Flight Day 6</t>
  </si>
  <si>
    <t>The opening of the hatches on Tranquility and its seven-windowed, panoramic-view cupola are among the highlights of space shuttle Endeavour's sixth day of flight on STS-130</t>
  </si>
  <si>
    <t>-b7ftih04C4</t>
  </si>
  <si>
    <t>https://youtu.be/ORR_ppabVUY</t>
  </si>
  <si>
    <t>Space Travelers Take Media Queries</t>
  </si>
  <si>
    <t>Crew members from the International Space Station and the visiting space shuttle Endeavour answer questions about their missions and life in space from journalists with the Associated Press, CBS News, and WREG-TV, Memphis Feb. 13.</t>
  </si>
  <si>
    <t>ORR_ppabVUY</t>
  </si>
  <si>
    <t>https://youtu.be/ZfxV_fH_TSo</t>
  </si>
  <si>
    <t>Astro Mike Twitters</t>
  </si>
  <si>
    <t>Astronaut Mike Massimino asks fellow astronauts Robert Behnken and Nicholas Patrick from many of his fellow Tweeters</t>
  </si>
  <si>
    <t>ZfxV_fH_TSo</t>
  </si>
  <si>
    <t>2010 02 12</t>
  </si>
  <si>
    <t>https://youtu.be/01zDCRnMWuo</t>
  </si>
  <si>
    <t>Tranquility-to-Unity Tops Flight Day 5 [HD]</t>
  </si>
  <si>
    <t>High-Definition highlights include Bob Behnken and Nicholas Patrick performing their first spacewalk to install the Tranquility node (brought up by space shuttle Endeavour) with the International Space Station's Unity module.</t>
  </si>
  <si>
    <t>01zDCRnMWuo</t>
  </si>
  <si>
    <t>https://youtu.be/POMFrN3_BCc</t>
  </si>
  <si>
    <t>Tranquility-to-Unity Tops Flight Day 5</t>
  </si>
  <si>
    <t>Highlights include Bob Behnken and Nicolas Patrick performing their first spacewalk to install he Tranquility node (brought up by space shuttle Endeavour) with the International Space Station's Unity module.</t>
  </si>
  <si>
    <t>POMFrN3_BCc</t>
  </si>
  <si>
    <t>2010 02 11</t>
  </si>
  <si>
    <t>https://youtu.be/50g_BGMqMdg</t>
  </si>
  <si>
    <t>Separation Confirmed - Eye on Solar Weather on its Way</t>
  </si>
  <si>
    <t>The Solar Dynamics Observatory separates from its Atlas V launch vehicle to begin its mission of bringing new Hi Def clarity to predicting solar "weather." www.nasa.gov/sdo</t>
  </si>
  <si>
    <t>50g_BGMqMdg</t>
  </si>
  <si>
    <t>https://youtu.be/wdnxze8f7xU</t>
  </si>
  <si>
    <t>Solar Dynamics Observatory Lifts Off</t>
  </si>
  <si>
    <t>The Atlas V rocket carrying NASA's Solar Dynamics Observatory, SDO, lifted off from the Cape Canaveral AFS, Fla. Feb. 11. www/nasa.gov/sdo</t>
  </si>
  <si>
    <t>wdnxze8f7xU</t>
  </si>
  <si>
    <t>https://youtu.be/keEoobGLC1M</t>
  </si>
  <si>
    <t>Prep for Spacewalk Leads Flight Day 4 Highlights</t>
  </si>
  <si>
    <t>Highlights of the Endeavour crew's fourth day in space, including preparations by STS-130 Mission specialists Bob Behnken and Nicholas Patrick for their first of three spacewalks.</t>
  </si>
  <si>
    <t>keEoobGLC1M</t>
  </si>
  <si>
    <t>https://youtu.be/1w1YPhSVVcY</t>
  </si>
  <si>
    <t>TV Stations Chat with STS-130 Crew</t>
  </si>
  <si>
    <t>TV Reporters from stations in Sacramento, Mobile and St. Louis chat with Endeavour crew members in space.</t>
  </si>
  <si>
    <t>1w1YPhSVVcY</t>
  </si>
  <si>
    <t>2010 02 10</t>
  </si>
  <si>
    <t>https://youtu.be/789JQPh3-o8</t>
  </si>
  <si>
    <t>After Completing Backflip STS-130 Crew Joins Expedition 22 Crew on ISS</t>
  </si>
  <si>
    <t>Also among the video highlights of Flight Day 3 is the opening of the hatch between the orbiter and station through which Commander George Zamka and his five crew members crawl to unite with the Expedition 22 crew commanded by Jeff Williams.</t>
  </si>
  <si>
    <t>789JQPh3-o8</t>
  </si>
  <si>
    <t>https://youtu.be/UP_KySLxq6Y</t>
  </si>
  <si>
    <t>Hello, There!</t>
  </si>
  <si>
    <t>Commander George Zamka and his five STS-130 crew members are welcomed aboard the International Space Station by the Expedition 22 crew commanded by NASA astronaut Jeff Williams.</t>
  </si>
  <si>
    <t>UP_KySLxq6Y</t>
  </si>
  <si>
    <t>https://youtu.be/eQz_XsV8e3s</t>
  </si>
  <si>
    <t>Shuttle  Flips  For Safety</t>
  </si>
  <si>
    <t>As it joins up in orbit with the International Space Station, space shuttle Endeavour performs a Rendezvous Pitch Maneuver, a complete end-over-end flip, so Expedition 23 crew members aboard the ISS can photograph the orbiter for any signs of damage it may have incurred during liftoff.</t>
  </si>
  <si>
    <t>eQz_XsV8e3s</t>
  </si>
  <si>
    <t>https://youtu.be/CqV7LE-rM9U</t>
  </si>
  <si>
    <t>Shuttle Endeavour Docks with International Space Station.mp4</t>
  </si>
  <si>
    <t>More than 43 hours after liftoff from NASA's Kennedy Space Center, Space shuttle Endeavour docks with the ISS Feb. 10.</t>
  </si>
  <si>
    <t>CqV7LE-rM9U</t>
  </si>
  <si>
    <t>2010 02 09</t>
  </si>
  <si>
    <t>https://youtu.be/KJbwru8RAMQ</t>
  </si>
  <si>
    <t>Webcast Sheds  Light  on New NASA Mission</t>
  </si>
  <si>
    <t>The Solar Dynamics Observatory, SDO, will use HiDef imagery of the sun to predict solar "weather" with amazing accuracy.</t>
  </si>
  <si>
    <t>KJbwru8RAMQ</t>
  </si>
  <si>
    <t>https://youtu.be/FMVlmTrzaos</t>
  </si>
  <si>
    <t>Launch Leads Shuttle Highlights</t>
  </si>
  <si>
    <t>Video highlights of space shuttle Endeavour's first day in space, including launch from NASA's Kennedy Space Center, Fla.</t>
  </si>
  <si>
    <t>FMVlmTrzaos</t>
  </si>
  <si>
    <t>2010 02 08</t>
  </si>
  <si>
    <t>https://youtu.be/W-aDSv494v4</t>
  </si>
  <si>
    <t>A Splendid Endeavour!</t>
  </si>
  <si>
    <t>Space shuttle Endeavour, carrying Commander George Zamka, pilot Terry Virts, and Mission Specialists Nicholas Patrick, Bob Behnken, Steve Robinson and Kay Hire, successfully launched from the Kennedy Space Center in the early hours of February 8, headed for its 13-day STS-130 mission to the International Space Station.
For more info: www.nasa.gov/shuttle</t>
  </si>
  <si>
    <t>W-aDSv494v4</t>
  </si>
  <si>
    <t>2010 02 05</t>
  </si>
  <si>
    <t>https://youtu.be/oFklGdM7cK0</t>
  </si>
  <si>
    <t>Space Station's New Era of Science and Discovery</t>
  </si>
  <si>
    <t>NASA and its international partners are looking forward to future scientific opportunities aboard the International Space Station now that the administration's fiscal year 2011 budget request calls for extending station operations to at least 2020.</t>
  </si>
  <si>
    <t>oFklGdM7cK0</t>
  </si>
  <si>
    <t>https://youtu.be/lsHKfWmfBig</t>
  </si>
  <si>
    <t xml:space="preserve">What's Up for February </t>
  </si>
  <si>
    <t>This month we celebrate the 400th anniversary of Galileo's first telescopic view of Jupiter and its 4 largest moons.</t>
  </si>
  <si>
    <t>lsHKfWmfBig</t>
  </si>
  <si>
    <t>https://youtu.be/cdfcYjpR7bE</t>
  </si>
  <si>
    <t>Keeping it Cool</t>
  </si>
  <si>
    <t>Replacement high-pressure ammonia jumper hoses thatll be transported on space shuttle Endeavours upcoming mission to the International Space Station were checked out Feb. 3 by the STS-130 astronauts at NASA Kennedy Space Centers Space Station Processing Facility.</t>
  </si>
  <si>
    <t>cdfcYjpR7bE</t>
  </si>
  <si>
    <t>https://youtu.be/lfYD3MAAa0Y</t>
  </si>
  <si>
    <t>GM Joins the NASA Team</t>
  </si>
  <si>
    <t>Using leading edge control, sensor and vision technologies, NASA and GM engineers and scientists came together at NASAs Johnson Space Center through a Space Act Agreement to build a new dexterous humanoid robot, called Robonaut 2,  capable of working side by side with people.</t>
  </si>
  <si>
    <t>lfYD3MAAa0Y</t>
  </si>
  <si>
    <t>https://youtu.be/coFgBbaFOog</t>
  </si>
  <si>
    <t>Special Delivery From Russia</t>
  </si>
  <si>
    <t>An unpiloted Russian Progress supply ship automatically docked to the International Space Station on Feb. 4, 2010, delivering two and a half tons of food, fuel and supplies for the five members of the Expedition 22 crew.</t>
  </si>
  <si>
    <t>coFgBbaFOog</t>
  </si>
  <si>
    <t>2010 02 03</t>
  </si>
  <si>
    <t>https://youtu.be/8R9OUmuAY7o</t>
  </si>
  <si>
    <t>Paving the Way</t>
  </si>
  <si>
    <t>On August 30, 1983, Guy Bluford soared into history, becoming the first African American in space during mission STS-8.  Bluford was born in Philadelphia, and attended Pennsylvania State University. He became an astronaut in 1979, and was also a mission specialist on STS 61-a, STS-39, and STS-53. In 1997, Guy Bluford was inducted into the International Space Hall of Fame, and in 2002, 
the world renown African American scholar, Dr. Molefi Asante, listed him as one of the 100 
Greatest African Americans.  Bluford retired from NASA in 1993.</t>
  </si>
  <si>
    <t>8R9OUmuAY7o</t>
  </si>
  <si>
    <t>https://youtu.be/SMlCj6og5JA</t>
  </si>
  <si>
    <t>Eileen Collins  Space Pioneer</t>
  </si>
  <si>
    <t>Born in Elmira, New York, Eileen Collins became an astronaut in 1991, after being selected for the astronaut program while attending the Air Force Test Pilot School at Edwards AFB, California.  Fifteen years ago, On February 3, 1995 she claimed a unique place in the space history by becoming the first woman to pilot a space shuttle -- Discovery.   And in 1999 Collins went on to become the first female commander of a space shuttle mission, STS-93. During her time at NASA, Collins logged over 6,751 hours in 30 different types of aircraft.  She retired from NASA in May 2006.</t>
  </si>
  <si>
    <t>SMlCj6og5JA</t>
  </si>
  <si>
    <t>https://youtu.be/0rFbcJy7ItQ</t>
  </si>
  <si>
    <t>Five Days 3 2 1!</t>
  </si>
  <si>
    <t>With just five days to go, the STS-130 astronauts have arrived at the Kennedy Space eager to begin their mission to the International Space Station.  The crew of Commander George Zamka, Pilot Terry Virts, and Mission Specialists Nicholas Patrick, Bob Behnken, Steve Robinson and Kathryn Hire are scheduled to liftoff aboard space shuttle Endeavour at 4:39 a.m. Eastern on Feb. 7.</t>
  </si>
  <si>
    <t>0rFbcJy7ItQ</t>
  </si>
  <si>
    <t>2010 02 02</t>
  </si>
  <si>
    <t>https://youtu.be/e9YvIESqDUk</t>
  </si>
  <si>
    <t>NASA Enters A New Era of Innovation and Discovery</t>
  </si>
  <si>
    <t>NASA Administrator Charles Bolden outlines the administrations fiscal year 2011 budget request as the agencys road map for a new era of innovation and discovery, and answers questions from reporters as the featured Newsmaker at the National Press Club in Washington Feb. 2</t>
  </si>
  <si>
    <t>e9YvIESqDUk</t>
  </si>
  <si>
    <t>2010 02 01</t>
  </si>
  <si>
    <t>https://youtu.be/fmsJamYFeLg</t>
  </si>
  <si>
    <t>Space Shuttle Endeavour  Behind the Scenes</t>
  </si>
  <si>
    <t>Once again, NASA astronaut Mike Massimino introduces you to the STS-130 crew and takes you along as they prep for their mission scheduled to begin Feb. 7: simulating flying the shuttle, boning up for  three spacewalks, and more.</t>
  </si>
  <si>
    <t>fmsJamYFeLg</t>
  </si>
  <si>
    <t>https://youtu.be/rPQ6LoX8MhQ</t>
  </si>
  <si>
    <t>HIGHER EDUCATION</t>
  </si>
  <si>
    <t>Members of the Expedition 23 crew aboard the International Space Station check in with middle school students in Troy, Michigan February 1.</t>
  </si>
  <si>
    <t>rPQ6LoX8MhQ</t>
  </si>
  <si>
    <t>2010 01 29</t>
  </si>
  <si>
    <t>https://youtu.be/TamYPxZqIuI</t>
  </si>
  <si>
    <t>NASA Heroes Remembered</t>
  </si>
  <si>
    <t>A wreath-laying ceremony at the Kennedy Space Center Visitor Complex is one of many tributes to NASAs fallen heroes on this Day of Remembrance.</t>
  </si>
  <si>
    <t>TamYPxZqIuI</t>
  </si>
  <si>
    <t>https://youtu.be/cL9C9TzsZaw</t>
  </si>
  <si>
    <t>Team 129 at the NBA</t>
  </si>
  <si>
    <t>The space shuttle Atlantis crew attended a Cleveland Cavaliers/Minnesota Timberwolves basketball game in Cleveland, Ohio, sharing with the team an NBA jersey flown with them during their mission to the International Space Station in November 2009. The crew also made a presentation to the Cavaliers General Manager Danny Ferry and met with fans before the game.</t>
  </si>
  <si>
    <t>cL9C9TzsZaw</t>
  </si>
  <si>
    <t>https://youtu.be/B2j0pBVkvqw</t>
  </si>
  <si>
    <t>WISE Eyes, Haitian Quake Study, More on This Week @ NASA!</t>
  </si>
  <si>
    <t>A near-Earth asteroid is discovered is, Spirit is renewed, and the next space shuttle mission is almost ready to go. Just some of what youll see on TW@N!
For more info: www.nasa.gov/ntv</t>
  </si>
  <si>
    <t>B2j0pBVkvqw</t>
  </si>
  <si>
    <t>https://youtu.be/eW3BHibc49o</t>
  </si>
  <si>
    <t>Astros Confident, Ready</t>
  </si>
  <si>
    <t>Excerpts from the STS-130 Crew News Conference held at NASAs Johnson Space Center Jan. 29, 2009. Space shuttle Endeavour's mission will include three spacewalks and the delivery of the Tranquility node, the final module of the U.S. portion of the International Space Station. Tranquility will provide additional room for crew members and many of the space station's life support and environmental control systems. Attached to the node is a cupola, which houses a robotic control station and has seven windows to provide a panoramic view of Earth, celestial objects and visiting spacecraft. After the node and cupola are added, the orbiting laboratory will be about 90 percent complete. 
Space shuttle Endeavour is set to begin its 13-day flight with a Feb. 7 launch from NASA's Kennedy Space Center in Florida. Liftoff is planned for 4:39 a.m. EST, making this the final scheduled space shuttle night launch.
For more info: www.nasa.gov/shuttle</t>
  </si>
  <si>
    <t>eW3BHibc49o</t>
  </si>
  <si>
    <t>https://youtu.be/Y0rEEPibKV4</t>
  </si>
  <si>
    <t>Making the Connection</t>
  </si>
  <si>
    <t>Commander George Zamka, and Mission Specialists Nick Patrick and Bob Behnken practice installing 
ammonia hoses on a test stand in the high-bay clean room at NASAs Marshall Space Flight Center, Huntsville, Ala. Accompanied by Eric Howell, Boeing Huntsville chief engineer for the International Space Station, the astronauts got a feel for the flexibility of the pressurized 500 psi hoses that will be installed 
during the STS-130 space shuttle mission. The hoses will be used to connect the new Tranquility modules active cooling system to plumbing on the outside of the space station. Shuttle Endeavour is scheduled to launch to the station Feb. 7</t>
  </si>
  <si>
    <t>Y0rEEPibKV4</t>
  </si>
  <si>
    <t>2010 01 28</t>
  </si>
  <si>
    <t>https://youtu.be/UNr27umchN4</t>
  </si>
  <si>
    <t>NASA Day of Remembrance commemorates the fallen heroes of Apollo1, Challenger, and Columbia.</t>
  </si>
  <si>
    <t>UNr27umchN4</t>
  </si>
  <si>
    <t>https://youtu.be/VTy4wrioFMQ</t>
  </si>
  <si>
    <t>Mate-up!</t>
  </si>
  <si>
    <t>Space shuttle Discovery's external fuel tank and two solid rocket boosters were attached on January 26 in the Vehicle Assembly Building at NASAs Kennedy Space Center, Fla.  Technicians completed the task in preparation for mission STS-131, scheduled to launch March 18.</t>
  </si>
  <si>
    <t>VTy4wrioFMQ</t>
  </si>
  <si>
    <t>2010 01 27</t>
  </si>
  <si>
    <t>https://youtu.be/KzhCGzNbyd8</t>
  </si>
  <si>
    <t>Reviewed and Ready!</t>
  </si>
  <si>
    <t>STS-130 launch teams have pronounced space shuttle Endeavour fit and ready for its upcoming mission to the International Space Station and designated February 7th 2010 as the official launch date for the mission.</t>
  </si>
  <si>
    <t>KzhCGzNbyd8</t>
  </si>
  <si>
    <t>2010 01 26</t>
  </si>
  <si>
    <t>https://youtu.be/uB8CpstmAus</t>
  </si>
  <si>
    <t>Spirit Renewed</t>
  </si>
  <si>
    <t>After six years of unprecedented science exploration this month, the Mars Spirit Rover is now designated a stationary science platform.  Efforts to free itself from a sand trap, over the past several months, have been unsuccessful. Now the venerable robots primary task will be to position itself to combat the severe Martian winter.  If Spirit survives, it will continue conducting significant new science for several months, or perhaps years, in its new fixed location.</t>
  </si>
  <si>
    <t>uB8CpstmAus</t>
  </si>
  <si>
    <t>2010 01 25</t>
  </si>
  <si>
    <t>https://youtu.be/1RfPVmSCKc0</t>
  </si>
  <si>
    <t>Rock On, Opportunity!</t>
  </si>
  <si>
    <t>A dark rock that has been in the company of the Opportunity rover for the past two months has NASA scientists excited.  Perched on a rippled Martian plain, it is not much bigger than a basketball, but may allow scientists to get their first glimpse deep inside Mars. Dubbed "Marquette Island", the rock is providing a better understanding of the mineral and chemical makeup of the Martian interior.</t>
  </si>
  <si>
    <t>1RfPVmSCKc0</t>
  </si>
  <si>
    <t>https://youtu.be/SmzJeIUIvv4</t>
  </si>
  <si>
    <t>Astro Mike Goes Behind The Scenes of STS-130</t>
  </si>
  <si>
    <t>Volume one of Veteran NASA Astronaut Mike Massimino's behind the scenes look at the crew of Space Shuttle Endeavor as they prepare for their STS-130 mission to the International Space Station scheduled to launch February 7.</t>
  </si>
  <si>
    <t>SmzJeIUIvv4</t>
  </si>
  <si>
    <t>https://youtu.be/w3GyeeOgMa0</t>
  </si>
  <si>
    <t>Practice Makes Perfect</t>
  </si>
  <si>
    <t>The six-member crew of the next space shuttle mission participated in a full launch dress rehearsal, known as the terminal countdown demonstration test at  the NASA's Kennedy Space Center in Florida. The test provided an opportunity for the crew and ground teams to participate in various simulated countdown activities, including equipment familiarization, emergency training and a simulated launch countdown. 
Endeavours crew members are Commander George Zamka, Pilot Terry Virts and Mission Specialists Robert Behnken, Nicholas Patrick, Kathryn Hire and Stephen Robinson. Launch is targeted for Feb. 7.</t>
  </si>
  <si>
    <t>w3GyeeOgMa0</t>
  </si>
  <si>
    <t>2010 01 22</t>
  </si>
  <si>
    <t>https://youtu.be/wXzw5LqK5Yg</t>
  </si>
  <si>
    <t>Cutting-Edge Capsule</t>
  </si>
  <si>
    <t>A NASA team, along with industry partners, successfully used the latest composite materials -- the same composites increasingly going into race cars, business jets and high-end sports equipment, to design, fabricate and lab test a full-scale representation of a space capsule. The Composite Crew Module underwent a series of lab tests that simulated the structural stresses of a typical space mission.  Test results suggest that the composite material is a viable alternative to traditional metal capsules for carrying astronauts into space.</t>
  </si>
  <si>
    <t>wXzw5LqK5Yg</t>
  </si>
  <si>
    <t>https://youtu.be/KCJPZIWm_Ow</t>
  </si>
  <si>
    <t>By the Numbers  130, 129 and 23 Updates!</t>
  </si>
  <si>
    <t>"This Week at NASA" looks at the upcoming SDO Mission and keeps going and going with the Mars Opportunity Rover.</t>
  </si>
  <si>
    <t>KCJPZIWm_Ow</t>
  </si>
  <si>
    <t>https://youtu.be/QZl3IBIHy1c</t>
  </si>
  <si>
    <t>Getting Ready!</t>
  </si>
  <si>
    <t>QZl3IBIHy1c</t>
  </si>
  <si>
    <t>https://youtu.be/tJmwXDxZ6j4</t>
  </si>
  <si>
    <t>Life in Space</t>
  </si>
  <si>
    <t>On April 2, Skvortsov, Kornienko, and Caldwell Dyson will launch to the station aboard a Russian Soyuz spacecraft. They will dock to the space station on April 4, joining Russian cosmonaut Oleg Kotov, NASA astronaut T.J. Creamer and Japan Aerospace Exploration Agency (JAXA) astronaut Soichi Noguchi, who arrived on the station in December as part of Expedition 22.  For more info: www.nasa.gov/station</t>
  </si>
  <si>
    <t>tJmwXDxZ6j4</t>
  </si>
  <si>
    <t>2010 01 21</t>
  </si>
  <si>
    <t>https://youtu.be/MLWnaDpYaZ8</t>
  </si>
  <si>
    <t>Sizing Up The Sun</t>
  </si>
  <si>
    <t>SDO Mission scientists participated in a briefing to discuss the upcoming launch and science of an unprecedented mission to study the sun and its dynamic behavior. The briefing on the Solar Dynamics Observatory mission took place in Washington and the Kennedy Space Center in Florida.</t>
  </si>
  <si>
    <t>MLWnaDpYaZ8</t>
  </si>
  <si>
    <t>https://youtu.be/HCNdP_zHDNA</t>
  </si>
  <si>
    <t>Safety by Slidewire</t>
  </si>
  <si>
    <t>The six-member crew of the next space shuttle flight received instruction on the operation of slidewire baskets during emergency exit training as part of a full launch dress rehearsal known as the terminal countdown demonstration test on Launch Pad 39A at NASA's Kennedy Space Center in Florida. The test provides astronauts and ground crews with an opportunity to participate in various simulated countdown activities, including equipment familiarization. 
During its 13-day mission, the shuttles astronauts will deliver a third connecting module, the Tranquility node, to the International Space Station. Endeavours crew members are Commander George Zamka, Pilot Terry Virts and Mission Specialists Robert Behnken, Nicholas Patrick, Kathryn Hire and Stephen Robinson. Launch is targeted for Feb. 7.</t>
  </si>
  <si>
    <t>HCNdP_zHDNA</t>
  </si>
  <si>
    <t>https://youtu.be/5egbt5ToIVk</t>
  </si>
  <si>
    <t>Emergency Escape Training</t>
  </si>
  <si>
    <t>The six-member crew of the next space shuttle flight practiced driving an M-113 during a full launch dress rehearsal known as the terminal countdown demonstration test at NASA's Kennedy Space Center in Florida. 
Each astronaut of shuttle Endeavour's STS-130 mission practiced driving the armored personnel carrier as part of their training on emergency escape procedures. An M-113 will be available to transport crew members to safety in the event of a contingency on the launch pad before liftoff. The test provides astronauts and ground crews with an opportunity to participate in various simulated countdown activities, including equipment familiarization and emergency training. 
During its 13-day mission, the shuttles astronauts will deliver a third connecting module, the Tranquility node, to the International Space Station. Endeavours crew members are Commander George Zamka, Pilot Terry Virts and Mission Specialists Robert Behnken, Nicholas Patrick, Kathryn Hire and Stephen Robinson. Launch is targeted for Feb. 7.</t>
  </si>
  <si>
    <t>5egbt5ToIVk</t>
  </si>
  <si>
    <t>https://youtu.be/4Fn7zNeOras</t>
  </si>
  <si>
    <t>Space shuttle Endeavour's STS-130 mission Commander George Zamka and Pilot Terry Virts practiced shuttle landings in a Shuttle Training Aircraft, or STA, during training related to a full launch dress rehearsal known as the terminal countdown demonstration test at NASA's Kennedy Space Center in Florida.
The STA is a Grumman American Aviation-built Gulfstream II jet that is modified to simulate a shuttle's cockpit, motion and handling qualities. The test provides astronauts and ground crews with an opportunity to participate in various simulated countdown activities, including equipment familiarization and emergency training. 
During its 13-day mission, the shuttles six astronauts will deliver a third connecting module, the Tranquility node, to the International Space Station. Endeavour is targeted to launch Feb. 7.</t>
  </si>
  <si>
    <t>4Fn7zNeOras</t>
  </si>
  <si>
    <t>https://youtu.be/181SD3jY82Q</t>
  </si>
  <si>
    <t>It Was a Hot One!</t>
  </si>
  <si>
    <t>Data collected by scientists at the Goddard Institute for Space Studies (GISS) reveals that 2009 was the second warmest year on record, tying with a cluster of other years --1998, 2002, 2003, 2006, and 2007. Over the last three decades, the GISS surface temperature record shows an upward trend of about 0.36°F per decade, with this past decade the warmest yet. Looking back to 1880, average global temperatures have increased by about 1.5°F.</t>
  </si>
  <si>
    <t>181SD3jY82Q</t>
  </si>
  <si>
    <t>https://youtu.be/g8NNzyh2pK0</t>
  </si>
  <si>
    <t>Soyuz Gets New Parking Spot</t>
  </si>
  <si>
    <t>The Soyuz TMA-16 docked at the International Space Station has moved to a new parking spot. Expedition 22 cosmonaut Max Suraev and astronaut Commander Jeff Williams moved the spacecraft from
the Zvezda Service Module port attached to the ISS to the new docking and airlock named the Poisk module port.</t>
  </si>
  <si>
    <t>g8NNzyh2pK0</t>
  </si>
  <si>
    <t>2010 01 20</t>
  </si>
  <si>
    <t>https://youtu.be/4fQkUCHHHt0</t>
  </si>
  <si>
    <t>Shuttle Astronauts Hold Launch Pad Press Conference</t>
  </si>
  <si>
    <t>The six-member crew of the next space shuttle mission spoke with media on Jan. 20 at NASA Kennedy Space Center's Launch Pad 39A in Florida. The astronauts for shuttle Endeavour's STS-130 mission are at Kennedy to participate in a full launch dress rehearsal, known as the terminal countdown demonstration test, and related training. The test provides an opportunity for the crew and ground teams 
to participate in various simulated countdown activities, including equipment familiarization and emergency escape training. During its 13-day mission, the shuttles astronauts will deliver a third connecting module, the Tranquility node, to the International Space Station. Endeavours crew members are Commander George Zamka, Pilot Terry Virts and Mission Specialists Robert Behnken, 
Nicholas Patrick, Kathryn Hire and Stephen Robinson. Launch is targeted for Feb. 7.
For more info: www.nasa.gov/shuttle</t>
  </si>
  <si>
    <t>4fQkUCHHHt0</t>
  </si>
  <si>
    <t>https://youtu.be/x7LHk4TcT3s</t>
  </si>
  <si>
    <t>Super Module at the Pad</t>
  </si>
  <si>
    <t>Tranquility and its Cupola attachment arrived at Launch Pad 39A at NASAs Kennedy Space Center, Fla., on Jan. 18.  The pair will provide room for many of the stations life support systems, along with a unique work station with seven windows.  The elements were lifted and loaded into a payload transportation canister at Kennedys Space Station Processing Facility.  They will fly aboard space shuttle Endeavour on the STS-130 mission targeted for launch Feb. 7.</t>
  </si>
  <si>
    <t>x7LHk4TcT3s</t>
  </si>
  <si>
    <t>2010 01 19</t>
  </si>
  <si>
    <t>https://youtu.be/ND9_Uzv7dOk</t>
  </si>
  <si>
    <t>Indomitable Spirit, Impossible Odds</t>
  </si>
  <si>
    <t>The Spirit rovers days may be numbered.  Surpassing its intended lifespan by more than five-and-a-half years, the beloved robots energy source is depleting and, come Spring, the rover could become inoperable.  Nine months ago, Spirit's wheels broke through a crusty surface layer becoming trapped in the loose sand hidden underneath.  Efforts to free the rover have barely budged it, and scientists fear theyve run out of maneuvers to try. 
Scientists are still working to improve Spirit's angle, in the hopes that the rover might be able to collect enough power to continue doing research from its stuck position.</t>
  </si>
  <si>
    <t>ND9_Uzv7dOk</t>
  </si>
  <si>
    <t>https://youtu.be/poBj2O4EYQw</t>
  </si>
  <si>
    <t>Dress Rehearsal</t>
  </si>
  <si>
    <t>The stage is set for the next shuttle launch to the international space while its six-member crew arrives at the Kennedy Space Center in anticipation of a full launch dress rehearsal, or Terminal Countdown Demonstration Test.</t>
  </si>
  <si>
    <t>poBj2O4EYQw</t>
  </si>
  <si>
    <t>https://youtu.be/Nt-FFV9TJnc</t>
  </si>
  <si>
    <t>Landslide Alert</t>
  </si>
  <si>
    <t>Mountainous areas surrounding Port-au-Prince may be subject to landslides, especially after intense rainfall events.  NASA satellite images showing areas o where  landslides are a risk have been shared with humanitarian assistance groups to help pinpoint disaster relief efforts.</t>
  </si>
  <si>
    <t>Nt-FFV9TJnc</t>
  </si>
  <si>
    <t>https://youtu.be/XXK17hLMPMQ</t>
  </si>
  <si>
    <t>Short &amp; Tweet!</t>
  </si>
  <si>
    <t>NASA gets nominated for a Twitter Shorty! Learn how to vote for your fave!</t>
  </si>
  <si>
    <t>XXK17hLMPMQ</t>
  </si>
  <si>
    <t>https://youtu.be/KhK-opi7g_E</t>
  </si>
  <si>
    <t>NASA Helps I.D. Landslide Threats in Haiti</t>
  </si>
  <si>
    <t>Analysis of NASA satellite images showing areas of landslide risk have been shared with humanitarian assistance groups to help pinpoint disaster relief efforts.</t>
  </si>
  <si>
    <t>KhK-opi7g_E</t>
  </si>
  <si>
    <t>2010 01 18</t>
  </si>
  <si>
    <t>https://youtu.be/Rm-BtDKXM-0</t>
  </si>
  <si>
    <t>The six-member crew of the next space shuttle mission arrived in T-38 training aircraft at NASA's Kennedy Space Center, Fla., on Monday, Jan. 18, to participate in a full launch dress rehearsal, known as the Terminal Countdown Demonstration Test. The test provides an opportunity for the crew and ground teams to participate in various simulated countdown activities, including equipment familiarization and emergency egress training. Shuttle Endeavour is targeted to launch on its STS-130 mission to the International Space Station on Feb. 7 at 4:39 a.m. EST. The crew members are Commander George Zamka, Pilot Terry Virts and Mission Specialists Robert Behnken, Nicholas Patrick, Kathryn Hire and Stephen Robinson.</t>
  </si>
  <si>
    <t>Rm-BtDKXM-0</t>
  </si>
  <si>
    <t>2010 01 16</t>
  </si>
  <si>
    <t>https://youtu.be/AOo30B8exyA</t>
  </si>
  <si>
    <t>Port-Au-Prince via Satellite</t>
  </si>
  <si>
    <t>NASA's Earth Observing-1 satellite captured this image of Port-au-Prince, Haiti, on the morning of Jan. 15, 2010. The image shows the densely built and densely populated capital city. Satellite images like this one, when compared with similar images taken before the earthquake, will provide information to support disaster recovery efforts in Haiti. Data from the Advanced Land Imager on the satellite.
Image processed by NASA's Earth Observatory, Goddard Space Flight Center
 For more info: www.nasa.gov</t>
  </si>
  <si>
    <t>AOo30B8exyA</t>
  </si>
  <si>
    <t>2010 01 15</t>
  </si>
  <si>
    <t>https://youtu.be/oWk1szuV9RA</t>
  </si>
  <si>
    <t xml:space="preserve"> Crew Calls ,  Mirror Tests , and More!</t>
  </si>
  <si>
    <t>"This Week @ NASA" also highlights Commander Jeff Williams aboard the International Space Station as "world assignment" editor for CBS News!</t>
  </si>
  <si>
    <t>oWk1szuV9RA</t>
  </si>
  <si>
    <t>2010 01 14</t>
  </si>
  <si>
    <t>https://youtu.be/0BTg-epGt1M</t>
  </si>
  <si>
    <t>Spacewalking!</t>
  </si>
  <si>
    <t>Aboard the International Space Station, Expedition 22 Flight Engineers Oleg Kotov and Max Suraev conducted a 5 hour, 44 minute spacewalk Jan. 14 to outfit the new Russian Poisk module for future dockings by Russian spacecraft at the orbiting laboratory. Kotov and Suraev set up rendezvous equipment and docking targets on the Poisk, setting the stage for the scheduled relocation 
of the Soyuz TMA-16 spacecraft by Suraev and Station Commander Jeff Williams Jan. 21.  They will fly the Soyuz from the aft end of the Zvezda Service Module for the maiden docking to the newly equipped Poisk.</t>
  </si>
  <si>
    <t>0BTg-epGt1M</t>
  </si>
  <si>
    <t>2010 01 13</t>
  </si>
  <si>
    <t>https://youtu.be/yRIKIjohCCk</t>
  </si>
  <si>
    <t>Tweet! Tweet!</t>
  </si>
  <si>
    <t>Expedition 22 Commander Jeff Williams is joined by astronauts T.J. Creamer and Soichi Noguchi on the International Space Station to discuss their "tweeting" from orbit, how using Twitter helps them keep everyone back on Earth informed of station activities, and the advent of internet access to the ISS. Noguchi says he received a "tweet" from the Japanese Prime Minister after speaking with him from orbit!</t>
  </si>
  <si>
    <t>yRIKIjohCCk</t>
  </si>
  <si>
    <t>https://youtu.be/M0nEs69ZW90</t>
  </si>
  <si>
    <t>Administrator Bolden Commemorates Dr. King's Legacy</t>
  </si>
  <si>
    <t>Administrator Charles Bolden calls on NASA employees to commemorate the legacy of Dr. King and his message of peace and cooperation by volunteering in their communities on Martin Luther King Day, January 18.</t>
  </si>
  <si>
    <t>M0nEs69ZW90</t>
  </si>
  <si>
    <t>https://youtu.be/Gfl48eMPFiA</t>
  </si>
  <si>
    <t>Space and Basketball</t>
  </si>
  <si>
    <t>The STS-129 astronauts visited the Verizon Center in Washington, D.C.  to check out the game between the Detroit Pistons and host Washington Wizards, and to display an NBA jersey that was flown on their shuttle flight to the International Space Station. The jersey is expected to be returned to the NBA during the All-Star game in Dallas next month.</t>
  </si>
  <si>
    <t>Gfl48eMPFiA</t>
  </si>
  <si>
    <t>2010 01 12</t>
  </si>
  <si>
    <t>https://youtu.be/CYyi93QOtO0</t>
  </si>
  <si>
    <t>Satcher, Melvin and Howard</t>
  </si>
  <si>
    <t>Two mission specialists of  STS-129 show highlights of their November flight to the International Space Station to middle school students at Howard University in Washington. Leland Melvin, a former pro football player now considered a world expert on fiber optics, was joined on Howards campus by Bobby Satcher, a Ph.D. and medical doctor. The pair discussed their roles on the recent 11-day mission to the orbiting complex via space shuttle Atlantis.</t>
  </si>
  <si>
    <t>CYyi93QOtO0</t>
  </si>
  <si>
    <t>https://youtu.be/3iXQSnwLqMA</t>
  </si>
  <si>
    <t>Check It Out</t>
  </si>
  <si>
    <t>The crew that will launch aboard space shuttle Discovery on its STS-131 mission participated in a crew equipment interface test, Jan. 8 through Jan. 9 at NASAs Kennedy Space Center, Fla.  During the test, the crew inspected mission hardware and flight equipment that will be used in orbit.  Discovery will carry the multi-purpose logistics module, Leonardo, filled with spare parts and supplies 
to the International Space Station.  Discovery is targeted to launch March 18.
For more information:  www.nasa.gov/shuttle</t>
  </si>
  <si>
    <t>3iXQSnwLqMA</t>
  </si>
  <si>
    <t>2010 01 11</t>
  </si>
  <si>
    <t>https://youtu.be/RE11Om4lgms</t>
  </si>
  <si>
    <t>E.T. Gets Home</t>
  </si>
  <si>
    <t>Check out the latest on the arrival of space shuttle Discoverys external fuel tank, or E.T., at NASAs Kennedy Space Center for  its upcoming STS-131 mission to the International Space Station.</t>
  </si>
  <si>
    <t>RE11Om4lgms</t>
  </si>
  <si>
    <t>https://youtu.be/qxFErjGc60E</t>
  </si>
  <si>
    <t>Presenting  11 Days in Space!</t>
  </si>
  <si>
    <t>The crew of STS-129 discusses its November mission to the International Space Station with school children and others at NASA Headquarters in Washington.</t>
  </si>
  <si>
    <t>qxFErjGc60E</t>
  </si>
  <si>
    <t>2010 01 08</t>
  </si>
  <si>
    <t>https://youtu.be/lyYgi_BfHz8</t>
  </si>
  <si>
    <t>Sea Turtle Rescue</t>
  </si>
  <si>
    <t>NASAs Kennedy Space Center and the Fish and Wildlife Conservation Commission team up to rescue hundreds of green and loggerhead sea turtles from freezing temperatures.</t>
  </si>
  <si>
    <t>lyYgi_BfHz8</t>
  </si>
  <si>
    <t>https://youtu.be/lqDQXiSxuQY</t>
  </si>
  <si>
    <t>Rollout!</t>
  </si>
  <si>
    <t>Space shuttle Endeavour makes its way to the pad for next month's targeted launch to the International Space Station.</t>
  </si>
  <si>
    <t>lqDQXiSxuQY</t>
  </si>
  <si>
    <t>https://youtu.be/Ln92K3eeUaw</t>
  </si>
  <si>
    <t>Up Close and Personal</t>
  </si>
  <si>
    <t>Reporters get an up-close look at Tranquility,  the next pressurized element to be launched to the International Space  Station.  The node and its cupola, a unique work station with seven windows, will fly aboard Endeavour on the STS-130 mission, targeted for launch on Feb. 7. The Tranquility node will provide room for many of the stations life support systems, and the cupola will provide crew members a vastly-improved view of the stations exterior.</t>
  </si>
  <si>
    <t>Ln92K3eeUaw</t>
  </si>
  <si>
    <t>https://youtu.be/bHYmhLnotRk</t>
  </si>
  <si>
    <t>This Week @ NASA</t>
  </si>
  <si>
    <t>Helping Educate to Innovate, Hot Jupiters, Space Rocks! and more!</t>
  </si>
  <si>
    <t>bHYmhLnotRk</t>
  </si>
  <si>
    <t>2010 01 07</t>
  </si>
  <si>
    <t>https://youtu.be/E3St_RRXZLU</t>
  </si>
  <si>
    <t>Space Rocks</t>
  </si>
  <si>
    <t>Space Center Houston was the scene Jan. 6 of a special presentation by former NASA astronaut Scott Parazynski to Space Shuttle Endeavour Commander George Zamka. Parazynski gave a moon rock and a rock from Mt. Everest to Zamka, commander of the upcoming shuttle mission STS-130. Zamka and his crew will carry the rocks with them on their Feburary mission to the International Space Station as they deliver the stations Tranquility module. The rocks will be displayed aboard the station. Parazynski carried the Apollo 11 lunar sample on a climb to the summit of Mt. Everest last May during which he also gathered the Everest rock. For more info: www.nasa.gov/shuttle</t>
  </si>
  <si>
    <t>E3St_RRXZLU</t>
  </si>
  <si>
    <t>https://youtu.be/fMXZvUabLDs</t>
  </si>
  <si>
    <t>JAXA Astronaut  Discusses Life in Space</t>
  </si>
  <si>
    <t>International Space Station Flight Engineer Soichi Noguchi of the Japan Aerospace Exploration Agency discussed his life aboard the orbiting laboratory with Japanese Prime Minister Yukio Hatoyama during an in-flight event on Jan. 7.
For more info: www.nasa.gov/station</t>
  </si>
  <si>
    <t>fMXZvUabLDs</t>
  </si>
  <si>
    <t>2010 01 06</t>
  </si>
  <si>
    <t>https://youtu.be/J8CdtDSztFA</t>
  </si>
  <si>
    <t xml:space="preserve">President Says,  Educate and Innovate! </t>
  </si>
  <si>
    <t>President Obama spoke at a special White House ceremony to honor educators from across the country for their excellence in mathematics, science teaching and mentoring. The event was part of the Presidents Educate to Innovate campaign to boost student achievement in STEM subjects: science, technology, engineering and math. 
Among other related initiatives, NASA will partner with companies, non-profits, and states, to launch the Summer of Innovation. The pilot enrichment program will substantially enhance STEM learning opportunities for students during the summer, with an emphasis on broadening participation of underrepresented groups.</t>
  </si>
  <si>
    <t>J8CdtDSztFA</t>
  </si>
  <si>
    <t>https://youtu.be/64m9xAzIhtU</t>
  </si>
  <si>
    <t>Space shuttle Endeavour was moved Jan. 6 from the Vehicle Assembly Building to 
Launch Pad 39A at NASAs Kennedy Space Center in Florida for its STS-130 mission 
to the International Space Station. The move is referred to as a "rollout." 
Endeavour is targeted to launch Feb. 7. During its 13-day mission, the shuttles 
six astronauts will deliver a third connecting module, the Tranquility node, 
to the space station.</t>
  </si>
  <si>
    <t>64m9xAzIhtU</t>
  </si>
  <si>
    <t>https://youtu.be/mSca7luw9Uo</t>
  </si>
  <si>
    <t>Expedition 22 Educational Event 1 6 2010</t>
  </si>
  <si>
    <t>Aboard the International Space Station, three members of the Expedition 22 crew, Commander Jeff Williams, Flight Engineer T.J. Creamer, and Flight Engineer 
Soichi Noguchi participated in an in-flight educational event on Jan. 6, 2009.  
The crew spoke with the Winter School in Winter, Wisconsin and the Lac Courte Orielles Ojibwe School in Hayward, Wisconsin.
For more info www.nasa.gov/Station</t>
  </si>
  <si>
    <t>mSca7luw9Uo</t>
  </si>
  <si>
    <t>2010 01 05</t>
  </si>
  <si>
    <t>https://youtu.be/UjExJGhUbkI</t>
  </si>
  <si>
    <t>NASA Administrator Keynotes Astronomers</t>
  </si>
  <si>
    <t>NASA Administrator Charlie Bolden gave the keynote address at the 215th American Astronomical Society (AAS) meeting held in Washington, DC. With some 3,500 in attendance and more than 2,200 scientific presentations this is the largest astronomy meeting in history.  Some of the topics discussed at this year's event include black holes, exoplanets, exploding stars and pulsars.</t>
  </si>
  <si>
    <t>UjExJGhUbkI</t>
  </si>
  <si>
    <t>https://youtu.be/EUqhhiGtyUU</t>
  </si>
  <si>
    <t>Captain Sully Speaks to Station Crew</t>
  </si>
  <si>
    <t>The pilot of the 'Miracle on the Hudson' flight visits Mission Control in Houston.</t>
  </si>
  <si>
    <t>EUqhhiGtyUU</t>
  </si>
  <si>
    <t>2009 12 30</t>
  </si>
  <si>
    <t>https://youtu.be/CYrgbqUWeZM</t>
  </si>
  <si>
    <t>NASA Televisions 2010 Happy New Year ID</t>
  </si>
  <si>
    <t>NASA Televisions Happy New Year ID for 2010.
Mark R. Hailey, NASA Televisions Art Director, created this piece.</t>
  </si>
  <si>
    <t>CYrgbqUWeZM</t>
  </si>
  <si>
    <t>https://youtu.be/vg4A_McYCYk</t>
  </si>
  <si>
    <t xml:space="preserve"> How's Life  </t>
  </si>
  <si>
    <t>In space, that is. From the International Space Station, Expedition 22 Commander Jeff Williams, NASA Flight Engineer T.J. Creamer, and Flight Engineer Soichi Noguchi of the Japan Aerospace Exploration Agency chat with Wisconsin Public Radio and the Washington Post On-Line Service back on Earth December 30, 2009.  For more info: www.nasa.gov/station</t>
  </si>
  <si>
    <t>vg4A_McYCYk</t>
  </si>
  <si>
    <t>2009 12 29</t>
  </si>
  <si>
    <t>https://youtu.be/QowJhdRf5dU</t>
  </si>
  <si>
    <t>AMERICAN FORCES IN IRAQ GET HOLIDAY GREETINGS FROM SPACE</t>
  </si>
  <si>
    <t>The two NASA astronauts aboard the International Space Station shared holiday greetings and talked about life in space with U.S. service members in Iraq during a live video conference Dec. 29, 2009.
Station Commander Jeff Williams, a retired U.S. Army colonel, and Flight Engineer T.J. Creamer, an Army colonel, spoke with U.S. forces in Baghdad while orbiting 220 miles above Earth about life on the station, their military careers and what it is like to live in space for up to six months.
For more info: www.nasa.gov/station</t>
  </si>
  <si>
    <t>QowJhdRf5dU</t>
  </si>
  <si>
    <t>2009 12 23</t>
  </si>
  <si>
    <t>https://youtu.be/y_bTY57xTmg</t>
  </si>
  <si>
    <t>HOLIDAY DANCE OF THE MOONS</t>
  </si>
  <si>
    <t>Like sugar plum fairies in The Nutcracker, the moons of Saturn performed a celestial ballet before the eyes of NASAs Cassini spacecraft. The new movies frame the moons silent dance against the majestic sweep of the planets rings and show as many as four moons gliding around one another. 
For more: www.nasa.gov/cassini</t>
  </si>
  <si>
    <t>y_bTY57xTmg</t>
  </si>
  <si>
    <t>https://youtu.be/93p8zpghB5k</t>
  </si>
  <si>
    <t>GREETINGS, EARTHLINGS!</t>
  </si>
  <si>
    <t>About ninety minutes after docking with the Zarya module, astronauts aboard the Soyuz capsule opened the hatch into the International Space Station. Soyuz Commander Oleg Kotov and Flight Engineers T.J. Creamer of NASA and Soichi Noguchi of the Japan Aerospace Exploration Agency were greeted by Expedition 22 Commander Jeff Williams of NASA and Russian Flight Engineer Maxim Suraev. 
For more info: www.nasa.gov/station</t>
  </si>
  <si>
    <t>93p8zpghB5k</t>
  </si>
  <si>
    <t>2009 12 18</t>
  </si>
  <si>
    <t>https://youtu.be/oxXHb-SIN_I</t>
  </si>
  <si>
    <t>HOLIDAY GREETINGS</t>
  </si>
  <si>
    <t>NASA Administrator Charlie Bolden and Deputy Administrator Lori Garver extend seasons greetings and New Years wishes to members of the NASA family.
www.nasa.gov</t>
  </si>
  <si>
    <t>oxXHb-SIN_I</t>
  </si>
  <si>
    <t>https://youtu.be/tNIfETPTXxM</t>
  </si>
  <si>
    <t>NASA TV Season's Greetings 2009</t>
  </si>
  <si>
    <t>The beauty of images from the Hubble Space Telescope, and several of the NASA missions was the inspiration for the 2009 NASA Seasons Greetings ID.
Mark R. Hailey, NASA Televisions Art Director created this piece.</t>
  </si>
  <si>
    <t>tNIfETPTXxM</t>
  </si>
  <si>
    <t>https://youtu.be/h0VCPu84WU8</t>
  </si>
  <si>
    <t>BIG THANKS! FROM BOLDEN</t>
  </si>
  <si>
    <t>NASA Administrator Charlie Bolden expresses to NASA employees his gratitude for their participation in this years Combined Federal Campaign. ww.nasa.gov</t>
  </si>
  <si>
    <t>h0VCPu84WU8</t>
  </si>
  <si>
    <t>2009 12 17</t>
  </si>
  <si>
    <t>https://youtu.be/FRJSE3LmVAI</t>
  </si>
  <si>
    <t>EXPEDITIONS 22 23  THE MISSIONS</t>
  </si>
  <si>
    <t>Learn what the current and next crew of astronauts and cosmonauts have planned on the International Space Station. www.nasa.gov/station</t>
  </si>
  <si>
    <t>FRJSE3LmVAI</t>
  </si>
  <si>
    <t>2009 12 16</t>
  </si>
  <si>
    <t>https://youtu.be/LEcvTuSih2A</t>
  </si>
  <si>
    <t>NASA TV Schedule on the Web</t>
  </si>
  <si>
    <t>NASA Televisions online Program Schedule is now more easy-to-read, with all three channels listed on one page. 
Listings of upcoming programs, events, or features on NASA TVs Public, Education and Media channels can now be easily accessed by visiting the NASA Television Web page, at www.nasa.gov/ntv , and clicking on NASA TV Schedule in the upper left.
For NASA TV streaming video and downlink information, visit: 
www.nasa.gov/ntv .</t>
  </si>
  <si>
    <t>LEcvTuSih2A</t>
  </si>
  <si>
    <t>https://youtu.be/NSG21JmpeqQ</t>
  </si>
  <si>
    <t>NASA TELEVISION MOVING TO SATELLITE AMC3</t>
  </si>
  <si>
    <t>WASHINGTON -- Effective Jan. 16, 2010, NASA Televisions Public, Education and Media channels will be available for downlink on satellite AMC 3. 
Cable and satellite service providers, broadcasters, and educational and scientific institutions will need to re-tune their receiving devices to AMC 3 to continue accessing NASA TV for distribution.
NASA TVs occasional HD feed and Live Interactive Media Outlet (LIMO) Channel will also migrate to AMC3, effective Jan.16, 2010. 
For complete downlink information effective Jan. 16, 2010, please see Important Information at: www.nasa.gov/ntv .</t>
  </si>
  <si>
    <t>NSG21JmpeqQ</t>
  </si>
  <si>
    <t>2009 12 14</t>
  </si>
  <si>
    <t>https://youtu.be/Lb_TEqtmeLU</t>
  </si>
  <si>
    <t xml:space="preserve"> The WISE launch, SOFIA tests, a dropped 'copter and more. </t>
  </si>
  <si>
    <t>A weekly summary of the latest news, events and mission activities at NASA.  For more information, visit  www.nasa.gov</t>
  </si>
  <si>
    <t>Lb_TEqtmeLU</t>
  </si>
  <si>
    <t>https://youtu.be/45NAENHol24</t>
  </si>
  <si>
    <t>WISE Launch</t>
  </si>
  <si>
    <t>NASA's Wide-field Infrared Survey Explorer (WISE) launched aboard a Delta II rocket from the Vandenberg Air Force Base in California on Dec.14, 2009 at 9:09 EST. 
The WISE spacecraft will circle Earth over the poles, scanning the entire sky one-and-a-half times in nine months. The mission will uncover hidden cosmic objects, including the coolest stars, dark asteroids and the most luminous galaxies.
For more info: www.nasa.gov/wise</t>
  </si>
  <si>
    <t>45NAENHol24</t>
  </si>
  <si>
    <t>2009 12 10</t>
  </si>
  <si>
    <t>https://youtu.be/nWdXcpCqbtI</t>
  </si>
  <si>
    <t>WISE Mission Science Briefing 12 9 09</t>
  </si>
  <si>
    <t>After launch, WISE will scan the entire sky in infrared light with a sensitivity hundreds of times greater than ever before, picking up the glow of hundreds of millions of objects and producing millions of images. The mission will uncover objects never seen before, including the coolest stars, the universe's most luminous galaxies and some of the darkest near-Earth asteroids and comets.  http://www.nasa.gov/wise</t>
  </si>
  <si>
    <t>nWdXcpCqbtI</t>
  </si>
  <si>
    <t>2009 12 09</t>
  </si>
  <si>
    <t>https://youtu.be/FIUyKf08CRQ</t>
  </si>
  <si>
    <t>WISE Prelaunch News Conference 12 9 09</t>
  </si>
  <si>
    <t>FIUyKf08CRQ</t>
  </si>
  <si>
    <t>2009 12 03</t>
  </si>
  <si>
    <t>https://youtu.be/gtxPyaUbljo</t>
  </si>
  <si>
    <t>Fred Haise Ambassador Of Exploration Award</t>
  </si>
  <si>
    <t>Apollo 13 lunar module pilot Fred Haise, Jr, 76, was originally slated to become the sixth man to walk on the Moon in April 1970. Instead he considers himself fortunate to have survived that ill-fated mission, earning the distinction of having circled behind the Moon and immediately returned to Earth. From his hometown of Biloxi, Haise received NASA's Ambassador of Exploration Award during a ceremony Dec. 2 at the Gorenflo Elementary School.</t>
  </si>
  <si>
    <t>gtxPyaUbljo</t>
  </si>
  <si>
    <t>2009 11 27</t>
  </si>
  <si>
    <t>https://youtu.be/6L_LkrHG6Nk</t>
  </si>
  <si>
    <t>NASA STS-129 Mission Highlights</t>
  </si>
  <si>
    <t>Astronaut Nicole Stott returned to Earth aboard shuttle Atlantis on Nov. 27 after 91 days in space. She had spent 87 days aboard the International Space Station and 80 days as an Expedition 20/21 flight engineer. She is the last astronaut who will be transported to or from the space station by a space shuttle. Atlantis landed at NASA's Kennedy Space Center, Fla., to end its STS-129 mission to the station.
For more info: www.nasa.gov/shuttle</t>
  </si>
  <si>
    <t>6L_LkrHG6Nk</t>
  </si>
  <si>
    <t>https://youtu.be/7rfmb3uuLE8</t>
  </si>
  <si>
    <t>STS-129 HD Landing</t>
  </si>
  <si>
    <t>Space shuttle Atlantis and its crew of seven astronauts ended an 11-day journey of nearly 4.5 million miles with a 9:44 a.m. EST landing Friday at NASA's Kennedy Space Center in Florida. 
The mission, designated STS-129, included three spacewalks and the installation of two platforms to the International Space Station's truss, or backbone. The platforms hold large spare parts to sustain station operations after the shuttles are retired. The shuttle crew delivered about 30,000 pounds of replacement parts for systems that provide power to the station, keep it from overheating, and maintain a proper orientation in space.</t>
  </si>
  <si>
    <t>7rfmb3uuLE8</t>
  </si>
  <si>
    <t>2009 11 24</t>
  </si>
  <si>
    <t>https://youtu.be/iSEeaLb705A</t>
  </si>
  <si>
    <t>The 2009 NASA Thanksgiving Promo. Inspired by the NASA Television footage of the Astronauts enjoying meals together aboard the International Space Station.
http://www.nasa.gov
Mark R. Hailey, NASA Televisions Art Director, created this piece</t>
  </si>
  <si>
    <t>iSEeaLb705A</t>
  </si>
  <si>
    <t>https://youtu.be/kxmr-0kbMkM</t>
  </si>
  <si>
    <t>Administrator Charles Bolden interview  on Public Radio Internationals The Takeaway</t>
  </si>
  <si>
    <t>Audio of NASA Administrator Charles Bolden live interview by Miles OBrien on Public Radio Internationals The Takeaway Nov. 24, 2009. Bolden discussed yesterdays launch by President Obama of the Educate to Innovate campaign, a nationwide effort to help reach the administrations goal of moving American students from the middle of the pack to the front in science and math achievement over the next decade.</t>
  </si>
  <si>
    <t>kxmr-0kbMkM</t>
  </si>
  <si>
    <t>2009 11 20</t>
  </si>
  <si>
    <t>https://youtu.be/SEilwepb4hw</t>
  </si>
  <si>
    <t>STS-129 Flight Day 4 Highlights</t>
  </si>
  <si>
    <t>The highlights of the day from Space Shuttle Atlantis' STS-129 mission to the International Space Station.</t>
  </si>
  <si>
    <t>SEilwepb4hw</t>
  </si>
  <si>
    <t>https://youtu.be/dKx8AQc4rFI</t>
  </si>
  <si>
    <t>STS-129 EVA %231 Highlights</t>
  </si>
  <si>
    <t>STS-129 Mission Specialists Mike Foreman and Bobby Satcher conduct the first of three scheduled spacewalks on Flight Day 4.</t>
  </si>
  <si>
    <t>dKx8AQc4rFI</t>
  </si>
  <si>
    <t>2009 11 19</t>
  </si>
  <si>
    <t>https://youtu.be/DWT66OtVKuk</t>
  </si>
  <si>
    <t>Celestial Treasure Hunt</t>
  </si>
  <si>
    <t>NASA scientist Dr. Amy Mainzer describes how the Wide-field Infrared Survey Explorer (WISE) will provide a map to the universe's hidden treasures.</t>
  </si>
  <si>
    <t>DWT66OtVKuk</t>
  </si>
  <si>
    <t>2009 11 18</t>
  </si>
  <si>
    <t>https://youtu.be/wFd-SfZN1X0</t>
  </si>
  <si>
    <t>Antarctica 2009  The Sea Ice Below (Webisode 9)</t>
  </si>
  <si>
    <t>A special camera system onboard NASA's DC-8 aircraft captured these VERY high-resolution images of Antarctic sea ice last month during the mission.</t>
  </si>
  <si>
    <t>wFd-SfZN1X0</t>
  </si>
  <si>
    <t>https://youtu.be/vnHLHOqdgWQ</t>
  </si>
  <si>
    <t>STS-129 Flight Day 2 Highlights</t>
  </si>
  <si>
    <t>vnHLHOqdgWQ</t>
  </si>
  <si>
    <t>https://youtu.be/BqcWnKkEOLs</t>
  </si>
  <si>
    <t>STS-129 Rendezvous Pitch Maneuver Sped Up</t>
  </si>
  <si>
    <t>When Atlantis is about 600 feet from the station, Hobaugh will maneuver Atlantis through a backflip rotation to expose the heat shield to station Flight Engineers and photographers Jeffrey Williams and Nicole Stott. The photos will be transmitted to Mission Control for evaluation by imagery experts and mission managers to determine whether the heat shield sustained any damaged during launch.</t>
  </si>
  <si>
    <t>BqcWnKkEOLs</t>
  </si>
  <si>
    <t>2009 11 17</t>
  </si>
  <si>
    <t>https://youtu.be/6Yxilm4PmdM</t>
  </si>
  <si>
    <t>WISE L-20 News Conference</t>
  </si>
  <si>
    <t>NASA's Wide-field Infrared Survey Explorer, or Wise, is chilled out, sporting a sunshade and getting ready to roll. NASA's newest spacecraft is scheduled to roll to the pad on Friday, Nov. 20, its last stop before launching into space to survey the entire sky in infrared light. 
Wise is scheduled to launch no earlier than 9:09 a.m. EST on Dec. 9 from Vandenberg Air Force Base in California. It will circle Earth over the poles, scanning the entire sky one-and-a-half times in nine months. The mission will uncover hidden cosmic objects, including the coolest stars, dark asteroids and the most luminous galaxies. 
"The eyes of Wise are a vast improvement over those of past infrared surveys," said Edward "Ned" Wright, the principal investigator for the mission at UCLA. "We will find millions of objects that have never been seen before." 
The mission will map the entire sky at four infrared wavelengths with sensitivity hundreds to hundreds of thousands of times greater than its predecessors, cataloging hundreds of millions of objects. The data will serve as navigation charts for other missions, pointing them to the most interesting targets. NASA's Hubble and Spitzer Space Telescopes, the European Space Agency's Herschel Space Observatory, and NASA's upcoming Sofia and James Webb Space Telescope will follow up on Wise finds.</t>
  </si>
  <si>
    <t>6Yxilm4PmdM</t>
  </si>
  <si>
    <t>2009 11 16</t>
  </si>
  <si>
    <t>https://youtu.be/zsJpUCWfyPE</t>
  </si>
  <si>
    <t>STS-129 HD Launch</t>
  </si>
  <si>
    <t>Space shuttle Atlantis and its six-member crew began an 11-day delivery flight to the International Space Station on Monday with a 2:28 p.m. EST launch from NASA's Kennedy Space Center in Florida. The shuttle will transport spare hardware to the outpost and return a station crew member who spent more than two months in space. 
Atlantis is carrying about 30,000 pounds of replacement parts for systems that provide power to the station, keep it from overheating, and maintain a proper orientation in space. The large equipment can best be transported using the shuttle's unique capabilities.</t>
  </si>
  <si>
    <t>zsJpUCWfyPE</t>
  </si>
  <si>
    <t>2009 11 10</t>
  </si>
  <si>
    <t>https://youtu.be/BqUcK8omedU</t>
  </si>
  <si>
    <t>NASA Lunar Challenge Music Video</t>
  </si>
  <si>
    <t>BqUcK8omedU</t>
  </si>
  <si>
    <t>2009 11 06</t>
  </si>
  <si>
    <t>https://youtu.be/VvkGSpB5i08</t>
  </si>
  <si>
    <t>STS-129 Mission Profile</t>
  </si>
  <si>
    <t>VvkGSpB5i08</t>
  </si>
  <si>
    <t>2009 10 15</t>
  </si>
  <si>
    <t>https://youtu.be/mTnwjd8CF1c</t>
  </si>
  <si>
    <t>NASA IBEX Science Update</t>
  </si>
  <si>
    <t>NASA's Interstellar Boundary Explorer, or IBEX, spacecraft has made it possible for scientists to construct the first comprehensive sky map of our solar system and its location in the Milky Way galaxy. The new view will change the way researchers view and study the interaction between our galaxy and sun.</t>
  </si>
  <si>
    <t>mTnwjd8CF1c</t>
  </si>
  <si>
    <t>https://youtu.be/sugWiV9Slis</t>
  </si>
  <si>
    <t>NGC 6240 in 60 Seconds</t>
  </si>
  <si>
    <t>NGC 6240 is a system in which two supermassive black holes are a mere 3,000 light years apart, virtually nothing in astronomical terms.</t>
  </si>
  <si>
    <t>sugWiV9Slis</t>
  </si>
  <si>
    <t>2009 10 11</t>
  </si>
  <si>
    <t>https://youtu.be/b650wG8xPS4</t>
  </si>
  <si>
    <t>Rice University B-Roll</t>
  </si>
  <si>
    <t>During the half-time ceremonies of the Rice vs. Navy football game Oct. 10, 2009, Johnson Space Center Director Mike Coats presented Rice University President David Leebron with the Ambassador of Exploration Award that was presented posthumously to President John F. Kennedy. From left to right are Rep. Pete Olsen (R-TX), Rice University President David Leebron and JSC Director Michael Coats holding the award.
On July 20, the 40th anniversary of the Apollo 11 moon landing, NASA honored President Kennedy with the award for his vision and leadership in landing a man on the moon. The Kennedy family has selected Rice University to house and publicly display the award at Fondren Library. President Kennedy called for a national initiative to go to the moon during a speech given at Rice University on Sept. 12, 1962.</t>
  </si>
  <si>
    <t>b650wG8xPS4</t>
  </si>
  <si>
    <t>2009 10 09</t>
  </si>
  <si>
    <t>https://youtu.be/MEV4IoUh_Gk</t>
  </si>
  <si>
    <t>LCROSS Post-Impact News Conference</t>
  </si>
  <si>
    <t>LCROSS team members discuss preliminary results from the lunar impact and take questions from the media.</t>
  </si>
  <si>
    <t>MEV4IoUh_Gk</t>
  </si>
  <si>
    <t>https://youtu.be/VVYKjR1sJY4</t>
  </si>
  <si>
    <t>LCROSS Lunar Impact</t>
  </si>
  <si>
    <t>NASA's Lunar Crater Observation and Sensing Satellite, or LCROSS, created twin impacts on the moon's surface early Friday in a search for water ice. Scientists will analyze data from the spacecraft's instruments to assess whether water ice is present.
The satellite traveled 5.6 million miles during an historic 113-day mission that ended in the Cabeus crater, a permanently shadowed region near the moon's south pole. The spacecraft was launched June 18 as a companion mission to the Lunar Reconnaissance Orbiter from NASA's Kennedy Space Center in Florida. 
"The LCROSS science instruments worked exceedingly well and returned a wealth of data that will greatly improve our understanding of our closest celestial neighbor," said Anthony Colaprete, LCROSS principal investigator and project scientist at NASA's Ames Research Center in Moffett Field, Calif. "The team is excited to dive into data."</t>
  </si>
  <si>
    <t>VVYKjR1sJY4</t>
  </si>
  <si>
    <t>https://youtu.be/eG0APKeWjIA</t>
  </si>
  <si>
    <t>NASA SELECTS TARGET CRATER FOR LUNAR IMPACT OF LCROSS SPACECRAFT</t>
  </si>
  <si>
    <t>NASA has selected the crater Cabeus, near the moons South Pole, as the spot where it will search for water on the moon.  The crater is the optimal target for the impacts of 
the Lunar Crater Observation and Sensing Satellite, or LCROSS, and its spent Centaur rocket, in the early morning hours of October 9, 2009.  For more information: www.nasa.gov/lcross</t>
  </si>
  <si>
    <t>eG0APKeWjIA</t>
  </si>
  <si>
    <t>2009 10 08</t>
  </si>
  <si>
    <t>https://youtu.be/iWhFMFi1KXM</t>
  </si>
  <si>
    <t>Reporters Interview Space Station Crews 100809</t>
  </si>
  <si>
    <t>Expedition 21 and 20 crew members answer questions from CBS News Oct. 8, as handover operations continue from the Expedition 20 resident crew on the International Space Station to the newly arrived Expedition 21 crew. For more info: www.nasa.gov/station</t>
  </si>
  <si>
    <t>iWhFMFi1KXM</t>
  </si>
  <si>
    <t>https://youtu.be/JSgtXggeUKA</t>
  </si>
  <si>
    <t>Astronomy Night At The White House</t>
  </si>
  <si>
    <t>President Obama kicked off Astronomy Night on the South Lawn of the White House. Some 150 middle school students from the Washington area got to learn more about their universe using more than 20 telescopes provided by NASA and other organizations. They observed Jupiter, the moon and selected stars. Other activities included science presentations with samples of meteorites and moon rocks. NASA's Museum Alliance, a consortium of museums, science centers and planetariums conducted activities worldwide to coincide with the White House event. Astronomy Night helped note the International Year of Astronomy, a global celebration of contributions to society and culture in the 400 years since Galileo first used a telescope.</t>
  </si>
  <si>
    <t>JSgtXggeUKA</t>
  </si>
  <si>
    <t>2009 09 29</t>
  </si>
  <si>
    <t>https://youtu.be/Cqv5gH5Y5P8</t>
  </si>
  <si>
    <t>NASA TV History Emmy Award Video 2009</t>
  </si>
  <si>
    <t>This video was aired when NASA Television was honored with a Primetime Emmy Award by the Academy of Television Arts &amp; Sciences. The 2009 Philo T. Farnsworth Award recognizes the agency for engineering excellence and commemorates the 40th anniversary of the technological innovations that made possible the first live TV broadcast from the moon by the Apollo 11 crew on July 20, 1969. 
The prestigious Emmy Award, named after the man credited with designing and building the world's first working television system, honors an agency, company or institution with contributions over a long period of time that have significantly affected the state of television technology and engineering.</t>
  </si>
  <si>
    <t>Cqv5gH5Y5P8</t>
  </si>
  <si>
    <t>2009 09 25</t>
  </si>
  <si>
    <t>https://youtu.be/je0FviGlBz8</t>
  </si>
  <si>
    <t>NASA Science Briefing - A New Moon</t>
  </si>
  <si>
    <t>Participants discuss new science data from the moon collected during national and international space missions.</t>
  </si>
  <si>
    <t>je0FviGlBz8</t>
  </si>
  <si>
    <t>2009 09 16</t>
  </si>
  <si>
    <t>https://youtu.be/LTfJOa9BLak</t>
  </si>
  <si>
    <t>Desert Rats MJ Steady Interview</t>
  </si>
  <si>
    <t>As NASA prepares to send humans back to the moon, one very important aspect of future missions will include geology and scientific studies by astronauts. MJ Steady chats with Heather Paul about the geology lab project she's working on out in the field.</t>
  </si>
  <si>
    <t>LTfJOa9BLak</t>
  </si>
  <si>
    <t>https://youtu.be/gm9TS-Qy8aE</t>
  </si>
  <si>
    <t>Desert Rats Joe Kosmo interview</t>
  </si>
  <si>
    <t>NASA's Joe Kosmo chats with Heather Paul about the moon-worthy rovers and robots that are being tested during NASA's Desert Research and Technology Study field test in Black Point Lava Flow, Arizona. For more information www.nasa.gov</t>
  </si>
  <si>
    <t>gm9TS-Qy8aE</t>
  </si>
  <si>
    <t>https://youtu.be/oqfAyAVSFJI</t>
  </si>
  <si>
    <t>NASA Completes Desert Lunar Rover Testing</t>
  </si>
  <si>
    <t>One of the stops on NASA's way to the moon is the Arizona desert. The 2009 Desert RATS - or Research 
and Technology Studies - field test simulated a 14-day lunar mission. Two crew members - an astronaut 
and a geologist - lived for 14 days inside NASA's prototype Lunar Electric Rover, scouting the area for 
features of geological interest and conducting moonwalks as necessary to collect samples. Other 
prototype vehicles tested include Ames's K-10 robotic scout and JPL's Tri-Athlete cargo handling and 
manipulation system.  For more information www.nasa.gov</t>
  </si>
  <si>
    <t>oqfAyAVSFJI</t>
  </si>
  <si>
    <t>2009 09 14</t>
  </si>
  <si>
    <t>https://youtu.be/eqwREzgsDBA</t>
  </si>
  <si>
    <t>Desert Rats Wheels</t>
  </si>
  <si>
    <t>The moon's terrain and extreme temperatures will require future lunar rovers and robots to have a set of wheels unlike anything used by vehicles on the Earth. Vivake Asnani explains what makes the TWEEL (tire/wheel) concept a more suitable candidate than rubber, air-filled tires.</t>
  </si>
  <si>
    <t>eqwREzgsDBA</t>
  </si>
  <si>
    <t>2009 09 12</t>
  </si>
  <si>
    <t>https://youtu.be/7CRVdsVIKnY</t>
  </si>
  <si>
    <t>STS-128 Mission Highlights</t>
  </si>
  <si>
    <t>7CRVdsVIKnY</t>
  </si>
  <si>
    <t>https://youtu.be/V53LU_IWgqo</t>
  </si>
  <si>
    <t>STS-128 Landing</t>
  </si>
  <si>
    <t>Space shuttle Discovery and its crew of seven astronauts ended a 14-day journey of more than 5.7 million miles with a 5:53 p.m. PDT landing Friday at Edwards Air Force Base in California.</t>
  </si>
  <si>
    <t>V53LU_IWgqo</t>
  </si>
  <si>
    <t>2009 09 11</t>
  </si>
  <si>
    <t>https://youtu.be/Y9RAWPBoi3I</t>
  </si>
  <si>
    <t>LCROSS Impact Crater Selection Briefing</t>
  </si>
  <si>
    <t>Y9RAWPBoi3I</t>
  </si>
  <si>
    <t>2009 09 10</t>
  </si>
  <si>
    <t>https://youtu.be/DdkIN944Y98</t>
  </si>
  <si>
    <t>STS-128 Mission Status Briefing 090909</t>
  </si>
  <si>
    <t>Richard Jones, STS-128 Entry Flight Director discusses the upcoming landing of the Space Shuttle Discovery and her crew.</t>
  </si>
  <si>
    <t>DdkIN944Y98</t>
  </si>
  <si>
    <t>2009 09 09</t>
  </si>
  <si>
    <t>https://youtu.be/ZUl5oMfjq0A</t>
  </si>
  <si>
    <t>Hubble  A New Beginning News Conference 090909</t>
  </si>
  <si>
    <t>NASA's Hubble Space Telescope is back in business after astronauts refurbished it in May. These first snapshots from Hubble showcase the 19-year-old telescope's new vision.</t>
  </si>
  <si>
    <t>ZUl5oMfjq0A</t>
  </si>
  <si>
    <t>https://youtu.be/1j3nQv-LSOc</t>
  </si>
  <si>
    <t>Hubble Time</t>
  </si>
  <si>
    <t>NASA employee music video tribute to last space shuttle mission to service the Hubble Space Telescope. Images include mission operations and new images from the refurbished telescope. Hubble Time written and performed by Jon Morse, with guitar by Steve Martel. Engineered and mixed by Kelly Snook.  Video editing by Andrew Gelfman.</t>
  </si>
  <si>
    <t>1j3nQv-LSOc</t>
  </si>
  <si>
    <t>2009 09 04</t>
  </si>
  <si>
    <t>https://youtu.be/m3cu-NsfX2A</t>
  </si>
  <si>
    <t>The Leading Edge  NASA Aeronautics</t>
  </si>
  <si>
    <t>Increased air traffic requires a new system-wide technology that can support the volume of operations projected for the 21st century. This new satellite-based technology is "Automatic Dependent Surveillance-Broadcast," or ADS-B.  
Join host Beth Dickey, NASA's Dr. Jaiwon Shin, associate administrator for the Aeronautics Research Mission Directorate, and a panel of industry and government experts who'll talk about the United Parcel Service field test, NASA's contribution to the implementation of ADS-B, the significant improvements it can make to air transportation safety and efficiency, and the challenges of phasing it into a complex system that never sleeps.</t>
  </si>
  <si>
    <t>m3cu-NsfX2A</t>
  </si>
  <si>
    <t>2009 08 30</t>
  </si>
  <si>
    <t>https://youtu.be/KBLPkxhSGlM</t>
  </si>
  <si>
    <t>STS-128 HD Launch</t>
  </si>
  <si>
    <t>With seven astronauts and a host of experiments and equipment on board, space shuttle Discovery completed a flawless ascent into orbit Friday night to begin a two-day chase of the International Space Station. With Commander Rick "C.J. " Sturckow at the controls, the shuttle lifted off on-time at 11:59 p.m. EDT from NASA's Kennedy Space Center in Florida. The crew will rendezvous and dock with the station Sunday and the crew will begin transferring equipment to the outpost during the 13-day mission.
After flying up on Discovery, Nicole Stott will trade places with station resident Tim Kopra, who went into space last month aboard Endeavour. Equipment and science racks for the orbiting laboratory are riding inside the Leonardo cargo module, which is secured tightly inside Discovery's payload bay. The module will be lifted out of Discovery and locked onto the station so the crew can transfer the gear efficiently. The treadmill named for comedian Stephen Colbert also is aboard Discovery and destined for the station.</t>
  </si>
  <si>
    <t>KBLPkxhSGlM</t>
  </si>
  <si>
    <t>2009 08 21</t>
  </si>
  <si>
    <t>https://youtu.be/5Tnq4TJYN7A</t>
  </si>
  <si>
    <t>The Colbert Report - Greetings NASA</t>
  </si>
  <si>
    <t>Actor Stephen Colbert sends a message to NASA.</t>
  </si>
  <si>
    <t>5Tnq4TJYN7A</t>
  </si>
  <si>
    <t>2009 08 12</t>
  </si>
  <si>
    <t>https://youtu.be/1-ibOQM7Ua0</t>
  </si>
  <si>
    <t>How to Build a Planet</t>
  </si>
  <si>
    <t>JPL Spitzer Space Telescope astronomer explains a colorful animation of two planets colliding and spewing lava and vaporized rock.</t>
  </si>
  <si>
    <t>1-ibOQM7Ua0</t>
  </si>
  <si>
    <t>https://youtu.be/5VH3Y-OfHnI</t>
  </si>
  <si>
    <t>Sentinels of the Heliosphere</t>
  </si>
  <si>
    <t>What NASA calls its 'Heliophysics Observatory' is an impressive fleet of spacecraft designed (often with international partnership) to study the relationship between the Sun, Earth, and Solar System. Flying in an array of trajectories and orbits, many of these satellites do not take images in the conventional sense but record fields, particle energies and fluxes in situ to give mankind a better understanding of space weather and space environments.</t>
  </si>
  <si>
    <t>5VH3Y-OfHnI</t>
  </si>
  <si>
    <t>https://youtu.be/mTDYHbW8DdI</t>
  </si>
  <si>
    <t>Little SDO Tons of Data</t>
  </si>
  <si>
    <t>Little SDO demonstrates just how much data he sends every day.</t>
  </si>
  <si>
    <t>mTDYHbW8DdI</t>
  </si>
  <si>
    <t>https://youtu.be/dLQsQUopFfA</t>
  </si>
  <si>
    <t>Overview of NASA's SDO Mission</t>
  </si>
  <si>
    <t>Insight into the SDO Mission.</t>
  </si>
  <si>
    <t>dLQsQUopFfA</t>
  </si>
  <si>
    <t>https://youtu.be/pJmCEVA1UUk</t>
  </si>
  <si>
    <t>Introductory Trailer to Chandra</t>
  </si>
  <si>
    <t>To commemorate Chandra's ten years in orbit, a new trailer has been produced to spotlight NASA's premier X-ray telescope. This short video begins with Galileo some 400 years ago and brings the viewer to modern astronomy, of which Chandra's high-energy Universe plays a critical role.
Transcript: In Florence, Italy, in the year 1609, the world changed. Using a small telescope, Galileo proved that the Earth is not distinct from the universe, but part of it. And he showed that there is much more to the universe than we see with the naked eye.
In the twentieth century, astronomers made another revolutionary discovery - that optical telescopes reveal only a portion of the universe. Telescopes sensitive to invisible wavelengths of light have detected microwave radiation from the Big Bang, infrared radiation from proto-planetary disks around stars, and X-rays from explosions produce by black holes.
Ten years ago this July, the most powerful X-ray telescope ever made began its exploration of the hot Universe. Explore the Universe with Chandra.</t>
  </si>
  <si>
    <t>pJmCEVA1UUk</t>
  </si>
  <si>
    <t>2009 08 03</t>
  </si>
  <si>
    <t>https://youtu.be/Maic3IzHSew</t>
  </si>
  <si>
    <t>The Vision of Next Gen</t>
  </si>
  <si>
    <t>The Vision of NextGen 
This video, produced by the Joint Planning and Development Office (JPDO), shows what future air travel might look like. NextGen, or, the Next Generation Air Transportation System. NASA and its fellow members of the Joint Planning and Development Office (JPDO) are creating NextGen by the year 2025 ("MMXXV") to manage increasing air traffic safely and efficiently while reducing its impact on the environment. This JPDO video shows a future aircraft with its wings blended into its body moving cleanly through the sky. It also shows future options for directing air traffic into and out of airports that are more customized to aircraft trajectories.</t>
  </si>
  <si>
    <t>Maic3IzHSew</t>
  </si>
  <si>
    <t>2009 07 24</t>
  </si>
  <si>
    <t>https://youtu.be/eJlIzRzaJec</t>
  </si>
  <si>
    <t>This Week @ NASA 07 24 09</t>
  </si>
  <si>
    <t>A weekly summary of the latest news, events and mission activities at NASA</t>
  </si>
  <si>
    <t>eJlIzRzaJec</t>
  </si>
  <si>
    <t>2009 07 20</t>
  </si>
  <si>
    <t>https://youtu.be/0UWTynMJdvw</t>
  </si>
  <si>
    <t>The Apollo Legacy - The Moon and Beyond 7 20 09</t>
  </si>
  <si>
    <t>The Apollo 11 mission — one of the worlds most significant achievements — had fulfilled President. Kennedys 1961 challenge to the nation: send an American safely to the moon before the end of the decade.
To commemorate the 40th anniversary of this historic flight, the Newseum was host for a special program on the future of space discovery,  A public event honoring Apollo 11s anniversary and NASAs ongoing exploration of space.
Veteran journalist Nick Clooney moderated a panel discussion with Aldrin, Charlie Duke of Apollo 16, John Grunsfeld, of the recent Hubble mission, and Goddard Space Flight Center deputy director Laurie Leshin.</t>
  </si>
  <si>
    <t>0UWTynMJdvw</t>
  </si>
  <si>
    <t>https://youtu.be/4A8BEIVa1rM</t>
  </si>
  <si>
    <t>Apollo 40th Anniversary Press Conference</t>
  </si>
  <si>
    <t>4A8BEIVa1rM</t>
  </si>
  <si>
    <t>2009 07 18</t>
  </si>
  <si>
    <t>https://youtu.be/n8OCTq_D4KU</t>
  </si>
  <si>
    <t>Remembering Walter Cronkite</t>
  </si>
  <si>
    <t>n8OCTq_D4KU</t>
  </si>
  <si>
    <t>https://youtu.be/rIvn_CCG9hc</t>
  </si>
  <si>
    <t>Apollo History and Legacy Panel 071609</t>
  </si>
  <si>
    <t>rIvn_CCG9hc</t>
  </si>
  <si>
    <t>2009 07 17</t>
  </si>
  <si>
    <t>https://youtu.be/0o5V6wjuYE0</t>
  </si>
  <si>
    <t>STS-127 Flight Day 2 Highlights</t>
  </si>
  <si>
    <t>0o5V6wjuYE0</t>
  </si>
  <si>
    <t>2009 07 15</t>
  </si>
  <si>
    <t>https://youtu.be/8DNljVcs6Dc</t>
  </si>
  <si>
    <t>STS-127 Launch HD</t>
  </si>
  <si>
    <t>NASA'S SHUTTLE ENDEAVOUR LAUNCHES TO COMPLETE JAPANESE MODULE
CAPE CANAVERAL, Fla. -- Space shuttle Endeavour and its seven-member crew launched at 6:03 p.m. EDT Wednesday from NASA's Kennedy Space Center in Florida. The mission will deliver the final segment to the Japan Aerospace Exploration Agency's Kibo laboratory and a new crew member to the International Space Station.
Endeavour's 16-day mission includes five spacewalks and the installation of two platforms outside the Japanese module. One platform is permanent and will allow experiments to be directly exposed to space. The other is an experiment storage pallet that will be detached and returned with the shuttle. During the mission, Kibo's robotic arm will transfer three experiments from the pallet to the exposed platform. Future experiments also can be moved to the platform from the inside of the station using the laboratory's airlock.
Shortly before liftoff, Commander Mark Polansky thanked the teams that helped make the launch possible. 
"Endeavour has patiently waited for this," said Polansky. "We're ready to go, and we're going to take all of you with us on a great mission."</t>
  </si>
  <si>
    <t>8DNljVcs6Dc</t>
  </si>
  <si>
    <t>2009 07 11</t>
  </si>
  <si>
    <t>https://youtu.be/FYHY_BVj1Xo</t>
  </si>
  <si>
    <t>Lightning Strikes on Space Shuttle Launch Pad 39A 7 10 09</t>
  </si>
  <si>
    <t>Lightning strikes on Launch Pad 39A at NASA's Kennedy Space Center, Fla., are captured by an Operational Television Camera. Eleven lightning strikes occurred within 0.3 miles of the pad during a thunderstorm July 10 as space shuttle Endeavour was prepared for launch. Mission managers delayed Endeavour's planned liftoff July 11 as a precaution to allow engineers and safety personnel time to analyze data and retest systems on the orbiter and solid rockets boosters.  The next launch attempt for the STS-127 mission is planned for 7:13 p.m. EDT Sunday, July 12.</t>
  </si>
  <si>
    <t>FYHY_BVj1Xo</t>
  </si>
  <si>
    <t>2009 06 30</t>
  </si>
  <si>
    <t>https://youtu.be/ozn53xl-dQA</t>
  </si>
  <si>
    <t>The Camera that Saved Hubble</t>
  </si>
  <si>
    <t>ozn53xl-dQA</t>
  </si>
  <si>
    <t>https://youtu.be/0cEtEJoLfdQ</t>
  </si>
  <si>
    <t>Soaring Over Mars</t>
  </si>
  <si>
    <t>Images from the Mars Reconnaissance Orbiter</t>
  </si>
  <si>
    <t>0cEtEJoLfdQ</t>
  </si>
  <si>
    <t>https://youtu.be/j7ZcB2UcpHY</t>
  </si>
  <si>
    <t>Cruising Over California</t>
  </si>
  <si>
    <t>Imagery from the U.S./Japanese ASTER Mission</t>
  </si>
  <si>
    <t>j7ZcB2UcpHY</t>
  </si>
  <si>
    <t>https://youtu.be/bho9AaNABrs</t>
  </si>
  <si>
    <t>Cruising Over Los Angeles</t>
  </si>
  <si>
    <t>bho9AaNABrs</t>
  </si>
  <si>
    <t>2009 06 24</t>
  </si>
  <si>
    <t>https://youtu.be/-1OTSbIzcwI</t>
  </si>
  <si>
    <t>NASA ASTRONAUT LEADS TOUR OF SPACE STATION IN HD</t>
  </si>
  <si>
    <t>Expedition 20 Flight Engineer Michael Barratt provides a 20-minute tour of the International Space Station, documenting the full 167 feet of the space station's pressurized modules. Barratts commentary describes to Mission Control in Houston how equipment and supplies are arranged and stored, and provides engineers with a detailed assessment of each module-to-module hatchway.</t>
  </si>
  <si>
    <t>-1OTSbIzcwI</t>
  </si>
  <si>
    <t>2009 06 23</t>
  </si>
  <si>
    <t>https://youtu.be/fe8gMRfLRVU</t>
  </si>
  <si>
    <t>LCROSS COMPLETES SWINGBY OF MOON</t>
  </si>
  <si>
    <t>Video imagery of the Lunar Crater Observation and Sensing Spacecraft as it successfully completed its swingby of the moon June 23, 2009. The video was recorded at one frame per second, alternating between LCROSSs visible light and infrared cameras.
LCROSS is being steered back into normal cruise mode. This swingby has provided a gravity assist into the LCROSS cruise 
orbit. During this cruise phase, the operations team will evaluate the spacecraft's health and status. The LCROSS spacecraft 
won't be "up close and personal" with the moon again until the day of impact on October 9, 2009.</t>
  </si>
  <si>
    <t>fe8gMRfLRVU</t>
  </si>
  <si>
    <t>https://youtu.be/zY1vN_DgD0o</t>
  </si>
  <si>
    <t>LRO Enters Orbit Around the Moon</t>
  </si>
  <si>
    <t>Engineers at NASA's Goddard Space Flight Center in Greenbelt, Md., confirmed the spacecraft's lunar orbit insertion at 6:27 a.m. EDT on June 23.
A series of four engine burns through June 27 will finalize LRO's initial orbit. During this phase, each of its seven instruments is checked out and brought online. LRO Project Manager Craig Tooley reports that LEND and CRaTER are already online and working well.</t>
  </si>
  <si>
    <t>zY1vN_DgD0o</t>
  </si>
  <si>
    <t>https://youtu.be/iYwJuyxrqa8</t>
  </si>
  <si>
    <t>LRO Enters Lunar Orbit 062309</t>
  </si>
  <si>
    <t>The scene at Goddard Space Flight Center as the Lunar Reconnaissance Orbiter enters lunar orbit.</t>
  </si>
  <si>
    <t>iYwJuyxrqa8</t>
  </si>
  <si>
    <t>2009 06 22</t>
  </si>
  <si>
    <t>https://youtu.be/XC4aOSDkk84</t>
  </si>
  <si>
    <t>NASACast  Whats Up June 09</t>
  </si>
  <si>
    <t>Look up this month and see hundreds of thousands of ancient stars, all held together by gravity. Its the Hercules Globular Cluster  M-13!</t>
  </si>
  <si>
    <t>XC4aOSDkk84</t>
  </si>
  <si>
    <t>2009 06 19</t>
  </si>
  <si>
    <t>https://youtu.be/IfLJvV1ples</t>
  </si>
  <si>
    <t>This Week @ NASA 06 19 09</t>
  </si>
  <si>
    <t>IfLJvV1ples</t>
  </si>
  <si>
    <t>2009 06 18</t>
  </si>
  <si>
    <t>https://youtu.be/j-5t4de6jjI</t>
  </si>
  <si>
    <t>LRO LCROSS launch 06 18 09</t>
  </si>
  <si>
    <t>NASA's Lunar Reconnaissance Orbiter launched at 5:32 p.m. EDT aboard an Atlas V rocket from Cape Canaveral Air Force Station in Florida. The satellite will relay more information about the lunar environment than any other previous mission to the moon.
The orbiter, known as LRO, separated from the Atlas V rocket carrying it and a companion mission, the Lunar Crater Observation and Sensing Satellite. The LCROSS handoff is expected to occur in about two hours and 10 minutes.</t>
  </si>
  <si>
    <t>j-5t4de6jjI</t>
  </si>
  <si>
    <t>https://youtu.be/GdpYodE0Bms</t>
  </si>
  <si>
    <t>GOES-O Ready To Launch</t>
  </si>
  <si>
    <t>06.16.09 - This video shows a quick tour and overview of the facilities where the GOES-O satellite was built and tested prior to launch. The spacecraft will be launched on a United Launch Alliance Delta IV rocket from Cape Canaveral, FL.</t>
  </si>
  <si>
    <t>GdpYodE0Bms</t>
  </si>
  <si>
    <t>https://youtu.be/C5324Ihupko</t>
  </si>
  <si>
    <t>LRO  The Next Step</t>
  </si>
  <si>
    <t>Lunar Reconnaissance Orbiter</t>
  </si>
  <si>
    <t>C5324Ihupko</t>
  </si>
  <si>
    <t>2009 06 16</t>
  </si>
  <si>
    <t>https://youtu.be/Z4t8LrUSTMo</t>
  </si>
  <si>
    <t>STS 127 Rotating Service Structure Roll Back Time Lapse</t>
  </si>
  <si>
    <t>Space shuttle Endeavour is in launch position at NASA's Kennedy Space Center in Florida following rollback of the Launch Pad 39A rotating service structure.
Endeavour is scheduled to lift off at 5:40 a.m. EDT Wednesday, beginning its STS-127 mission. At 1:15 p.m. today, clocks will begin counting back from T-11 hours toward launch.
The mission management team is scheduled to meet at 7:30 p.m. to give the "go/no-go" to begin loading Endeavour's external fuel tank with liquid propellants. With managers' approval, fueling will begin at 8:15 p.m.
Launch weather looks good, with an 80 percent chance of favorable conditions forecast for the final hours of the countdown</t>
  </si>
  <si>
    <t>Z4t8LrUSTMo</t>
  </si>
  <si>
    <t>2009 06 15</t>
  </si>
  <si>
    <t>https://youtu.be/yruN1iqeorw</t>
  </si>
  <si>
    <t>LRO Webcast</t>
  </si>
  <si>
    <t>The Lunar Reconnaissance Orbiter, or LRO, and Lunar Crater Observation and Sensing Satellite, or LCROSS, are set to lift off together aboard an Atlas V rocket on Thursday, June 18. There are three launch opportunities from Cape Canaveral Air Force Station in Florida: 5:12 p.m., 5:22 p.m. and 5:32 p.m. 
Thursday's liftoff of LRO and LCROSS is postponed 24 hours, the launch times Friday are 6:41 p.m., 6:51 p.m. and 7:01 p.m. Saturday's opportunities are 8:08 p.m., 8:18 p.m. and 8:28 p.m. 
LRO is scheduled for a one-year exploration mission at a polar orbit of about 31 miles, or 50 kilometers, the closest any spacecraft has orbited the moon. The primary objective of LRO is to conduct investigations to prepare for future explorations of the moon. 
Launching with LRO is LCROSS, a partner mission that will search for water ice on the moon by sending the spent upper-stage Centaur rocket, about the size of a sports utility vehicle, to impact part of a polar crater in permanent shadows. LCROSS will fly into the plume of dust left by the impact and measure the properties before also colliding with the lunar surface.</t>
  </si>
  <si>
    <t>yruN1iqeorw</t>
  </si>
  <si>
    <t>2009 06 09</t>
  </si>
  <si>
    <t>https://youtu.be/qmHIOPUGTLE</t>
  </si>
  <si>
    <t>qmHIOPUGTLE</t>
  </si>
  <si>
    <t>2009 06 01</t>
  </si>
  <si>
    <t>https://youtu.be/Or2zd5R1iMA</t>
  </si>
  <si>
    <t>Ferry Ride  STS 125</t>
  </si>
  <si>
    <t>Mounted on a modified Boeing 747 shuttle carrier aircraft, Atlantis took off from Edwards Air Force Base, Calif. The trip, flown during daylight hours and in precipitation-free weather, will necessitate several stopovers for fueling and is expected to take at least two days to complete.</t>
  </si>
  <si>
    <t>Or2zd5R1iMA</t>
  </si>
  <si>
    <t>2009 05 31</t>
  </si>
  <si>
    <t>https://youtu.be/N1WvVRavXsI</t>
  </si>
  <si>
    <t>ENDEAVOUR ROLLAROUND AT KENNEDY</t>
  </si>
  <si>
    <t>Space shuttle Endeavour moved from Launch Pad 39B to 39A at NASA's Kennedy Space Center, Fla. on Sunday, May 31. Endeavour is targeted to lift off June 13 on a 16-day mission to the International Space Station.</t>
  </si>
  <si>
    <t>N1WvVRavXsI</t>
  </si>
  <si>
    <t>2009 05 28</t>
  </si>
  <si>
    <t>https://youtu.be/Csxx3xtfXQM</t>
  </si>
  <si>
    <t>STS-127 Preflight Briefing Video Feed</t>
  </si>
  <si>
    <t>Animations and Neutral Buoyancy Lab simulations video for the upcoming STS-127 mission.</t>
  </si>
  <si>
    <t>Csxx3xtfXQM</t>
  </si>
  <si>
    <t>https://youtu.be/liNoFnp62eI</t>
  </si>
  <si>
    <t>Student from Lenexa, Kansas Provides Official New Name for Mars Science Laboratory</t>
  </si>
  <si>
    <t>NASA has selected the winner of its rover-naming contest based on the quality of student essays, name preferences of the Mars Science Project leaders and a non-binding public poll. The online poll received more than 65,000 votes worldwide. The winner receives a trip to NASAs Jet Propulsion Laboratory in Pasadena, Calif., where she will be invited to sign her name directly onto the rover as it is being assembled.</t>
  </si>
  <si>
    <t>liNoFnp62eI</t>
  </si>
  <si>
    <t>2009 05 24</t>
  </si>
  <si>
    <t>https://youtu.be/QvEU2XRwlCw</t>
  </si>
  <si>
    <t>STS 125 Mission Highlights</t>
  </si>
  <si>
    <t>STS-125 MISSION HIGHLIGHTS
Highlights of the crew of space shuttle Atlantis as they conduct the final servicing mission to the Hubble Space Telescope over 13 days and approximately 5.3 million miles. Atlantis' astronauts conducted five successful spacewalks during their STS-125 flight to enhance and extend the life of the orbiting observatory.</t>
  </si>
  <si>
    <t>QvEU2XRwlCw</t>
  </si>
  <si>
    <t>2009 05 11</t>
  </si>
  <si>
    <t>https://youtu.be/n1MGVpJjnk0</t>
  </si>
  <si>
    <t>NASA's Oldest Hubble Instrument Pictures Infinity Right Up To The End</t>
  </si>
  <si>
    <t>The fourth day of Space Shuttle Atlantis's mission to the Hubble Space Telescope
will bring the sunset of Hubble's longest serving, most prolific instrument  
NASA's Wide Field and Planetary Camera 2 (WFPC2). The camera, the workhorse of 
Hubble imaging for over 15 years, will return to Earth aboard Atlantis this month. 
The camera saved the day for Hubble after the observatory's original camera had a 
"vision problem." On May 4, WFPC2 imaged nebula K4-55. The camera's final pretty picture shows 
a planetary nebula, with the outer layers of a star expelled when the star died.</t>
  </si>
  <si>
    <t>n1MGVpJjnk0</t>
  </si>
  <si>
    <t>https://youtu.be/JhkVEBUwqgo</t>
  </si>
  <si>
    <t>NASA Commander Tweets To Take Questions In Space</t>
  </si>
  <si>
    <t>NASA astronaut Mark Polansky, commander of the next space shuttle mission to the 
International Space Station, is sharing the final weeks of his training on Twitter. 
Polansky invites followers to submit questions that he will answer from orbit during 
his mission, STS-127, targeted to launch in June. Questions should be submitted in 
the form of a video not longer than 30 seconds, posted to YouTube, and a link to the 
video sent to Polansky's twitter account at:http://twitter.com/Astro_127. 
Questions will be selected each week to be among those Polansky will answer from space, 
live on NASA Television. The questions that have been selected will be announced on 
his Twitter feed each week.</t>
  </si>
  <si>
    <t>JhkVEBUwqgo</t>
  </si>
  <si>
    <t>2009 05 04</t>
  </si>
  <si>
    <t>https://youtu.be/sc1Fug8l4g8</t>
  </si>
  <si>
    <t>NASA'S Head of Science Mission Directorate Discusses History of Hubble Space Telescope</t>
  </si>
  <si>
    <t>Dr. Ed Weiler is considered by many as the face of the Hubble Space Telescope. He is presently serving his second tour as head of NASA's Science Mission Directorate in Washington. His scientific expertise and commitment to excellence have earned him numerous distinctions over the years. His relationship with the observatory spans three decades. From his beginning role as chief scientist to numerous management responsibilities, Weiler has been involved with the telescope for 33 years, well before Hubble's 1990 launch, subsequent technical challenges, and eventual place in history as one of humankind's greatest scientific achievements.</t>
  </si>
  <si>
    <t>sc1Fug8l4g8</t>
  </si>
  <si>
    <t>2009 04 30</t>
  </si>
  <si>
    <t>https://youtu.be/OG8QaJiyH_A</t>
  </si>
  <si>
    <t>Astronaut Mike Fincke Expedition 18 Mission B-Roll</t>
  </si>
  <si>
    <t>From launch to landing, video B-Roll of International Space Station Expedition 18 Commander Mike Fincke's journey.</t>
  </si>
  <si>
    <t>OG8QaJiyH_A</t>
  </si>
  <si>
    <t>2009 04 28</t>
  </si>
  <si>
    <t>https://youtu.be/cWYJY7ls4Jc</t>
  </si>
  <si>
    <t xml:space="preserve"> Return to Hubble - Yes We Can America  Music Video</t>
  </si>
  <si>
    <t>A music video tribute to the dedicated astronauts and NASA workforce who'll refurbish and upgrade the Hubble Space Telescope. The original score was created by a team of NASA Headquarters employees in their spare time.</t>
  </si>
  <si>
    <t>cWYJY7ls4Jc</t>
  </si>
  <si>
    <t>2009 04 24</t>
  </si>
  <si>
    <t>https://youtu.be/rNGjNsYuP6E</t>
  </si>
  <si>
    <t>MISSION UPDATE  AIRBORNE SCIENCES</t>
  </si>
  <si>
    <t>rNGjNsYuP6E</t>
  </si>
  <si>
    <t>2009 04 23</t>
  </si>
  <si>
    <t>https://youtu.be/J5pB5rTYUAg</t>
  </si>
  <si>
    <t xml:space="preserve">Hubble Celebrates its 19th Anniversary with the  Fountain of Youth </t>
  </si>
  <si>
    <t>To commemorate its 19 years of operation, the Hubble Space Telescope has taken an image of the Arp 194 system of galaxies. This interacting galaxy group contains several galaxies along with a "cosmic fountain" of stars, gas, and dust that stretches over 100,000 light-years.</t>
  </si>
  <si>
    <t>J5pB5rTYUAg</t>
  </si>
  <si>
    <t>2009 04 22</t>
  </si>
  <si>
    <t>https://youtu.be/_WUpjXHo-O4</t>
  </si>
  <si>
    <t>A Tour of the Cryosphere</t>
  </si>
  <si>
    <t>This animation portrays fluctuations in the cryosphere through observations collected from a variety of satellite-based sensors. The animation begins in Antarctica, showing ice thickness ranging from 2.7 to 4.8 kilometers thick along with swaths of polar stratospheric clouds. In a tour of this frozen continent, the animation shows some unique features of the Antarctic landscape found nowhere else on earth. Ice shelves, ice streams, glaciers, and the formation of massive icebergs can be seen.</t>
  </si>
  <si>
    <t>_WUpjXHo-O4</t>
  </si>
  <si>
    <t>https://youtu.be/gpcTbgxkOks</t>
  </si>
  <si>
    <t>Taking EarthsTemperature</t>
  </si>
  <si>
    <t>This short video describes how researchers use models to understand the Earth's changing temperature.</t>
  </si>
  <si>
    <t>gpcTbgxkOks</t>
  </si>
  <si>
    <t>https://youtu.be/TFK3-SYs4B0</t>
  </si>
  <si>
    <t>Exploring Ozone</t>
  </si>
  <si>
    <t>This short video combines dynamic ozone visualizations with an interview with leading atmospheric NASA scientist, Dr. Paul Newman. Dr. Newman explains why ozone is important, he cites the ingredients that cause an ozone hole to form, and he remarks on the future of the ozone, pointing to exciting new areas of ozone research, including the role climate change will play in future years.</t>
  </si>
  <si>
    <t>TFK3-SYs4B0</t>
  </si>
  <si>
    <t>2009 04 21</t>
  </si>
  <si>
    <t>https://youtu.be/Lj2qqoZzZ3M</t>
  </si>
  <si>
    <t>HD EARTH VIEWS FROM SPACE STATION</t>
  </si>
  <si>
    <t>In celebration of Earth Day, NASA presents images of Earth captured by cameras aboard the International Space Station. Traveling at an approximate speed of 17,500 miles per hour, the space station orbits Earth every 90 minutes from an altitude of approximately 220 miles, and can be seen from Earth with the naked eye. Its crew experiences 16 sunrises and sunsets each day.</t>
  </si>
  <si>
    <t>Lj2qqoZzZ3M</t>
  </si>
  <si>
    <t>2009 04 16</t>
  </si>
  <si>
    <t>https://youtu.be/LGtKXqd3M0k</t>
  </si>
  <si>
    <t>Kepler Captures First Views of Planet Hunting Territory</t>
  </si>
  <si>
    <t>NASA's Kepler mission has taken its first images of the star-rich sky where it will soon begin hunting for planets like Earth. The new "first light" images show the mission's target patch of sky, a vast, starry field in the Cygnus-Lyra region of our Milky Way galaxy. For the next three-and-a-half years, Kepler will search more than 100,000 sun-like stars for signs of planets.</t>
  </si>
  <si>
    <t>LGtKXqd3M0k</t>
  </si>
  <si>
    <t>https://youtu.be/tPR36FI4oGU</t>
  </si>
  <si>
    <t>Anatomy of a CME (Coronal Mass Ejection)</t>
  </si>
  <si>
    <t>tPR36FI4oGU</t>
  </si>
  <si>
    <t>2009 04 07</t>
  </si>
  <si>
    <t>https://youtu.be/CMU-9T_xWUo</t>
  </si>
  <si>
    <t>NASA Wallops Flight Facility Flies Greenland Ice Fields</t>
  </si>
  <si>
    <t>CMU-9T_xWUo</t>
  </si>
  <si>
    <t>https://youtu.be/8aLeIGCOF7Q</t>
  </si>
  <si>
    <t>Apollo 40th Anniversary - Neil Armstrong</t>
  </si>
  <si>
    <t>Neil Armstrong was a civilian test pilot assigned to test the X-15 rocket airplane before becoming an astronaut in 1962. He made his first space flight in 1966 on Gemini 8 with David R. Scott.
On July 20, 1969, Armstrong and Buzz Aldrin landed the Apollo 11 lunar module Eagle on the moon. Armstrong left the module and explored the lunar surface.
NASA celebrates the 40th Anniversary of Apollo
NASA Televisions Art Director, Mark R. Hailey, created this promo</t>
  </si>
  <si>
    <t>8aLeIGCOF7Q</t>
  </si>
  <si>
    <t>https://youtu.be/fz7bsINLUuc</t>
  </si>
  <si>
    <t>Project Mercury 50th Anniversary - John Glenn</t>
  </si>
  <si>
    <t>John Glenn was assigned to the NASA Space Task Group at Langley Research Center, Hampton, Virginia, in April 1959 after his selection as a Project Mercury Astronaut.
The Space Task Group was moved to Houston and became part of the NASA Manned Spacecraft Center (now Johnson Space Center) in 1962.
Glenn flew on Mercury-6 (February 20, 1962) and STS-95 (October 29 to November 7, 1998), and has logged over 218 hours in space.
NASA celebrates the 50th Anniversary of Project Mercury
NASA Televisions Art Director, Mark R. Hailey, created this promo</t>
  </si>
  <si>
    <t>fz7bsINLUuc</t>
  </si>
  <si>
    <t>https://youtu.be/xIQ1RTIasEs</t>
  </si>
  <si>
    <t>Arctic Sea Ice Maximum 2009</t>
  </si>
  <si>
    <t>The 2009 Arctic sea ice maximum extent has just been reached. This is a measurement of the amount of sea ice covering the Arctic at the end of each winter. For the past several decades the maximum Arctic ice extent has been declining. Scientists monitor this vital element of our planet from space with a variety of different spacecraft that make global measurements in remote and treacherous locations not easily accessible from the ground.</t>
  </si>
  <si>
    <t>xIQ1RTIasEs</t>
  </si>
  <si>
    <t>2009 04 06</t>
  </si>
  <si>
    <t>https://youtu.be/ttCZlybmUI0</t>
  </si>
  <si>
    <t>ISS Mike Fincke Crew Quarters Tour 04 03 09</t>
  </si>
  <si>
    <t>Expedition 18 commander Mike Fincke provides a brief tour of the crew quarters on the International Space Station.</t>
  </si>
  <si>
    <t>ttCZlybmUI0</t>
  </si>
  <si>
    <t>2009 04 04</t>
  </si>
  <si>
    <t>https://youtu.be/jU-KlHN6sKM</t>
  </si>
  <si>
    <t>NASA Honors James Lovell</t>
  </si>
  <si>
    <t>NASA honored astronaut James "Jim" Lovell, Jr., with the presentation of an Ambassador of Exploration Award for his contributions to the U.S. space program during a ceremony on April 3. Lovell accepted the award at the Patuxent River Naval Air Museum in Lexington Park, Md., and presented it to the museum for public display.</t>
  </si>
  <si>
    <t>jU-KlHN6sKM</t>
  </si>
  <si>
    <t>2009 04 01</t>
  </si>
  <si>
    <t>https://youtu.be/_c0ezaOWv1o</t>
  </si>
  <si>
    <t>MISSION UPDATE  SWIFT</t>
  </si>
  <si>
    <t>They occur approximately once per day; brief, intense, powerful explosions of gamma ray radiation of the likes not seen since the Big Bang.  They are called Gamma-ray bursts and, scientists are somewhat mystified as to their cause.  Do they signal the birth of a black hole in a massive stellar explosion? Are they the product of two colliding neutron stars, or is there something else that prompts this intriguing phenomenon?</t>
  </si>
  <si>
    <t>_c0ezaOWv1o</t>
  </si>
  <si>
    <t>2009 03 27</t>
  </si>
  <si>
    <t>https://youtu.be/bXNH7whveGk</t>
  </si>
  <si>
    <t>STS 119 HD ISS Fly Around Sped Up</t>
  </si>
  <si>
    <t>bXNH7whveGk</t>
  </si>
  <si>
    <t>https://youtu.be/2Ola15rwl8w</t>
  </si>
  <si>
    <t>Mercury 7 50th Anniversary</t>
  </si>
  <si>
    <t>At a press conference in Washington, D.C., on April 9, 1959, NASA introduced the Mercury Seven to the public. 
The press and public soon adopted them as heroes, embodying the new spirit of space exploration. 
During the five-year life of the project, six human-tended flights and eight automated flights were completed, proving that human spaceflight was possible. These missions paved the way for the Gemini and Apollo programs as well as for all further human spaceflight.
The "Mercury Seven" were Scott Carpenter, L. Gordon Cooper, Jr., John H. Glenn, Jr., Virgil I. "Gus" Grissom, Walter M. Schirra, Jr., Alan B. Shepard, Jr., and Donald K. "Deke" Slayton.
Mark R. Hailey, NASA Televisions Art Director, created this piece</t>
  </si>
  <si>
    <t>2Ola15rwl8w</t>
  </si>
  <si>
    <t>https://youtu.be/6P0aWsZIGi0</t>
  </si>
  <si>
    <t>Apollo 40th Logo animation</t>
  </si>
  <si>
    <t>Forty years ago, men from Earth began for the first time to leave our home planet and journey to the moon. 
From 1968 to 1972, NASA's Apollo astronauts tested out new spacecraft and journeyed to uncharted destinations. 
To commemorate the 40th Anniversary of Apollo, NASA created an Apollo 40 years logo.
The logo design was created by Crabtree + Co. Mark R. Hailey, NASA Televisions Art Director, created the animation
For more information visit
http://www.nasa.gov/mission_pages/apollo/40th/index.html</t>
  </si>
  <si>
    <t>6P0aWsZIGi0</t>
  </si>
  <si>
    <t>2009 03 26</t>
  </si>
  <si>
    <t>https://youtu.be/l9yHBjynPIQ</t>
  </si>
  <si>
    <t>Astronaut T.K. Mattingly Honored with Ambassador of Exploration Award</t>
  </si>
  <si>
    <t>Video of Apollo and space shuttle astronaut Thomas K. Ken Mattlingly, II, being awarded NASA's Ambassador of Exploration for his contributions to the U. S. space program. The ceremony was held Thursday, March 26 at Mattingly's alma mater, Auburn University, in Alabama.
Born in Chicago and raised in Miami, Mattingly was command module pilot on Apollo 16. Hed also been designated command module pilot for the Apollo 13 mission, but was pulled from the flight 72 hours before its scheduled launch because of exposure to German measles. Mattingly is one of only several Apollo astronauts to fly aboard the space shuttle, commanding both STS-4 and STS 51-C.
The Ambassador of Exploration Award honors NASAs first generation of explorers in the Mercury, Gemini and Apollo space programs for realizing America's goal of going to the moon. Mattinglys moon rock, encased in Lucite, will remain at Auburn on public display.</t>
  </si>
  <si>
    <t>l9yHBjynPIQ</t>
  </si>
  <si>
    <t>2009 03 24</t>
  </si>
  <si>
    <t>https://youtu.be/hLmKAK9u_mM</t>
  </si>
  <si>
    <t>President Obama Speaks to Shuttle and Station Crew Members - Part 3</t>
  </si>
  <si>
    <t>Part 3 - All the crew members aboard space shuttle Discovery and the International Space Station gathered in the station's Harmony module Tuesday morning and spoke to the President of the United States, members of Congress and students.</t>
  </si>
  <si>
    <t>hLmKAK9u_mM</t>
  </si>
  <si>
    <t>https://youtu.be/J6gZ-OdgQHk</t>
  </si>
  <si>
    <t>President Obama Speaks to Shuttle and Station Crew Members - Part 2</t>
  </si>
  <si>
    <t>Part 2 - All the crew members aboard space shuttle Discovery and the International Space Station gathered in the station's Harmony module Tuesday morning and spoke to the President of the United States, members of Congress and students.</t>
  </si>
  <si>
    <t>J6gZ-OdgQHk</t>
  </si>
  <si>
    <t>https://youtu.be/mJhlsDihga0</t>
  </si>
  <si>
    <t>President Obama Speaks to Shuttle and Station Crew Members - Part 1</t>
  </si>
  <si>
    <t>Part 1 - All the crew members aboard space shuttle Discovery and the International Space Station gathered in the station's Harmony module Tuesday morning and spoke to the President of the United States, members of Congress and students.</t>
  </si>
  <si>
    <t>mJhlsDihga0</t>
  </si>
  <si>
    <t>2009 03 12</t>
  </si>
  <si>
    <t>https://youtu.be/am6apAFLhbM</t>
  </si>
  <si>
    <t>NASA Edge Promo with ESPN's Mike and  Mike In the Morning</t>
  </si>
  <si>
    <t>NASA EDGE takes an inside and outside look at all things NASA.  For more information, visit http://www.nasa.gov/nasaedge.</t>
  </si>
  <si>
    <t>am6apAFLhbM</t>
  </si>
  <si>
    <t>2009 03 09</t>
  </si>
  <si>
    <t>https://youtu.be/epF788YoiNQ</t>
  </si>
  <si>
    <t>Rover Undergrad</t>
  </si>
  <si>
    <t>Internships at JPL helped one women build her career as a software engineer working on robotics.</t>
  </si>
  <si>
    <t>epF788YoiNQ</t>
  </si>
  <si>
    <t>https://youtu.be/X2YeIjoIEgw</t>
  </si>
  <si>
    <t>Sun Earth Day -- April 20, 2009</t>
  </si>
  <si>
    <t>X2YeIjoIEgw</t>
  </si>
  <si>
    <t>https://youtu.be/D78zIB6Vf6Y</t>
  </si>
  <si>
    <t>Sun-Earth Day Live Web Cast  3 20 2009</t>
  </si>
  <si>
    <t>On March 20, 2009, at 1:00 p.m. EDT, join a panel of scientists for a live Sun-Earth Day Webcast on www.nasa.gov and NASA TV. During the webcast, scientists will share discoveries about the sun, while students monitor the sun and prepare their own space weather forecast. New and exciting images and animations will be shared during the program. Sun-Earth Day is comprised of a series of programs and events that occur throughout the year culminating with a celebration on or near the Spring Equinox. For Sun-Earth Day 2009, NASA will engage a worldwide audience in the celebration of the International Year of Astronomy, with an emphasis on daytime astronomy. Tremendous strides have been made as satellites and ground-based observatories attentively monitor the sun to understand the processes that govern the sun's influence on the solar system. NASA will offer a series of coordinated events to promote and highlight the sun and its connection to Earth and other planets. The events will support the spirit of international collaboration.  Please visit http://sunearthday.nasa.gov/2009/index.php for information about Sun Earth Day 2009.</t>
  </si>
  <si>
    <t>D78zIB6Vf6Y</t>
  </si>
  <si>
    <t>https://youtu.be/NN18JukIWsA</t>
  </si>
  <si>
    <t>Sun-Earth Day Live Web Cast 3 20 2009</t>
  </si>
  <si>
    <t>NN18JukIWsA</t>
  </si>
  <si>
    <t>2009 03 07</t>
  </si>
  <si>
    <t>https://youtu.be/A1pKRoUk-A4</t>
  </si>
  <si>
    <t>NASA Kepler Mission Launch</t>
  </si>
  <si>
    <t>A1pKRoUk-A4</t>
  </si>
  <si>
    <t>2009 03 02</t>
  </si>
  <si>
    <t>https://youtu.be/UYx-Tue1ofs</t>
  </si>
  <si>
    <t>LANDsat 25 Years</t>
  </si>
  <si>
    <t>Still observing the Earth after 25 years -- 22 beyond its three-year primary mission lifetime -- Landsat 5 collects valuable scientific data daily. Some attribute the satellite's longevity to over-engineering. Others say it's a long run of good luck. Whatever the reason, no one who attended the satellite's March 1984 launch could have expected it would still be working today.</t>
  </si>
  <si>
    <t>UYx-Tue1ofs</t>
  </si>
  <si>
    <t>2009 02 27</t>
  </si>
  <si>
    <t>https://youtu.be/46aNzm8NudA</t>
  </si>
  <si>
    <t>BUILDING A CLEAN DREAM MACHINE FOR SPACE</t>
  </si>
  <si>
    <t>Take a behind-the-scenes tour of the Clean Room at NASA's Jet Propulsion Laboratory and see the construction of NASA's next mission to Mars</t>
  </si>
  <si>
    <t>46aNzm8NudA</t>
  </si>
  <si>
    <t>2009 02 25</t>
  </si>
  <si>
    <t>https://youtu.be/8PzPWvRMnoU</t>
  </si>
  <si>
    <t>Apollo 9 40th Anniversary</t>
  </si>
  <si>
    <t>Apollo 9 launched 40 years ago on March 3, 1969.  This video commemorates that successful mission designed to test the lunar module while in earth orbit.</t>
  </si>
  <si>
    <t>8PzPWvRMnoU</t>
  </si>
  <si>
    <t>2009 02 23</t>
  </si>
  <si>
    <t>https://youtu.be/4O9ONOOiyJ4</t>
  </si>
  <si>
    <t>MISSION UPDATE  SOFIA</t>
  </si>
  <si>
    <t>When it becomes operational in 2010, SOFIA will fly out of NASA's Dryden Aircraft Operations Facility about 100 nights a year. During its expected 20-year lifetime, SOFIA will make "Great Observatory"class astronomical science  by seeing the heavens in a different light.</t>
  </si>
  <si>
    <t>4O9ONOOiyJ4</t>
  </si>
  <si>
    <t>2009 02 20</t>
  </si>
  <si>
    <t>https://youtu.be/ptb11d0WJAs</t>
  </si>
  <si>
    <t>Space Shuttle Astronaut, Educator Joseph Acaba's Message to Students (Spanish Version)</t>
  </si>
  <si>
    <t>NASA astronauts and educators Joseph Acaba and Richard Arnold, crewmembers of the next space shuttle mission have special messages for teachers and students. The message from Acaba and Arnold, both former middle and high school science teachers, urge students and educators to take advantage of teaching materials on NASA's website as a compliment to their mission. The 14 day STS-119 shuttle mission will install a final set of solar arrays on the International Space Station and will include four spacewalks. Acaba will conduct two spacewalks, and Arnold will conduct three. The educational materials focus on NASA's spacesuits. For more information, visit: www.nasa.gov/education/spacesuits</t>
  </si>
  <si>
    <t>ptb11d0WJAs</t>
  </si>
  <si>
    <t>https://youtu.be/J3dq45ODHts</t>
  </si>
  <si>
    <t>Space Shuttle Astronaut, Educator Joseph Acaba's Message to Students</t>
  </si>
  <si>
    <t>J3dq45ODHts</t>
  </si>
  <si>
    <t>https://youtu.be/Hpy4qfV5Iqw</t>
  </si>
  <si>
    <t>Space Shuttle Astronaut, Educator Richard Arnold Message to Teachers</t>
  </si>
  <si>
    <t>Hpy4qfV5Iqw</t>
  </si>
  <si>
    <t>https://youtu.be/MdodLNvlo4M</t>
  </si>
  <si>
    <t>Kepler - A Search for Habitable Planets</t>
  </si>
  <si>
    <t>"Kepler is a critical component in NASA's broader efforts to ultimately find and study planets where Earth-like conditions may be present," said Jon Morse, the Astrophysics Division director at NASA Headquarters in Washington. "The planetary census Kepler takes will be very important for understanding the frequency of Earth-size planets in our galaxy and planning future missions that directly detect and characterize such worlds around nearby stars." 
The mission will spend three and a half years surveying more than 100,000 sun-like stars in the Cygnus-Lyra region of our Milky Way galaxy. It is expected to find hundreds of planets the size of Earth and larger at various distances from their stars. If Earth-size planets are common in the habitable zone, Kepler could find dozens; if those planets are rare, Kepler might find none. 
In the end, the mission will be our first step toward answering a question posed by the ancient Greeks: are there other worlds like ours or are we alone?</t>
  </si>
  <si>
    <t>MdodLNvlo4M</t>
  </si>
  <si>
    <t>2009 02 18</t>
  </si>
  <si>
    <t>https://youtu.be/pOGVRrfIWP0</t>
  </si>
  <si>
    <t>Titan Saturn System Mission</t>
  </si>
  <si>
    <t>A proposed mission to Titan would use a balloon, a lander and an orbiter to explore this Earth-like world.</t>
  </si>
  <si>
    <t>pOGVRrfIWP0</t>
  </si>
  <si>
    <t>https://youtu.be/__Kf5Ddw_CY</t>
  </si>
  <si>
    <t>The Europa Jupiter System Mission</t>
  </si>
  <si>
    <t>Can there be life elsewhere? A proposed mission to Jupiters icy moons would explore Europa and Ganymede.</t>
  </si>
  <si>
    <t>__Kf5Ddw_CY</t>
  </si>
  <si>
    <t>2009 02 06</t>
  </si>
  <si>
    <t>https://youtu.be/VVnL851PJuU</t>
  </si>
  <si>
    <t>MISSION UPDATE  KEPLER</t>
  </si>
  <si>
    <t>The Kepler spacecraft is designed to stare at one region of our Milky Way galaxy and capture images of any transits it sees. 
For more on the Kepler mission, visit www.nasa.gov/kepler</t>
  </si>
  <si>
    <t>VVnL851PJuU</t>
  </si>
  <si>
    <t>https://youtu.be/GoY3CPAlNWo</t>
  </si>
  <si>
    <t>NOAA-N Prime Soars into Polar Orbit!</t>
  </si>
  <si>
    <t>02.06.09 - NASA launches a new satellite to improve weather forecasting around the world.</t>
  </si>
  <si>
    <t>GoY3CPAlNWo</t>
  </si>
  <si>
    <t>2009 02 02</t>
  </si>
  <si>
    <t>https://youtu.be/rf96QRkuvvk</t>
  </si>
  <si>
    <t>NOAA-N Prime Mission Overview</t>
  </si>
  <si>
    <t>The NOAA-N Prime satellite, built for NASA by Lockheed Martin, will improve weather forecasting and monitor environmental events around the world. NOAA-N Prime is the fifth and last in the current series of five polar-orbiting satellites with improved imaging and sounding capabilities.</t>
  </si>
  <si>
    <t>rf96QRkuvvk</t>
  </si>
  <si>
    <t>2009 01 27</t>
  </si>
  <si>
    <t>https://youtu.be/OKvSprDt1Nc</t>
  </si>
  <si>
    <t>STATION COMMANDER CHEERS ON PITTSBURGH STEELERS FROM ORBIT</t>
  </si>
  <si>
    <t>Aboard the International Space Station, Expedition 18 Commander Mike Fincke, a Pittsburgh native, showed his true colors as he offered encouragement for the Pittsburgh Steelers in a downlink message from the station on Jan. 16, 2009.  The Steelers will face the Arizona Cardinals in Super Bowl XLIII on February 1st in Tampa, Florida.</t>
  </si>
  <si>
    <t>OKvSprDt1Nc</t>
  </si>
  <si>
    <t>https://youtu.be/g19t5UokBp4</t>
  </si>
  <si>
    <t>NASA Television Emmy Video</t>
  </si>
  <si>
    <t>NASA Television recently received an Emmy award for lifetime achievement.  This is the video that was played at the ceremony in Nashville.</t>
  </si>
  <si>
    <t>g19t5UokBp4</t>
  </si>
  <si>
    <t>2009 01 26</t>
  </si>
  <si>
    <t>https://youtu.be/tkAvr0_ifXQ</t>
  </si>
  <si>
    <t>NASA TV Emmy Award - Part 2 of 2</t>
  </si>
  <si>
    <t>NASA Television is honored with an Emmy award for lifetime achievement.</t>
  </si>
  <si>
    <t>tkAvr0_ifXQ</t>
  </si>
  <si>
    <t>https://youtu.be/XysjKLYgdeg</t>
  </si>
  <si>
    <t>NASA TV Emmy Award - Part 1 of 2</t>
  </si>
  <si>
    <t>XysjKLYgdeg</t>
  </si>
  <si>
    <t>2009 01 23</t>
  </si>
  <si>
    <t>https://youtu.be/6QV8qwNW6bg</t>
  </si>
  <si>
    <t>Mission Update  Hubble</t>
  </si>
  <si>
    <t>Hubble, the observatory, is the first major optical telescope to be placed in space, the ultimate mountaintop. Above the distortion of the atmosphere, far far above rain clouds and light pollution, Hubble has an unobstructed view of the universe. Scientists have used Hubble to observe the most distant stars and galaxies as well as the planets in our solar system.</t>
  </si>
  <si>
    <t>6QV8qwNW6bg</t>
  </si>
  <si>
    <t>https://youtu.be/0DgBW0nAkWE</t>
  </si>
  <si>
    <t>MOON ROVER PANORAMA CAMERA SHOTS OF INAUGURAL PARADE</t>
  </si>
  <si>
    <t>Moon Rover participates in Inaugural Parade</t>
  </si>
  <si>
    <t>0DgBW0nAkWE</t>
  </si>
  <si>
    <t>https://youtu.be/4oRA0uNGfKg</t>
  </si>
  <si>
    <t>NASA HEADQUARTERS DISPLAYS NEXT GENERATION LUNAR ELECTRIC ROVER</t>
  </si>
  <si>
    <t>The Lunar Electric Rover was on display outside NASA headquarters in Washington, D.C. 
Headquarters employees and media were invited to view the vehicle and ask questions of the astronauts and engineers who have been involved in its design. Personnel also attended a briefing to learn more about this next generation concept vehicle.  NASA is evaluating the Lunar Electric Rover for use when humans return to the moon.  It is about the size of a pickup truck and has the ability to house two astronauts for as long as 14 days.  The vehicle has many unique features, including the ability to move its six pairs of wheels in any combination of forward and sideways motions, enabling it to 
scramble over rough terrain.   The Lunar Electric Rover was featured in the presidential inaugural parade on January 20, 2009.</t>
  </si>
  <si>
    <t>4oRA0uNGfKg</t>
  </si>
  <si>
    <t>2009 01 21</t>
  </si>
  <si>
    <t>https://youtu.be/-hqlzaf9uno</t>
  </si>
  <si>
    <t>NASA ASTRONAUTS AND LUNAR ROVER IN INAUGURATION PARADE</t>
  </si>
  <si>
    <t>NASA astronauts who recently returned from a trip to the International Space Station joined representatives from across the country and the nation's armed forces in the 56th Inaugural Parade. The NASA contingent included a next-generation lunar rover that astronauts will use for future exploration of the moon. The parade traveled down Pennsylvania Avenue in Washington on Jan. 20 following swearing-in ceremonies for President Barack Obama and Vice President Joseph Biden.
 Many of the participating astronauts -- Commander Chris Ferguson, Pilot Eric Boe, mission specialists Donald Pettit, Steve Bowen, Heidemarie Stefanyshyn-Piper, Shane Kimbrough and Greg Chamitoff -- flew on space shuttle Endeavour in November 2008 on the STS-126 mission. 
Astronaut Mike Gernhardt drove the rover while Astronaut Rex Walheim road beside him. 
The Lunar Electric Rover is a concept vehicle about the size of a pickup truck that NASA is evaluating for use when humans return to the moon. It can house two astronauts for as long as 14 days. The vehicle has many unique features, including the ability to move its six pairs of wheels in any combination of forward and sideways motions, enabling it to scramble over rough terrain.</t>
  </si>
  <si>
    <t>-hqlzaf9uno</t>
  </si>
  <si>
    <t>https://youtu.be/lswCuvcA7YQ</t>
  </si>
  <si>
    <t>International Space Station Tour (Part IV)</t>
  </si>
  <si>
    <t>Astronaut Mike Fincke takes you on a tour of the International Space Station.</t>
  </si>
  <si>
    <t>lswCuvcA7YQ</t>
  </si>
  <si>
    <t>https://youtu.be/srQdr6kGii4</t>
  </si>
  <si>
    <t>International Space Station Tour (Part III)</t>
  </si>
  <si>
    <t>srQdr6kGii4</t>
  </si>
  <si>
    <t>https://youtu.be/F-yIqxoMBVU</t>
  </si>
  <si>
    <t>International Space Station Tour (Part II)</t>
  </si>
  <si>
    <t>F-yIqxoMBVU</t>
  </si>
  <si>
    <t>https://youtu.be/JgBgmw-2U8c</t>
  </si>
  <si>
    <t>International Space Station Tour (Part I)</t>
  </si>
  <si>
    <t>JgBgmw-2U8c</t>
  </si>
  <si>
    <t>2009 01 16</t>
  </si>
  <si>
    <t>https://youtu.be/yYZ2pGkvBi0</t>
  </si>
  <si>
    <t>Methane on Mars</t>
  </si>
  <si>
    <t>NASA scientists have discovered methane on Mars. Scientists are not yet sure what is creating this gas, but the explanation could be biological or geological.</t>
  </si>
  <si>
    <t>yYZ2pGkvBi0</t>
  </si>
  <si>
    <t>2009 01 09</t>
  </si>
  <si>
    <t>https://youtu.be/o16hvHORjWI</t>
  </si>
  <si>
    <t>Mission Update  Chandra</t>
  </si>
  <si>
    <t>The Chandra X-ray Observatory is part of NASA's ﬂeet of "Great Observatories" along with the Hubble Space Telescope, the Spitizer Space Telescope and the now deorbited Compton Gamma Ray Observatory. Chandra allows scientists from around the world to obtain unprecedented X-ray images of exotic environments to help understand the structure and evolution of the universe. Already surpassing its ﬁve-year life, NASA's Chandra X-ray Observatory is rewriting textbooks and helping advance technology.</t>
  </si>
  <si>
    <t>o16hvHORjWI</t>
  </si>
  <si>
    <t>https://youtu.be/8u6gNH6xIfc</t>
  </si>
  <si>
    <t>A Tale of Two Rovers</t>
  </si>
  <si>
    <t>The Mars Exploration Rovers "Spirit" and "Opportunity" were sent to Mars for what was planned to be a 90 day mission.  5 years later they are still roving the surface of Mars, making new discoveries almost every day.  This video celebrates the extraordinary success of these "Intrepid Explorers".</t>
  </si>
  <si>
    <t>8u6gNH6xIfc</t>
  </si>
  <si>
    <t>2009 01 08</t>
  </si>
  <si>
    <t>https://youtu.be/td2TkWIPi_o</t>
  </si>
  <si>
    <t>Mission Update  GALEX</t>
  </si>
  <si>
    <t>The Galaxy Evolution Explorer (GALEX) is an orbiting space telescope observing galaxies in ultraviolet light across 10 billion years of cosmic history. A Pegasus rocket launched GALEX into orbit at 8 a.m. EDT on April 28th, 2003. Although originally planned as a 29-month mission, the NASA Senior Review Panel in 2006 recommended that the mission lifetime be extended.</t>
  </si>
  <si>
    <t>td2TkWIPi_o</t>
  </si>
  <si>
    <t>2009 01 07</t>
  </si>
  <si>
    <t>https://youtu.be/3cyE_5_Q_3I</t>
  </si>
  <si>
    <t>Flying down to Hadley Rille</t>
  </si>
  <si>
    <t>Archival footage shows the Apollo astronauts viewpoint during their moon landing in 1971</t>
  </si>
  <si>
    <t>3cyE_5_Q_3I</t>
  </si>
  <si>
    <t>2009 01 05</t>
  </si>
  <si>
    <t>https://youtu.be/GKSP51-Uo2A</t>
  </si>
  <si>
    <t>MISSION UPDATE   FERMI</t>
  </si>
  <si>
    <t>Gamma rays, the highest energy form of light, are produced by the hottest regions of the universe: supernova explosions, black holes, neutron stars and pulsars. NASAs Fermi spacecraft orbits about 300 miles above Earth, scanning and imaging for gamma rays that scientists say hold answers to how the universe works.  For more info: www.nasa.gov/missions</t>
  </si>
  <si>
    <t>GKSP51-Uo2A</t>
  </si>
  <si>
    <t>2008 12 30</t>
  </si>
  <si>
    <t>https://youtu.be/RzMoFUorKCY</t>
  </si>
  <si>
    <t>5 Years on Mars Trailer</t>
  </si>
  <si>
    <t>NASA rovers Spirit and Opportunity may still have big achievements ahead as they approach the fifth anniversaries of their memorable landings on Mars. 
Spirit landed safely on Jan. 3, 2004, and Opportunity followed suit three weeks later. The twin rovers have worked 20 times longer than their expected warranties and made important discoveries about wet and tumultuous 
environments on Mars. 
For more information about Spirit and Opportunity, visit: 
http://www.nasa.gov/rovers</t>
  </si>
  <si>
    <t>RzMoFUorKCY</t>
  </si>
  <si>
    <t>2008 12 29</t>
  </si>
  <si>
    <t>https://youtu.be/IFLe1KWGuek</t>
  </si>
  <si>
    <t>International Space Station Crew Reflections at Year's End</t>
  </si>
  <si>
    <t>Aboard the International Space Station, Expedition 18 Commander Mike Fincke and Flight Engineers Sandy Magnus and Yury Lonchakov downlinked a message on Dec. 29, 2008. From their vantage point 220 miles above the Earth, the crew members expressed their year-end thoughts on the significance of the international outpost and their new year's wish for the complex in 2009. The crew also shared their wish for peace in the language of all of the countries represented in the space station partnership.</t>
  </si>
  <si>
    <t>IFLe1KWGuek</t>
  </si>
  <si>
    <t>2008 12 23</t>
  </si>
  <si>
    <t>https://youtu.be/y_Db6z7BVAs</t>
  </si>
  <si>
    <t>International Space Station Crew Takes a Pre-Christmas Stroll in Space</t>
  </si>
  <si>
    <t>Outside the International Space Station, Expedition 18 Commander Mike Fincke and Flight Engineer Yury Lonchakov conducted a five hour, 38 minute spacewalk in Russian spacesuits on Dec. 22, 2008. The spacewalk included work to fasten and retrieve a series of materials sciences experiments on the Russian Zvezda service module and attach a probe to the Pirs Docking Compartment airlock. The probe measures electromagnetic activity around the Russian segment of the station believed to have contributed to problems with pyrotechnic bolts that allow the sections of the Soyuz spacecraft to separate during 
its return to Earth.</t>
  </si>
  <si>
    <t>y_Db6z7BVAs</t>
  </si>
  <si>
    <t>https://youtu.be/lgl7QDMP6G0</t>
  </si>
  <si>
    <t>Five Years On Mars</t>
  </si>
  <si>
    <t>In January, NASA's Jet Propulsion Laboratory will celebrate the fifth anniversary of Spirit and Opportunity landing on Mars, and the twin rovers will continue with their newest adventures.</t>
  </si>
  <si>
    <t>lgl7QDMP6G0</t>
  </si>
  <si>
    <t>2008 12 19</t>
  </si>
  <si>
    <t>https://youtu.be/_JDWqRkh-oU</t>
  </si>
  <si>
    <t>ISS Crew Pays Tribute to Apollo 8</t>
  </si>
  <si>
    <t>International Space Station Crew Pays Tribute to the First Circumnavigation of the Moon.  Aboard the International Space Station, Expedition 18 Commander Mike Fincke and Flight Engineer Sandy Magnus paid tribute to the crew of Apollo 8 in commemorating the 40th anniversary of the flight of Frank Borman, James Lovell and Bill Anders, who became the first humans to orbit the moon, in a downlink message received Dec. 9, 2008. Borman, Lovell and Anders launched on Dec. 21, 1968, and entered orbit around the moon on Christmas Eve. They returned to Earth on Dec. 27, 1968.</t>
  </si>
  <si>
    <t>_JDWqRkh-oU</t>
  </si>
  <si>
    <t>2008 12 18</t>
  </si>
  <si>
    <t>https://youtu.be/k9pSxADfP54</t>
  </si>
  <si>
    <t>You're Watching NASA TV</t>
  </si>
  <si>
    <t>Promo for NASA Television</t>
  </si>
  <si>
    <t>k9pSxADfP54</t>
  </si>
  <si>
    <t>https://youtu.be/lxWBlJ1kB7Q</t>
  </si>
  <si>
    <t>Solar Particles and Earth's Magnetic Field</t>
  </si>
  <si>
    <t>NASA's THEMIS mission has overturned a longstanding belief about the interaction between solar particles and Earth's magnetic field.</t>
  </si>
  <si>
    <t>lxWBlJ1kB7Q</t>
  </si>
  <si>
    <t>2008 12 17</t>
  </si>
  <si>
    <t>https://youtu.be/tIkxWytRIj4</t>
  </si>
  <si>
    <t>NASA in Motion</t>
  </si>
  <si>
    <t>Artists sketch the Space Shuttle.</t>
  </si>
  <si>
    <t>tIkxWytRIj4</t>
  </si>
  <si>
    <t>https://youtu.be/MMBhGwqno4c</t>
  </si>
  <si>
    <t>A Station Celebration</t>
  </si>
  <si>
    <t>As a centerpiece of cooperation in space exploration, the International Space Station reached a milestone on December 4, 2008 as NASA and its partner nations celebrated the ten-year anniversary of the first construction mission.</t>
  </si>
  <si>
    <t>MMBhGwqno4c</t>
  </si>
  <si>
    <t>2008 12 16</t>
  </si>
  <si>
    <t>https://youtu.be/3gMe3Xh3OnY</t>
  </si>
  <si>
    <t>Hubble's Science Legacy</t>
  </si>
  <si>
    <t>3gMe3Xh3OnY</t>
  </si>
  <si>
    <t>2008 12 15</t>
  </si>
  <si>
    <t>https://youtu.be/JV8pjpb2IFI</t>
  </si>
  <si>
    <t>Endeavour - Time Lapse</t>
  </si>
  <si>
    <t>JV8pjpb2IFI</t>
  </si>
  <si>
    <t>2008 12 12</t>
  </si>
  <si>
    <t>https://youtu.be/yLLF13IuAMI</t>
  </si>
  <si>
    <t>ISS Assembly Sequence</t>
  </si>
  <si>
    <t>yLLF13IuAMI</t>
  </si>
  <si>
    <t>2008 12 10</t>
  </si>
  <si>
    <t>https://youtu.be/GfmdRfUS1ew</t>
  </si>
  <si>
    <t>Apollo 8  40th Anniversary</t>
  </si>
  <si>
    <t>Apollo 8 launched 40 years ago this December.  In this video Astronauts Frank Borman, James Lovell and Bill Anders recount man's first voyage around the moon.</t>
  </si>
  <si>
    <t>GfmdRfUS1ew</t>
  </si>
  <si>
    <t>2008 12 09</t>
  </si>
  <si>
    <t>https://youtu.be/sgQ1SiUtHTQ</t>
  </si>
  <si>
    <t>HST SM4  ACS Repair  The Challenge to Fix Hubbles Best Survey Camera</t>
  </si>
  <si>
    <t>sgQ1SiUtHTQ</t>
  </si>
  <si>
    <t>2008 12 08</t>
  </si>
  <si>
    <t>https://youtu.be/RtmaQuXfN3I</t>
  </si>
  <si>
    <t>NASA Mission Update  Phoenix</t>
  </si>
  <si>
    <t>RtmaQuXfN3I</t>
  </si>
  <si>
    <t>2008 12 05</t>
  </si>
  <si>
    <t>https://youtu.be/yeIJt_Uy__s</t>
  </si>
  <si>
    <t>NASA Lunar Lander Challenge Recognition Ceremony</t>
  </si>
  <si>
    <t>NASA RECOGNIZES WINNER OF LUNAR LANDER CHALLENGE
WASHINGTON -- NASA recognized Armadillo Aerospace, the winner of the 2008 Northrop Grumman Lunar Lander Challenge, during a ceremony at NASA Headquarters in Washington. The winning vehicle successfully demonstrated some of the technologies needed for a lunar lander capable of ferrying payloads or humans back and forth between lunar orbit and the moon's surface.
During the ceremony, NASA Administrator Mike Griffin spoke about NASAs commitment to commercial space development. Doug Comstock, director of NASA's Innovative Partnerships Program, presented a ceremonial check for $350,000 to the Armadillo Aerospace team leader, John Carmack. Also attending the event were George Nield, associate administrator for Commercial Space Transportation at the Federal Aviation Administration, and Peter Diamandis, chairman of the X PRIZE Foundation, which managed the Lunar Lander Challenge for NASA.
Armadillo Aerospace won first prize in the level one competition of the challenge held at the Las Cruces International Airport in New Mexico last October. The team constructed a rocket-powered vehicle that lifted off vertically to a height of 50 meters, flew horizontally to a landing pad 100 meters away, landed safely after at least 90 seconds of flight time and repeated the flight.
NASA's Centennial Challenges is a prize program to promote technical innovation through competitions. The Lunar Lander Challenge is one of seven current competitions designed to tap the nation's ingenuity in support of NASAs goals and missions. NASAs Innovative Partnerships Program Office in Washington manages the Centennial Challenges.
For more information about NASA innovation efforts, visit:: http://ipp.nasa.gov
The X PRIZE Foundation is an educational nonprofit prize institute that fosters innovation through competition. For more information, visit:: http://www.xprize.org</t>
  </si>
  <si>
    <t>yeIJt_Uy__s</t>
  </si>
  <si>
    <t>2008 12 02</t>
  </si>
  <si>
    <t>https://youtu.be/0E0S07VMSYI</t>
  </si>
  <si>
    <t>Hubble  Vision, Hope and Triumph</t>
  </si>
  <si>
    <t>0E0S07VMSYI</t>
  </si>
  <si>
    <t>2008 12 01</t>
  </si>
  <si>
    <t>https://youtu.be/GiBU41klg_M</t>
  </si>
  <si>
    <t>Endeavour Performs a Flyaround of the Station</t>
  </si>
  <si>
    <t>11.28.08 - Cameras aboard the International Space Station and space shuttle Endeavour capture spectacular views as the shuttle performs a flyaround of the station.</t>
  </si>
  <si>
    <t>GiBU41klg_M</t>
  </si>
  <si>
    <t>https://youtu.be/Mv9zcxs90z0</t>
  </si>
  <si>
    <t>A Thanksgiving Toast From Space</t>
  </si>
  <si>
    <t>STS-126 mission specialists Don Pettit and Steve Bowen drink a special Thanksgiving toast using cups Pettit designed for a weightless environment.</t>
  </si>
  <si>
    <t>Mv9zcxs90z0</t>
  </si>
  <si>
    <t>2008 11 28</t>
  </si>
  <si>
    <t>https://youtu.be/xzEJi_Q11-k</t>
  </si>
  <si>
    <t>Weightless Webs  Spiders on the Space Station</t>
  </si>
  <si>
    <t>Students will monitor the arachnid astronauts to see how they spin webs in space.</t>
  </si>
  <si>
    <t>xzEJi_Q11-k</t>
  </si>
  <si>
    <t>https://youtu.be/Zbg6jvLrDD8</t>
  </si>
  <si>
    <t>Message to the Troops</t>
  </si>
  <si>
    <t>Shuttle and station astronauts send a message to the troops wishing them Happy Holidays.</t>
  </si>
  <si>
    <t>Zbg6jvLrDD8</t>
  </si>
  <si>
    <t>https://youtu.be/I-39k0yp0jQ</t>
  </si>
  <si>
    <t>Mars Rover Testing</t>
  </si>
  <si>
    <t>I-39k0yp0jQ</t>
  </si>
  <si>
    <t>2008 11 26</t>
  </si>
  <si>
    <t>https://youtu.be/EjBujhivtXY</t>
  </si>
  <si>
    <t>STS-126 SRB camera - Part 2 of 2</t>
  </si>
  <si>
    <t>EjBujhivtXY</t>
  </si>
  <si>
    <t>https://youtu.be/NdyHlPj3s88</t>
  </si>
  <si>
    <t>NASA Mission Update  TRMM</t>
  </si>
  <si>
    <t>For millions of people throughout the world, tropical rain systems are a life-sustaining resource. 
But these systems can turn violent and dangerous, spawning deadly storms and related natural disasters. 
Since its launch in 1997, the Tropical Rainfall Measuring Mission, or TRMM satellite, has become the worlds most widely used space-based resource for measuring Earths precipitation  a key to understanding how weather affects and changes life here on our planet. 
Dr. Ramesh Kakar: "Understanding the earth's climate and how it responds to change relies on what we know about how atmospheric moisture, clouds, latent heating and large-scale atmospheric and oceanic circulation vary with changing climate conditions. The physical process that links these key climate elements is precipitation." 
With the first-ever space-borne rain radar and microwave radiometer combination, TRMM produces data used to verify and improve meteorological computer models so important to forecasters and climatologists across the globe. In fact, TRMM has become the reference standard by which rain is measured from space. 
Dr. Ramesh Kakar: "You may not have TRMM up there, but you may have some other satellite up there when it is raining. Now this satellite is providing calibrated information because its calibration is based upon TRMM." 
TRMM's data has not only been valuable in predicting the track and intensity of tropical storms and hurricanes, but has been used for forecasting the deadly floods and landslides they can cause. 
"Not only our own NOAA, but many other agencies around the world are using this data to do a better job of forecasting." 
Data from TRMM are used to fix the location and intensity of tropical storms over 600 times each year. 
To learn more about TRMM, follow its up-to-date tracking of a tropical storm, or perhaps monitor the threat of landslides and floods around the globe, go to click on www.nasa.gov/missions and click on "Tropical Rainfall Measuring Mission."</t>
  </si>
  <si>
    <t>NdyHlPj3s88</t>
  </si>
  <si>
    <t>https://youtu.be/fWBi44bQsSg</t>
  </si>
  <si>
    <t>NASA Mission Update  New Horizon</t>
  </si>
  <si>
    <t>Three billion miles away from Earth, near the farthest reaches of our solar system, is the heavenly body with an extreme orbit known for 76 years as Pluto. Discovered by astronomers in 1930, Pluto was considered the ninth planet in our solar system until 2006 -- when, after much debate, it was reclassified by the International Astronomical Union as a "dwarf planet," officially dropping its name -- for a number.
Denis Bogan, New Horizons Program Scientist: "Well, it certainly doesnt affect Pluto. Pluto is the same thing it was before it was discovered, before it was given a name, and before the name was changed."
Nor does Pluto's reclassification change the importance of NASA's first mission to study it.
Launch Announcer: "We have ignition and lift off of NASAs New Horizon spacecraft on a decade-long"
Launched in January 2006, the thousand-pound New Horizons spacecraft will travel through space for 9-1/2 years before meeting up with Pluto in the summer of 2015. 
Denis Bogan: "The last time Pluto was in this position in its orbit was during the French and Indian War. It takes 248 Earth years to travel around its orbit and come back to the same place again. At the speed of light, sending a radio signal back from the spacecraft, from Pluto to Earth, will take 4-1/2 hours."
Operating on less power than a pair of common 100-watt light bulbs, New Horizons will map the highest-interest areas of Pluto to a resolution of 50 meters, less than the length of a football field -- three billion miles away. Itll then move on to survey Pluto's neighborhood: the atmosphere, ancient materials and small bodies of the Kuiper Belt, a chaotic region astrophysicists believe can tell us how Earth, the planets, even our sun were made.
Denis Bogan: "We have primitive material chunks of rock and ice, millions of objects of objects out there in the Kuiper Belt and we know very little about it. We didnt discover it until 1992."
Traveling 3 billion miles to frozen, rocky Pluto and its environs, New Horizon is, in a way, going back in time to the chemical building blocks of the solar system, and life.
To learn more about the New Horizons mission visit www.nasa.gov</t>
  </si>
  <si>
    <t>fWBi44bQsSg</t>
  </si>
  <si>
    <t>https://youtu.be/tbD5qInlxV4</t>
  </si>
  <si>
    <t>NASA Mission Update  ULYSSES</t>
  </si>
  <si>
    <t>The sun is the source of life-sustaining energy here on Earth. Much of how it works - and affects us -- remains a source of scientific mystery. Sunspots were first recorded by humans in the 16-hundreds. Astrophysicists have since linked heightened sunspot activity with the solar wind. It's a million-mile-an-hour force of magnetically-charged particles emanating from the sun's upper atmosphere. Ebbing and flowing in minimum and maximum intensities over eleven year cycles, this so-called space weather can seriously affect how things work here on Earth, such as disrupting satellite communications, telephone service and personal electronics.
Arik Posner, Program Scientist: "It would help our technology, to safeguard the technology by knowing when and in what intensity space weather occurs and where these effects might show up" 
Launch Announcer : "2 -1 ignition and liftoff of Discovery and the Ulysses spacecraft bound for the polar regions of the sun." 
Until the launch of Ulysses from space shuttle Discovery in 1990, data for understanding and predicting space weather had come from a limited sampling area: the plane extending from the suns equator. Ulysses has since made three orbits above and below the poles of the sun, vastly expanding the territory from where raw space weather data are gathered.
Arik Posner: "So Ulysses was really the first spacecraft that leaped out of this confinement, and it gives us a view of the global heliosphere." 
Ulysses has found that the solar minimum were in right now is producing the lowest levels of solar wind seen since accurate readings became available a half-century ago. But for heliophysicists, these data raise as many questions as they answer.
Arik Posner: "The Space Age is only 50 years now, and the Sun just operates on longer time scales than these 50 years. So we might have just glimpsed just the surface of what is really going on." 
By expanding its reach, both in time and space, Ulysses is helping the discipline of space weather prediction grow beyond its infancy for the betterment of life here on Earth.
For more about Ulysses, the heliosphere, and space weather, log onto: www.nasa.gov/missions and click on 'Ulysses.'</t>
  </si>
  <si>
    <t>tbD5qInlxV4</t>
  </si>
  <si>
    <t>https://youtu.be/FzXa5r2A3TM</t>
  </si>
  <si>
    <t>NASA Mission Update  CALIPSO</t>
  </si>
  <si>
    <t>NASA Mission Update: CALIPSO
 Clouds have forever held the imagination of skygazers who are captivated by their endless beauty and seeming randomness. But clouds, and whats in them, also hold fascination for scientists who seek to understand the many effects they have on life here on Earth.
Hal Maring, Program Scientist, CALIPSO: "Low clouds, which are white, can reflect sunlight and cause cooling of the Earth, and high clouds tend to warm the Earth by absorbing and re-radiating warmth back into the atmosphere." 
Launch Announcer: "2-1 We have ignition and we have lift-off of NASAs Calipso/Cloudsat spacecraft."
Since its launch in April 2006, the Cloud-Aerosol Lidar and Infrared Pathfinder Satellite Observation mission, CALIPSO, has provided new insight into the role that clouds play in regulating our climate. As CALIPSO orbits the Earth, its light detection and ranging, or lidar system, emits short pulses of green and infrared light, producing a 300-feet wide snapshot of what's in the atmosphere from top to bottom -- clouds and airborne particles. Snapshots collected along the same orbit are then streamed together to paint a picture of what a vertical slice of our atmosphere looks like.
Hal Maring: "Its basically a large laser range finder, and it shoots light down into the atmosphere. And, its able to detect and measure, clouds in the vertical .Not like a photograph, which tends to be two-dimensional, but gives us vertical curtains of measurements of clouds, i.e., their altitude."
These critical cloud data from CALIPSO are used with information gathered by other satellites in NASAs A-train constellation of Earth-observing spacecraft to quantify just how much sunlight reaches the planet -- and how much gets radiated back into space. This so-called energy budget is a key to documenting and understanding climate change.
Hal Maring: "We have found, it appears as though, the Earth is warming and its warming because of an imbalance or a change in the Earths energy budget."
To see and learn more about CALIPSOs cloud images, or how CALIPSOs also helping scientists understand how climate may be changed by naturally-occurring and manmade particulates in the atmosphere called aerosols, go to www.nasa.gov/missions and click on "CALIPSO."</t>
  </si>
  <si>
    <t>FzXa5r2A3TM</t>
  </si>
  <si>
    <t>https://youtu.be/4xJEPM05uRg</t>
  </si>
  <si>
    <t>Mission Update  IBEX</t>
  </si>
  <si>
    <t>With each new probe to a neighboring planet, with each new science mission to study our sun, the moon, another heavenly body, we add to our growing knowledge and understanding of our solar system. Yet, as weve come to know much of how things are in our small corner of the cosmos, were still in search of one fundamental answer. 
What are the boundaries of our Solar System? What of the areas that surround and separate us from what lies beyond? 
Willis S Jenkins: "We would like to look beyond what other missions have accomplished and have done such as voyager 1 and 2." 
From the sun flows the solar wind. It inflates the bubble surrounding our solar system. This heliosphere protects Earth, and every living thing on our planet, from dangerous galactic cosmic rays. But how? How does the heliospehere interact with the harsh environment of the Milky Way galaxy to keep us safe?
A new mission, IBEX, the Interstellar Boundary Explorer, is about to search for answers.
Willis S Jenkins: "The outer boundary that we have now we kind of defined it through again previous missions. We have somewhat of a clear picture, but this would go again. This would be a better definition of where it is."
IBEX will go into orbit 200-thousand miles above the Earth  most of the way to the moon. Itll use a pair of atom sensors thatll act as cameras. Theyll produce first-of-its-kind images depicting the interactions between the million mile-per-hour solar wind and the interstellar medium, the low-density material between the stars. Every six months, IBEX will complete an all-sky map of the interstellar boundaries, telling us more about they work, and how they protect us all. 
Willis S Jenkins: "As we go out to explore out in to mars and going back to the moon, we want to know what those effects are as we go through these various areas within space."
To keep up on the latest news about IBEX and its scheduled October 5th launch, learn more about the heliosphere, or watch informative videos about the mission, visit www.nasa.gov/ibex.</t>
  </si>
  <si>
    <t>4xJEPM05uRg</t>
  </si>
  <si>
    <t>https://youtu.be/d9t5JWoNVbs</t>
  </si>
  <si>
    <t>Apollo 8 at the Newseum</t>
  </si>
  <si>
    <t>Apollo 8 astronauts discuss their historic flight at the Newseum as the flight's 40th anniversary approaches.</t>
  </si>
  <si>
    <t>d9t5JWoNVbs</t>
  </si>
  <si>
    <t>2008 11 25</t>
  </si>
  <si>
    <t>https://youtu.be/46uxTc43XuA</t>
  </si>
  <si>
    <t>Apollo 8 PART 3</t>
  </si>
  <si>
    <t>Celebrating the 40th anniversary of Apollo 8, astronauts Frank Borman, James Lovell and William Anders discuss the flight.</t>
  </si>
  <si>
    <t>46uxTc43XuA</t>
  </si>
  <si>
    <t>https://youtu.be/P3oPd0J7b1k</t>
  </si>
  <si>
    <t>Apollo 8 PART 2</t>
  </si>
  <si>
    <t>Celebrating the 40th anniversary of Apollo 8, astronauts Frank Borman, James Lovell and William Anders discuss the flight.  Part 2 of 3</t>
  </si>
  <si>
    <t>P3oPd0J7b1k</t>
  </si>
  <si>
    <t>https://youtu.be/rfqld3cUUJE</t>
  </si>
  <si>
    <t>Apollo 8 PART 1</t>
  </si>
  <si>
    <t>Celebrating the 40th anniversary of Apollo 8, astronauts Frank Borman, James Lovell and William Anders discuss the flight.  They are introduced by Senator John Glenn</t>
  </si>
  <si>
    <t>rfqld3cUUJE</t>
  </si>
  <si>
    <t>2008 10 24</t>
  </si>
  <si>
    <t>https://youtu.be/r3mI_aT94KA</t>
  </si>
  <si>
    <t>NASA 50th Video Part 1 of 2</t>
  </si>
  <si>
    <t>This is the first portion of the video presentation at the AIAA 50th anniversary celebration for NASA on Sept. 24, 2008. Learn more at www.nasa.gov.</t>
  </si>
  <si>
    <t>r3mI_aT94KA</t>
  </si>
  <si>
    <t>2008 10 16</t>
  </si>
  <si>
    <t>https://youtu.be/cwnMKslBAMM</t>
  </si>
  <si>
    <t>NASA 50th Anniversary Documentary 5 of 9</t>
  </si>
  <si>
    <t>A documentary by NASA celebrating its first 50 years.</t>
  </si>
  <si>
    <t>cwnMKslBAMM</t>
  </si>
  <si>
    <t>https://youtu.be/vQPO_xfFKuM</t>
  </si>
  <si>
    <t>NASA 50th Anniversary Documentary 7 of 9</t>
  </si>
  <si>
    <t>vQPO_xfFKuM</t>
  </si>
  <si>
    <t>2008 09 26</t>
  </si>
  <si>
    <t>https://youtu.be/b_BuNSpjUuU</t>
  </si>
  <si>
    <t>Michael Griffin  NASA 50th Anniversary</t>
  </si>
  <si>
    <t>The administrator speaks at the AIAA 50th anniversary celebration for NASA on Sept. 24, 2008. Learn more at www.nasa.gov.</t>
  </si>
  <si>
    <t>b_BuNSpjUuU</t>
  </si>
  <si>
    <t>https://youtu.be/AmbA-oDkHZ4</t>
  </si>
  <si>
    <t xml:space="preserve"> Fly Me To The Moon  at NASA's 50th gala</t>
  </si>
  <si>
    <t>A special live performance directed by Quincy Jones and performed by Frank Sinatra, Jr., at the AIAA 50th anniversary celebration for NASA. Learn more at www.nasa.gov.</t>
  </si>
  <si>
    <t>AmbA-oDkHZ4</t>
  </si>
  <si>
    <t>https://youtu.be/WFnHU_PJ_oA</t>
  </si>
  <si>
    <t>John Glenn  NASA 50th Anniversary</t>
  </si>
  <si>
    <t>Former astronaut and U.S. Sen. John Glenn speaks at the AIAA 50th anniversary celebration for NASA on Sept. 24, 2008. Learn more at www.nasa.gov.</t>
  </si>
  <si>
    <t>WFnHU_PJ_oA</t>
  </si>
  <si>
    <t>https://youtu.be/J4qlZcWWWL0</t>
  </si>
  <si>
    <t>Neil Armstrong  NASA 50th Anniversary Gala</t>
  </si>
  <si>
    <t>Neil Armstrong speaks at the AIAA 50th anniversary celebration for NASA on Sept. 24, 2008. Learn more at www.nasa.gov.</t>
  </si>
  <si>
    <t>J4qlZcWWWL0</t>
  </si>
  <si>
    <t>https://youtu.be/UyoGXVRmwSA</t>
  </si>
  <si>
    <t xml:space="preserve">Quincy Jones  Walking in Space </t>
  </si>
  <si>
    <t>Quincy Jones musical composition featuring video of NASA astronauts in space.</t>
  </si>
  <si>
    <t>UyoGXVRmwSA</t>
  </si>
  <si>
    <t>https://youtu.be/-3xGjrUZp6M</t>
  </si>
  <si>
    <t>NASA 50th Video Part 2 of 2</t>
  </si>
  <si>
    <t>This is the second portion of the video presentation at the AIAA 50th anniversary celebration for NASA on Sept. 24, 2008. Learn more at www.nasa.gov.</t>
  </si>
  <si>
    <t>-3xGjrUZp6M</t>
  </si>
  <si>
    <t>2008 07 11</t>
  </si>
  <si>
    <t>https://youtu.be/VXnvXIahPVg</t>
  </si>
  <si>
    <t>NASA 50th Anniversary Moment - Ansil Butterfield</t>
  </si>
  <si>
    <t>One of the Viking Project Leaders talks about NASA's first spacecraft to land on Mars.  Learn why the current Phoenix mission may help answer some of the questions Viking raised more than 30 years ago.</t>
  </si>
  <si>
    <t>VXnvXIahPVg</t>
  </si>
  <si>
    <t>https://youtu.be/fbK69YQ6cgE</t>
  </si>
  <si>
    <t>NASA 50th Anniversary Moment - Richard Nafzger</t>
  </si>
  <si>
    <t>The engineer in charge of bringing television images from the Apollo 11 moon landing to your living room talks about that nail-biting moment.</t>
  </si>
  <si>
    <t>fbK69YQ6cgE</t>
  </si>
  <si>
    <t>2008 06 23</t>
  </si>
  <si>
    <t>https://youtu.be/DB6huN3xM94</t>
  </si>
  <si>
    <t>NASA 50th Anniversary Lecture - Dr. Stephen Hawking - Part 4</t>
  </si>
  <si>
    <t>NASA 50th Anniversary Lecture Series 
Dr. Stephen Hawking Lecture 
"Why We Should Go Into Space"
George Washington University
April 21, 2008
In 4 parts</t>
  </si>
  <si>
    <t>DB6huN3xM94</t>
  </si>
  <si>
    <t>https://youtu.be/GrmeKh65XEo</t>
  </si>
  <si>
    <t>NASA 50th Anniversary Lecture - Stephen Hawking - Part 3</t>
  </si>
  <si>
    <t>GrmeKh65XEo</t>
  </si>
  <si>
    <t>https://youtu.be/UPs7BSDNTk4</t>
  </si>
  <si>
    <t>NASA 50th Anniversary Lecture - Stephen Hawking - Part 2</t>
  </si>
  <si>
    <t>UPs7BSDNTk4</t>
  </si>
  <si>
    <t>https://youtu.be/3PCAGm5a1r8</t>
  </si>
  <si>
    <t>NASA 50th Anniversary Lecture - Dr. Stephen Hawking - Part 1</t>
  </si>
  <si>
    <t>3PCAGm5a1r8</t>
  </si>
  <si>
    <t>2008 06 19</t>
  </si>
  <si>
    <t>https://youtu.be/BoKv9EIFjDE</t>
  </si>
  <si>
    <t>NASA 50th Anniversary</t>
  </si>
  <si>
    <t>NASA 50th Anniversary logo</t>
  </si>
  <si>
    <t>BoKv9EIFjDE</t>
  </si>
  <si>
    <t>2008 06 06</t>
  </si>
  <si>
    <t>https://youtu.be/IcuqlIOrt1M</t>
  </si>
  <si>
    <t>Taking Care of Business</t>
  </si>
  <si>
    <t>Music video of NASA's Space Shuttle program</t>
  </si>
  <si>
    <t>IcuqlIOrt1M</t>
  </si>
  <si>
    <t>https://youtu.be/0FfkHRgycEk</t>
  </si>
  <si>
    <t>Mercury 7 Music Video</t>
  </si>
  <si>
    <t>A music video commemorating the Mercury 7 astronauts for the 50th Anniversary of NASA</t>
  </si>
  <si>
    <t>0FfkHRgycEk</t>
  </si>
</sst>
</file>

<file path=xl/styles.xml><?xml version="1.0" encoding="utf-8"?>
<styleSheet xmlns="http://schemas.openxmlformats.org/spreadsheetml/2006/main">
  <numFmts count="4">
    <numFmt numFmtId="44" formatCode="_-&quot;£&quot;* #,##0.00_-;\-&quot;£&quot;* #,##0.00_-;_-&quot;£&quot;* &quot;-&quot;??_-;_-@_-"/>
    <numFmt numFmtId="42" formatCode="_-&quot;£&quot;* #,##0_-;\-&quot;£&quot;* #,##0_-;_-&quot;£&quot;* &quot;-&quot;_-;_-@_-"/>
    <numFmt numFmtId="41" formatCode="_-* #,##0_-;\-* #,##0_-;_-* &quot;-&quot;_-;_-@_-"/>
    <numFmt numFmtId="43" formatCode="_-* #,##0.00_-;\-* #,##0.00_-;_-*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b/>
      <sz val="11"/>
      <color theme="3"/>
      <name val="Calibri"/>
      <charset val="134"/>
      <scheme val="minor"/>
    </font>
    <font>
      <sz val="11"/>
      <color theme="0"/>
      <name val="Calibri"/>
      <charset val="0"/>
      <scheme val="minor"/>
    </font>
    <font>
      <sz val="11"/>
      <color theme="1"/>
      <name val="Calibri"/>
      <charset val="134"/>
      <scheme val="minor"/>
    </font>
    <font>
      <sz val="11"/>
      <color rgb="FFFF0000"/>
      <name val="Calibri"/>
      <charset val="0"/>
      <scheme val="minor"/>
    </font>
    <font>
      <sz val="11"/>
      <color theme="1"/>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A7D00"/>
      <name val="Calibri"/>
      <charset val="0"/>
      <scheme val="minor"/>
    </font>
    <font>
      <b/>
      <sz val="11"/>
      <color rgb="FF3F3F3F"/>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3F3F76"/>
      <name val="Calibri"/>
      <charset val="0"/>
      <scheme val="minor"/>
    </font>
    <font>
      <sz val="11"/>
      <color rgb="FF006100"/>
      <name val="Calibri"/>
      <charset val="0"/>
      <scheme val="minor"/>
    </font>
    <font>
      <b/>
      <sz val="11"/>
      <color rgb="FFFA7D00"/>
      <name val="Calibri"/>
      <charset val="0"/>
      <scheme val="minor"/>
    </font>
    <font>
      <sz val="11"/>
      <color rgb="FF9C0006"/>
      <name val="Calibri"/>
      <charset val="0"/>
      <scheme val="minor"/>
    </font>
    <font>
      <b/>
      <sz val="11"/>
      <color theme="1"/>
      <name val="Calibri"/>
      <charset val="0"/>
      <scheme val="minor"/>
    </font>
    <font>
      <sz val="11"/>
      <color rgb="FF9C6500"/>
      <name val="Calibri"/>
      <charset val="0"/>
      <scheme val="minor"/>
    </font>
  </fonts>
  <fills count="33">
    <fill>
      <patternFill patternType="none"/>
    </fill>
    <fill>
      <patternFill patternType="gray125"/>
    </fill>
    <fill>
      <patternFill patternType="solid">
        <fgColor theme="7"/>
        <bgColor indexed="64"/>
      </patternFill>
    </fill>
    <fill>
      <patternFill patternType="solid">
        <fgColor theme="6"/>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xf numFmtId="0" fontId="8" fillId="5" borderId="0" applyNumberFormat="0" applyBorder="0" applyAlignment="0" applyProtection="0">
      <alignment vertical="center"/>
    </xf>
    <xf numFmtId="43"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5" fillId="10" borderId="0" applyNumberFormat="0" applyBorder="0" applyAlignment="0" applyProtection="0">
      <alignment vertical="center"/>
    </xf>
    <xf numFmtId="0" fontId="9" fillId="0" borderId="0" applyNumberFormat="0" applyFill="0" applyBorder="0" applyAlignment="0" applyProtection="0">
      <alignment vertical="center"/>
    </xf>
    <xf numFmtId="0" fontId="10" fillId="11" borderId="3" applyNumberFormat="0" applyAlignment="0" applyProtection="0">
      <alignment vertical="center"/>
    </xf>
    <xf numFmtId="0" fontId="11" fillId="0" borderId="4" applyNumberFormat="0" applyFill="0" applyAlignment="0" applyProtection="0">
      <alignment vertical="center"/>
    </xf>
    <xf numFmtId="0" fontId="6" fillId="12" borderId="5" applyNumberFormat="0" applyFont="0" applyAlignment="0" applyProtection="0">
      <alignment vertical="center"/>
    </xf>
    <xf numFmtId="0" fontId="8" fillId="15" borderId="0" applyNumberFormat="0" applyBorder="0" applyAlignment="0" applyProtection="0">
      <alignment vertical="center"/>
    </xf>
    <xf numFmtId="0" fontId="7" fillId="0" borderId="0" applyNumberFormat="0" applyFill="0" applyBorder="0" applyAlignment="0" applyProtection="0">
      <alignment vertical="center"/>
    </xf>
    <xf numFmtId="0" fontId="8" fillId="1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17" fillId="19" borderId="8" applyNumberFormat="0" applyAlignment="0" applyProtection="0">
      <alignment vertical="center"/>
    </xf>
    <xf numFmtId="0" fontId="5" fillId="20" borderId="0" applyNumberFormat="0" applyBorder="0" applyAlignment="0" applyProtection="0">
      <alignment vertical="center"/>
    </xf>
    <xf numFmtId="0" fontId="18" fillId="21" borderId="0" applyNumberFormat="0" applyBorder="0" applyAlignment="0" applyProtection="0">
      <alignment vertical="center"/>
    </xf>
    <xf numFmtId="0" fontId="13" fillId="14" borderId="7" applyNumberFormat="0" applyAlignment="0" applyProtection="0">
      <alignment vertical="center"/>
    </xf>
    <xf numFmtId="0" fontId="8" fillId="17" borderId="0" applyNumberFormat="0" applyBorder="0" applyAlignment="0" applyProtection="0">
      <alignment vertical="center"/>
    </xf>
    <xf numFmtId="0" fontId="19" fillId="14" borderId="8" applyNumberFormat="0" applyAlignment="0" applyProtection="0">
      <alignment vertical="center"/>
    </xf>
    <xf numFmtId="0" fontId="12" fillId="0" borderId="6" applyNumberFormat="0" applyFill="0" applyAlignment="0" applyProtection="0">
      <alignment vertical="center"/>
    </xf>
    <xf numFmtId="0" fontId="21" fillId="0" borderId="9" applyNumberFormat="0" applyFill="0" applyAlignment="0" applyProtection="0">
      <alignment vertical="center"/>
    </xf>
    <xf numFmtId="0" fontId="20" fillId="22" borderId="0" applyNumberFormat="0" applyBorder="0" applyAlignment="0" applyProtection="0">
      <alignment vertical="center"/>
    </xf>
    <xf numFmtId="0" fontId="22" fillId="23" borderId="0" applyNumberFormat="0" applyBorder="0" applyAlignment="0" applyProtection="0">
      <alignment vertical="center"/>
    </xf>
    <xf numFmtId="0" fontId="5" fillId="6" borderId="0" applyNumberFormat="0" applyBorder="0" applyAlignment="0" applyProtection="0">
      <alignment vertical="center"/>
    </xf>
    <xf numFmtId="0" fontId="8" fillId="16" borderId="0" applyNumberFormat="0" applyBorder="0" applyAlignment="0" applyProtection="0">
      <alignment vertical="center"/>
    </xf>
    <xf numFmtId="0" fontId="5" fillId="4" borderId="0" applyNumberFormat="0" applyBorder="0" applyAlignment="0" applyProtection="0">
      <alignment vertical="center"/>
    </xf>
    <xf numFmtId="0" fontId="5" fillId="26" borderId="0" applyNumberFormat="0" applyBorder="0" applyAlignment="0" applyProtection="0">
      <alignment vertical="center"/>
    </xf>
    <xf numFmtId="0" fontId="8" fillId="28" borderId="0" applyNumberFormat="0" applyBorder="0" applyAlignment="0" applyProtection="0">
      <alignment vertical="center"/>
    </xf>
    <xf numFmtId="0" fontId="8" fillId="25" borderId="0" applyNumberFormat="0" applyBorder="0" applyAlignment="0" applyProtection="0">
      <alignment vertical="center"/>
    </xf>
    <xf numFmtId="0" fontId="5" fillId="27" borderId="0" applyNumberFormat="0" applyBorder="0" applyAlignment="0" applyProtection="0">
      <alignment vertical="center"/>
    </xf>
    <xf numFmtId="0" fontId="5" fillId="3" borderId="0" applyNumberFormat="0" applyBorder="0" applyAlignment="0" applyProtection="0">
      <alignment vertical="center"/>
    </xf>
    <xf numFmtId="0" fontId="8" fillId="9" borderId="0" applyNumberFormat="0" applyBorder="0" applyAlignment="0" applyProtection="0">
      <alignment vertical="center"/>
    </xf>
    <xf numFmtId="0" fontId="5" fillId="2" borderId="0" applyNumberFormat="0" applyBorder="0" applyAlignment="0" applyProtection="0">
      <alignment vertical="center"/>
    </xf>
    <xf numFmtId="0" fontId="8" fillId="13" borderId="0" applyNumberFormat="0" applyBorder="0" applyAlignment="0" applyProtection="0">
      <alignment vertical="center"/>
    </xf>
    <xf numFmtId="0" fontId="8" fillId="29" borderId="0" applyNumberFormat="0" applyBorder="0" applyAlignment="0" applyProtection="0">
      <alignment vertical="center"/>
    </xf>
    <xf numFmtId="0" fontId="5" fillId="32" borderId="0" applyNumberFormat="0" applyBorder="0" applyAlignment="0" applyProtection="0">
      <alignment vertical="center"/>
    </xf>
    <xf numFmtId="0" fontId="8" fillId="8" borderId="0" applyNumberFormat="0" applyBorder="0" applyAlignment="0" applyProtection="0">
      <alignment vertical="center"/>
    </xf>
    <xf numFmtId="0" fontId="5" fillId="31" borderId="0" applyNumberFormat="0" applyBorder="0" applyAlignment="0" applyProtection="0">
      <alignment vertical="center"/>
    </xf>
    <xf numFmtId="0" fontId="5" fillId="24" borderId="0" applyNumberFormat="0" applyBorder="0" applyAlignment="0" applyProtection="0">
      <alignment vertical="center"/>
    </xf>
    <xf numFmtId="0" fontId="8" fillId="7" borderId="0" applyNumberFormat="0" applyBorder="0" applyAlignment="0" applyProtection="0">
      <alignment vertical="center"/>
    </xf>
    <xf numFmtId="0" fontId="5" fillId="30"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9" Type="http://schemas.openxmlformats.org/officeDocument/2006/relationships/hyperlink" Target="https://youtu.be/RZTnYRA9y9A" TargetMode="External"/><Relationship Id="rId998" Type="http://schemas.openxmlformats.org/officeDocument/2006/relationships/hyperlink" Target="https://youtu.be/CxguTV-xwiI" TargetMode="External"/><Relationship Id="rId997" Type="http://schemas.openxmlformats.org/officeDocument/2006/relationships/hyperlink" Target="https://youtu.be/NqWwhY_8j0I" TargetMode="External"/><Relationship Id="rId996" Type="http://schemas.openxmlformats.org/officeDocument/2006/relationships/hyperlink" Target="https://youtu.be/0xs7b1Sp_ac" TargetMode="External"/><Relationship Id="rId995" Type="http://schemas.openxmlformats.org/officeDocument/2006/relationships/hyperlink" Target="https://youtu.be/HCBZ8I2yC1w" TargetMode="External"/><Relationship Id="rId994" Type="http://schemas.openxmlformats.org/officeDocument/2006/relationships/hyperlink" Target="https://youtu.be/_F1wS-fcx6M" TargetMode="External"/><Relationship Id="rId993" Type="http://schemas.openxmlformats.org/officeDocument/2006/relationships/hyperlink" Target="https://youtu.be/6qBb_iKZbGM" TargetMode="External"/><Relationship Id="rId992" Type="http://schemas.openxmlformats.org/officeDocument/2006/relationships/hyperlink" Target="https://youtu.be/qU7QwIOsodw" TargetMode="External"/><Relationship Id="rId991" Type="http://schemas.openxmlformats.org/officeDocument/2006/relationships/hyperlink" Target="https://youtu.be/fkWrjrdT3Zg" TargetMode="External"/><Relationship Id="rId990" Type="http://schemas.openxmlformats.org/officeDocument/2006/relationships/hyperlink" Target="https://youtu.be/PQWeWmKB_II" TargetMode="External"/><Relationship Id="rId99" Type="http://schemas.openxmlformats.org/officeDocument/2006/relationships/hyperlink" Target="https://youtu.be/WvcSc-SicW4" TargetMode="External"/><Relationship Id="rId989" Type="http://schemas.openxmlformats.org/officeDocument/2006/relationships/hyperlink" Target="https://youtu.be/jBMztWLpTGs" TargetMode="External"/><Relationship Id="rId988" Type="http://schemas.openxmlformats.org/officeDocument/2006/relationships/hyperlink" Target="https://youtu.be/cu3-EZKF6gY" TargetMode="External"/><Relationship Id="rId987" Type="http://schemas.openxmlformats.org/officeDocument/2006/relationships/hyperlink" Target="https://youtu.be/9ubytEsCaS0" TargetMode="External"/><Relationship Id="rId986" Type="http://schemas.openxmlformats.org/officeDocument/2006/relationships/hyperlink" Target="https://youtu.be/IrydklNpcFI" TargetMode="External"/><Relationship Id="rId985" Type="http://schemas.openxmlformats.org/officeDocument/2006/relationships/hyperlink" Target="https://youtu.be/Y2-xZ-1HE-Q" TargetMode="External"/><Relationship Id="rId984" Type="http://schemas.openxmlformats.org/officeDocument/2006/relationships/hyperlink" Target="https://youtu.be/SJOz3qjfQXU" TargetMode="External"/><Relationship Id="rId983" Type="http://schemas.openxmlformats.org/officeDocument/2006/relationships/hyperlink" Target="https://youtu.be/GiZMaKlluF8" TargetMode="External"/><Relationship Id="rId982" Type="http://schemas.openxmlformats.org/officeDocument/2006/relationships/hyperlink" Target="https://youtu.be/jAbj2C3Jdpg" TargetMode="External"/><Relationship Id="rId981" Type="http://schemas.openxmlformats.org/officeDocument/2006/relationships/hyperlink" Target="https://youtu.be/Fe2HxMDyKXk" TargetMode="External"/><Relationship Id="rId980" Type="http://schemas.openxmlformats.org/officeDocument/2006/relationships/hyperlink" Target="https://youtu.be/Q2CuyPIXD1s" TargetMode="External"/><Relationship Id="rId98" Type="http://schemas.openxmlformats.org/officeDocument/2006/relationships/hyperlink" Target="https://youtu.be/6GX2KBgK0CQ" TargetMode="External"/><Relationship Id="rId979" Type="http://schemas.openxmlformats.org/officeDocument/2006/relationships/hyperlink" Target="https://youtu.be/Q9BVD4cd7H8" TargetMode="External"/><Relationship Id="rId978" Type="http://schemas.openxmlformats.org/officeDocument/2006/relationships/hyperlink" Target="https://youtu.be/kJo157o_qaw" TargetMode="External"/><Relationship Id="rId977" Type="http://schemas.openxmlformats.org/officeDocument/2006/relationships/hyperlink" Target="https://youtu.be/H0K4bLFVQ1w" TargetMode="External"/><Relationship Id="rId976" Type="http://schemas.openxmlformats.org/officeDocument/2006/relationships/hyperlink" Target="https://youtu.be/la67FdwAOXU" TargetMode="External"/><Relationship Id="rId975" Type="http://schemas.openxmlformats.org/officeDocument/2006/relationships/hyperlink" Target="https://youtu.be/DVvZ1abXsk8" TargetMode="External"/><Relationship Id="rId974" Type="http://schemas.openxmlformats.org/officeDocument/2006/relationships/hyperlink" Target="https://youtu.be/YpS7PHX7Tjo" TargetMode="External"/><Relationship Id="rId973" Type="http://schemas.openxmlformats.org/officeDocument/2006/relationships/hyperlink" Target="https://youtu.be/hF0UjhPSS3A" TargetMode="External"/><Relationship Id="rId972" Type="http://schemas.openxmlformats.org/officeDocument/2006/relationships/hyperlink" Target="https://youtu.be/urQ2ZbtzhfU" TargetMode="External"/><Relationship Id="rId971" Type="http://schemas.openxmlformats.org/officeDocument/2006/relationships/hyperlink" Target="https://youtu.be/wf4gBKk1Des" TargetMode="External"/><Relationship Id="rId970" Type="http://schemas.openxmlformats.org/officeDocument/2006/relationships/hyperlink" Target="https://youtu.be/UkvshMc3z1s" TargetMode="External"/><Relationship Id="rId97" Type="http://schemas.openxmlformats.org/officeDocument/2006/relationships/hyperlink" Target="https://youtu.be/1XyTjY69umQ" TargetMode="External"/><Relationship Id="rId969" Type="http://schemas.openxmlformats.org/officeDocument/2006/relationships/hyperlink" Target="https://youtu.be/YEmR2PBPvec" TargetMode="External"/><Relationship Id="rId968" Type="http://schemas.openxmlformats.org/officeDocument/2006/relationships/hyperlink" Target="https://youtu.be/3T8dn2EmlBU" TargetMode="External"/><Relationship Id="rId967" Type="http://schemas.openxmlformats.org/officeDocument/2006/relationships/hyperlink" Target="https://youtu.be/tHvU42lpzJI" TargetMode="External"/><Relationship Id="rId966" Type="http://schemas.openxmlformats.org/officeDocument/2006/relationships/hyperlink" Target="https://youtu.be/aExTQGcIGKo" TargetMode="External"/><Relationship Id="rId965" Type="http://schemas.openxmlformats.org/officeDocument/2006/relationships/hyperlink" Target="https://youtu.be/5ehN5NxvNBk" TargetMode="External"/><Relationship Id="rId964" Type="http://schemas.openxmlformats.org/officeDocument/2006/relationships/hyperlink" Target="https://youtu.be/jwsGitHemno" TargetMode="External"/><Relationship Id="rId963" Type="http://schemas.openxmlformats.org/officeDocument/2006/relationships/hyperlink" Target="https://youtu.be/By6sZ6RGCEQ" TargetMode="External"/><Relationship Id="rId962" Type="http://schemas.openxmlformats.org/officeDocument/2006/relationships/hyperlink" Target="https://youtu.be/LPvfeOiKbm8" TargetMode="External"/><Relationship Id="rId961" Type="http://schemas.openxmlformats.org/officeDocument/2006/relationships/hyperlink" Target="https://youtu.be/ACgTZ01d9O0" TargetMode="External"/><Relationship Id="rId960" Type="http://schemas.openxmlformats.org/officeDocument/2006/relationships/hyperlink" Target="https://youtu.be/IXUAJqEozFw" TargetMode="External"/><Relationship Id="rId96" Type="http://schemas.openxmlformats.org/officeDocument/2006/relationships/hyperlink" Target="https://youtu.be/eeuNZTpMdWA" TargetMode="External"/><Relationship Id="rId959" Type="http://schemas.openxmlformats.org/officeDocument/2006/relationships/hyperlink" Target="https://youtu.be/195rWd_YCzo" TargetMode="External"/><Relationship Id="rId958" Type="http://schemas.openxmlformats.org/officeDocument/2006/relationships/hyperlink" Target="https://youtu.be/DwaD0UKsX3g" TargetMode="External"/><Relationship Id="rId957" Type="http://schemas.openxmlformats.org/officeDocument/2006/relationships/hyperlink" Target="https://youtu.be/3LTa2VAqKm8" TargetMode="External"/><Relationship Id="rId956" Type="http://schemas.openxmlformats.org/officeDocument/2006/relationships/hyperlink" Target="https://youtu.be/SgOap2DGh6A" TargetMode="External"/><Relationship Id="rId955" Type="http://schemas.openxmlformats.org/officeDocument/2006/relationships/hyperlink" Target="https://youtu.be/QETZbYUSNkU" TargetMode="External"/><Relationship Id="rId954" Type="http://schemas.openxmlformats.org/officeDocument/2006/relationships/hyperlink" Target="https://youtu.be/52A_Q-KY3-g" TargetMode="External"/><Relationship Id="rId953" Type="http://schemas.openxmlformats.org/officeDocument/2006/relationships/hyperlink" Target="https://youtu.be/cm9zA64LScU" TargetMode="External"/><Relationship Id="rId952" Type="http://schemas.openxmlformats.org/officeDocument/2006/relationships/hyperlink" Target="https://youtu.be/JtzCaLE4Si4" TargetMode="External"/><Relationship Id="rId951" Type="http://schemas.openxmlformats.org/officeDocument/2006/relationships/hyperlink" Target="https://youtu.be/0OXahEkf6WA" TargetMode="External"/><Relationship Id="rId950" Type="http://schemas.openxmlformats.org/officeDocument/2006/relationships/hyperlink" Target="https://youtu.be/wS247Ofb8g8" TargetMode="External"/><Relationship Id="rId95" Type="http://schemas.openxmlformats.org/officeDocument/2006/relationships/hyperlink" Target="https://youtu.be/29dr_l3-9lU" TargetMode="External"/><Relationship Id="rId949" Type="http://schemas.openxmlformats.org/officeDocument/2006/relationships/hyperlink" Target="https://youtu.be/BNCGiH2_uio" TargetMode="External"/><Relationship Id="rId948" Type="http://schemas.openxmlformats.org/officeDocument/2006/relationships/hyperlink" Target="https://youtu.be/qWE6D8nE8RY" TargetMode="External"/><Relationship Id="rId947" Type="http://schemas.openxmlformats.org/officeDocument/2006/relationships/hyperlink" Target="https://youtu.be/K4_QxyC8nsc" TargetMode="External"/><Relationship Id="rId946" Type="http://schemas.openxmlformats.org/officeDocument/2006/relationships/hyperlink" Target="https://youtu.be/G1hhKzBq6kw" TargetMode="External"/><Relationship Id="rId945" Type="http://schemas.openxmlformats.org/officeDocument/2006/relationships/hyperlink" Target="https://youtu.be/kvgDOLHu7Uo" TargetMode="External"/><Relationship Id="rId944" Type="http://schemas.openxmlformats.org/officeDocument/2006/relationships/hyperlink" Target="https://youtu.be/kFUDNTLHypU" TargetMode="External"/><Relationship Id="rId943" Type="http://schemas.openxmlformats.org/officeDocument/2006/relationships/hyperlink" Target="https://youtu.be/08ivM_PI8zA" TargetMode="External"/><Relationship Id="rId942" Type="http://schemas.openxmlformats.org/officeDocument/2006/relationships/hyperlink" Target="https://youtu.be/qZkTyEe7DfY" TargetMode="External"/><Relationship Id="rId941" Type="http://schemas.openxmlformats.org/officeDocument/2006/relationships/hyperlink" Target="https://youtu.be/O0XS6g8hVqg" TargetMode="External"/><Relationship Id="rId940" Type="http://schemas.openxmlformats.org/officeDocument/2006/relationships/hyperlink" Target="https://youtu.be/TY4OtS9RXfs" TargetMode="External"/><Relationship Id="rId94" Type="http://schemas.openxmlformats.org/officeDocument/2006/relationships/hyperlink" Target="https://youtu.be/9ptQmdRTB8c" TargetMode="External"/><Relationship Id="rId939" Type="http://schemas.openxmlformats.org/officeDocument/2006/relationships/hyperlink" Target="https://youtu.be/a0gsz8EHiNc" TargetMode="External"/><Relationship Id="rId938" Type="http://schemas.openxmlformats.org/officeDocument/2006/relationships/hyperlink" Target="https://youtu.be/xNerVZZYPNU" TargetMode="External"/><Relationship Id="rId937" Type="http://schemas.openxmlformats.org/officeDocument/2006/relationships/hyperlink" Target="https://youtu.be/wK22fHb2pjE" TargetMode="External"/><Relationship Id="rId936" Type="http://schemas.openxmlformats.org/officeDocument/2006/relationships/hyperlink" Target="https://youtu.be/zvfNUGkSQ_k" TargetMode="External"/><Relationship Id="rId935" Type="http://schemas.openxmlformats.org/officeDocument/2006/relationships/hyperlink" Target="https://youtu.be/ksSqhjUBCNM" TargetMode="External"/><Relationship Id="rId934" Type="http://schemas.openxmlformats.org/officeDocument/2006/relationships/hyperlink" Target="https://youtu.be/o19qjafoy64" TargetMode="External"/><Relationship Id="rId933" Type="http://schemas.openxmlformats.org/officeDocument/2006/relationships/hyperlink" Target="https://youtu.be/UN42PgZTKTg" TargetMode="External"/><Relationship Id="rId932" Type="http://schemas.openxmlformats.org/officeDocument/2006/relationships/hyperlink" Target="https://youtu.be/OeJhXAigzNc" TargetMode="External"/><Relationship Id="rId931" Type="http://schemas.openxmlformats.org/officeDocument/2006/relationships/hyperlink" Target="https://youtu.be/6CmtZLKgIWs" TargetMode="External"/><Relationship Id="rId930" Type="http://schemas.openxmlformats.org/officeDocument/2006/relationships/hyperlink" Target="https://youtu.be/M7mYVftosSc" TargetMode="External"/><Relationship Id="rId93" Type="http://schemas.openxmlformats.org/officeDocument/2006/relationships/hyperlink" Target="https://youtu.be/OCY3NGsDUGg" TargetMode="External"/><Relationship Id="rId929" Type="http://schemas.openxmlformats.org/officeDocument/2006/relationships/hyperlink" Target="https://youtu.be/aEY6CIM7YUI" TargetMode="External"/><Relationship Id="rId928" Type="http://schemas.openxmlformats.org/officeDocument/2006/relationships/hyperlink" Target="https://youtu.be/TV4oNZzRBYY" TargetMode="External"/><Relationship Id="rId927" Type="http://schemas.openxmlformats.org/officeDocument/2006/relationships/hyperlink" Target="https://youtu.be/qY5b4QXLSJk" TargetMode="External"/><Relationship Id="rId926" Type="http://schemas.openxmlformats.org/officeDocument/2006/relationships/hyperlink" Target="https://youtu.be/3kljit1CqKI" TargetMode="External"/><Relationship Id="rId925" Type="http://schemas.openxmlformats.org/officeDocument/2006/relationships/hyperlink" Target="https://youtu.be/rPiqC-PyLDo" TargetMode="External"/><Relationship Id="rId924" Type="http://schemas.openxmlformats.org/officeDocument/2006/relationships/hyperlink" Target="https://youtu.be/7SQ3kLhXpS4" TargetMode="External"/><Relationship Id="rId923" Type="http://schemas.openxmlformats.org/officeDocument/2006/relationships/hyperlink" Target="https://youtu.be/cbLqTfm_bac" TargetMode="External"/><Relationship Id="rId922" Type="http://schemas.openxmlformats.org/officeDocument/2006/relationships/hyperlink" Target="https://youtu.be/0M9Sxm7peC8" TargetMode="External"/><Relationship Id="rId921" Type="http://schemas.openxmlformats.org/officeDocument/2006/relationships/hyperlink" Target="https://youtu.be/AmT9XeSDSno" TargetMode="External"/><Relationship Id="rId920" Type="http://schemas.openxmlformats.org/officeDocument/2006/relationships/hyperlink" Target="https://youtu.be/RT9laVHZZQo" TargetMode="External"/><Relationship Id="rId92" Type="http://schemas.openxmlformats.org/officeDocument/2006/relationships/hyperlink" Target="https://youtu.be/YfWCUYX2_U0" TargetMode="External"/><Relationship Id="rId919" Type="http://schemas.openxmlformats.org/officeDocument/2006/relationships/hyperlink" Target="https://youtu.be/L06p8Jba45c" TargetMode="External"/><Relationship Id="rId918" Type="http://schemas.openxmlformats.org/officeDocument/2006/relationships/hyperlink" Target="https://youtu.be/F5cjXCQ5Cpk" TargetMode="External"/><Relationship Id="rId917" Type="http://schemas.openxmlformats.org/officeDocument/2006/relationships/hyperlink" Target="https://youtu.be/CRu_hG3X3bI" TargetMode="External"/><Relationship Id="rId916" Type="http://schemas.openxmlformats.org/officeDocument/2006/relationships/hyperlink" Target="https://youtu.be/K0l1RJ4Aag8" TargetMode="External"/><Relationship Id="rId915" Type="http://schemas.openxmlformats.org/officeDocument/2006/relationships/hyperlink" Target="https://youtu.be/-I-zdmg_Dno" TargetMode="External"/><Relationship Id="rId914" Type="http://schemas.openxmlformats.org/officeDocument/2006/relationships/hyperlink" Target="https://youtu.be/UwWCd4UjSdg" TargetMode="External"/><Relationship Id="rId913" Type="http://schemas.openxmlformats.org/officeDocument/2006/relationships/hyperlink" Target="https://youtu.be/VV6QeZFaVSQ" TargetMode="External"/><Relationship Id="rId912" Type="http://schemas.openxmlformats.org/officeDocument/2006/relationships/hyperlink" Target="https://youtu.be/BzWtbN9nKB0" TargetMode="External"/><Relationship Id="rId911" Type="http://schemas.openxmlformats.org/officeDocument/2006/relationships/hyperlink" Target="https://youtu.be/Eu13IPVFGp0" TargetMode="External"/><Relationship Id="rId910" Type="http://schemas.openxmlformats.org/officeDocument/2006/relationships/hyperlink" Target="https://youtu.be/Xd5hyAkmRQQ" TargetMode="External"/><Relationship Id="rId91" Type="http://schemas.openxmlformats.org/officeDocument/2006/relationships/hyperlink" Target="https://youtu.be/OFPRY6su9KA" TargetMode="External"/><Relationship Id="rId909" Type="http://schemas.openxmlformats.org/officeDocument/2006/relationships/hyperlink" Target="https://youtu.be/MvKvX-niMLA" TargetMode="External"/><Relationship Id="rId908" Type="http://schemas.openxmlformats.org/officeDocument/2006/relationships/hyperlink" Target="https://youtu.be/vme1j6kivnk" TargetMode="External"/><Relationship Id="rId907" Type="http://schemas.openxmlformats.org/officeDocument/2006/relationships/hyperlink" Target="https://youtu.be/AlyuSwRSVHU" TargetMode="External"/><Relationship Id="rId906" Type="http://schemas.openxmlformats.org/officeDocument/2006/relationships/hyperlink" Target="https://youtu.be/0are7UM5kMU" TargetMode="External"/><Relationship Id="rId905" Type="http://schemas.openxmlformats.org/officeDocument/2006/relationships/hyperlink" Target="https://youtu.be/C0NyvxTJGcQ" TargetMode="External"/><Relationship Id="rId904" Type="http://schemas.openxmlformats.org/officeDocument/2006/relationships/hyperlink" Target="https://youtu.be/uGI-8_G7dQY" TargetMode="External"/><Relationship Id="rId903" Type="http://schemas.openxmlformats.org/officeDocument/2006/relationships/hyperlink" Target="https://youtu.be/qJnjcmxzpOs" TargetMode="External"/><Relationship Id="rId902" Type="http://schemas.openxmlformats.org/officeDocument/2006/relationships/hyperlink" Target="https://youtu.be/_ERy7-Pd0dU" TargetMode="External"/><Relationship Id="rId901" Type="http://schemas.openxmlformats.org/officeDocument/2006/relationships/hyperlink" Target="https://youtu.be/7twrDde6P0g" TargetMode="External"/><Relationship Id="rId900" Type="http://schemas.openxmlformats.org/officeDocument/2006/relationships/hyperlink" Target="https://youtu.be/BCBQYvr7dAM" TargetMode="External"/><Relationship Id="rId90" Type="http://schemas.openxmlformats.org/officeDocument/2006/relationships/hyperlink" Target="https://youtu.be/LdcvDoqVJXk" TargetMode="External"/><Relationship Id="rId9" Type="http://schemas.openxmlformats.org/officeDocument/2006/relationships/hyperlink" Target="https://youtu.be/Z_h-ho2w_0Y" TargetMode="External"/><Relationship Id="rId899" Type="http://schemas.openxmlformats.org/officeDocument/2006/relationships/hyperlink" Target="https://youtu.be/tvgrXBoQY_M" TargetMode="External"/><Relationship Id="rId898" Type="http://schemas.openxmlformats.org/officeDocument/2006/relationships/hyperlink" Target="https://youtu.be/dxV-v_YaboQ" TargetMode="External"/><Relationship Id="rId897" Type="http://schemas.openxmlformats.org/officeDocument/2006/relationships/hyperlink" Target="https://youtu.be/6BHQWGw8QNY" TargetMode="External"/><Relationship Id="rId896" Type="http://schemas.openxmlformats.org/officeDocument/2006/relationships/hyperlink" Target="https://youtu.be/dr-drmOdfoY" TargetMode="External"/><Relationship Id="rId895" Type="http://schemas.openxmlformats.org/officeDocument/2006/relationships/hyperlink" Target="https://youtu.be/PPIGi45cZKM" TargetMode="External"/><Relationship Id="rId894" Type="http://schemas.openxmlformats.org/officeDocument/2006/relationships/hyperlink" Target="https://youtu.be/BUClxcUbuNM" TargetMode="External"/><Relationship Id="rId893" Type="http://schemas.openxmlformats.org/officeDocument/2006/relationships/hyperlink" Target="https://youtu.be/PTMbHVD6DpI" TargetMode="External"/><Relationship Id="rId892" Type="http://schemas.openxmlformats.org/officeDocument/2006/relationships/hyperlink" Target="https://youtu.be/KFFmSA4TDKA" TargetMode="External"/><Relationship Id="rId891" Type="http://schemas.openxmlformats.org/officeDocument/2006/relationships/hyperlink" Target="https://youtu.be/IllWRRayBk8" TargetMode="External"/><Relationship Id="rId890" Type="http://schemas.openxmlformats.org/officeDocument/2006/relationships/hyperlink" Target="https://youtu.be/5rMN2rtPOTo" TargetMode="External"/><Relationship Id="rId89" Type="http://schemas.openxmlformats.org/officeDocument/2006/relationships/hyperlink" Target="https://youtu.be/0ayDBidFbDI" TargetMode="External"/><Relationship Id="rId889" Type="http://schemas.openxmlformats.org/officeDocument/2006/relationships/hyperlink" Target="https://youtu.be/weoWlAs4Dr4" TargetMode="External"/><Relationship Id="rId888" Type="http://schemas.openxmlformats.org/officeDocument/2006/relationships/hyperlink" Target="https://youtu.be/N02R_sqjOmI" TargetMode="External"/><Relationship Id="rId887" Type="http://schemas.openxmlformats.org/officeDocument/2006/relationships/hyperlink" Target="https://youtu.be/2HmsjyJclWY" TargetMode="External"/><Relationship Id="rId886" Type="http://schemas.openxmlformats.org/officeDocument/2006/relationships/hyperlink" Target="https://youtu.be/PCcO0gftbPQ" TargetMode="External"/><Relationship Id="rId885" Type="http://schemas.openxmlformats.org/officeDocument/2006/relationships/hyperlink" Target="https://youtu.be/39jNpn3RLqI" TargetMode="External"/><Relationship Id="rId884" Type="http://schemas.openxmlformats.org/officeDocument/2006/relationships/hyperlink" Target="https://youtu.be/uqzovqnP5nc" TargetMode="External"/><Relationship Id="rId883" Type="http://schemas.openxmlformats.org/officeDocument/2006/relationships/hyperlink" Target="https://youtu.be/YvGFtrr4KkY" TargetMode="External"/><Relationship Id="rId882" Type="http://schemas.openxmlformats.org/officeDocument/2006/relationships/hyperlink" Target="https://youtu.be/fO1LK8IAX9s" TargetMode="External"/><Relationship Id="rId881" Type="http://schemas.openxmlformats.org/officeDocument/2006/relationships/hyperlink" Target="https://youtu.be/coF4nm-y1Uw" TargetMode="External"/><Relationship Id="rId880" Type="http://schemas.openxmlformats.org/officeDocument/2006/relationships/hyperlink" Target="https://youtu.be/TrIyqnAFHNs" TargetMode="External"/><Relationship Id="rId88" Type="http://schemas.openxmlformats.org/officeDocument/2006/relationships/hyperlink" Target="https://youtu.be/AQ1GBbti-SU" TargetMode="External"/><Relationship Id="rId879" Type="http://schemas.openxmlformats.org/officeDocument/2006/relationships/hyperlink" Target="https://youtu.be/6jq8-UjhHh4" TargetMode="External"/><Relationship Id="rId878" Type="http://schemas.openxmlformats.org/officeDocument/2006/relationships/hyperlink" Target="https://youtu.be/GMDiL_DICeU" TargetMode="External"/><Relationship Id="rId877" Type="http://schemas.openxmlformats.org/officeDocument/2006/relationships/hyperlink" Target="https://youtu.be/vZBSZLn60Ms" TargetMode="External"/><Relationship Id="rId876" Type="http://schemas.openxmlformats.org/officeDocument/2006/relationships/hyperlink" Target="https://youtu.be/BKxrkKSzILs" TargetMode="External"/><Relationship Id="rId875" Type="http://schemas.openxmlformats.org/officeDocument/2006/relationships/hyperlink" Target="https://youtu.be/1UaBgr_sq9A" TargetMode="External"/><Relationship Id="rId874" Type="http://schemas.openxmlformats.org/officeDocument/2006/relationships/hyperlink" Target="https://youtu.be/i5k7von5rKI" TargetMode="External"/><Relationship Id="rId873" Type="http://schemas.openxmlformats.org/officeDocument/2006/relationships/hyperlink" Target="https://youtu.be/uDhDZi9Qxhk" TargetMode="External"/><Relationship Id="rId872" Type="http://schemas.openxmlformats.org/officeDocument/2006/relationships/hyperlink" Target="https://youtu.be/3lQA9K9CrQk" TargetMode="External"/><Relationship Id="rId871" Type="http://schemas.openxmlformats.org/officeDocument/2006/relationships/hyperlink" Target="https://youtu.be/SH7koYc0tac" TargetMode="External"/><Relationship Id="rId870" Type="http://schemas.openxmlformats.org/officeDocument/2006/relationships/hyperlink" Target="https://youtu.be/QbDb4J7dgUk" TargetMode="External"/><Relationship Id="rId87" Type="http://schemas.openxmlformats.org/officeDocument/2006/relationships/hyperlink" Target="https://youtu.be/zLhW6sxM7aI" TargetMode="External"/><Relationship Id="rId869" Type="http://schemas.openxmlformats.org/officeDocument/2006/relationships/hyperlink" Target="https://youtu.be/LUwnLFKfuBE" TargetMode="External"/><Relationship Id="rId868" Type="http://schemas.openxmlformats.org/officeDocument/2006/relationships/hyperlink" Target="https://youtu.be/wolBYX84Efk" TargetMode="External"/><Relationship Id="rId867" Type="http://schemas.openxmlformats.org/officeDocument/2006/relationships/hyperlink" Target="https://youtu.be/VTFHiRbOFkU" TargetMode="External"/><Relationship Id="rId866" Type="http://schemas.openxmlformats.org/officeDocument/2006/relationships/hyperlink" Target="https://youtu.be/KNElTfFtBL4" TargetMode="External"/><Relationship Id="rId865" Type="http://schemas.openxmlformats.org/officeDocument/2006/relationships/hyperlink" Target="https://youtu.be/jxlvbFOIXUk" TargetMode="External"/><Relationship Id="rId864" Type="http://schemas.openxmlformats.org/officeDocument/2006/relationships/hyperlink" Target="https://youtu.be/Vk2AkJmt6GQ" TargetMode="External"/><Relationship Id="rId863" Type="http://schemas.openxmlformats.org/officeDocument/2006/relationships/hyperlink" Target="https://youtu.be/vqEpCDCnduU" TargetMode="External"/><Relationship Id="rId862" Type="http://schemas.openxmlformats.org/officeDocument/2006/relationships/hyperlink" Target="https://youtu.be/UTaE0_jrHk0" TargetMode="External"/><Relationship Id="rId861" Type="http://schemas.openxmlformats.org/officeDocument/2006/relationships/hyperlink" Target="https://youtu.be/40VBnLyrUyw" TargetMode="External"/><Relationship Id="rId860" Type="http://schemas.openxmlformats.org/officeDocument/2006/relationships/hyperlink" Target="https://youtu.be/LNkmwrTjKuo" TargetMode="External"/><Relationship Id="rId86" Type="http://schemas.openxmlformats.org/officeDocument/2006/relationships/hyperlink" Target="https://youtu.be/mog9IyT0CPU" TargetMode="External"/><Relationship Id="rId859" Type="http://schemas.openxmlformats.org/officeDocument/2006/relationships/hyperlink" Target="https://youtu.be/iauo11KsAPY" TargetMode="External"/><Relationship Id="rId858" Type="http://schemas.openxmlformats.org/officeDocument/2006/relationships/hyperlink" Target="https://youtu.be/QcFmSH9GY2k" TargetMode="External"/><Relationship Id="rId857" Type="http://schemas.openxmlformats.org/officeDocument/2006/relationships/hyperlink" Target="https://youtu.be/cFC71rFejvo" TargetMode="External"/><Relationship Id="rId856" Type="http://schemas.openxmlformats.org/officeDocument/2006/relationships/hyperlink" Target="https://youtu.be/ur5txa42D9I" TargetMode="External"/><Relationship Id="rId855" Type="http://schemas.openxmlformats.org/officeDocument/2006/relationships/hyperlink" Target="https://youtu.be/hLP_IQJ8Tso" TargetMode="External"/><Relationship Id="rId854" Type="http://schemas.openxmlformats.org/officeDocument/2006/relationships/hyperlink" Target="https://youtu.be/g9dNgHGtHqU" TargetMode="External"/><Relationship Id="rId853" Type="http://schemas.openxmlformats.org/officeDocument/2006/relationships/hyperlink" Target="https://youtu.be/3KrToNURGvI" TargetMode="External"/><Relationship Id="rId852" Type="http://schemas.openxmlformats.org/officeDocument/2006/relationships/hyperlink" Target="https://youtu.be/L2H_vIqyWTU" TargetMode="External"/><Relationship Id="rId851" Type="http://schemas.openxmlformats.org/officeDocument/2006/relationships/hyperlink" Target="https://youtu.be/cToazVt_aCc" TargetMode="External"/><Relationship Id="rId850" Type="http://schemas.openxmlformats.org/officeDocument/2006/relationships/hyperlink" Target="https://youtu.be/mi2PCuGSllo" TargetMode="External"/><Relationship Id="rId85" Type="http://schemas.openxmlformats.org/officeDocument/2006/relationships/hyperlink" Target="https://youtu.be/mYTvg2abusc" TargetMode="External"/><Relationship Id="rId849" Type="http://schemas.openxmlformats.org/officeDocument/2006/relationships/hyperlink" Target="https://youtu.be/1Lb-r9-Dczw" TargetMode="External"/><Relationship Id="rId848" Type="http://schemas.openxmlformats.org/officeDocument/2006/relationships/hyperlink" Target="https://youtu.be/tznqvq2Po8o" TargetMode="External"/><Relationship Id="rId847" Type="http://schemas.openxmlformats.org/officeDocument/2006/relationships/hyperlink" Target="https://youtu.be/_V7J05fK5e0" TargetMode="External"/><Relationship Id="rId846" Type="http://schemas.openxmlformats.org/officeDocument/2006/relationships/hyperlink" Target="https://youtu.be/60D5EWLb20Y" TargetMode="External"/><Relationship Id="rId845" Type="http://schemas.openxmlformats.org/officeDocument/2006/relationships/hyperlink" Target="https://youtu.be/a3NF-r98y1M" TargetMode="External"/><Relationship Id="rId844" Type="http://schemas.openxmlformats.org/officeDocument/2006/relationships/hyperlink" Target="https://youtu.be/7k2uKb9vCOI" TargetMode="External"/><Relationship Id="rId843" Type="http://schemas.openxmlformats.org/officeDocument/2006/relationships/hyperlink" Target="https://youtu.be/le6NhxabmHs" TargetMode="External"/><Relationship Id="rId842" Type="http://schemas.openxmlformats.org/officeDocument/2006/relationships/hyperlink" Target="https://youtu.be/8jdFlRDEkAA" TargetMode="External"/><Relationship Id="rId841" Type="http://schemas.openxmlformats.org/officeDocument/2006/relationships/hyperlink" Target="https://youtu.be/XHpwtRkrxdw" TargetMode="External"/><Relationship Id="rId840" Type="http://schemas.openxmlformats.org/officeDocument/2006/relationships/hyperlink" Target="https://youtu.be/hrNRr4ChKWg" TargetMode="External"/><Relationship Id="rId84" Type="http://schemas.openxmlformats.org/officeDocument/2006/relationships/hyperlink" Target="https://youtu.be/5w8gTwDxeH8" TargetMode="External"/><Relationship Id="rId839" Type="http://schemas.openxmlformats.org/officeDocument/2006/relationships/hyperlink" Target="https://youtu.be/0e8U2wQ51l0" TargetMode="External"/><Relationship Id="rId838" Type="http://schemas.openxmlformats.org/officeDocument/2006/relationships/hyperlink" Target="https://youtu.be/_tVMaG7KLmY" TargetMode="External"/><Relationship Id="rId837" Type="http://schemas.openxmlformats.org/officeDocument/2006/relationships/hyperlink" Target="https://youtu.be/q09lz9q3-yM" TargetMode="External"/><Relationship Id="rId836" Type="http://schemas.openxmlformats.org/officeDocument/2006/relationships/hyperlink" Target="https://youtu.be/oFHy8vaP_Bw" TargetMode="External"/><Relationship Id="rId835" Type="http://schemas.openxmlformats.org/officeDocument/2006/relationships/hyperlink" Target="https://youtu.be/WeA7edXsU40" TargetMode="External"/><Relationship Id="rId834" Type="http://schemas.openxmlformats.org/officeDocument/2006/relationships/hyperlink" Target="https://youtu.be/01mdhIhZZy4" TargetMode="External"/><Relationship Id="rId833" Type="http://schemas.openxmlformats.org/officeDocument/2006/relationships/hyperlink" Target="https://youtu.be/m6308PIJ130" TargetMode="External"/><Relationship Id="rId832" Type="http://schemas.openxmlformats.org/officeDocument/2006/relationships/hyperlink" Target="https://youtu.be/Zg7i4q_EX9E" TargetMode="External"/><Relationship Id="rId831" Type="http://schemas.openxmlformats.org/officeDocument/2006/relationships/hyperlink" Target="https://youtu.be/O1W4xVpAQio" TargetMode="External"/><Relationship Id="rId830" Type="http://schemas.openxmlformats.org/officeDocument/2006/relationships/hyperlink" Target="https://youtu.be/wSetbwukWDQ" TargetMode="External"/><Relationship Id="rId83" Type="http://schemas.openxmlformats.org/officeDocument/2006/relationships/hyperlink" Target="https://youtu.be/Tbar2FaImJ4" TargetMode="External"/><Relationship Id="rId829" Type="http://schemas.openxmlformats.org/officeDocument/2006/relationships/hyperlink" Target="https://youtu.be/kyD0q57zw40" TargetMode="External"/><Relationship Id="rId828" Type="http://schemas.openxmlformats.org/officeDocument/2006/relationships/hyperlink" Target="https://youtu.be/_F4Y4NOQJHk" TargetMode="External"/><Relationship Id="rId827" Type="http://schemas.openxmlformats.org/officeDocument/2006/relationships/hyperlink" Target="https://youtu.be/ulr36BypZTU" TargetMode="External"/><Relationship Id="rId826" Type="http://schemas.openxmlformats.org/officeDocument/2006/relationships/hyperlink" Target="https://youtu.be/6MS_vXQ50vc" TargetMode="External"/><Relationship Id="rId825" Type="http://schemas.openxmlformats.org/officeDocument/2006/relationships/hyperlink" Target="https://youtu.be/UhSemu3P8aY" TargetMode="External"/><Relationship Id="rId824" Type="http://schemas.openxmlformats.org/officeDocument/2006/relationships/hyperlink" Target="https://youtu.be/yZoGUm_SFs8" TargetMode="External"/><Relationship Id="rId823" Type="http://schemas.openxmlformats.org/officeDocument/2006/relationships/hyperlink" Target="https://youtu.be/9B9YyxiLvZI" TargetMode="External"/><Relationship Id="rId822" Type="http://schemas.openxmlformats.org/officeDocument/2006/relationships/hyperlink" Target="https://youtu.be/y7ZbghndiwQ" TargetMode="External"/><Relationship Id="rId821" Type="http://schemas.openxmlformats.org/officeDocument/2006/relationships/hyperlink" Target="https://youtu.be/OfIlau2VVp4" TargetMode="External"/><Relationship Id="rId820" Type="http://schemas.openxmlformats.org/officeDocument/2006/relationships/hyperlink" Target="https://youtu.be/zJ-kcuBuR3c" TargetMode="External"/><Relationship Id="rId82" Type="http://schemas.openxmlformats.org/officeDocument/2006/relationships/hyperlink" Target="https://youtu.be/BFqEfkzSrXo" TargetMode="External"/><Relationship Id="rId819" Type="http://schemas.openxmlformats.org/officeDocument/2006/relationships/hyperlink" Target="https://youtu.be/W6kuPPO48iE" TargetMode="External"/><Relationship Id="rId818" Type="http://schemas.openxmlformats.org/officeDocument/2006/relationships/hyperlink" Target="https://youtu.be/s6v-9Qf3qFg" TargetMode="External"/><Relationship Id="rId817" Type="http://schemas.openxmlformats.org/officeDocument/2006/relationships/hyperlink" Target="https://youtu.be/5LpwhzCVTAY" TargetMode="External"/><Relationship Id="rId816" Type="http://schemas.openxmlformats.org/officeDocument/2006/relationships/hyperlink" Target="https://youtu.be/01fa_zQ_yqI" TargetMode="External"/><Relationship Id="rId815" Type="http://schemas.openxmlformats.org/officeDocument/2006/relationships/hyperlink" Target="https://youtu.be/Nrv2keOYGbQ" TargetMode="External"/><Relationship Id="rId814" Type="http://schemas.openxmlformats.org/officeDocument/2006/relationships/hyperlink" Target="https://youtu.be/Wfd0oC3eFWw" TargetMode="External"/><Relationship Id="rId813" Type="http://schemas.openxmlformats.org/officeDocument/2006/relationships/hyperlink" Target="https://youtu.be/w-QbR1gWEP8" TargetMode="External"/><Relationship Id="rId812" Type="http://schemas.openxmlformats.org/officeDocument/2006/relationships/hyperlink" Target="https://youtu.be/aOk9ClxXw_8" TargetMode="External"/><Relationship Id="rId811" Type="http://schemas.openxmlformats.org/officeDocument/2006/relationships/hyperlink" Target="https://youtu.be/ffSub6Q1FlE" TargetMode="External"/><Relationship Id="rId810" Type="http://schemas.openxmlformats.org/officeDocument/2006/relationships/hyperlink" Target="https://youtu.be/5FTgkY82nT0" TargetMode="External"/><Relationship Id="rId81" Type="http://schemas.openxmlformats.org/officeDocument/2006/relationships/hyperlink" Target="https://youtu.be/BVR76K1riIY" TargetMode="External"/><Relationship Id="rId809" Type="http://schemas.openxmlformats.org/officeDocument/2006/relationships/hyperlink" Target="https://youtu.be/CVNHOX_jWvo" TargetMode="External"/><Relationship Id="rId808" Type="http://schemas.openxmlformats.org/officeDocument/2006/relationships/hyperlink" Target="https://youtu.be/h0miq_cgI0s" TargetMode="External"/><Relationship Id="rId807" Type="http://schemas.openxmlformats.org/officeDocument/2006/relationships/hyperlink" Target="https://youtu.be/6hx20ca_poQ" TargetMode="External"/><Relationship Id="rId806" Type="http://schemas.openxmlformats.org/officeDocument/2006/relationships/hyperlink" Target="https://youtu.be/JN0OWlfGWhw" TargetMode="External"/><Relationship Id="rId805" Type="http://schemas.openxmlformats.org/officeDocument/2006/relationships/hyperlink" Target="https://youtu.be/U7ep1GQ__kg" TargetMode="External"/><Relationship Id="rId804" Type="http://schemas.openxmlformats.org/officeDocument/2006/relationships/hyperlink" Target="https://youtu.be/mE_hCTfMdng" TargetMode="External"/><Relationship Id="rId803" Type="http://schemas.openxmlformats.org/officeDocument/2006/relationships/hyperlink" Target="https://youtu.be/W9-ob-o_YAg" TargetMode="External"/><Relationship Id="rId802" Type="http://schemas.openxmlformats.org/officeDocument/2006/relationships/hyperlink" Target="https://youtu.be/L9rVANO5qJ8" TargetMode="External"/><Relationship Id="rId801" Type="http://schemas.openxmlformats.org/officeDocument/2006/relationships/hyperlink" Target="https://youtu.be/hG6lWYAFeCQ" TargetMode="External"/><Relationship Id="rId800" Type="http://schemas.openxmlformats.org/officeDocument/2006/relationships/hyperlink" Target="https://youtu.be/H-Ci_YwfH04" TargetMode="External"/><Relationship Id="rId80" Type="http://schemas.openxmlformats.org/officeDocument/2006/relationships/hyperlink" Target="https://youtu.be/vfRTlFCLzH4" TargetMode="External"/><Relationship Id="rId8" Type="http://schemas.openxmlformats.org/officeDocument/2006/relationships/hyperlink" Target="https://youtu.be/wS4z42KaeGk" TargetMode="External"/><Relationship Id="rId799" Type="http://schemas.openxmlformats.org/officeDocument/2006/relationships/hyperlink" Target="https://youtu.be/gPYgwrnr644" TargetMode="External"/><Relationship Id="rId798" Type="http://schemas.openxmlformats.org/officeDocument/2006/relationships/hyperlink" Target="https://youtu.be/L4Y36LeleP0" TargetMode="External"/><Relationship Id="rId797" Type="http://schemas.openxmlformats.org/officeDocument/2006/relationships/hyperlink" Target="https://youtu.be/4cy68OoNHF0" TargetMode="External"/><Relationship Id="rId796" Type="http://schemas.openxmlformats.org/officeDocument/2006/relationships/hyperlink" Target="https://youtu.be/jIL-iRF5u34" TargetMode="External"/><Relationship Id="rId795" Type="http://schemas.openxmlformats.org/officeDocument/2006/relationships/hyperlink" Target="https://youtu.be/b6jPnmCXwqI" TargetMode="External"/><Relationship Id="rId794" Type="http://schemas.openxmlformats.org/officeDocument/2006/relationships/hyperlink" Target="https://youtu.be/mbPlJXZ_rv8" TargetMode="External"/><Relationship Id="rId793" Type="http://schemas.openxmlformats.org/officeDocument/2006/relationships/hyperlink" Target="https://youtu.be/bivXt0hVufk" TargetMode="External"/><Relationship Id="rId792" Type="http://schemas.openxmlformats.org/officeDocument/2006/relationships/hyperlink" Target="https://youtu.be/YJ2bgMSoR0Q" TargetMode="External"/><Relationship Id="rId791" Type="http://schemas.openxmlformats.org/officeDocument/2006/relationships/hyperlink" Target="https://youtu.be/0SKjX4_r_vU" TargetMode="External"/><Relationship Id="rId790" Type="http://schemas.openxmlformats.org/officeDocument/2006/relationships/hyperlink" Target="https://youtu.be/wJ0ia4M2dxs" TargetMode="External"/><Relationship Id="rId79" Type="http://schemas.openxmlformats.org/officeDocument/2006/relationships/hyperlink" Target="https://youtu.be/RE_IRuyXQCQ" TargetMode="External"/><Relationship Id="rId789" Type="http://schemas.openxmlformats.org/officeDocument/2006/relationships/hyperlink" Target="https://youtu.be/mSfhws_XCpI" TargetMode="External"/><Relationship Id="rId788" Type="http://schemas.openxmlformats.org/officeDocument/2006/relationships/hyperlink" Target="https://youtu.be/tt8_vTduQbw" TargetMode="External"/><Relationship Id="rId787" Type="http://schemas.openxmlformats.org/officeDocument/2006/relationships/hyperlink" Target="https://youtu.be/fiMMeteLRek" TargetMode="External"/><Relationship Id="rId786" Type="http://schemas.openxmlformats.org/officeDocument/2006/relationships/hyperlink" Target="https://youtu.be/X2t4l_yMStE" TargetMode="External"/><Relationship Id="rId785" Type="http://schemas.openxmlformats.org/officeDocument/2006/relationships/hyperlink" Target="https://youtu.be/qYUAg9hZDmU" TargetMode="External"/><Relationship Id="rId784" Type="http://schemas.openxmlformats.org/officeDocument/2006/relationships/hyperlink" Target="https://youtu.be/2Pu5ubAJqco" TargetMode="External"/><Relationship Id="rId783" Type="http://schemas.openxmlformats.org/officeDocument/2006/relationships/hyperlink" Target="https://youtu.be/FaEqVYw7O3g" TargetMode="External"/><Relationship Id="rId782" Type="http://schemas.openxmlformats.org/officeDocument/2006/relationships/hyperlink" Target="https://youtu.be/HzEPE4IrY0c" TargetMode="External"/><Relationship Id="rId781" Type="http://schemas.openxmlformats.org/officeDocument/2006/relationships/hyperlink" Target="https://youtu.be/PxvFsqevSdw" TargetMode="External"/><Relationship Id="rId780" Type="http://schemas.openxmlformats.org/officeDocument/2006/relationships/hyperlink" Target="https://youtu.be/ZQkoFuNWXg8" TargetMode="External"/><Relationship Id="rId78" Type="http://schemas.openxmlformats.org/officeDocument/2006/relationships/hyperlink" Target="https://youtu.be/Kl1oxcXU2JQ" TargetMode="External"/><Relationship Id="rId779" Type="http://schemas.openxmlformats.org/officeDocument/2006/relationships/hyperlink" Target="https://youtu.be/6dpmWyOZNyU" TargetMode="External"/><Relationship Id="rId778" Type="http://schemas.openxmlformats.org/officeDocument/2006/relationships/hyperlink" Target="https://youtu.be/fIW8ypUZT_c" TargetMode="External"/><Relationship Id="rId777" Type="http://schemas.openxmlformats.org/officeDocument/2006/relationships/hyperlink" Target="https://youtu.be/zyG4YlPftxk" TargetMode="External"/><Relationship Id="rId776" Type="http://schemas.openxmlformats.org/officeDocument/2006/relationships/hyperlink" Target="https://youtu.be/L9karIUJrSc" TargetMode="External"/><Relationship Id="rId775" Type="http://schemas.openxmlformats.org/officeDocument/2006/relationships/hyperlink" Target="https://youtu.be/l1GPdqX8Xbo" TargetMode="External"/><Relationship Id="rId774" Type="http://schemas.openxmlformats.org/officeDocument/2006/relationships/hyperlink" Target="https://youtu.be/ERDxM9It9FE" TargetMode="External"/><Relationship Id="rId773" Type="http://schemas.openxmlformats.org/officeDocument/2006/relationships/hyperlink" Target="https://youtu.be/o2gz2E-Wrws" TargetMode="External"/><Relationship Id="rId772" Type="http://schemas.openxmlformats.org/officeDocument/2006/relationships/hyperlink" Target="https://youtu.be/3rH3KAcYgBs" TargetMode="External"/><Relationship Id="rId771" Type="http://schemas.openxmlformats.org/officeDocument/2006/relationships/hyperlink" Target="https://youtu.be/nkqirlQowEw" TargetMode="External"/><Relationship Id="rId770" Type="http://schemas.openxmlformats.org/officeDocument/2006/relationships/hyperlink" Target="https://youtu.be/miyZ9DMJBsY" TargetMode="External"/><Relationship Id="rId77" Type="http://schemas.openxmlformats.org/officeDocument/2006/relationships/hyperlink" Target="https://youtu.be/nJhJyZo6h38" TargetMode="External"/><Relationship Id="rId769" Type="http://schemas.openxmlformats.org/officeDocument/2006/relationships/hyperlink" Target="https://youtu.be/FdbiIbaLj3o" TargetMode="External"/><Relationship Id="rId768" Type="http://schemas.openxmlformats.org/officeDocument/2006/relationships/hyperlink" Target="https://youtu.be/c9moR-KQpDQ" TargetMode="External"/><Relationship Id="rId767" Type="http://schemas.openxmlformats.org/officeDocument/2006/relationships/hyperlink" Target="https://youtu.be/k_2yFEzwNG4" TargetMode="External"/><Relationship Id="rId766" Type="http://schemas.openxmlformats.org/officeDocument/2006/relationships/hyperlink" Target="https://youtu.be/FJDWHm_ZjoM" TargetMode="External"/><Relationship Id="rId765" Type="http://schemas.openxmlformats.org/officeDocument/2006/relationships/hyperlink" Target="https://youtu.be/tBngQcySHdU" TargetMode="External"/><Relationship Id="rId764" Type="http://schemas.openxmlformats.org/officeDocument/2006/relationships/hyperlink" Target="https://youtu.be/gXy8sSv64fY" TargetMode="External"/><Relationship Id="rId763" Type="http://schemas.openxmlformats.org/officeDocument/2006/relationships/hyperlink" Target="https://youtu.be/y9TJVLdIqp0" TargetMode="External"/><Relationship Id="rId762" Type="http://schemas.openxmlformats.org/officeDocument/2006/relationships/hyperlink" Target="https://youtu.be/xPDYfXayugw" TargetMode="External"/><Relationship Id="rId761" Type="http://schemas.openxmlformats.org/officeDocument/2006/relationships/hyperlink" Target="https://youtu.be/_2tf7o8AtmI" TargetMode="External"/><Relationship Id="rId760" Type="http://schemas.openxmlformats.org/officeDocument/2006/relationships/hyperlink" Target="https://youtu.be/BpPnc4_tSwA" TargetMode="External"/><Relationship Id="rId76" Type="http://schemas.openxmlformats.org/officeDocument/2006/relationships/hyperlink" Target="https://youtu.be/PIjZHWUMbo8" TargetMode="External"/><Relationship Id="rId759" Type="http://schemas.openxmlformats.org/officeDocument/2006/relationships/hyperlink" Target="https://youtu.be/ps3kWOQRQnY" TargetMode="External"/><Relationship Id="rId758" Type="http://schemas.openxmlformats.org/officeDocument/2006/relationships/hyperlink" Target="https://youtu.be/tKZmcZc9-LY" TargetMode="External"/><Relationship Id="rId757" Type="http://schemas.openxmlformats.org/officeDocument/2006/relationships/hyperlink" Target="https://youtu.be/hxQPGtN9f64" TargetMode="External"/><Relationship Id="rId756" Type="http://schemas.openxmlformats.org/officeDocument/2006/relationships/hyperlink" Target="https://youtu.be/FF6NTKKWgFU" TargetMode="External"/><Relationship Id="rId755" Type="http://schemas.openxmlformats.org/officeDocument/2006/relationships/hyperlink" Target="https://youtu.be/ObkvrRPX-ts" TargetMode="External"/><Relationship Id="rId754" Type="http://schemas.openxmlformats.org/officeDocument/2006/relationships/hyperlink" Target="https://youtu.be/QmvY8ZmN0Ic" TargetMode="External"/><Relationship Id="rId753" Type="http://schemas.openxmlformats.org/officeDocument/2006/relationships/hyperlink" Target="https://youtu.be/kPipPqzo-QQ" TargetMode="External"/><Relationship Id="rId752" Type="http://schemas.openxmlformats.org/officeDocument/2006/relationships/hyperlink" Target="https://youtu.be/KiGOpT9T4A8" TargetMode="External"/><Relationship Id="rId751" Type="http://schemas.openxmlformats.org/officeDocument/2006/relationships/hyperlink" Target="https://youtu.be/c-reig1cMPE" TargetMode="External"/><Relationship Id="rId750" Type="http://schemas.openxmlformats.org/officeDocument/2006/relationships/hyperlink" Target="https://youtu.be/5Vgzz2_2-84" TargetMode="External"/><Relationship Id="rId75" Type="http://schemas.openxmlformats.org/officeDocument/2006/relationships/hyperlink" Target="https://youtu.be/e8JQXMjPOpQ" TargetMode="External"/><Relationship Id="rId749" Type="http://schemas.openxmlformats.org/officeDocument/2006/relationships/hyperlink" Target="https://youtu.be/vl6jn-DdafM" TargetMode="External"/><Relationship Id="rId748" Type="http://schemas.openxmlformats.org/officeDocument/2006/relationships/hyperlink" Target="https://youtu.be/Rq8cyvmJMNQ" TargetMode="External"/><Relationship Id="rId747" Type="http://schemas.openxmlformats.org/officeDocument/2006/relationships/hyperlink" Target="https://youtu.be/KfjvYuEI-0U" TargetMode="External"/><Relationship Id="rId746" Type="http://schemas.openxmlformats.org/officeDocument/2006/relationships/hyperlink" Target="https://youtu.be/8pS_S3Pxoto" TargetMode="External"/><Relationship Id="rId745" Type="http://schemas.openxmlformats.org/officeDocument/2006/relationships/hyperlink" Target="https://youtu.be/CyhtXtRVXEo" TargetMode="External"/><Relationship Id="rId744" Type="http://schemas.openxmlformats.org/officeDocument/2006/relationships/hyperlink" Target="https://youtu.be/QbtjlE2Sy8U" TargetMode="External"/><Relationship Id="rId743" Type="http://schemas.openxmlformats.org/officeDocument/2006/relationships/hyperlink" Target="https://youtu.be/2kxqsA23lts" TargetMode="External"/><Relationship Id="rId742" Type="http://schemas.openxmlformats.org/officeDocument/2006/relationships/hyperlink" Target="https://youtu.be/G9KQfnqukno" TargetMode="External"/><Relationship Id="rId741" Type="http://schemas.openxmlformats.org/officeDocument/2006/relationships/hyperlink" Target="https://youtu.be/75BvlfSbkEA" TargetMode="External"/><Relationship Id="rId740" Type="http://schemas.openxmlformats.org/officeDocument/2006/relationships/hyperlink" Target="https://youtu.be/qODDdqK9rL4" TargetMode="External"/><Relationship Id="rId74" Type="http://schemas.openxmlformats.org/officeDocument/2006/relationships/hyperlink" Target="https://youtu.be/uDF4wCTZUHE" TargetMode="External"/><Relationship Id="rId739" Type="http://schemas.openxmlformats.org/officeDocument/2006/relationships/hyperlink" Target="https://youtu.be/gEjVPyALZno" TargetMode="External"/><Relationship Id="rId738" Type="http://schemas.openxmlformats.org/officeDocument/2006/relationships/hyperlink" Target="https://youtu.be/oOxFoeXiiSA" TargetMode="External"/><Relationship Id="rId737" Type="http://schemas.openxmlformats.org/officeDocument/2006/relationships/hyperlink" Target="https://youtu.be/uu-_K_S4IOA" TargetMode="External"/><Relationship Id="rId736" Type="http://schemas.openxmlformats.org/officeDocument/2006/relationships/hyperlink" Target="https://youtu.be/2WHXOi2orxA" TargetMode="External"/><Relationship Id="rId735" Type="http://schemas.openxmlformats.org/officeDocument/2006/relationships/hyperlink" Target="https://youtu.be/y7Z6R7DZFUs" TargetMode="External"/><Relationship Id="rId734" Type="http://schemas.openxmlformats.org/officeDocument/2006/relationships/hyperlink" Target="https://youtu.be/y6NGgs8S4qs" TargetMode="External"/><Relationship Id="rId733" Type="http://schemas.openxmlformats.org/officeDocument/2006/relationships/hyperlink" Target="https://youtu.be/P3utzfQHbQQ" TargetMode="External"/><Relationship Id="rId732" Type="http://schemas.openxmlformats.org/officeDocument/2006/relationships/hyperlink" Target="https://youtu.be/sJm-5srzBQg" TargetMode="External"/><Relationship Id="rId731" Type="http://schemas.openxmlformats.org/officeDocument/2006/relationships/hyperlink" Target="https://youtu.be/2d6_BwRrL1E" TargetMode="External"/><Relationship Id="rId730" Type="http://schemas.openxmlformats.org/officeDocument/2006/relationships/hyperlink" Target="https://youtu.be/NeHQcS1kRVQ" TargetMode="External"/><Relationship Id="rId73" Type="http://schemas.openxmlformats.org/officeDocument/2006/relationships/hyperlink" Target="https://youtu.be/hr4J6GhoATs" TargetMode="External"/><Relationship Id="rId729" Type="http://schemas.openxmlformats.org/officeDocument/2006/relationships/hyperlink" Target="https://youtu.be/xn3-0a19sC8" TargetMode="External"/><Relationship Id="rId728" Type="http://schemas.openxmlformats.org/officeDocument/2006/relationships/hyperlink" Target="https://youtu.be/4T_GLYKQb_M" TargetMode="External"/><Relationship Id="rId727" Type="http://schemas.openxmlformats.org/officeDocument/2006/relationships/hyperlink" Target="https://youtu.be/rJgqhznBntE" TargetMode="External"/><Relationship Id="rId726" Type="http://schemas.openxmlformats.org/officeDocument/2006/relationships/hyperlink" Target="https://youtu.be/jX_1equIOpU" TargetMode="External"/><Relationship Id="rId725" Type="http://schemas.openxmlformats.org/officeDocument/2006/relationships/hyperlink" Target="https://youtu.be/BVLj_Hzs_9k" TargetMode="External"/><Relationship Id="rId724" Type="http://schemas.openxmlformats.org/officeDocument/2006/relationships/hyperlink" Target="https://youtu.be/3FIXaxXaX4I" TargetMode="External"/><Relationship Id="rId723" Type="http://schemas.openxmlformats.org/officeDocument/2006/relationships/hyperlink" Target="https://youtu.be/1S5jaApOYl0" TargetMode="External"/><Relationship Id="rId722" Type="http://schemas.openxmlformats.org/officeDocument/2006/relationships/hyperlink" Target="https://youtu.be/CIQMsI87jmA" TargetMode="External"/><Relationship Id="rId721" Type="http://schemas.openxmlformats.org/officeDocument/2006/relationships/hyperlink" Target="https://youtu.be/v8aWXJeh9R4" TargetMode="External"/><Relationship Id="rId720" Type="http://schemas.openxmlformats.org/officeDocument/2006/relationships/hyperlink" Target="https://youtu.be/qsyTc4Su5vQ" TargetMode="External"/><Relationship Id="rId72" Type="http://schemas.openxmlformats.org/officeDocument/2006/relationships/hyperlink" Target="https://youtu.be/fNSmLNWyojA" TargetMode="External"/><Relationship Id="rId719" Type="http://schemas.openxmlformats.org/officeDocument/2006/relationships/hyperlink" Target="https://youtu.be/Mo7aAHW5TKw" TargetMode="External"/><Relationship Id="rId718" Type="http://schemas.openxmlformats.org/officeDocument/2006/relationships/hyperlink" Target="https://youtu.be/jJoJh-Bird0" TargetMode="External"/><Relationship Id="rId717" Type="http://schemas.openxmlformats.org/officeDocument/2006/relationships/hyperlink" Target="https://youtu.be/L3zOeNKXAI8" TargetMode="External"/><Relationship Id="rId716" Type="http://schemas.openxmlformats.org/officeDocument/2006/relationships/hyperlink" Target="https://youtu.be/EvFqN-6YAl8" TargetMode="External"/><Relationship Id="rId715" Type="http://schemas.openxmlformats.org/officeDocument/2006/relationships/hyperlink" Target="https://youtu.be/rWFSj2d3vl0" TargetMode="External"/><Relationship Id="rId714" Type="http://schemas.openxmlformats.org/officeDocument/2006/relationships/hyperlink" Target="https://youtu.be/nOcDftgR5UQ" TargetMode="External"/><Relationship Id="rId713" Type="http://schemas.openxmlformats.org/officeDocument/2006/relationships/hyperlink" Target="https://youtu.be/w4wx_3XOrns" TargetMode="External"/><Relationship Id="rId712" Type="http://schemas.openxmlformats.org/officeDocument/2006/relationships/hyperlink" Target="https://youtu.be/22PBC-YgWYM" TargetMode="External"/><Relationship Id="rId711" Type="http://schemas.openxmlformats.org/officeDocument/2006/relationships/hyperlink" Target="https://youtu.be/qifHM32AHvw" TargetMode="External"/><Relationship Id="rId710" Type="http://schemas.openxmlformats.org/officeDocument/2006/relationships/hyperlink" Target="https://youtu.be/4goOVaxI9mU" TargetMode="External"/><Relationship Id="rId71" Type="http://schemas.openxmlformats.org/officeDocument/2006/relationships/hyperlink" Target="https://youtu.be/470HQVrJiJU" TargetMode="External"/><Relationship Id="rId709" Type="http://schemas.openxmlformats.org/officeDocument/2006/relationships/hyperlink" Target="https://youtu.be/ko-bkCkOgak" TargetMode="External"/><Relationship Id="rId708" Type="http://schemas.openxmlformats.org/officeDocument/2006/relationships/hyperlink" Target="https://youtu.be/d-ygJpehWLQ" TargetMode="External"/><Relationship Id="rId707" Type="http://schemas.openxmlformats.org/officeDocument/2006/relationships/hyperlink" Target="https://youtu.be/GmBlqb_FxLI" TargetMode="External"/><Relationship Id="rId706" Type="http://schemas.openxmlformats.org/officeDocument/2006/relationships/hyperlink" Target="https://youtu.be/_tgxyuzaQkU" TargetMode="External"/><Relationship Id="rId705" Type="http://schemas.openxmlformats.org/officeDocument/2006/relationships/hyperlink" Target="https://youtu.be/XlunBKSpFrM" TargetMode="External"/><Relationship Id="rId704" Type="http://schemas.openxmlformats.org/officeDocument/2006/relationships/hyperlink" Target="https://youtu.be/7y7jcqE_JVc" TargetMode="External"/><Relationship Id="rId703" Type="http://schemas.openxmlformats.org/officeDocument/2006/relationships/hyperlink" Target="https://youtu.be/5qaKa8tSXmo" TargetMode="External"/><Relationship Id="rId702" Type="http://schemas.openxmlformats.org/officeDocument/2006/relationships/hyperlink" Target="https://youtu.be/D5J-xTFyido" TargetMode="External"/><Relationship Id="rId701" Type="http://schemas.openxmlformats.org/officeDocument/2006/relationships/hyperlink" Target="https://youtu.be/v2JsxXxf1MM" TargetMode="External"/><Relationship Id="rId700" Type="http://schemas.openxmlformats.org/officeDocument/2006/relationships/hyperlink" Target="https://youtu.be/lnn_-1BYbiY" TargetMode="External"/><Relationship Id="rId70" Type="http://schemas.openxmlformats.org/officeDocument/2006/relationships/hyperlink" Target="https://youtu.be/N0acoq5Uzfs" TargetMode="External"/><Relationship Id="rId7" Type="http://schemas.openxmlformats.org/officeDocument/2006/relationships/hyperlink" Target="https://youtu.be/yekfGi-JF0g" TargetMode="External"/><Relationship Id="rId699" Type="http://schemas.openxmlformats.org/officeDocument/2006/relationships/hyperlink" Target="https://youtu.be/d1-6h4Wj6Aw" TargetMode="External"/><Relationship Id="rId698" Type="http://schemas.openxmlformats.org/officeDocument/2006/relationships/hyperlink" Target="https://youtu.be/5qnYNY6DvtM" TargetMode="External"/><Relationship Id="rId697" Type="http://schemas.openxmlformats.org/officeDocument/2006/relationships/hyperlink" Target="https://youtu.be/WEkl-M36yC4" TargetMode="External"/><Relationship Id="rId696" Type="http://schemas.openxmlformats.org/officeDocument/2006/relationships/hyperlink" Target="https://youtu.be/sIIT68UnAUg" TargetMode="External"/><Relationship Id="rId695" Type="http://schemas.openxmlformats.org/officeDocument/2006/relationships/hyperlink" Target="https://youtu.be/FP1NoO9uh18" TargetMode="External"/><Relationship Id="rId694" Type="http://schemas.openxmlformats.org/officeDocument/2006/relationships/hyperlink" Target="https://youtu.be/aOukt6g3os0" TargetMode="External"/><Relationship Id="rId693" Type="http://schemas.openxmlformats.org/officeDocument/2006/relationships/hyperlink" Target="https://youtu.be/K5VkjPlAz6s" TargetMode="External"/><Relationship Id="rId692" Type="http://schemas.openxmlformats.org/officeDocument/2006/relationships/hyperlink" Target="https://youtu.be/W1e8uWkVja8" TargetMode="External"/><Relationship Id="rId691" Type="http://schemas.openxmlformats.org/officeDocument/2006/relationships/hyperlink" Target="https://youtu.be/_BTd40ed3sg" TargetMode="External"/><Relationship Id="rId690" Type="http://schemas.openxmlformats.org/officeDocument/2006/relationships/hyperlink" Target="https://youtu.be/U7DnzGdsJFY" TargetMode="External"/><Relationship Id="rId69" Type="http://schemas.openxmlformats.org/officeDocument/2006/relationships/hyperlink" Target="https://youtu.be/1m37B2MJKu8" TargetMode="External"/><Relationship Id="rId689" Type="http://schemas.openxmlformats.org/officeDocument/2006/relationships/hyperlink" Target="https://youtu.be/mFqWr-WHqmo" TargetMode="External"/><Relationship Id="rId688" Type="http://schemas.openxmlformats.org/officeDocument/2006/relationships/hyperlink" Target="https://youtu.be/XtB_z74-qa4" TargetMode="External"/><Relationship Id="rId687" Type="http://schemas.openxmlformats.org/officeDocument/2006/relationships/hyperlink" Target="https://youtu.be/sun1LumDuVw" TargetMode="External"/><Relationship Id="rId686" Type="http://schemas.openxmlformats.org/officeDocument/2006/relationships/hyperlink" Target="https://youtu.be/RFKKy3IPSxg" TargetMode="External"/><Relationship Id="rId685" Type="http://schemas.openxmlformats.org/officeDocument/2006/relationships/hyperlink" Target="https://youtu.be/uuNTE3oTZZo" TargetMode="External"/><Relationship Id="rId684" Type="http://schemas.openxmlformats.org/officeDocument/2006/relationships/hyperlink" Target="https://youtu.be/1bJDPqd8V88" TargetMode="External"/><Relationship Id="rId683" Type="http://schemas.openxmlformats.org/officeDocument/2006/relationships/hyperlink" Target="https://youtu.be/nSR2Yvlki7I" TargetMode="External"/><Relationship Id="rId682" Type="http://schemas.openxmlformats.org/officeDocument/2006/relationships/hyperlink" Target="https://youtu.be/_oVYSwmIrZk" TargetMode="External"/><Relationship Id="rId681" Type="http://schemas.openxmlformats.org/officeDocument/2006/relationships/hyperlink" Target="https://youtu.be/jPQD-u5ZP6M" TargetMode="External"/><Relationship Id="rId680" Type="http://schemas.openxmlformats.org/officeDocument/2006/relationships/hyperlink" Target="https://youtu.be/wialrxoQTWM" TargetMode="External"/><Relationship Id="rId68" Type="http://schemas.openxmlformats.org/officeDocument/2006/relationships/hyperlink" Target="https://youtu.be/FSJC7XvyMXY" TargetMode="External"/><Relationship Id="rId679" Type="http://schemas.openxmlformats.org/officeDocument/2006/relationships/hyperlink" Target="https://youtu.be/CUrshzt-muI" TargetMode="External"/><Relationship Id="rId678" Type="http://schemas.openxmlformats.org/officeDocument/2006/relationships/hyperlink" Target="https://youtu.be/6Sau0pFAkTk" TargetMode="External"/><Relationship Id="rId677" Type="http://schemas.openxmlformats.org/officeDocument/2006/relationships/hyperlink" Target="https://youtu.be/YOG3tAkPpPE" TargetMode="External"/><Relationship Id="rId676" Type="http://schemas.openxmlformats.org/officeDocument/2006/relationships/hyperlink" Target="https://youtu.be/RN7fm1ZRK90" TargetMode="External"/><Relationship Id="rId675" Type="http://schemas.openxmlformats.org/officeDocument/2006/relationships/hyperlink" Target="https://youtu.be/VklY8tT4AsY" TargetMode="External"/><Relationship Id="rId674" Type="http://schemas.openxmlformats.org/officeDocument/2006/relationships/hyperlink" Target="https://youtu.be/0WaiAyU-3mU" TargetMode="External"/><Relationship Id="rId673" Type="http://schemas.openxmlformats.org/officeDocument/2006/relationships/hyperlink" Target="https://youtu.be/LTk1SepOvXk" TargetMode="External"/><Relationship Id="rId672" Type="http://schemas.openxmlformats.org/officeDocument/2006/relationships/hyperlink" Target="https://youtu.be/AWCRYZF8QVw" TargetMode="External"/><Relationship Id="rId671" Type="http://schemas.openxmlformats.org/officeDocument/2006/relationships/hyperlink" Target="https://youtu.be/ethlD9moxyI" TargetMode="External"/><Relationship Id="rId670" Type="http://schemas.openxmlformats.org/officeDocument/2006/relationships/hyperlink" Target="https://youtu.be/C4C8JsgGrrY" TargetMode="External"/><Relationship Id="rId67" Type="http://schemas.openxmlformats.org/officeDocument/2006/relationships/hyperlink" Target="https://youtu.be/orpycPJKe4Q" TargetMode="External"/><Relationship Id="rId669" Type="http://schemas.openxmlformats.org/officeDocument/2006/relationships/hyperlink" Target="https://youtu.be/OhflFp-3YvY" TargetMode="External"/><Relationship Id="rId668" Type="http://schemas.openxmlformats.org/officeDocument/2006/relationships/hyperlink" Target="https://youtu.be/7Lol3lumMTo" TargetMode="External"/><Relationship Id="rId667" Type="http://schemas.openxmlformats.org/officeDocument/2006/relationships/hyperlink" Target="https://youtu.be/NrFd-17QMzY" TargetMode="External"/><Relationship Id="rId666" Type="http://schemas.openxmlformats.org/officeDocument/2006/relationships/hyperlink" Target="https://youtu.be/4NBAlxwA6Rs" TargetMode="External"/><Relationship Id="rId665" Type="http://schemas.openxmlformats.org/officeDocument/2006/relationships/hyperlink" Target="https://youtu.be/_-TiP7onEmo" TargetMode="External"/><Relationship Id="rId664" Type="http://schemas.openxmlformats.org/officeDocument/2006/relationships/hyperlink" Target="https://youtu.be/opHOetEcyK0" TargetMode="External"/><Relationship Id="rId663" Type="http://schemas.openxmlformats.org/officeDocument/2006/relationships/hyperlink" Target="https://youtu.be/nwDS_ZbSssI" TargetMode="External"/><Relationship Id="rId662" Type="http://schemas.openxmlformats.org/officeDocument/2006/relationships/hyperlink" Target="https://youtu.be/uUf7RCnymys" TargetMode="External"/><Relationship Id="rId661" Type="http://schemas.openxmlformats.org/officeDocument/2006/relationships/hyperlink" Target="https://youtu.be/dJ-04R_Zw6M" TargetMode="External"/><Relationship Id="rId660" Type="http://schemas.openxmlformats.org/officeDocument/2006/relationships/hyperlink" Target="https://youtu.be/yj6LYpZosRU" TargetMode="External"/><Relationship Id="rId66" Type="http://schemas.openxmlformats.org/officeDocument/2006/relationships/hyperlink" Target="https://youtu.be/MvVxtFyTE0M" TargetMode="External"/><Relationship Id="rId659" Type="http://schemas.openxmlformats.org/officeDocument/2006/relationships/hyperlink" Target="https://youtu.be/EsJkyNnS0Z4" TargetMode="External"/><Relationship Id="rId658" Type="http://schemas.openxmlformats.org/officeDocument/2006/relationships/hyperlink" Target="https://youtu.be/S6KgbRX1tPI" TargetMode="External"/><Relationship Id="rId657" Type="http://schemas.openxmlformats.org/officeDocument/2006/relationships/hyperlink" Target="https://youtu.be/Daelqxwph08" TargetMode="External"/><Relationship Id="rId656" Type="http://schemas.openxmlformats.org/officeDocument/2006/relationships/hyperlink" Target="https://youtu.be/cNnvYACgwrE" TargetMode="External"/><Relationship Id="rId655" Type="http://schemas.openxmlformats.org/officeDocument/2006/relationships/hyperlink" Target="https://youtu.be/F_iA2DdgMUA" TargetMode="External"/><Relationship Id="rId654" Type="http://schemas.openxmlformats.org/officeDocument/2006/relationships/hyperlink" Target="https://youtu.be/6-LqyTeHLQg" TargetMode="External"/><Relationship Id="rId653" Type="http://schemas.openxmlformats.org/officeDocument/2006/relationships/hyperlink" Target="https://youtu.be/V7qrZcTrPIg" TargetMode="External"/><Relationship Id="rId652" Type="http://schemas.openxmlformats.org/officeDocument/2006/relationships/hyperlink" Target="https://youtu.be/jfVs5G5k8ZI" TargetMode="External"/><Relationship Id="rId651" Type="http://schemas.openxmlformats.org/officeDocument/2006/relationships/hyperlink" Target="https://youtu.be/1nwwTZhGC_0" TargetMode="External"/><Relationship Id="rId650" Type="http://schemas.openxmlformats.org/officeDocument/2006/relationships/hyperlink" Target="https://youtu.be/UgLNbGl9-iY" TargetMode="External"/><Relationship Id="rId65" Type="http://schemas.openxmlformats.org/officeDocument/2006/relationships/hyperlink" Target="https://youtu.be/SA0SZkmD5vw" TargetMode="External"/><Relationship Id="rId649" Type="http://schemas.openxmlformats.org/officeDocument/2006/relationships/hyperlink" Target="https://youtu.be/4nspRYAso0c" TargetMode="External"/><Relationship Id="rId648" Type="http://schemas.openxmlformats.org/officeDocument/2006/relationships/hyperlink" Target="https://youtu.be/jTvP1VhGh8s" TargetMode="External"/><Relationship Id="rId647" Type="http://schemas.openxmlformats.org/officeDocument/2006/relationships/hyperlink" Target="https://youtu.be/NR1c_4VWx9M" TargetMode="External"/><Relationship Id="rId646" Type="http://schemas.openxmlformats.org/officeDocument/2006/relationships/hyperlink" Target="https://youtu.be/yfvrAq21Gco" TargetMode="External"/><Relationship Id="rId645" Type="http://schemas.openxmlformats.org/officeDocument/2006/relationships/hyperlink" Target="https://youtu.be/emQej1NKTtU" TargetMode="External"/><Relationship Id="rId644" Type="http://schemas.openxmlformats.org/officeDocument/2006/relationships/hyperlink" Target="https://youtu.be/l11sW5KOi_g" TargetMode="External"/><Relationship Id="rId643" Type="http://schemas.openxmlformats.org/officeDocument/2006/relationships/hyperlink" Target="https://youtu.be/NgztN23ZALU" TargetMode="External"/><Relationship Id="rId642" Type="http://schemas.openxmlformats.org/officeDocument/2006/relationships/hyperlink" Target="https://youtu.be/b9YcPB0qAig" TargetMode="External"/><Relationship Id="rId641" Type="http://schemas.openxmlformats.org/officeDocument/2006/relationships/hyperlink" Target="https://youtu.be/6MR-qaDaG6w" TargetMode="External"/><Relationship Id="rId640" Type="http://schemas.openxmlformats.org/officeDocument/2006/relationships/hyperlink" Target="https://youtu.be/Rxd8gT5oZHU" TargetMode="External"/><Relationship Id="rId64" Type="http://schemas.openxmlformats.org/officeDocument/2006/relationships/hyperlink" Target="https://youtu.be/Z5cayPF5qeQ" TargetMode="External"/><Relationship Id="rId639" Type="http://schemas.openxmlformats.org/officeDocument/2006/relationships/hyperlink" Target="https://youtu.be/Zx4uqkgLyUE" TargetMode="External"/><Relationship Id="rId638" Type="http://schemas.openxmlformats.org/officeDocument/2006/relationships/hyperlink" Target="https://youtu.be/uanbL9a3gM0" TargetMode="External"/><Relationship Id="rId637" Type="http://schemas.openxmlformats.org/officeDocument/2006/relationships/hyperlink" Target="https://youtu.be/LEmQY4O6E4k" TargetMode="External"/><Relationship Id="rId636" Type="http://schemas.openxmlformats.org/officeDocument/2006/relationships/hyperlink" Target="https://youtu.be/VkFSqdoTSms" TargetMode="External"/><Relationship Id="rId635" Type="http://schemas.openxmlformats.org/officeDocument/2006/relationships/hyperlink" Target="https://youtu.be/Ue4YSdph7TQ" TargetMode="External"/><Relationship Id="rId634" Type="http://schemas.openxmlformats.org/officeDocument/2006/relationships/hyperlink" Target="https://youtu.be/RvMPoS4DqYE" TargetMode="External"/><Relationship Id="rId633" Type="http://schemas.openxmlformats.org/officeDocument/2006/relationships/hyperlink" Target="https://youtu.be/w6BP5H7VOIU" TargetMode="External"/><Relationship Id="rId632" Type="http://schemas.openxmlformats.org/officeDocument/2006/relationships/hyperlink" Target="https://youtu.be/xBRRU2-etAQ" TargetMode="External"/><Relationship Id="rId631" Type="http://schemas.openxmlformats.org/officeDocument/2006/relationships/hyperlink" Target="https://youtu.be/fCpnQYYas0c" TargetMode="External"/><Relationship Id="rId630" Type="http://schemas.openxmlformats.org/officeDocument/2006/relationships/hyperlink" Target="https://youtu.be/60JAciOhi2A" TargetMode="External"/><Relationship Id="rId63" Type="http://schemas.openxmlformats.org/officeDocument/2006/relationships/hyperlink" Target="https://youtu.be/T3-3RHYGjX4" TargetMode="External"/><Relationship Id="rId629" Type="http://schemas.openxmlformats.org/officeDocument/2006/relationships/hyperlink" Target="https://youtu.be/fGkZjciAV1A" TargetMode="External"/><Relationship Id="rId628" Type="http://schemas.openxmlformats.org/officeDocument/2006/relationships/hyperlink" Target="https://youtu.be/_T8cn2J13-4" TargetMode="External"/><Relationship Id="rId627" Type="http://schemas.openxmlformats.org/officeDocument/2006/relationships/hyperlink" Target="https://youtu.be/9SUNH61QbH0" TargetMode="External"/><Relationship Id="rId626" Type="http://schemas.openxmlformats.org/officeDocument/2006/relationships/hyperlink" Target="https://youtu.be/H5KwmZDcYLY" TargetMode="External"/><Relationship Id="rId625" Type="http://schemas.openxmlformats.org/officeDocument/2006/relationships/hyperlink" Target="https://youtu.be/Xj65u8kTXIk" TargetMode="External"/><Relationship Id="rId624" Type="http://schemas.openxmlformats.org/officeDocument/2006/relationships/hyperlink" Target="https://youtu.be/mB1nAzriqRQ" TargetMode="External"/><Relationship Id="rId623" Type="http://schemas.openxmlformats.org/officeDocument/2006/relationships/hyperlink" Target="https://youtu.be/vhj5OYwND14" TargetMode="External"/><Relationship Id="rId622" Type="http://schemas.openxmlformats.org/officeDocument/2006/relationships/hyperlink" Target="https://youtu.be/hkKaaVnzm8A" TargetMode="External"/><Relationship Id="rId621" Type="http://schemas.openxmlformats.org/officeDocument/2006/relationships/hyperlink" Target="https://youtu.be/ma6wr5mTsbg" TargetMode="External"/><Relationship Id="rId620" Type="http://schemas.openxmlformats.org/officeDocument/2006/relationships/hyperlink" Target="https://youtu.be/HRgOZ-cj2ro" TargetMode="External"/><Relationship Id="rId62" Type="http://schemas.openxmlformats.org/officeDocument/2006/relationships/hyperlink" Target="https://youtu.be/KjBisqblTLQ" TargetMode="External"/><Relationship Id="rId619" Type="http://schemas.openxmlformats.org/officeDocument/2006/relationships/hyperlink" Target="https://youtu.be/F2zaykKhWyg" TargetMode="External"/><Relationship Id="rId618" Type="http://schemas.openxmlformats.org/officeDocument/2006/relationships/hyperlink" Target="https://youtu.be/ryPKdGVNtJo" TargetMode="External"/><Relationship Id="rId617" Type="http://schemas.openxmlformats.org/officeDocument/2006/relationships/hyperlink" Target="https://youtu.be/-O8c0B5h4WA" TargetMode="External"/><Relationship Id="rId616" Type="http://schemas.openxmlformats.org/officeDocument/2006/relationships/hyperlink" Target="https://youtu.be/gkYhcyn5fdU" TargetMode="External"/><Relationship Id="rId615" Type="http://schemas.openxmlformats.org/officeDocument/2006/relationships/hyperlink" Target="https://youtu.be/4C3wWknliQQ" TargetMode="External"/><Relationship Id="rId614" Type="http://schemas.openxmlformats.org/officeDocument/2006/relationships/hyperlink" Target="https://youtu.be/DpXxdSr1FWs" TargetMode="External"/><Relationship Id="rId613" Type="http://schemas.openxmlformats.org/officeDocument/2006/relationships/hyperlink" Target="https://youtu.be/U_GQ65c2jrk" TargetMode="External"/><Relationship Id="rId612" Type="http://schemas.openxmlformats.org/officeDocument/2006/relationships/hyperlink" Target="https://youtu.be/uc7rl3EXFS4" TargetMode="External"/><Relationship Id="rId611" Type="http://schemas.openxmlformats.org/officeDocument/2006/relationships/hyperlink" Target="https://youtu.be/yqHiShYGkZQ" TargetMode="External"/><Relationship Id="rId610" Type="http://schemas.openxmlformats.org/officeDocument/2006/relationships/hyperlink" Target="https://youtu.be/IHS5orsjmTk" TargetMode="External"/><Relationship Id="rId61" Type="http://schemas.openxmlformats.org/officeDocument/2006/relationships/hyperlink" Target="https://youtu.be/z8HB8jlWai8" TargetMode="External"/><Relationship Id="rId609" Type="http://schemas.openxmlformats.org/officeDocument/2006/relationships/hyperlink" Target="https://youtu.be/Nd1BnJEKdzI" TargetMode="External"/><Relationship Id="rId608" Type="http://schemas.openxmlformats.org/officeDocument/2006/relationships/hyperlink" Target="https://youtu.be/21iEBbsuuTI" TargetMode="External"/><Relationship Id="rId607" Type="http://schemas.openxmlformats.org/officeDocument/2006/relationships/hyperlink" Target="https://youtu.be/80d6_ZROVAA" TargetMode="External"/><Relationship Id="rId606" Type="http://schemas.openxmlformats.org/officeDocument/2006/relationships/hyperlink" Target="https://youtu.be/raEcGoy3xvE" TargetMode="External"/><Relationship Id="rId605" Type="http://schemas.openxmlformats.org/officeDocument/2006/relationships/hyperlink" Target="https://youtu.be/3P0EUBrWh50" TargetMode="External"/><Relationship Id="rId604" Type="http://schemas.openxmlformats.org/officeDocument/2006/relationships/hyperlink" Target="https://youtu.be/Iy5uN7xf0dA" TargetMode="External"/><Relationship Id="rId603" Type="http://schemas.openxmlformats.org/officeDocument/2006/relationships/hyperlink" Target="https://youtu.be/4fXsAvv96Gw" TargetMode="External"/><Relationship Id="rId602" Type="http://schemas.openxmlformats.org/officeDocument/2006/relationships/hyperlink" Target="https://youtu.be/9KGKlp3J-N4" TargetMode="External"/><Relationship Id="rId601" Type="http://schemas.openxmlformats.org/officeDocument/2006/relationships/hyperlink" Target="https://youtu.be/WvT3hMVrSzs" TargetMode="External"/><Relationship Id="rId600" Type="http://schemas.openxmlformats.org/officeDocument/2006/relationships/hyperlink" Target="https://youtu.be/3RcGsuq2hn8" TargetMode="External"/><Relationship Id="rId60" Type="http://schemas.openxmlformats.org/officeDocument/2006/relationships/hyperlink" Target="https://youtu.be/mdSj3vI8szI" TargetMode="External"/><Relationship Id="rId6" Type="http://schemas.openxmlformats.org/officeDocument/2006/relationships/hyperlink" Target="https://youtu.be/2kOnlLlxhLA" TargetMode="External"/><Relationship Id="rId599" Type="http://schemas.openxmlformats.org/officeDocument/2006/relationships/hyperlink" Target="https://youtu.be/tG1kCIpIQBw" TargetMode="External"/><Relationship Id="rId598" Type="http://schemas.openxmlformats.org/officeDocument/2006/relationships/hyperlink" Target="https://youtu.be/DPPc8BVNjQs" TargetMode="External"/><Relationship Id="rId597" Type="http://schemas.openxmlformats.org/officeDocument/2006/relationships/hyperlink" Target="https://youtu.be/wVFm-ueQDnw" TargetMode="External"/><Relationship Id="rId596" Type="http://schemas.openxmlformats.org/officeDocument/2006/relationships/hyperlink" Target="https://youtu.be/eX_z8btMIsw" TargetMode="External"/><Relationship Id="rId595" Type="http://schemas.openxmlformats.org/officeDocument/2006/relationships/hyperlink" Target="https://youtu.be/aa28FejUW8s" TargetMode="External"/><Relationship Id="rId594" Type="http://schemas.openxmlformats.org/officeDocument/2006/relationships/hyperlink" Target="https://youtu.be/CJucyKbQydQ" TargetMode="External"/><Relationship Id="rId593" Type="http://schemas.openxmlformats.org/officeDocument/2006/relationships/hyperlink" Target="https://youtu.be/E8wBJ71zJ34" TargetMode="External"/><Relationship Id="rId592" Type="http://schemas.openxmlformats.org/officeDocument/2006/relationships/hyperlink" Target="https://youtu.be/nKxgieXQ82w" TargetMode="External"/><Relationship Id="rId591" Type="http://schemas.openxmlformats.org/officeDocument/2006/relationships/hyperlink" Target="https://youtu.be/uOGUI4u0Rjs" TargetMode="External"/><Relationship Id="rId590" Type="http://schemas.openxmlformats.org/officeDocument/2006/relationships/hyperlink" Target="https://youtu.be/yW38YH3oFi0" TargetMode="External"/><Relationship Id="rId59" Type="http://schemas.openxmlformats.org/officeDocument/2006/relationships/hyperlink" Target="https://youtu.be/gIkA3YkZiH4" TargetMode="External"/><Relationship Id="rId589" Type="http://schemas.openxmlformats.org/officeDocument/2006/relationships/hyperlink" Target="https://youtu.be/UixpTgJmuwc" TargetMode="External"/><Relationship Id="rId588" Type="http://schemas.openxmlformats.org/officeDocument/2006/relationships/hyperlink" Target="https://youtu.be/ZVPgH749AM0" TargetMode="External"/><Relationship Id="rId587" Type="http://schemas.openxmlformats.org/officeDocument/2006/relationships/hyperlink" Target="https://youtu.be/TtO3YQo3kY8" TargetMode="External"/><Relationship Id="rId586" Type="http://schemas.openxmlformats.org/officeDocument/2006/relationships/hyperlink" Target="https://youtu.be/-XQ_CuIwDlc" TargetMode="External"/><Relationship Id="rId585" Type="http://schemas.openxmlformats.org/officeDocument/2006/relationships/hyperlink" Target="https://youtu.be/qhbF70hzzcw" TargetMode="External"/><Relationship Id="rId584" Type="http://schemas.openxmlformats.org/officeDocument/2006/relationships/hyperlink" Target="https://youtu.be/q5T9iYjt6Lk" TargetMode="External"/><Relationship Id="rId583" Type="http://schemas.openxmlformats.org/officeDocument/2006/relationships/hyperlink" Target="https://youtu.be/lxb2v5sv9YQ" TargetMode="External"/><Relationship Id="rId582" Type="http://schemas.openxmlformats.org/officeDocument/2006/relationships/hyperlink" Target="https://youtu.be/6X4CJD4PhOs" TargetMode="External"/><Relationship Id="rId581" Type="http://schemas.openxmlformats.org/officeDocument/2006/relationships/hyperlink" Target="https://youtu.be/NA64dzkk20Y" TargetMode="External"/><Relationship Id="rId580" Type="http://schemas.openxmlformats.org/officeDocument/2006/relationships/hyperlink" Target="https://youtu.be/8yuwwjjmP3Y" TargetMode="External"/><Relationship Id="rId58" Type="http://schemas.openxmlformats.org/officeDocument/2006/relationships/hyperlink" Target="https://youtu.be/WadD54Ywvz4" TargetMode="External"/><Relationship Id="rId579" Type="http://schemas.openxmlformats.org/officeDocument/2006/relationships/hyperlink" Target="https://youtu.be/79q1UGH5xS0" TargetMode="External"/><Relationship Id="rId578" Type="http://schemas.openxmlformats.org/officeDocument/2006/relationships/hyperlink" Target="https://youtu.be/h0oclM1Yw2A" TargetMode="External"/><Relationship Id="rId577" Type="http://schemas.openxmlformats.org/officeDocument/2006/relationships/hyperlink" Target="https://youtu.be/wqiVQFYHXbg" TargetMode="External"/><Relationship Id="rId576" Type="http://schemas.openxmlformats.org/officeDocument/2006/relationships/hyperlink" Target="https://youtu.be/ME3IjrDU4PY" TargetMode="External"/><Relationship Id="rId575" Type="http://schemas.openxmlformats.org/officeDocument/2006/relationships/hyperlink" Target="https://youtu.be/8UhnO53XoHM" TargetMode="External"/><Relationship Id="rId574" Type="http://schemas.openxmlformats.org/officeDocument/2006/relationships/hyperlink" Target="https://youtu.be/pFyFvR58wN8" TargetMode="External"/><Relationship Id="rId573" Type="http://schemas.openxmlformats.org/officeDocument/2006/relationships/hyperlink" Target="https://youtu.be/jN-tb_2vbAQ" TargetMode="External"/><Relationship Id="rId572" Type="http://schemas.openxmlformats.org/officeDocument/2006/relationships/hyperlink" Target="https://youtu.be/9BtIbEyf3sw" TargetMode="External"/><Relationship Id="rId571" Type="http://schemas.openxmlformats.org/officeDocument/2006/relationships/hyperlink" Target="https://youtu.be/HhBUmxEOfpc" TargetMode="External"/><Relationship Id="rId570" Type="http://schemas.openxmlformats.org/officeDocument/2006/relationships/hyperlink" Target="https://youtu.be/BZyjT5TkWw4" TargetMode="External"/><Relationship Id="rId57" Type="http://schemas.openxmlformats.org/officeDocument/2006/relationships/hyperlink" Target="https://youtu.be/ctRbUfeZRBs" TargetMode="External"/><Relationship Id="rId569" Type="http://schemas.openxmlformats.org/officeDocument/2006/relationships/hyperlink" Target="https://youtu.be/MXVXTFelFbA" TargetMode="External"/><Relationship Id="rId568" Type="http://schemas.openxmlformats.org/officeDocument/2006/relationships/hyperlink" Target="https://youtu.be/thF44EUhvb4" TargetMode="External"/><Relationship Id="rId567" Type="http://schemas.openxmlformats.org/officeDocument/2006/relationships/hyperlink" Target="https://youtu.be/cExUmHb2gbU" TargetMode="External"/><Relationship Id="rId566" Type="http://schemas.openxmlformats.org/officeDocument/2006/relationships/hyperlink" Target="https://youtu.be/XMFE35LbcJs" TargetMode="External"/><Relationship Id="rId565" Type="http://schemas.openxmlformats.org/officeDocument/2006/relationships/hyperlink" Target="https://youtu.be/ySXZ5qOJODA" TargetMode="External"/><Relationship Id="rId564" Type="http://schemas.openxmlformats.org/officeDocument/2006/relationships/hyperlink" Target="https://youtu.be/BeyKvoRPT9M" TargetMode="External"/><Relationship Id="rId563" Type="http://schemas.openxmlformats.org/officeDocument/2006/relationships/hyperlink" Target="https://youtu.be/WM8kjDF0IJU" TargetMode="External"/><Relationship Id="rId562" Type="http://schemas.openxmlformats.org/officeDocument/2006/relationships/hyperlink" Target="https://youtu.be/MdvoA-sjs0A" TargetMode="External"/><Relationship Id="rId561" Type="http://schemas.openxmlformats.org/officeDocument/2006/relationships/hyperlink" Target="https://youtu.be/UU-wmSEPiqw" TargetMode="External"/><Relationship Id="rId560" Type="http://schemas.openxmlformats.org/officeDocument/2006/relationships/hyperlink" Target="https://youtu.be/SKKvJpjeMJY" TargetMode="External"/><Relationship Id="rId56" Type="http://schemas.openxmlformats.org/officeDocument/2006/relationships/hyperlink" Target="https://youtu.be/mn60n3jdI_8" TargetMode="External"/><Relationship Id="rId559" Type="http://schemas.openxmlformats.org/officeDocument/2006/relationships/hyperlink" Target="https://youtu.be/xuJDB5MrKAQ" TargetMode="External"/><Relationship Id="rId558" Type="http://schemas.openxmlformats.org/officeDocument/2006/relationships/hyperlink" Target="https://youtu.be/q4L3w8tCi94" TargetMode="External"/><Relationship Id="rId557" Type="http://schemas.openxmlformats.org/officeDocument/2006/relationships/hyperlink" Target="https://youtu.be/zFKND-X-0I8" TargetMode="External"/><Relationship Id="rId556" Type="http://schemas.openxmlformats.org/officeDocument/2006/relationships/hyperlink" Target="https://youtu.be/d815wa7aIMs" TargetMode="External"/><Relationship Id="rId555" Type="http://schemas.openxmlformats.org/officeDocument/2006/relationships/hyperlink" Target="https://youtu.be/RIbGcby4iZU" TargetMode="External"/><Relationship Id="rId554" Type="http://schemas.openxmlformats.org/officeDocument/2006/relationships/hyperlink" Target="https://youtu.be/79Zjr3WRXLw" TargetMode="External"/><Relationship Id="rId553" Type="http://schemas.openxmlformats.org/officeDocument/2006/relationships/hyperlink" Target="https://youtu.be/f3c617j1hJQ" TargetMode="External"/><Relationship Id="rId552" Type="http://schemas.openxmlformats.org/officeDocument/2006/relationships/hyperlink" Target="https://youtu.be/Zg4Jmcb485g" TargetMode="External"/><Relationship Id="rId551" Type="http://schemas.openxmlformats.org/officeDocument/2006/relationships/hyperlink" Target="https://youtu.be/LMqB44rX6WM" TargetMode="External"/><Relationship Id="rId550" Type="http://schemas.openxmlformats.org/officeDocument/2006/relationships/hyperlink" Target="https://youtu.be/eiS8EPOL488" TargetMode="External"/><Relationship Id="rId55" Type="http://schemas.openxmlformats.org/officeDocument/2006/relationships/hyperlink" Target="https://youtu.be/7mnTimajPJg" TargetMode="External"/><Relationship Id="rId549" Type="http://schemas.openxmlformats.org/officeDocument/2006/relationships/hyperlink" Target="https://youtu.be/MhQ2o4aSMy0" TargetMode="External"/><Relationship Id="rId548" Type="http://schemas.openxmlformats.org/officeDocument/2006/relationships/hyperlink" Target="https://youtu.be/dlHJAKIaALg" TargetMode="External"/><Relationship Id="rId547" Type="http://schemas.openxmlformats.org/officeDocument/2006/relationships/hyperlink" Target="https://youtu.be/SQBOjAkI5mk" TargetMode="External"/><Relationship Id="rId546" Type="http://schemas.openxmlformats.org/officeDocument/2006/relationships/hyperlink" Target="https://youtu.be/9_Flt9NZCc4" TargetMode="External"/><Relationship Id="rId545" Type="http://schemas.openxmlformats.org/officeDocument/2006/relationships/hyperlink" Target="https://youtu.be/G690YvtHYEA" TargetMode="External"/><Relationship Id="rId544" Type="http://schemas.openxmlformats.org/officeDocument/2006/relationships/hyperlink" Target="https://youtu.be/jQaxUUraV_c" TargetMode="External"/><Relationship Id="rId543" Type="http://schemas.openxmlformats.org/officeDocument/2006/relationships/hyperlink" Target="https://youtu.be/DUSOJcEuMzA" TargetMode="External"/><Relationship Id="rId542" Type="http://schemas.openxmlformats.org/officeDocument/2006/relationships/hyperlink" Target="https://youtu.be/iezhtq-OLx0" TargetMode="External"/><Relationship Id="rId541" Type="http://schemas.openxmlformats.org/officeDocument/2006/relationships/hyperlink" Target="https://youtu.be/5EgRrAK8_HQ" TargetMode="External"/><Relationship Id="rId540" Type="http://schemas.openxmlformats.org/officeDocument/2006/relationships/hyperlink" Target="https://youtu.be/a-vwD3eHN6Q" TargetMode="External"/><Relationship Id="rId54" Type="http://schemas.openxmlformats.org/officeDocument/2006/relationships/hyperlink" Target="https://youtu.be/eWkGlHSWOMw" TargetMode="External"/><Relationship Id="rId539" Type="http://schemas.openxmlformats.org/officeDocument/2006/relationships/hyperlink" Target="https://youtu.be/cS27PGmMFKg" TargetMode="External"/><Relationship Id="rId538" Type="http://schemas.openxmlformats.org/officeDocument/2006/relationships/hyperlink" Target="https://youtu.be/oGeocFnAaFc" TargetMode="External"/><Relationship Id="rId537" Type="http://schemas.openxmlformats.org/officeDocument/2006/relationships/hyperlink" Target="https://youtu.be/NtZCpq5QI64" TargetMode="External"/><Relationship Id="rId536" Type="http://schemas.openxmlformats.org/officeDocument/2006/relationships/hyperlink" Target="https://youtu.be/Vou2QLrP7jU" TargetMode="External"/><Relationship Id="rId535" Type="http://schemas.openxmlformats.org/officeDocument/2006/relationships/hyperlink" Target="https://youtu.be/IwrtrxiwXTE" TargetMode="External"/><Relationship Id="rId534" Type="http://schemas.openxmlformats.org/officeDocument/2006/relationships/hyperlink" Target="https://youtu.be/hLL8wjUdQSo" TargetMode="External"/><Relationship Id="rId533" Type="http://schemas.openxmlformats.org/officeDocument/2006/relationships/hyperlink" Target="https://youtu.be/yNnvWem8V3U" TargetMode="External"/><Relationship Id="rId5322" Type="http://schemas.openxmlformats.org/officeDocument/2006/relationships/hyperlink" Target="https://youtu.be/0FfkHRgycEk" TargetMode="External"/><Relationship Id="rId5321" Type="http://schemas.openxmlformats.org/officeDocument/2006/relationships/hyperlink" Target="https://youtu.be/IcuqlIOrt1M" TargetMode="External"/><Relationship Id="rId5320" Type="http://schemas.openxmlformats.org/officeDocument/2006/relationships/hyperlink" Target="https://youtu.be/BoKv9EIFjDE" TargetMode="External"/><Relationship Id="rId532" Type="http://schemas.openxmlformats.org/officeDocument/2006/relationships/hyperlink" Target="https://youtu.be/13RDPimvD_0" TargetMode="External"/><Relationship Id="rId5319" Type="http://schemas.openxmlformats.org/officeDocument/2006/relationships/hyperlink" Target="https://youtu.be/3PCAGm5a1r8" TargetMode="External"/><Relationship Id="rId5318" Type="http://schemas.openxmlformats.org/officeDocument/2006/relationships/hyperlink" Target="https://youtu.be/UPs7BSDNTk4" TargetMode="External"/><Relationship Id="rId5317" Type="http://schemas.openxmlformats.org/officeDocument/2006/relationships/hyperlink" Target="https://youtu.be/GrmeKh65XEo" TargetMode="External"/><Relationship Id="rId5316" Type="http://schemas.openxmlformats.org/officeDocument/2006/relationships/hyperlink" Target="https://youtu.be/DB6huN3xM94" TargetMode="External"/><Relationship Id="rId5315" Type="http://schemas.openxmlformats.org/officeDocument/2006/relationships/hyperlink" Target="https://youtu.be/fbK69YQ6cgE" TargetMode="External"/><Relationship Id="rId5314" Type="http://schemas.openxmlformats.org/officeDocument/2006/relationships/hyperlink" Target="https://youtu.be/VXnvXIahPVg" TargetMode="External"/><Relationship Id="rId5313" Type="http://schemas.openxmlformats.org/officeDocument/2006/relationships/hyperlink" Target="https://youtu.be/-3xGjrUZp6M" TargetMode="External"/><Relationship Id="rId5312" Type="http://schemas.openxmlformats.org/officeDocument/2006/relationships/hyperlink" Target="https://youtu.be/UyoGXVRmwSA" TargetMode="External"/><Relationship Id="rId5311" Type="http://schemas.openxmlformats.org/officeDocument/2006/relationships/hyperlink" Target="https://youtu.be/J4qlZcWWWL0" TargetMode="External"/><Relationship Id="rId5310" Type="http://schemas.openxmlformats.org/officeDocument/2006/relationships/hyperlink" Target="https://youtu.be/WFnHU_PJ_oA" TargetMode="External"/><Relationship Id="rId531" Type="http://schemas.openxmlformats.org/officeDocument/2006/relationships/hyperlink" Target="https://youtu.be/vTWZrpLOgT8" TargetMode="External"/><Relationship Id="rId5309" Type="http://schemas.openxmlformats.org/officeDocument/2006/relationships/hyperlink" Target="https://youtu.be/AmbA-oDkHZ4" TargetMode="External"/><Relationship Id="rId5308" Type="http://schemas.openxmlformats.org/officeDocument/2006/relationships/hyperlink" Target="https://youtu.be/b_BuNSpjUuU" TargetMode="External"/><Relationship Id="rId5307" Type="http://schemas.openxmlformats.org/officeDocument/2006/relationships/hyperlink" Target="https://youtu.be/vQPO_xfFKuM" TargetMode="External"/><Relationship Id="rId5306" Type="http://schemas.openxmlformats.org/officeDocument/2006/relationships/hyperlink" Target="https://youtu.be/cwnMKslBAMM" TargetMode="External"/><Relationship Id="rId5305" Type="http://schemas.openxmlformats.org/officeDocument/2006/relationships/hyperlink" Target="https://youtu.be/r3mI_aT94KA" TargetMode="External"/><Relationship Id="rId5304" Type="http://schemas.openxmlformats.org/officeDocument/2006/relationships/hyperlink" Target="https://youtu.be/rfqld3cUUJE" TargetMode="External"/><Relationship Id="rId5303" Type="http://schemas.openxmlformats.org/officeDocument/2006/relationships/hyperlink" Target="https://youtu.be/P3oPd0J7b1k" TargetMode="External"/><Relationship Id="rId5302" Type="http://schemas.openxmlformats.org/officeDocument/2006/relationships/hyperlink" Target="https://youtu.be/46uxTc43XuA" TargetMode="External"/><Relationship Id="rId5301" Type="http://schemas.openxmlformats.org/officeDocument/2006/relationships/hyperlink" Target="https://youtu.be/d9t5JWoNVbs" TargetMode="External"/><Relationship Id="rId5300" Type="http://schemas.openxmlformats.org/officeDocument/2006/relationships/hyperlink" Target="https://youtu.be/4xJEPM05uRg" TargetMode="External"/><Relationship Id="rId530" Type="http://schemas.openxmlformats.org/officeDocument/2006/relationships/hyperlink" Target="https://youtu.be/brcs-Nra_FY" TargetMode="External"/><Relationship Id="rId53" Type="http://schemas.openxmlformats.org/officeDocument/2006/relationships/hyperlink" Target="https://youtu.be/Hho8VboDRbE" TargetMode="External"/><Relationship Id="rId5299" Type="http://schemas.openxmlformats.org/officeDocument/2006/relationships/hyperlink" Target="https://youtu.be/FzXa5r2A3TM" TargetMode="External"/><Relationship Id="rId5298" Type="http://schemas.openxmlformats.org/officeDocument/2006/relationships/hyperlink" Target="https://youtu.be/tbD5qInlxV4" TargetMode="External"/><Relationship Id="rId5297" Type="http://schemas.openxmlformats.org/officeDocument/2006/relationships/hyperlink" Target="https://youtu.be/fWBi44bQsSg" TargetMode="External"/><Relationship Id="rId5296" Type="http://schemas.openxmlformats.org/officeDocument/2006/relationships/hyperlink" Target="https://youtu.be/NdyHlPj3s88" TargetMode="External"/><Relationship Id="rId5295" Type="http://schemas.openxmlformats.org/officeDocument/2006/relationships/hyperlink" Target="https://youtu.be/EjBujhivtXY" TargetMode="External"/><Relationship Id="rId5294" Type="http://schemas.openxmlformats.org/officeDocument/2006/relationships/hyperlink" Target="https://youtu.be/I-39k0yp0jQ" TargetMode="External"/><Relationship Id="rId5293" Type="http://schemas.openxmlformats.org/officeDocument/2006/relationships/hyperlink" Target="https://youtu.be/Zbg6jvLrDD8" TargetMode="External"/><Relationship Id="rId5292" Type="http://schemas.openxmlformats.org/officeDocument/2006/relationships/hyperlink" Target="https://youtu.be/xzEJi_Q11-k" TargetMode="External"/><Relationship Id="rId5291" Type="http://schemas.openxmlformats.org/officeDocument/2006/relationships/hyperlink" Target="https://youtu.be/Mv9zcxs90z0" TargetMode="External"/><Relationship Id="rId5290" Type="http://schemas.openxmlformats.org/officeDocument/2006/relationships/hyperlink" Target="https://youtu.be/GiBU41klg_M" TargetMode="External"/><Relationship Id="rId529" Type="http://schemas.openxmlformats.org/officeDocument/2006/relationships/hyperlink" Target="https://youtu.be/4VuXstRwMaA" TargetMode="External"/><Relationship Id="rId5289" Type="http://schemas.openxmlformats.org/officeDocument/2006/relationships/hyperlink" Target="https://youtu.be/0E0S07VMSYI" TargetMode="External"/><Relationship Id="rId5288" Type="http://schemas.openxmlformats.org/officeDocument/2006/relationships/hyperlink" Target="https://youtu.be/yeIJt_Uy__s" TargetMode="External"/><Relationship Id="rId5287" Type="http://schemas.openxmlformats.org/officeDocument/2006/relationships/hyperlink" Target="https://youtu.be/RtmaQuXfN3I" TargetMode="External"/><Relationship Id="rId5286" Type="http://schemas.openxmlformats.org/officeDocument/2006/relationships/hyperlink" Target="https://youtu.be/sgQ1SiUtHTQ" TargetMode="External"/><Relationship Id="rId5285" Type="http://schemas.openxmlformats.org/officeDocument/2006/relationships/hyperlink" Target="https://youtu.be/GfmdRfUS1ew" TargetMode="External"/><Relationship Id="rId5284" Type="http://schemas.openxmlformats.org/officeDocument/2006/relationships/hyperlink" Target="https://youtu.be/yLLF13IuAMI" TargetMode="External"/><Relationship Id="rId5283" Type="http://schemas.openxmlformats.org/officeDocument/2006/relationships/hyperlink" Target="https://youtu.be/JV8pjpb2IFI" TargetMode="External"/><Relationship Id="rId5282" Type="http://schemas.openxmlformats.org/officeDocument/2006/relationships/hyperlink" Target="https://youtu.be/3gMe3Xh3OnY" TargetMode="External"/><Relationship Id="rId5281" Type="http://schemas.openxmlformats.org/officeDocument/2006/relationships/hyperlink" Target="https://youtu.be/MMBhGwqno4c" TargetMode="External"/><Relationship Id="rId5280" Type="http://schemas.openxmlformats.org/officeDocument/2006/relationships/hyperlink" Target="https://youtu.be/tIkxWytRIj4" TargetMode="External"/><Relationship Id="rId528" Type="http://schemas.openxmlformats.org/officeDocument/2006/relationships/hyperlink" Target="https://youtu.be/l1he-6z95Fk" TargetMode="External"/><Relationship Id="rId5279" Type="http://schemas.openxmlformats.org/officeDocument/2006/relationships/hyperlink" Target="https://youtu.be/lxWBlJ1kB7Q" TargetMode="External"/><Relationship Id="rId5278" Type="http://schemas.openxmlformats.org/officeDocument/2006/relationships/hyperlink" Target="https://youtu.be/k9pSxADfP54" TargetMode="External"/><Relationship Id="rId5277" Type="http://schemas.openxmlformats.org/officeDocument/2006/relationships/hyperlink" Target="https://youtu.be/_JDWqRkh-oU" TargetMode="External"/><Relationship Id="rId5276" Type="http://schemas.openxmlformats.org/officeDocument/2006/relationships/hyperlink" Target="https://youtu.be/lgl7QDMP6G0" TargetMode="External"/><Relationship Id="rId5275" Type="http://schemas.openxmlformats.org/officeDocument/2006/relationships/hyperlink" Target="https://youtu.be/y_Db6z7BVAs" TargetMode="External"/><Relationship Id="rId5274" Type="http://schemas.openxmlformats.org/officeDocument/2006/relationships/hyperlink" Target="https://youtu.be/IFLe1KWGuek" TargetMode="External"/><Relationship Id="rId5273" Type="http://schemas.openxmlformats.org/officeDocument/2006/relationships/hyperlink" Target="https://youtu.be/RzMoFUorKCY" TargetMode="External"/><Relationship Id="rId5272" Type="http://schemas.openxmlformats.org/officeDocument/2006/relationships/hyperlink" Target="https://youtu.be/GKSP51-Uo2A" TargetMode="External"/><Relationship Id="rId5271" Type="http://schemas.openxmlformats.org/officeDocument/2006/relationships/hyperlink" Target="https://youtu.be/3cyE_5_Q_3I" TargetMode="External"/><Relationship Id="rId5270" Type="http://schemas.openxmlformats.org/officeDocument/2006/relationships/hyperlink" Target="https://youtu.be/td2TkWIPi_o" TargetMode="External"/><Relationship Id="rId527" Type="http://schemas.openxmlformats.org/officeDocument/2006/relationships/hyperlink" Target="https://youtu.be/Y6mtakJYSAY" TargetMode="External"/><Relationship Id="rId5269" Type="http://schemas.openxmlformats.org/officeDocument/2006/relationships/hyperlink" Target="https://youtu.be/8u6gNH6xIfc" TargetMode="External"/><Relationship Id="rId5268" Type="http://schemas.openxmlformats.org/officeDocument/2006/relationships/hyperlink" Target="https://youtu.be/o16hvHORjWI" TargetMode="External"/><Relationship Id="rId5267" Type="http://schemas.openxmlformats.org/officeDocument/2006/relationships/hyperlink" Target="https://youtu.be/yYZ2pGkvBi0" TargetMode="External"/><Relationship Id="rId5266" Type="http://schemas.openxmlformats.org/officeDocument/2006/relationships/hyperlink" Target="https://youtu.be/JgBgmw-2U8c" TargetMode="External"/><Relationship Id="rId5265" Type="http://schemas.openxmlformats.org/officeDocument/2006/relationships/hyperlink" Target="https://youtu.be/F-yIqxoMBVU" TargetMode="External"/><Relationship Id="rId5264" Type="http://schemas.openxmlformats.org/officeDocument/2006/relationships/hyperlink" Target="https://youtu.be/srQdr6kGii4" TargetMode="External"/><Relationship Id="rId5263" Type="http://schemas.openxmlformats.org/officeDocument/2006/relationships/hyperlink" Target="https://youtu.be/lswCuvcA7YQ" TargetMode="External"/><Relationship Id="rId5262" Type="http://schemas.openxmlformats.org/officeDocument/2006/relationships/hyperlink" Target="https://youtu.be/-hqlzaf9uno" TargetMode="External"/><Relationship Id="rId5261" Type="http://schemas.openxmlformats.org/officeDocument/2006/relationships/hyperlink" Target="https://youtu.be/4oRA0uNGfKg" TargetMode="External"/><Relationship Id="rId5260" Type="http://schemas.openxmlformats.org/officeDocument/2006/relationships/hyperlink" Target="https://youtu.be/0DgBW0nAkWE" TargetMode="External"/><Relationship Id="rId526" Type="http://schemas.openxmlformats.org/officeDocument/2006/relationships/hyperlink" Target="https://youtu.be/llbIzbOStt4" TargetMode="External"/><Relationship Id="rId5259" Type="http://schemas.openxmlformats.org/officeDocument/2006/relationships/hyperlink" Target="https://youtu.be/6QV8qwNW6bg" TargetMode="External"/><Relationship Id="rId5258" Type="http://schemas.openxmlformats.org/officeDocument/2006/relationships/hyperlink" Target="https://youtu.be/XysjKLYgdeg" TargetMode="External"/><Relationship Id="rId5257" Type="http://schemas.openxmlformats.org/officeDocument/2006/relationships/hyperlink" Target="https://youtu.be/tkAvr0_ifXQ" TargetMode="External"/><Relationship Id="rId5256" Type="http://schemas.openxmlformats.org/officeDocument/2006/relationships/hyperlink" Target="https://youtu.be/g19t5UokBp4" TargetMode="External"/><Relationship Id="rId5255" Type="http://schemas.openxmlformats.org/officeDocument/2006/relationships/hyperlink" Target="https://youtu.be/OKvSprDt1Nc" TargetMode="External"/><Relationship Id="rId5254" Type="http://schemas.openxmlformats.org/officeDocument/2006/relationships/hyperlink" Target="https://youtu.be/rf96QRkuvvk" TargetMode="External"/><Relationship Id="rId5253" Type="http://schemas.openxmlformats.org/officeDocument/2006/relationships/hyperlink" Target="https://youtu.be/GoY3CPAlNWo" TargetMode="External"/><Relationship Id="rId5252" Type="http://schemas.openxmlformats.org/officeDocument/2006/relationships/hyperlink" Target="https://youtu.be/VVnL851PJuU" TargetMode="External"/><Relationship Id="rId5251" Type="http://schemas.openxmlformats.org/officeDocument/2006/relationships/hyperlink" Target="https://youtu.be/__Kf5Ddw_CY" TargetMode="External"/><Relationship Id="rId5250" Type="http://schemas.openxmlformats.org/officeDocument/2006/relationships/hyperlink" Target="https://youtu.be/pOGVRrfIWP0" TargetMode="External"/><Relationship Id="rId525" Type="http://schemas.openxmlformats.org/officeDocument/2006/relationships/hyperlink" Target="https://youtu.be/22BXPLkyocw" TargetMode="External"/><Relationship Id="rId5249" Type="http://schemas.openxmlformats.org/officeDocument/2006/relationships/hyperlink" Target="https://youtu.be/MdodLNvlo4M" TargetMode="External"/><Relationship Id="rId5248" Type="http://schemas.openxmlformats.org/officeDocument/2006/relationships/hyperlink" Target="https://youtu.be/Hpy4qfV5Iqw" TargetMode="External"/><Relationship Id="rId5247" Type="http://schemas.openxmlformats.org/officeDocument/2006/relationships/hyperlink" Target="https://youtu.be/J3dq45ODHts" TargetMode="External"/><Relationship Id="rId5246" Type="http://schemas.openxmlformats.org/officeDocument/2006/relationships/hyperlink" Target="https://youtu.be/ptb11d0WJAs" TargetMode="External"/><Relationship Id="rId5245" Type="http://schemas.openxmlformats.org/officeDocument/2006/relationships/hyperlink" Target="https://youtu.be/4O9ONOOiyJ4" TargetMode="External"/><Relationship Id="rId5244" Type="http://schemas.openxmlformats.org/officeDocument/2006/relationships/hyperlink" Target="https://youtu.be/8PzPWvRMnoU" TargetMode="External"/><Relationship Id="rId5243" Type="http://schemas.openxmlformats.org/officeDocument/2006/relationships/hyperlink" Target="https://youtu.be/46aNzm8NudA" TargetMode="External"/><Relationship Id="rId5242" Type="http://schemas.openxmlformats.org/officeDocument/2006/relationships/hyperlink" Target="https://youtu.be/UYx-Tue1ofs" TargetMode="External"/><Relationship Id="rId5241" Type="http://schemas.openxmlformats.org/officeDocument/2006/relationships/hyperlink" Target="https://youtu.be/A1pKRoUk-A4" TargetMode="External"/><Relationship Id="rId5240" Type="http://schemas.openxmlformats.org/officeDocument/2006/relationships/hyperlink" Target="https://youtu.be/NN18JukIWsA" TargetMode="External"/><Relationship Id="rId524" Type="http://schemas.openxmlformats.org/officeDocument/2006/relationships/hyperlink" Target="https://youtu.be/vpRPnhuz78U" TargetMode="External"/><Relationship Id="rId5239" Type="http://schemas.openxmlformats.org/officeDocument/2006/relationships/hyperlink" Target="https://youtu.be/D78zIB6Vf6Y" TargetMode="External"/><Relationship Id="rId5238" Type="http://schemas.openxmlformats.org/officeDocument/2006/relationships/hyperlink" Target="https://youtu.be/X2YeIjoIEgw" TargetMode="External"/><Relationship Id="rId5237" Type="http://schemas.openxmlformats.org/officeDocument/2006/relationships/hyperlink" Target="https://youtu.be/epF788YoiNQ" TargetMode="External"/><Relationship Id="rId5236" Type="http://schemas.openxmlformats.org/officeDocument/2006/relationships/hyperlink" Target="https://youtu.be/am6apAFLhbM" TargetMode="External"/><Relationship Id="rId5235" Type="http://schemas.openxmlformats.org/officeDocument/2006/relationships/hyperlink" Target="https://youtu.be/mJhlsDihga0" TargetMode="External"/><Relationship Id="rId5234" Type="http://schemas.openxmlformats.org/officeDocument/2006/relationships/hyperlink" Target="https://youtu.be/J6gZ-OdgQHk" TargetMode="External"/><Relationship Id="rId5233" Type="http://schemas.openxmlformats.org/officeDocument/2006/relationships/hyperlink" Target="https://youtu.be/hLmKAK9u_mM" TargetMode="External"/><Relationship Id="rId5232" Type="http://schemas.openxmlformats.org/officeDocument/2006/relationships/hyperlink" Target="https://youtu.be/l9yHBjynPIQ" TargetMode="External"/><Relationship Id="rId5231" Type="http://schemas.openxmlformats.org/officeDocument/2006/relationships/hyperlink" Target="https://youtu.be/6P0aWsZIGi0" TargetMode="External"/><Relationship Id="rId5230" Type="http://schemas.openxmlformats.org/officeDocument/2006/relationships/hyperlink" Target="https://youtu.be/2Ola15rwl8w" TargetMode="External"/><Relationship Id="rId523" Type="http://schemas.openxmlformats.org/officeDocument/2006/relationships/hyperlink" Target="https://youtu.be/mMSzxmsXXwY" TargetMode="External"/><Relationship Id="rId5229" Type="http://schemas.openxmlformats.org/officeDocument/2006/relationships/hyperlink" Target="https://youtu.be/bXNH7whveGk" TargetMode="External"/><Relationship Id="rId5228" Type="http://schemas.openxmlformats.org/officeDocument/2006/relationships/hyperlink" Target="https://youtu.be/_c0ezaOWv1o" TargetMode="External"/><Relationship Id="rId5227" Type="http://schemas.openxmlformats.org/officeDocument/2006/relationships/hyperlink" Target="https://youtu.be/jU-KlHN6sKM" TargetMode="External"/><Relationship Id="rId5226" Type="http://schemas.openxmlformats.org/officeDocument/2006/relationships/hyperlink" Target="https://youtu.be/ttCZlybmUI0" TargetMode="External"/><Relationship Id="rId5225" Type="http://schemas.openxmlformats.org/officeDocument/2006/relationships/hyperlink" Target="https://youtu.be/xIQ1RTIasEs" TargetMode="External"/><Relationship Id="rId5224" Type="http://schemas.openxmlformats.org/officeDocument/2006/relationships/hyperlink" Target="https://youtu.be/fz7bsINLUuc" TargetMode="External"/><Relationship Id="rId5223" Type="http://schemas.openxmlformats.org/officeDocument/2006/relationships/hyperlink" Target="https://youtu.be/8aLeIGCOF7Q" TargetMode="External"/><Relationship Id="rId5222" Type="http://schemas.openxmlformats.org/officeDocument/2006/relationships/hyperlink" Target="https://youtu.be/CMU-9T_xWUo" TargetMode="External"/><Relationship Id="rId5221" Type="http://schemas.openxmlformats.org/officeDocument/2006/relationships/hyperlink" Target="https://youtu.be/tPR36FI4oGU" TargetMode="External"/><Relationship Id="rId5220" Type="http://schemas.openxmlformats.org/officeDocument/2006/relationships/hyperlink" Target="https://youtu.be/LGtKXqd3M0k" TargetMode="External"/><Relationship Id="rId522" Type="http://schemas.openxmlformats.org/officeDocument/2006/relationships/hyperlink" Target="https://youtu.be/NaI8xVY2noU" TargetMode="External"/><Relationship Id="rId5219" Type="http://schemas.openxmlformats.org/officeDocument/2006/relationships/hyperlink" Target="https://youtu.be/Lj2qqoZzZ3M" TargetMode="External"/><Relationship Id="rId5218" Type="http://schemas.openxmlformats.org/officeDocument/2006/relationships/hyperlink" Target="https://youtu.be/TFK3-SYs4B0" TargetMode="External"/><Relationship Id="rId5217" Type="http://schemas.openxmlformats.org/officeDocument/2006/relationships/hyperlink" Target="https://youtu.be/gpcTbgxkOks" TargetMode="External"/><Relationship Id="rId5216" Type="http://schemas.openxmlformats.org/officeDocument/2006/relationships/hyperlink" Target="https://youtu.be/_WUpjXHo-O4" TargetMode="External"/><Relationship Id="rId5215" Type="http://schemas.openxmlformats.org/officeDocument/2006/relationships/hyperlink" Target="https://youtu.be/J5pB5rTYUAg" TargetMode="External"/><Relationship Id="rId5214" Type="http://schemas.openxmlformats.org/officeDocument/2006/relationships/hyperlink" Target="https://youtu.be/rNGjNsYuP6E" TargetMode="External"/><Relationship Id="rId5213" Type="http://schemas.openxmlformats.org/officeDocument/2006/relationships/hyperlink" Target="https://youtu.be/cWYJY7ls4Jc" TargetMode="External"/><Relationship Id="rId5212" Type="http://schemas.openxmlformats.org/officeDocument/2006/relationships/hyperlink" Target="https://youtu.be/OG8QaJiyH_A" TargetMode="External"/><Relationship Id="rId5211" Type="http://schemas.openxmlformats.org/officeDocument/2006/relationships/hyperlink" Target="https://youtu.be/sc1Fug8l4g8" TargetMode="External"/><Relationship Id="rId5210" Type="http://schemas.openxmlformats.org/officeDocument/2006/relationships/hyperlink" Target="https://youtu.be/JhkVEBUwqgo" TargetMode="External"/><Relationship Id="rId521" Type="http://schemas.openxmlformats.org/officeDocument/2006/relationships/hyperlink" Target="https://youtu.be/XpJ9GahiS8g" TargetMode="External"/><Relationship Id="rId5209" Type="http://schemas.openxmlformats.org/officeDocument/2006/relationships/hyperlink" Target="https://youtu.be/n1MGVpJjnk0" TargetMode="External"/><Relationship Id="rId5208" Type="http://schemas.openxmlformats.org/officeDocument/2006/relationships/hyperlink" Target="https://youtu.be/QvEU2XRwlCw" TargetMode="External"/><Relationship Id="rId5207" Type="http://schemas.openxmlformats.org/officeDocument/2006/relationships/hyperlink" Target="https://youtu.be/liNoFnp62eI" TargetMode="External"/><Relationship Id="rId5206" Type="http://schemas.openxmlformats.org/officeDocument/2006/relationships/hyperlink" Target="https://youtu.be/Csxx3xtfXQM" TargetMode="External"/><Relationship Id="rId5205" Type="http://schemas.openxmlformats.org/officeDocument/2006/relationships/hyperlink" Target="https://youtu.be/N1WvVRavXsI" TargetMode="External"/><Relationship Id="rId5204" Type="http://schemas.openxmlformats.org/officeDocument/2006/relationships/hyperlink" Target="https://youtu.be/Or2zd5R1iMA" TargetMode="External"/><Relationship Id="rId5203" Type="http://schemas.openxmlformats.org/officeDocument/2006/relationships/hyperlink" Target="https://youtu.be/qmHIOPUGTLE" TargetMode="External"/><Relationship Id="rId5202" Type="http://schemas.openxmlformats.org/officeDocument/2006/relationships/hyperlink" Target="https://youtu.be/yruN1iqeorw" TargetMode="External"/><Relationship Id="rId5201" Type="http://schemas.openxmlformats.org/officeDocument/2006/relationships/hyperlink" Target="https://youtu.be/Z4t8LrUSTMo" TargetMode="External"/><Relationship Id="rId5200" Type="http://schemas.openxmlformats.org/officeDocument/2006/relationships/hyperlink" Target="https://youtu.be/C5324Ihupko" TargetMode="External"/><Relationship Id="rId520" Type="http://schemas.openxmlformats.org/officeDocument/2006/relationships/hyperlink" Target="https://youtu.be/6fVza4gZ7Lk" TargetMode="External"/><Relationship Id="rId52" Type="http://schemas.openxmlformats.org/officeDocument/2006/relationships/hyperlink" Target="https://youtu.be/EW5l4OU0-QA" TargetMode="External"/><Relationship Id="rId5199" Type="http://schemas.openxmlformats.org/officeDocument/2006/relationships/hyperlink" Target="https://youtu.be/GdpYodE0Bms" TargetMode="External"/><Relationship Id="rId5198" Type="http://schemas.openxmlformats.org/officeDocument/2006/relationships/hyperlink" Target="https://youtu.be/j-5t4de6jjI" TargetMode="External"/><Relationship Id="rId5197" Type="http://schemas.openxmlformats.org/officeDocument/2006/relationships/hyperlink" Target="https://youtu.be/IfLJvV1ples" TargetMode="External"/><Relationship Id="rId5196" Type="http://schemas.openxmlformats.org/officeDocument/2006/relationships/hyperlink" Target="https://youtu.be/XC4aOSDkk84" TargetMode="External"/><Relationship Id="rId5195" Type="http://schemas.openxmlformats.org/officeDocument/2006/relationships/hyperlink" Target="https://youtu.be/iYwJuyxrqa8" TargetMode="External"/><Relationship Id="rId5194" Type="http://schemas.openxmlformats.org/officeDocument/2006/relationships/hyperlink" Target="https://youtu.be/zY1vN_DgD0o" TargetMode="External"/><Relationship Id="rId5193" Type="http://schemas.openxmlformats.org/officeDocument/2006/relationships/hyperlink" Target="https://youtu.be/fe8gMRfLRVU" TargetMode="External"/><Relationship Id="rId5192" Type="http://schemas.openxmlformats.org/officeDocument/2006/relationships/hyperlink" Target="https://youtu.be/-1OTSbIzcwI" TargetMode="External"/><Relationship Id="rId5191" Type="http://schemas.openxmlformats.org/officeDocument/2006/relationships/hyperlink" Target="https://youtu.be/bho9AaNABrs" TargetMode="External"/><Relationship Id="rId5190" Type="http://schemas.openxmlformats.org/officeDocument/2006/relationships/hyperlink" Target="https://youtu.be/j7ZcB2UcpHY" TargetMode="External"/><Relationship Id="rId519" Type="http://schemas.openxmlformats.org/officeDocument/2006/relationships/hyperlink" Target="https://youtu.be/oXtJK-RJGZ8" TargetMode="External"/><Relationship Id="rId5189" Type="http://schemas.openxmlformats.org/officeDocument/2006/relationships/hyperlink" Target="https://youtu.be/0cEtEJoLfdQ" TargetMode="External"/><Relationship Id="rId5188" Type="http://schemas.openxmlformats.org/officeDocument/2006/relationships/hyperlink" Target="https://youtu.be/ozn53xl-dQA" TargetMode="External"/><Relationship Id="rId5187" Type="http://schemas.openxmlformats.org/officeDocument/2006/relationships/hyperlink" Target="https://youtu.be/FYHY_BVj1Xo" TargetMode="External"/><Relationship Id="rId5186" Type="http://schemas.openxmlformats.org/officeDocument/2006/relationships/hyperlink" Target="https://youtu.be/8DNljVcs6Dc" TargetMode="External"/><Relationship Id="rId5185" Type="http://schemas.openxmlformats.org/officeDocument/2006/relationships/hyperlink" Target="https://youtu.be/0o5V6wjuYE0" TargetMode="External"/><Relationship Id="rId5184" Type="http://schemas.openxmlformats.org/officeDocument/2006/relationships/hyperlink" Target="https://youtu.be/rIvn_CCG9hc" TargetMode="External"/><Relationship Id="rId5183" Type="http://schemas.openxmlformats.org/officeDocument/2006/relationships/hyperlink" Target="https://youtu.be/n8OCTq_D4KU" TargetMode="External"/><Relationship Id="rId5182" Type="http://schemas.openxmlformats.org/officeDocument/2006/relationships/hyperlink" Target="https://youtu.be/4A8BEIVa1rM" TargetMode="External"/><Relationship Id="rId5181" Type="http://schemas.openxmlformats.org/officeDocument/2006/relationships/hyperlink" Target="https://youtu.be/0UWTynMJdvw" TargetMode="External"/><Relationship Id="rId5180" Type="http://schemas.openxmlformats.org/officeDocument/2006/relationships/hyperlink" Target="https://youtu.be/eJlIzRzaJec" TargetMode="External"/><Relationship Id="rId518" Type="http://schemas.openxmlformats.org/officeDocument/2006/relationships/hyperlink" Target="https://youtu.be/A60gk5gXMvc" TargetMode="External"/><Relationship Id="rId5179" Type="http://schemas.openxmlformats.org/officeDocument/2006/relationships/hyperlink" Target="https://youtu.be/Maic3IzHSew" TargetMode="External"/><Relationship Id="rId5178" Type="http://schemas.openxmlformats.org/officeDocument/2006/relationships/hyperlink" Target="https://youtu.be/pJmCEVA1UUk" TargetMode="External"/><Relationship Id="rId5177" Type="http://schemas.openxmlformats.org/officeDocument/2006/relationships/hyperlink" Target="https://youtu.be/dLQsQUopFfA" TargetMode="External"/><Relationship Id="rId5176" Type="http://schemas.openxmlformats.org/officeDocument/2006/relationships/hyperlink" Target="https://youtu.be/mTDYHbW8DdI" TargetMode="External"/><Relationship Id="rId5175" Type="http://schemas.openxmlformats.org/officeDocument/2006/relationships/hyperlink" Target="https://youtu.be/5VH3Y-OfHnI" TargetMode="External"/><Relationship Id="rId5174" Type="http://schemas.openxmlformats.org/officeDocument/2006/relationships/hyperlink" Target="https://youtu.be/1-ibOQM7Ua0" TargetMode="External"/><Relationship Id="rId5173" Type="http://schemas.openxmlformats.org/officeDocument/2006/relationships/hyperlink" Target="https://youtu.be/5Tnq4TJYN7A" TargetMode="External"/><Relationship Id="rId5172" Type="http://schemas.openxmlformats.org/officeDocument/2006/relationships/hyperlink" Target="https://youtu.be/KBLPkxhSGlM" TargetMode="External"/><Relationship Id="rId5171" Type="http://schemas.openxmlformats.org/officeDocument/2006/relationships/hyperlink" Target="https://youtu.be/m3cu-NsfX2A" TargetMode="External"/><Relationship Id="rId5170" Type="http://schemas.openxmlformats.org/officeDocument/2006/relationships/hyperlink" Target="https://youtu.be/1j3nQv-LSOc" TargetMode="External"/><Relationship Id="rId517" Type="http://schemas.openxmlformats.org/officeDocument/2006/relationships/hyperlink" Target="https://youtu.be/XRs8ho3_DJ8" TargetMode="External"/><Relationship Id="rId5169" Type="http://schemas.openxmlformats.org/officeDocument/2006/relationships/hyperlink" Target="https://youtu.be/ZUl5oMfjq0A" TargetMode="External"/><Relationship Id="rId5168" Type="http://schemas.openxmlformats.org/officeDocument/2006/relationships/hyperlink" Target="https://youtu.be/DdkIN944Y98" TargetMode="External"/><Relationship Id="rId5167" Type="http://schemas.openxmlformats.org/officeDocument/2006/relationships/hyperlink" Target="https://youtu.be/Y9RAWPBoi3I" TargetMode="External"/><Relationship Id="rId5166" Type="http://schemas.openxmlformats.org/officeDocument/2006/relationships/hyperlink" Target="https://youtu.be/V53LU_IWgqo" TargetMode="External"/><Relationship Id="rId5165" Type="http://schemas.openxmlformats.org/officeDocument/2006/relationships/hyperlink" Target="https://youtu.be/7CRVdsVIKnY" TargetMode="External"/><Relationship Id="rId5164" Type="http://schemas.openxmlformats.org/officeDocument/2006/relationships/hyperlink" Target="https://youtu.be/eqwREzgsDBA" TargetMode="External"/><Relationship Id="rId5163" Type="http://schemas.openxmlformats.org/officeDocument/2006/relationships/hyperlink" Target="https://youtu.be/oqfAyAVSFJI" TargetMode="External"/><Relationship Id="rId5162" Type="http://schemas.openxmlformats.org/officeDocument/2006/relationships/hyperlink" Target="https://youtu.be/gm9TS-Qy8aE" TargetMode="External"/><Relationship Id="rId5161" Type="http://schemas.openxmlformats.org/officeDocument/2006/relationships/hyperlink" Target="https://youtu.be/LTfJOa9BLak" TargetMode="External"/><Relationship Id="rId5160" Type="http://schemas.openxmlformats.org/officeDocument/2006/relationships/hyperlink" Target="https://youtu.be/je0FviGlBz8" TargetMode="External"/><Relationship Id="rId516" Type="http://schemas.openxmlformats.org/officeDocument/2006/relationships/hyperlink" Target="https://youtu.be/ZM3CPui0fSI" TargetMode="External"/><Relationship Id="rId5159" Type="http://schemas.openxmlformats.org/officeDocument/2006/relationships/hyperlink" Target="https://youtu.be/Cqv5gH5Y5P8" TargetMode="External"/><Relationship Id="rId5158" Type="http://schemas.openxmlformats.org/officeDocument/2006/relationships/hyperlink" Target="https://youtu.be/JSgtXggeUKA" TargetMode="External"/><Relationship Id="rId5157" Type="http://schemas.openxmlformats.org/officeDocument/2006/relationships/hyperlink" Target="https://youtu.be/iWhFMFi1KXM" TargetMode="External"/><Relationship Id="rId5156" Type="http://schemas.openxmlformats.org/officeDocument/2006/relationships/hyperlink" Target="https://youtu.be/eG0APKeWjIA" TargetMode="External"/><Relationship Id="rId5155" Type="http://schemas.openxmlformats.org/officeDocument/2006/relationships/hyperlink" Target="https://youtu.be/VVYKjR1sJY4" TargetMode="External"/><Relationship Id="rId5154" Type="http://schemas.openxmlformats.org/officeDocument/2006/relationships/hyperlink" Target="https://youtu.be/MEV4IoUh_Gk" TargetMode="External"/><Relationship Id="rId5153" Type="http://schemas.openxmlformats.org/officeDocument/2006/relationships/hyperlink" Target="https://youtu.be/b650wG8xPS4" TargetMode="External"/><Relationship Id="rId5152" Type="http://schemas.openxmlformats.org/officeDocument/2006/relationships/hyperlink" Target="https://youtu.be/sugWiV9Slis" TargetMode="External"/><Relationship Id="rId5151" Type="http://schemas.openxmlformats.org/officeDocument/2006/relationships/hyperlink" Target="https://youtu.be/mTnwjd8CF1c" TargetMode="External"/><Relationship Id="rId5150" Type="http://schemas.openxmlformats.org/officeDocument/2006/relationships/hyperlink" Target="https://youtu.be/VvkGSpB5i08" TargetMode="External"/><Relationship Id="rId515" Type="http://schemas.openxmlformats.org/officeDocument/2006/relationships/hyperlink" Target="https://youtu.be/lLDTnvuSTSo" TargetMode="External"/><Relationship Id="rId5149" Type="http://schemas.openxmlformats.org/officeDocument/2006/relationships/hyperlink" Target="https://youtu.be/BqUcK8omedU" TargetMode="External"/><Relationship Id="rId5148" Type="http://schemas.openxmlformats.org/officeDocument/2006/relationships/hyperlink" Target="https://youtu.be/zsJpUCWfyPE" TargetMode="External"/><Relationship Id="rId5147" Type="http://schemas.openxmlformats.org/officeDocument/2006/relationships/hyperlink" Target="https://youtu.be/6Yxilm4PmdM" TargetMode="External"/><Relationship Id="rId5146" Type="http://schemas.openxmlformats.org/officeDocument/2006/relationships/hyperlink" Target="https://youtu.be/BqcWnKkEOLs" TargetMode="External"/><Relationship Id="rId5145" Type="http://schemas.openxmlformats.org/officeDocument/2006/relationships/hyperlink" Target="https://youtu.be/vnHLHOqdgWQ" TargetMode="External"/><Relationship Id="rId5144" Type="http://schemas.openxmlformats.org/officeDocument/2006/relationships/hyperlink" Target="https://youtu.be/wFd-SfZN1X0" TargetMode="External"/><Relationship Id="rId5143" Type="http://schemas.openxmlformats.org/officeDocument/2006/relationships/hyperlink" Target="https://youtu.be/DWT66OtVKuk" TargetMode="External"/><Relationship Id="rId5142" Type="http://schemas.openxmlformats.org/officeDocument/2006/relationships/hyperlink" Target="https://youtu.be/dKx8AQc4rFI" TargetMode="External"/><Relationship Id="rId5141" Type="http://schemas.openxmlformats.org/officeDocument/2006/relationships/hyperlink" Target="https://youtu.be/SEilwepb4hw" TargetMode="External"/><Relationship Id="rId5140" Type="http://schemas.openxmlformats.org/officeDocument/2006/relationships/hyperlink" Target="https://youtu.be/kxmr-0kbMkM" TargetMode="External"/><Relationship Id="rId514" Type="http://schemas.openxmlformats.org/officeDocument/2006/relationships/hyperlink" Target="https://youtu.be/XXPCO3tcmig" TargetMode="External"/><Relationship Id="rId5139" Type="http://schemas.openxmlformats.org/officeDocument/2006/relationships/hyperlink" Target="https://youtu.be/iSEeaLb705A" TargetMode="External"/><Relationship Id="rId5138" Type="http://schemas.openxmlformats.org/officeDocument/2006/relationships/hyperlink" Target="https://youtu.be/7rfmb3uuLE8" TargetMode="External"/><Relationship Id="rId5137" Type="http://schemas.openxmlformats.org/officeDocument/2006/relationships/hyperlink" Target="https://youtu.be/6L_LkrHG6Nk" TargetMode="External"/><Relationship Id="rId5136" Type="http://schemas.openxmlformats.org/officeDocument/2006/relationships/hyperlink" Target="https://youtu.be/gtxPyaUbljo" TargetMode="External"/><Relationship Id="rId5135" Type="http://schemas.openxmlformats.org/officeDocument/2006/relationships/hyperlink" Target="https://youtu.be/FIUyKf08CRQ" TargetMode="External"/><Relationship Id="rId5134" Type="http://schemas.openxmlformats.org/officeDocument/2006/relationships/hyperlink" Target="https://youtu.be/nWdXcpCqbtI" TargetMode="External"/><Relationship Id="rId5133" Type="http://schemas.openxmlformats.org/officeDocument/2006/relationships/hyperlink" Target="https://youtu.be/45NAENHol24" TargetMode="External"/><Relationship Id="rId5132" Type="http://schemas.openxmlformats.org/officeDocument/2006/relationships/hyperlink" Target="https://youtu.be/Lb_TEqtmeLU" TargetMode="External"/><Relationship Id="rId5131" Type="http://schemas.openxmlformats.org/officeDocument/2006/relationships/hyperlink" Target="https://youtu.be/NSG21JmpeqQ" TargetMode="External"/><Relationship Id="rId5130" Type="http://schemas.openxmlformats.org/officeDocument/2006/relationships/hyperlink" Target="https://youtu.be/LEcvTuSih2A" TargetMode="External"/><Relationship Id="rId513" Type="http://schemas.openxmlformats.org/officeDocument/2006/relationships/hyperlink" Target="https://youtu.be/cp0t9fKtECA" TargetMode="External"/><Relationship Id="rId5129" Type="http://schemas.openxmlformats.org/officeDocument/2006/relationships/hyperlink" Target="https://youtu.be/FRJSE3LmVAI" TargetMode="External"/><Relationship Id="rId5128" Type="http://schemas.openxmlformats.org/officeDocument/2006/relationships/hyperlink" Target="https://youtu.be/h0VCPu84WU8" TargetMode="External"/><Relationship Id="rId5127" Type="http://schemas.openxmlformats.org/officeDocument/2006/relationships/hyperlink" Target="https://youtu.be/tNIfETPTXxM" TargetMode="External"/><Relationship Id="rId5126" Type="http://schemas.openxmlformats.org/officeDocument/2006/relationships/hyperlink" Target="https://youtu.be/oxXHb-SIN_I" TargetMode="External"/><Relationship Id="rId5125" Type="http://schemas.openxmlformats.org/officeDocument/2006/relationships/hyperlink" Target="https://youtu.be/93p8zpghB5k" TargetMode="External"/><Relationship Id="rId5124" Type="http://schemas.openxmlformats.org/officeDocument/2006/relationships/hyperlink" Target="https://youtu.be/y_bTY57xTmg" TargetMode="External"/><Relationship Id="rId5123" Type="http://schemas.openxmlformats.org/officeDocument/2006/relationships/hyperlink" Target="https://youtu.be/QowJhdRf5dU" TargetMode="External"/><Relationship Id="rId5122" Type="http://schemas.openxmlformats.org/officeDocument/2006/relationships/hyperlink" Target="https://youtu.be/vg4A_McYCYk" TargetMode="External"/><Relationship Id="rId5121" Type="http://schemas.openxmlformats.org/officeDocument/2006/relationships/hyperlink" Target="https://youtu.be/CYrgbqUWeZM" TargetMode="External"/><Relationship Id="rId5120" Type="http://schemas.openxmlformats.org/officeDocument/2006/relationships/hyperlink" Target="https://youtu.be/EUqhhiGtyUU" TargetMode="External"/><Relationship Id="rId512" Type="http://schemas.openxmlformats.org/officeDocument/2006/relationships/hyperlink" Target="https://youtu.be/r-OCcFnp2RA" TargetMode="External"/><Relationship Id="rId5119" Type="http://schemas.openxmlformats.org/officeDocument/2006/relationships/hyperlink" Target="https://youtu.be/UjExJGhUbkI" TargetMode="External"/><Relationship Id="rId5118" Type="http://schemas.openxmlformats.org/officeDocument/2006/relationships/hyperlink" Target="https://youtu.be/mSca7luw9Uo" TargetMode="External"/><Relationship Id="rId5117" Type="http://schemas.openxmlformats.org/officeDocument/2006/relationships/hyperlink" Target="https://youtu.be/64m9xAzIhtU" TargetMode="External"/><Relationship Id="rId5116" Type="http://schemas.openxmlformats.org/officeDocument/2006/relationships/hyperlink" Target="https://youtu.be/J8CdtDSztFA" TargetMode="External"/><Relationship Id="rId5115" Type="http://schemas.openxmlformats.org/officeDocument/2006/relationships/hyperlink" Target="https://youtu.be/fMXZvUabLDs" TargetMode="External"/><Relationship Id="rId5114" Type="http://schemas.openxmlformats.org/officeDocument/2006/relationships/hyperlink" Target="https://youtu.be/E3St_RRXZLU" TargetMode="External"/><Relationship Id="rId5113" Type="http://schemas.openxmlformats.org/officeDocument/2006/relationships/hyperlink" Target="https://youtu.be/bHYmhLnotRk" TargetMode="External"/><Relationship Id="rId5112" Type="http://schemas.openxmlformats.org/officeDocument/2006/relationships/hyperlink" Target="https://youtu.be/Ln92K3eeUaw" TargetMode="External"/><Relationship Id="rId5111" Type="http://schemas.openxmlformats.org/officeDocument/2006/relationships/hyperlink" Target="https://youtu.be/lqDQXiSxuQY" TargetMode="External"/><Relationship Id="rId5110" Type="http://schemas.openxmlformats.org/officeDocument/2006/relationships/hyperlink" Target="https://youtu.be/lyYgi_BfHz8" TargetMode="External"/><Relationship Id="rId511" Type="http://schemas.openxmlformats.org/officeDocument/2006/relationships/hyperlink" Target="https://youtu.be/3HN_zx4JJfM" TargetMode="External"/><Relationship Id="rId5109" Type="http://schemas.openxmlformats.org/officeDocument/2006/relationships/hyperlink" Target="https://youtu.be/qxFErjGc60E" TargetMode="External"/><Relationship Id="rId5108" Type="http://schemas.openxmlformats.org/officeDocument/2006/relationships/hyperlink" Target="https://youtu.be/RE11Om4lgms" TargetMode="External"/><Relationship Id="rId5107" Type="http://schemas.openxmlformats.org/officeDocument/2006/relationships/hyperlink" Target="https://youtu.be/3iXQSnwLqMA" TargetMode="External"/><Relationship Id="rId5106" Type="http://schemas.openxmlformats.org/officeDocument/2006/relationships/hyperlink" Target="https://youtu.be/CYyi93QOtO0" TargetMode="External"/><Relationship Id="rId5105" Type="http://schemas.openxmlformats.org/officeDocument/2006/relationships/hyperlink" Target="https://youtu.be/Gfl48eMPFiA" TargetMode="External"/><Relationship Id="rId5104" Type="http://schemas.openxmlformats.org/officeDocument/2006/relationships/hyperlink" Target="https://youtu.be/M0nEs69ZW90" TargetMode="External"/><Relationship Id="rId5103" Type="http://schemas.openxmlformats.org/officeDocument/2006/relationships/hyperlink" Target="https://youtu.be/yRIKIjohCCk" TargetMode="External"/><Relationship Id="rId5102" Type="http://schemas.openxmlformats.org/officeDocument/2006/relationships/hyperlink" Target="https://youtu.be/0BTg-epGt1M" TargetMode="External"/><Relationship Id="rId5101" Type="http://schemas.openxmlformats.org/officeDocument/2006/relationships/hyperlink" Target="https://youtu.be/oWk1szuV9RA" TargetMode="External"/><Relationship Id="rId5100" Type="http://schemas.openxmlformats.org/officeDocument/2006/relationships/hyperlink" Target="https://youtu.be/AOo30B8exyA" TargetMode="External"/><Relationship Id="rId510" Type="http://schemas.openxmlformats.org/officeDocument/2006/relationships/hyperlink" Target="https://youtu.be/ZsXoC1HYr0o" TargetMode="External"/><Relationship Id="rId51" Type="http://schemas.openxmlformats.org/officeDocument/2006/relationships/hyperlink" Target="https://youtu.be/MMdWjuGvJ9s" TargetMode="External"/><Relationship Id="rId5099" Type="http://schemas.openxmlformats.org/officeDocument/2006/relationships/hyperlink" Target="https://youtu.be/Rm-BtDKXM-0" TargetMode="External"/><Relationship Id="rId5098" Type="http://schemas.openxmlformats.org/officeDocument/2006/relationships/hyperlink" Target="https://youtu.be/KhK-opi7g_E" TargetMode="External"/><Relationship Id="rId5097" Type="http://schemas.openxmlformats.org/officeDocument/2006/relationships/hyperlink" Target="https://youtu.be/XXK17hLMPMQ" TargetMode="External"/><Relationship Id="rId5096" Type="http://schemas.openxmlformats.org/officeDocument/2006/relationships/hyperlink" Target="https://youtu.be/Nt-FFV9TJnc" TargetMode="External"/><Relationship Id="rId5095" Type="http://schemas.openxmlformats.org/officeDocument/2006/relationships/hyperlink" Target="https://youtu.be/poBj2O4EYQw" TargetMode="External"/><Relationship Id="rId5094" Type="http://schemas.openxmlformats.org/officeDocument/2006/relationships/hyperlink" Target="https://youtu.be/ND9_Uzv7dOk" TargetMode="External"/><Relationship Id="rId5093" Type="http://schemas.openxmlformats.org/officeDocument/2006/relationships/hyperlink" Target="https://youtu.be/x7LHk4TcT3s" TargetMode="External"/><Relationship Id="rId5092" Type="http://schemas.openxmlformats.org/officeDocument/2006/relationships/hyperlink" Target="https://youtu.be/4fQkUCHHHt0" TargetMode="External"/><Relationship Id="rId5091" Type="http://schemas.openxmlformats.org/officeDocument/2006/relationships/hyperlink" Target="https://youtu.be/g8NNzyh2pK0" TargetMode="External"/><Relationship Id="rId5090" Type="http://schemas.openxmlformats.org/officeDocument/2006/relationships/hyperlink" Target="https://youtu.be/181SD3jY82Q" TargetMode="External"/><Relationship Id="rId509" Type="http://schemas.openxmlformats.org/officeDocument/2006/relationships/hyperlink" Target="https://youtu.be/0E5r_94EQEk" TargetMode="External"/><Relationship Id="rId5089" Type="http://schemas.openxmlformats.org/officeDocument/2006/relationships/hyperlink" Target="https://youtu.be/4Fn7zNeOras" TargetMode="External"/><Relationship Id="rId5088" Type="http://schemas.openxmlformats.org/officeDocument/2006/relationships/hyperlink" Target="https://youtu.be/5egbt5ToIVk" TargetMode="External"/><Relationship Id="rId5087" Type="http://schemas.openxmlformats.org/officeDocument/2006/relationships/hyperlink" Target="https://youtu.be/HCNdP_zHDNA" TargetMode="External"/><Relationship Id="rId5086" Type="http://schemas.openxmlformats.org/officeDocument/2006/relationships/hyperlink" Target="https://youtu.be/MLWnaDpYaZ8" TargetMode="External"/><Relationship Id="rId5085" Type="http://schemas.openxmlformats.org/officeDocument/2006/relationships/hyperlink" Target="https://youtu.be/tJmwXDxZ6j4" TargetMode="External"/><Relationship Id="rId5084" Type="http://schemas.openxmlformats.org/officeDocument/2006/relationships/hyperlink" Target="https://youtu.be/QZl3IBIHy1c" TargetMode="External"/><Relationship Id="rId5083" Type="http://schemas.openxmlformats.org/officeDocument/2006/relationships/hyperlink" Target="https://youtu.be/KCJPZIWm_Ow" TargetMode="External"/><Relationship Id="rId5082" Type="http://schemas.openxmlformats.org/officeDocument/2006/relationships/hyperlink" Target="https://youtu.be/wXzw5LqK5Yg" TargetMode="External"/><Relationship Id="rId5081" Type="http://schemas.openxmlformats.org/officeDocument/2006/relationships/hyperlink" Target="https://youtu.be/w3GyeeOgMa0" TargetMode="External"/><Relationship Id="rId5080" Type="http://schemas.openxmlformats.org/officeDocument/2006/relationships/hyperlink" Target="https://youtu.be/SmzJeIUIvv4" TargetMode="External"/><Relationship Id="rId508" Type="http://schemas.openxmlformats.org/officeDocument/2006/relationships/hyperlink" Target="https://youtu.be/P7KcRWrUS5E" TargetMode="External"/><Relationship Id="rId5079" Type="http://schemas.openxmlformats.org/officeDocument/2006/relationships/hyperlink" Target="https://youtu.be/1RfPVmSCKc0" TargetMode="External"/><Relationship Id="rId5078" Type="http://schemas.openxmlformats.org/officeDocument/2006/relationships/hyperlink" Target="https://youtu.be/uB8CpstmAus" TargetMode="External"/><Relationship Id="rId5077" Type="http://schemas.openxmlformats.org/officeDocument/2006/relationships/hyperlink" Target="https://youtu.be/KzhCGzNbyd8" TargetMode="External"/><Relationship Id="rId5076" Type="http://schemas.openxmlformats.org/officeDocument/2006/relationships/hyperlink" Target="https://youtu.be/VTy4wrioFMQ" TargetMode="External"/><Relationship Id="rId5075" Type="http://schemas.openxmlformats.org/officeDocument/2006/relationships/hyperlink" Target="https://youtu.be/UNr27umchN4" TargetMode="External"/><Relationship Id="rId5074" Type="http://schemas.openxmlformats.org/officeDocument/2006/relationships/hyperlink" Target="https://youtu.be/Y0rEEPibKV4" TargetMode="External"/><Relationship Id="rId5073" Type="http://schemas.openxmlformats.org/officeDocument/2006/relationships/hyperlink" Target="https://youtu.be/eW3BHibc49o" TargetMode="External"/><Relationship Id="rId5072" Type="http://schemas.openxmlformats.org/officeDocument/2006/relationships/hyperlink" Target="https://youtu.be/B2j0pBVkvqw" TargetMode="External"/><Relationship Id="rId5071" Type="http://schemas.openxmlformats.org/officeDocument/2006/relationships/hyperlink" Target="https://youtu.be/cL9C9TzsZaw" TargetMode="External"/><Relationship Id="rId5070" Type="http://schemas.openxmlformats.org/officeDocument/2006/relationships/hyperlink" Target="https://youtu.be/TamYPxZqIuI" TargetMode="External"/><Relationship Id="rId507" Type="http://schemas.openxmlformats.org/officeDocument/2006/relationships/hyperlink" Target="https://youtu.be/6qA9iaAUo8k" TargetMode="External"/><Relationship Id="rId5069" Type="http://schemas.openxmlformats.org/officeDocument/2006/relationships/hyperlink" Target="https://youtu.be/rPQ6LoX8MhQ" TargetMode="External"/><Relationship Id="rId5068" Type="http://schemas.openxmlformats.org/officeDocument/2006/relationships/hyperlink" Target="https://youtu.be/fmsJamYFeLg" TargetMode="External"/><Relationship Id="rId5067" Type="http://schemas.openxmlformats.org/officeDocument/2006/relationships/hyperlink" Target="https://youtu.be/e9YvIESqDUk" TargetMode="External"/><Relationship Id="rId5066" Type="http://schemas.openxmlformats.org/officeDocument/2006/relationships/hyperlink" Target="https://youtu.be/0rFbcJy7ItQ" TargetMode="External"/><Relationship Id="rId5065" Type="http://schemas.openxmlformats.org/officeDocument/2006/relationships/hyperlink" Target="https://youtu.be/SMlCj6og5JA" TargetMode="External"/><Relationship Id="rId5064" Type="http://schemas.openxmlformats.org/officeDocument/2006/relationships/hyperlink" Target="https://youtu.be/8R9OUmuAY7o" TargetMode="External"/><Relationship Id="rId5063" Type="http://schemas.openxmlformats.org/officeDocument/2006/relationships/hyperlink" Target="https://youtu.be/coFgBbaFOog" TargetMode="External"/><Relationship Id="rId5062" Type="http://schemas.openxmlformats.org/officeDocument/2006/relationships/hyperlink" Target="https://youtu.be/lfYD3MAAa0Y" TargetMode="External"/><Relationship Id="rId5061" Type="http://schemas.openxmlformats.org/officeDocument/2006/relationships/hyperlink" Target="https://youtu.be/cdfcYjpR7bE" TargetMode="External"/><Relationship Id="rId5060" Type="http://schemas.openxmlformats.org/officeDocument/2006/relationships/hyperlink" Target="https://youtu.be/lsHKfWmfBig" TargetMode="External"/><Relationship Id="rId506" Type="http://schemas.openxmlformats.org/officeDocument/2006/relationships/hyperlink" Target="https://youtu.be/-Ld_urt0tgg" TargetMode="External"/><Relationship Id="rId5059" Type="http://schemas.openxmlformats.org/officeDocument/2006/relationships/hyperlink" Target="https://youtu.be/oFklGdM7cK0" TargetMode="External"/><Relationship Id="rId5058" Type="http://schemas.openxmlformats.org/officeDocument/2006/relationships/hyperlink" Target="https://youtu.be/W-aDSv494v4" TargetMode="External"/><Relationship Id="rId5057" Type="http://schemas.openxmlformats.org/officeDocument/2006/relationships/hyperlink" Target="https://youtu.be/FMVlmTrzaos" TargetMode="External"/><Relationship Id="rId5056" Type="http://schemas.openxmlformats.org/officeDocument/2006/relationships/hyperlink" Target="https://youtu.be/KJbwru8RAMQ" TargetMode="External"/><Relationship Id="rId5055" Type="http://schemas.openxmlformats.org/officeDocument/2006/relationships/hyperlink" Target="https://youtu.be/CqV7LE-rM9U" TargetMode="External"/><Relationship Id="rId5054" Type="http://schemas.openxmlformats.org/officeDocument/2006/relationships/hyperlink" Target="https://youtu.be/eQz_XsV8e3s" TargetMode="External"/><Relationship Id="rId5053" Type="http://schemas.openxmlformats.org/officeDocument/2006/relationships/hyperlink" Target="https://youtu.be/UP_KySLxq6Y" TargetMode="External"/><Relationship Id="rId5052" Type="http://schemas.openxmlformats.org/officeDocument/2006/relationships/hyperlink" Target="https://youtu.be/789JQPh3-o8" TargetMode="External"/><Relationship Id="rId5051" Type="http://schemas.openxmlformats.org/officeDocument/2006/relationships/hyperlink" Target="https://youtu.be/1w1YPhSVVcY" TargetMode="External"/><Relationship Id="rId5050" Type="http://schemas.openxmlformats.org/officeDocument/2006/relationships/hyperlink" Target="https://youtu.be/keEoobGLC1M" TargetMode="External"/><Relationship Id="rId505" Type="http://schemas.openxmlformats.org/officeDocument/2006/relationships/hyperlink" Target="https://youtu.be/9m95j0rM9Zs" TargetMode="External"/><Relationship Id="rId5049" Type="http://schemas.openxmlformats.org/officeDocument/2006/relationships/hyperlink" Target="https://youtu.be/wdnxze8f7xU" TargetMode="External"/><Relationship Id="rId5048" Type="http://schemas.openxmlformats.org/officeDocument/2006/relationships/hyperlink" Target="https://youtu.be/50g_BGMqMdg" TargetMode="External"/><Relationship Id="rId5047" Type="http://schemas.openxmlformats.org/officeDocument/2006/relationships/hyperlink" Target="https://youtu.be/POMFrN3_BCc" TargetMode="External"/><Relationship Id="rId5046" Type="http://schemas.openxmlformats.org/officeDocument/2006/relationships/hyperlink" Target="https://youtu.be/01zDCRnMWuo" TargetMode="External"/><Relationship Id="rId5045" Type="http://schemas.openxmlformats.org/officeDocument/2006/relationships/hyperlink" Target="https://youtu.be/ZfxV_fH_TSo" TargetMode="External"/><Relationship Id="rId5044" Type="http://schemas.openxmlformats.org/officeDocument/2006/relationships/hyperlink" Target="https://youtu.be/ORR_ppabVUY" TargetMode="External"/><Relationship Id="rId5043" Type="http://schemas.openxmlformats.org/officeDocument/2006/relationships/hyperlink" Target="https://youtu.be/-b7ftih04C4" TargetMode="External"/><Relationship Id="rId5042" Type="http://schemas.openxmlformats.org/officeDocument/2006/relationships/hyperlink" Target="https://youtu.be/gblxIAW7BDw" TargetMode="External"/><Relationship Id="rId5041" Type="http://schemas.openxmlformats.org/officeDocument/2006/relationships/hyperlink" Target="https://youtu.be/vd4-Q-G5ke8" TargetMode="External"/><Relationship Id="rId5040" Type="http://schemas.openxmlformats.org/officeDocument/2006/relationships/hyperlink" Target="https://youtu.be/QGw07D0aI8k" TargetMode="External"/><Relationship Id="rId504" Type="http://schemas.openxmlformats.org/officeDocument/2006/relationships/hyperlink" Target="https://youtu.be/dAZKu_ojb14" TargetMode="External"/><Relationship Id="rId5039" Type="http://schemas.openxmlformats.org/officeDocument/2006/relationships/hyperlink" Target="https://youtu.be/PmWvZ1kyKwQ" TargetMode="External"/><Relationship Id="rId5038" Type="http://schemas.openxmlformats.org/officeDocument/2006/relationships/hyperlink" Target="https://youtu.be/8Lh-BGOl5Ps" TargetMode="External"/><Relationship Id="rId5037" Type="http://schemas.openxmlformats.org/officeDocument/2006/relationships/hyperlink" Target="https://youtu.be/7H-d9ZyTLyU" TargetMode="External"/><Relationship Id="rId5036" Type="http://schemas.openxmlformats.org/officeDocument/2006/relationships/hyperlink" Target="https://youtu.be/UK6BJORv0zE" TargetMode="External"/><Relationship Id="rId5035" Type="http://schemas.openxmlformats.org/officeDocument/2006/relationships/hyperlink" Target="https://youtu.be/hYN-7G7mMXE" TargetMode="External"/><Relationship Id="rId5034" Type="http://schemas.openxmlformats.org/officeDocument/2006/relationships/hyperlink" Target="https://youtu.be/I0ZpOPjjDkM" TargetMode="External"/><Relationship Id="rId5033" Type="http://schemas.openxmlformats.org/officeDocument/2006/relationships/hyperlink" Target="https://youtu.be/ZVcYL_UVqno" TargetMode="External"/><Relationship Id="rId5032" Type="http://schemas.openxmlformats.org/officeDocument/2006/relationships/hyperlink" Target="https://youtu.be/ErqMNOz3bvM" TargetMode="External"/><Relationship Id="rId5031" Type="http://schemas.openxmlformats.org/officeDocument/2006/relationships/hyperlink" Target="https://youtu.be/KKqsJixa5UM" TargetMode="External"/><Relationship Id="rId5030" Type="http://schemas.openxmlformats.org/officeDocument/2006/relationships/hyperlink" Target="https://youtu.be/wtear4aJvLw" TargetMode="External"/><Relationship Id="rId503" Type="http://schemas.openxmlformats.org/officeDocument/2006/relationships/hyperlink" Target="https://youtu.be/gPJXgpSun04" TargetMode="External"/><Relationship Id="rId5029" Type="http://schemas.openxmlformats.org/officeDocument/2006/relationships/hyperlink" Target="https://youtu.be/NSPPFxbPi0c" TargetMode="External"/><Relationship Id="rId5028" Type="http://schemas.openxmlformats.org/officeDocument/2006/relationships/hyperlink" Target="https://youtu.be/S2XwN_oQ_Yo" TargetMode="External"/><Relationship Id="rId5027" Type="http://schemas.openxmlformats.org/officeDocument/2006/relationships/hyperlink" Target="https://youtu.be/32MRnh9dsv0" TargetMode="External"/><Relationship Id="rId5026" Type="http://schemas.openxmlformats.org/officeDocument/2006/relationships/hyperlink" Target="https://youtu.be/hOI0pYlYihc" TargetMode="External"/><Relationship Id="rId5025" Type="http://schemas.openxmlformats.org/officeDocument/2006/relationships/hyperlink" Target="https://youtu.be/xCNpFNi8IMU" TargetMode="External"/><Relationship Id="rId5024" Type="http://schemas.openxmlformats.org/officeDocument/2006/relationships/hyperlink" Target="https://youtu.be/IGt-UkL05HA" TargetMode="External"/><Relationship Id="rId5023" Type="http://schemas.openxmlformats.org/officeDocument/2006/relationships/hyperlink" Target="https://youtu.be/rO45KoVPsxk" TargetMode="External"/><Relationship Id="rId5022" Type="http://schemas.openxmlformats.org/officeDocument/2006/relationships/hyperlink" Target="https://youtu.be/wPPLobVBG8g" TargetMode="External"/><Relationship Id="rId5021" Type="http://schemas.openxmlformats.org/officeDocument/2006/relationships/hyperlink" Target="https://youtu.be/dzC9ZigQWqk" TargetMode="External"/><Relationship Id="rId5020" Type="http://schemas.openxmlformats.org/officeDocument/2006/relationships/hyperlink" Target="https://youtu.be/rVx5MDCstJ0" TargetMode="External"/><Relationship Id="rId502" Type="http://schemas.openxmlformats.org/officeDocument/2006/relationships/hyperlink" Target="https://youtu.be/1P-QBtEyDbQ" TargetMode="External"/><Relationship Id="rId5019" Type="http://schemas.openxmlformats.org/officeDocument/2006/relationships/hyperlink" Target="https://youtu.be/Eusgq99qGLM" TargetMode="External"/><Relationship Id="rId5018" Type="http://schemas.openxmlformats.org/officeDocument/2006/relationships/hyperlink" Target="https://youtu.be/0elUguk05b8" TargetMode="External"/><Relationship Id="rId5017" Type="http://schemas.openxmlformats.org/officeDocument/2006/relationships/hyperlink" Target="https://youtu.be/uvLkNmu01HU" TargetMode="External"/><Relationship Id="rId5016" Type="http://schemas.openxmlformats.org/officeDocument/2006/relationships/hyperlink" Target="https://youtu.be/0j4aB02DsNg" TargetMode="External"/><Relationship Id="rId5015" Type="http://schemas.openxmlformats.org/officeDocument/2006/relationships/hyperlink" Target="https://youtu.be/MwVD7xAbX_M" TargetMode="External"/><Relationship Id="rId5014" Type="http://schemas.openxmlformats.org/officeDocument/2006/relationships/hyperlink" Target="https://youtu.be/0jMCh5l0hE8" TargetMode="External"/><Relationship Id="rId5013" Type="http://schemas.openxmlformats.org/officeDocument/2006/relationships/hyperlink" Target="https://youtu.be/aWdjte5Ttko" TargetMode="External"/><Relationship Id="rId5012" Type="http://schemas.openxmlformats.org/officeDocument/2006/relationships/hyperlink" Target="https://youtu.be/rVRNLXx_b9U" TargetMode="External"/><Relationship Id="rId5011" Type="http://schemas.openxmlformats.org/officeDocument/2006/relationships/hyperlink" Target="https://youtu.be/grJYTWXddto" TargetMode="External"/><Relationship Id="rId5010" Type="http://schemas.openxmlformats.org/officeDocument/2006/relationships/hyperlink" Target="https://youtu.be/XY3U5U-gO6A" TargetMode="External"/><Relationship Id="rId501" Type="http://schemas.openxmlformats.org/officeDocument/2006/relationships/hyperlink" Target="https://youtu.be/N0f-QkEVU7U" TargetMode="External"/><Relationship Id="rId5009" Type="http://schemas.openxmlformats.org/officeDocument/2006/relationships/hyperlink" Target="https://youtu.be/YJaI45wksTk" TargetMode="External"/><Relationship Id="rId5008" Type="http://schemas.openxmlformats.org/officeDocument/2006/relationships/hyperlink" Target="https://youtu.be/e2dJiFv-R28" TargetMode="External"/><Relationship Id="rId5007" Type="http://schemas.openxmlformats.org/officeDocument/2006/relationships/hyperlink" Target="https://youtu.be/bumZc8M08Lc" TargetMode="External"/><Relationship Id="rId5006" Type="http://schemas.openxmlformats.org/officeDocument/2006/relationships/hyperlink" Target="https://youtu.be/_J56-WRfBFk" TargetMode="External"/><Relationship Id="rId5005" Type="http://schemas.openxmlformats.org/officeDocument/2006/relationships/hyperlink" Target="https://youtu.be/Ot-SeKrPOXk" TargetMode="External"/><Relationship Id="rId5004" Type="http://schemas.openxmlformats.org/officeDocument/2006/relationships/hyperlink" Target="https://youtu.be/Kkuih2XVa4c" TargetMode="External"/><Relationship Id="rId5003" Type="http://schemas.openxmlformats.org/officeDocument/2006/relationships/hyperlink" Target="https://youtu.be/9lI6TajJRek" TargetMode="External"/><Relationship Id="rId5002" Type="http://schemas.openxmlformats.org/officeDocument/2006/relationships/hyperlink" Target="https://youtu.be/B8fzZtfu8kk" TargetMode="External"/><Relationship Id="rId5001" Type="http://schemas.openxmlformats.org/officeDocument/2006/relationships/hyperlink" Target="https://youtu.be/rfwqLSHvu3E" TargetMode="External"/><Relationship Id="rId5000" Type="http://schemas.openxmlformats.org/officeDocument/2006/relationships/hyperlink" Target="https://youtu.be/e2ByHhf9fOU" TargetMode="External"/><Relationship Id="rId500" Type="http://schemas.openxmlformats.org/officeDocument/2006/relationships/hyperlink" Target="https://youtu.be/qjJjyArol8c" TargetMode="External"/><Relationship Id="rId50" Type="http://schemas.openxmlformats.org/officeDocument/2006/relationships/hyperlink" Target="https://youtu.be/prACMnIDJ-M" TargetMode="External"/><Relationship Id="rId5" Type="http://schemas.openxmlformats.org/officeDocument/2006/relationships/hyperlink" Target="https://youtu.be/6U3WiUA2CEs" TargetMode="External"/><Relationship Id="rId4999" Type="http://schemas.openxmlformats.org/officeDocument/2006/relationships/hyperlink" Target="https://youtu.be/FQVA1e9RJzM" TargetMode="External"/><Relationship Id="rId4998" Type="http://schemas.openxmlformats.org/officeDocument/2006/relationships/hyperlink" Target="https://youtu.be/YBTy_lUjIu0" TargetMode="External"/><Relationship Id="rId4997" Type="http://schemas.openxmlformats.org/officeDocument/2006/relationships/hyperlink" Target="https://youtu.be/f7eRoxJvPIQ" TargetMode="External"/><Relationship Id="rId4996" Type="http://schemas.openxmlformats.org/officeDocument/2006/relationships/hyperlink" Target="https://youtu.be/ubWZOiEA5vE" TargetMode="External"/><Relationship Id="rId4995" Type="http://schemas.openxmlformats.org/officeDocument/2006/relationships/hyperlink" Target="https://youtu.be/qk7VrKDu11Y" TargetMode="External"/><Relationship Id="rId4994" Type="http://schemas.openxmlformats.org/officeDocument/2006/relationships/hyperlink" Target="https://youtu.be/ebB9Hkj4j_s" TargetMode="External"/><Relationship Id="rId4993" Type="http://schemas.openxmlformats.org/officeDocument/2006/relationships/hyperlink" Target="https://youtu.be/5yA5htCJsfQ" TargetMode="External"/><Relationship Id="rId4992" Type="http://schemas.openxmlformats.org/officeDocument/2006/relationships/hyperlink" Target="https://youtu.be/owLGXHOWS8A" TargetMode="External"/><Relationship Id="rId4991" Type="http://schemas.openxmlformats.org/officeDocument/2006/relationships/hyperlink" Target="https://youtu.be/YaMC3JwUfTI" TargetMode="External"/><Relationship Id="rId4990" Type="http://schemas.openxmlformats.org/officeDocument/2006/relationships/hyperlink" Target="https://youtu.be/4UnIBnKNuB4" TargetMode="External"/><Relationship Id="rId499" Type="http://schemas.openxmlformats.org/officeDocument/2006/relationships/hyperlink" Target="https://youtu.be/knl6U7AP_ic" TargetMode="External"/><Relationship Id="rId4989" Type="http://schemas.openxmlformats.org/officeDocument/2006/relationships/hyperlink" Target="https://youtu.be/GTLgdfojl2w" TargetMode="External"/><Relationship Id="rId4988" Type="http://schemas.openxmlformats.org/officeDocument/2006/relationships/hyperlink" Target="https://youtu.be/LbVQgqCzXLk" TargetMode="External"/><Relationship Id="rId4987" Type="http://schemas.openxmlformats.org/officeDocument/2006/relationships/hyperlink" Target="https://youtu.be/sEhi7NdFrag" TargetMode="External"/><Relationship Id="rId4986" Type="http://schemas.openxmlformats.org/officeDocument/2006/relationships/hyperlink" Target="https://youtu.be/HY7F7Y0B4dY" TargetMode="External"/><Relationship Id="rId4985" Type="http://schemas.openxmlformats.org/officeDocument/2006/relationships/hyperlink" Target="https://youtu.be/ZKIMBunPKQ4" TargetMode="External"/><Relationship Id="rId4984" Type="http://schemas.openxmlformats.org/officeDocument/2006/relationships/hyperlink" Target="https://youtu.be/2baY3ofzk6Y" TargetMode="External"/><Relationship Id="rId4983" Type="http://schemas.openxmlformats.org/officeDocument/2006/relationships/hyperlink" Target="https://youtu.be/K0NgxjHBzmM" TargetMode="External"/><Relationship Id="rId4982" Type="http://schemas.openxmlformats.org/officeDocument/2006/relationships/hyperlink" Target="https://youtu.be/3OmVZTxfrNQ" TargetMode="External"/><Relationship Id="rId4981" Type="http://schemas.openxmlformats.org/officeDocument/2006/relationships/hyperlink" Target="https://youtu.be/TkRvWoBDO_0" TargetMode="External"/><Relationship Id="rId4980" Type="http://schemas.openxmlformats.org/officeDocument/2006/relationships/hyperlink" Target="https://youtu.be/GPvxOWOSZCE" TargetMode="External"/><Relationship Id="rId498" Type="http://schemas.openxmlformats.org/officeDocument/2006/relationships/hyperlink" Target="https://youtu.be/OnHqYgl88Yo" TargetMode="External"/><Relationship Id="rId4979" Type="http://schemas.openxmlformats.org/officeDocument/2006/relationships/hyperlink" Target="https://youtu.be/6L61bY7ZZas" TargetMode="External"/><Relationship Id="rId4978" Type="http://schemas.openxmlformats.org/officeDocument/2006/relationships/hyperlink" Target="https://youtu.be/aA6iy0qtpD8" TargetMode="External"/><Relationship Id="rId4977" Type="http://schemas.openxmlformats.org/officeDocument/2006/relationships/hyperlink" Target="https://youtu.be/kHaj6EbxIuI" TargetMode="External"/><Relationship Id="rId4976" Type="http://schemas.openxmlformats.org/officeDocument/2006/relationships/hyperlink" Target="https://youtu.be/1v_oXMC6Hq0" TargetMode="External"/><Relationship Id="rId4975" Type="http://schemas.openxmlformats.org/officeDocument/2006/relationships/hyperlink" Target="https://youtu.be/Kr80vrFe3Bw" TargetMode="External"/><Relationship Id="rId4974" Type="http://schemas.openxmlformats.org/officeDocument/2006/relationships/hyperlink" Target="https://youtu.be/14YCj1SYX60" TargetMode="External"/><Relationship Id="rId4973" Type="http://schemas.openxmlformats.org/officeDocument/2006/relationships/hyperlink" Target="https://youtu.be/yp3GCw_F25I" TargetMode="External"/><Relationship Id="rId4972" Type="http://schemas.openxmlformats.org/officeDocument/2006/relationships/hyperlink" Target="https://youtu.be/8qSTcXDApas" TargetMode="External"/><Relationship Id="rId4971" Type="http://schemas.openxmlformats.org/officeDocument/2006/relationships/hyperlink" Target="https://youtu.be/XrPvsbZoHtE" TargetMode="External"/><Relationship Id="rId4970" Type="http://schemas.openxmlformats.org/officeDocument/2006/relationships/hyperlink" Target="https://youtu.be/3JC42BaPg5A" TargetMode="External"/><Relationship Id="rId497" Type="http://schemas.openxmlformats.org/officeDocument/2006/relationships/hyperlink" Target="https://youtu.be/4ZKQoUGMNv4" TargetMode="External"/><Relationship Id="rId4969" Type="http://schemas.openxmlformats.org/officeDocument/2006/relationships/hyperlink" Target="https://youtu.be/C5l671TErCQ" TargetMode="External"/><Relationship Id="rId4968" Type="http://schemas.openxmlformats.org/officeDocument/2006/relationships/hyperlink" Target="https://youtu.be/rij7fUe3Njg" TargetMode="External"/><Relationship Id="rId4967" Type="http://schemas.openxmlformats.org/officeDocument/2006/relationships/hyperlink" Target="https://youtu.be/x5DJZyXQvT4" TargetMode="External"/><Relationship Id="rId4966" Type="http://schemas.openxmlformats.org/officeDocument/2006/relationships/hyperlink" Target="https://youtu.be/xaykOzlXdRg" TargetMode="External"/><Relationship Id="rId4965" Type="http://schemas.openxmlformats.org/officeDocument/2006/relationships/hyperlink" Target="https://youtu.be/SaSBOS47J-Y" TargetMode="External"/><Relationship Id="rId4964" Type="http://schemas.openxmlformats.org/officeDocument/2006/relationships/hyperlink" Target="https://youtu.be/q6mujJfFYrA" TargetMode="External"/><Relationship Id="rId4963" Type="http://schemas.openxmlformats.org/officeDocument/2006/relationships/hyperlink" Target="https://youtu.be/FhQIrEQEfD8" TargetMode="External"/><Relationship Id="rId4962" Type="http://schemas.openxmlformats.org/officeDocument/2006/relationships/hyperlink" Target="https://youtu.be/BETvz98MPWU" TargetMode="External"/><Relationship Id="rId4961" Type="http://schemas.openxmlformats.org/officeDocument/2006/relationships/hyperlink" Target="https://youtu.be/gdSpKjkcbro" TargetMode="External"/><Relationship Id="rId4960" Type="http://schemas.openxmlformats.org/officeDocument/2006/relationships/hyperlink" Target="https://youtu.be/48J5FJ12et8" TargetMode="External"/><Relationship Id="rId496" Type="http://schemas.openxmlformats.org/officeDocument/2006/relationships/hyperlink" Target="https://youtu.be/J7wWgmagmQw" TargetMode="External"/><Relationship Id="rId4959" Type="http://schemas.openxmlformats.org/officeDocument/2006/relationships/hyperlink" Target="https://youtu.be/PxZWnzmaJ2o" TargetMode="External"/><Relationship Id="rId4958" Type="http://schemas.openxmlformats.org/officeDocument/2006/relationships/hyperlink" Target="https://youtu.be/FD4o18HOzrE" TargetMode="External"/><Relationship Id="rId4957" Type="http://schemas.openxmlformats.org/officeDocument/2006/relationships/hyperlink" Target="https://youtu.be/b1FftFdZjN4" TargetMode="External"/><Relationship Id="rId4956" Type="http://schemas.openxmlformats.org/officeDocument/2006/relationships/hyperlink" Target="https://youtu.be/buuIe5koJ3g" TargetMode="External"/><Relationship Id="rId4955" Type="http://schemas.openxmlformats.org/officeDocument/2006/relationships/hyperlink" Target="https://youtu.be/j2cVZM7n3JM" TargetMode="External"/><Relationship Id="rId4954" Type="http://schemas.openxmlformats.org/officeDocument/2006/relationships/hyperlink" Target="https://youtu.be/VMAwgdKfb0o" TargetMode="External"/><Relationship Id="rId4953" Type="http://schemas.openxmlformats.org/officeDocument/2006/relationships/hyperlink" Target="https://youtu.be/G0N_K6LxSFc" TargetMode="External"/><Relationship Id="rId4952" Type="http://schemas.openxmlformats.org/officeDocument/2006/relationships/hyperlink" Target="https://youtu.be/ogVIo38PdcM" TargetMode="External"/><Relationship Id="rId4951" Type="http://schemas.openxmlformats.org/officeDocument/2006/relationships/hyperlink" Target="https://youtu.be/vOKkv2piOkw" TargetMode="External"/><Relationship Id="rId4950" Type="http://schemas.openxmlformats.org/officeDocument/2006/relationships/hyperlink" Target="https://youtu.be/JHklvHMJ7Tw" TargetMode="External"/><Relationship Id="rId495" Type="http://schemas.openxmlformats.org/officeDocument/2006/relationships/hyperlink" Target="https://youtu.be/n7_qOWXe7Zw" TargetMode="External"/><Relationship Id="rId4949" Type="http://schemas.openxmlformats.org/officeDocument/2006/relationships/hyperlink" Target="https://youtu.be/31oNIKmQwOA" TargetMode="External"/><Relationship Id="rId4948" Type="http://schemas.openxmlformats.org/officeDocument/2006/relationships/hyperlink" Target="https://youtu.be/Y00heegJEHA" TargetMode="External"/><Relationship Id="rId4947" Type="http://schemas.openxmlformats.org/officeDocument/2006/relationships/hyperlink" Target="https://youtu.be/ONvJ0xXT2xY" TargetMode="External"/><Relationship Id="rId4946" Type="http://schemas.openxmlformats.org/officeDocument/2006/relationships/hyperlink" Target="https://youtu.be/fd-BukUph9Q" TargetMode="External"/><Relationship Id="rId4945" Type="http://schemas.openxmlformats.org/officeDocument/2006/relationships/hyperlink" Target="https://youtu.be/jvW0clxVlZA" TargetMode="External"/><Relationship Id="rId4944" Type="http://schemas.openxmlformats.org/officeDocument/2006/relationships/hyperlink" Target="https://youtu.be/NtJOH-aKEVY" TargetMode="External"/><Relationship Id="rId4943" Type="http://schemas.openxmlformats.org/officeDocument/2006/relationships/hyperlink" Target="https://youtu.be/2csADJ2sbIA" TargetMode="External"/><Relationship Id="rId4942" Type="http://schemas.openxmlformats.org/officeDocument/2006/relationships/hyperlink" Target="https://youtu.be/X8ojgOGtqfY" TargetMode="External"/><Relationship Id="rId4941" Type="http://schemas.openxmlformats.org/officeDocument/2006/relationships/hyperlink" Target="https://youtu.be/GuhzvAlUehU" TargetMode="External"/><Relationship Id="rId4940" Type="http://schemas.openxmlformats.org/officeDocument/2006/relationships/hyperlink" Target="https://youtu.be/0oboXn_Pi08" TargetMode="External"/><Relationship Id="rId494" Type="http://schemas.openxmlformats.org/officeDocument/2006/relationships/hyperlink" Target="https://youtu.be/yNlAFzG44ko" TargetMode="External"/><Relationship Id="rId4939" Type="http://schemas.openxmlformats.org/officeDocument/2006/relationships/hyperlink" Target="https://youtu.be/I4S3xp_j0uQ" TargetMode="External"/><Relationship Id="rId4938" Type="http://schemas.openxmlformats.org/officeDocument/2006/relationships/hyperlink" Target="https://youtu.be/9x6j2IAJAQs" TargetMode="External"/><Relationship Id="rId4937" Type="http://schemas.openxmlformats.org/officeDocument/2006/relationships/hyperlink" Target="https://youtu.be/hJhsi1AcD1k" TargetMode="External"/><Relationship Id="rId4936" Type="http://schemas.openxmlformats.org/officeDocument/2006/relationships/hyperlink" Target="https://youtu.be/TvZH-nhuxgo" TargetMode="External"/><Relationship Id="rId4935" Type="http://schemas.openxmlformats.org/officeDocument/2006/relationships/hyperlink" Target="https://youtu.be/OcJnIuUFEfk" TargetMode="External"/><Relationship Id="rId4934" Type="http://schemas.openxmlformats.org/officeDocument/2006/relationships/hyperlink" Target="https://youtu.be/G8-w8lpba24" TargetMode="External"/><Relationship Id="rId4933" Type="http://schemas.openxmlformats.org/officeDocument/2006/relationships/hyperlink" Target="https://youtu.be/8FDs9rxFrJ0" TargetMode="External"/><Relationship Id="rId4932" Type="http://schemas.openxmlformats.org/officeDocument/2006/relationships/hyperlink" Target="https://youtu.be/vO5dAouznCg" TargetMode="External"/><Relationship Id="rId4931" Type="http://schemas.openxmlformats.org/officeDocument/2006/relationships/hyperlink" Target="https://youtu.be/-daDU6xe7Ks" TargetMode="External"/><Relationship Id="rId4930" Type="http://schemas.openxmlformats.org/officeDocument/2006/relationships/hyperlink" Target="https://youtu.be/GHz2B_4g2tM" TargetMode="External"/><Relationship Id="rId493" Type="http://schemas.openxmlformats.org/officeDocument/2006/relationships/hyperlink" Target="https://youtu.be/McqMigM_YG8" TargetMode="External"/><Relationship Id="rId4929" Type="http://schemas.openxmlformats.org/officeDocument/2006/relationships/hyperlink" Target="https://youtu.be/3i0oRu9dHoA" TargetMode="External"/><Relationship Id="rId4928" Type="http://schemas.openxmlformats.org/officeDocument/2006/relationships/hyperlink" Target="https://youtu.be/qWJoIsBVTp4" TargetMode="External"/><Relationship Id="rId4927" Type="http://schemas.openxmlformats.org/officeDocument/2006/relationships/hyperlink" Target="https://youtu.be/OX4bLGfl8k8" TargetMode="External"/><Relationship Id="rId4926" Type="http://schemas.openxmlformats.org/officeDocument/2006/relationships/hyperlink" Target="https://youtu.be/816Y-FhplW8" TargetMode="External"/><Relationship Id="rId4925" Type="http://schemas.openxmlformats.org/officeDocument/2006/relationships/hyperlink" Target="https://youtu.be/pF4GMHTZNSI" TargetMode="External"/><Relationship Id="rId4924" Type="http://schemas.openxmlformats.org/officeDocument/2006/relationships/hyperlink" Target="https://youtu.be/-n-y1eiLJcM" TargetMode="External"/><Relationship Id="rId4923" Type="http://schemas.openxmlformats.org/officeDocument/2006/relationships/hyperlink" Target="https://youtu.be/INvGFsDt2_0" TargetMode="External"/><Relationship Id="rId4922" Type="http://schemas.openxmlformats.org/officeDocument/2006/relationships/hyperlink" Target="https://youtu.be/xrDiyL-EnF4" TargetMode="External"/><Relationship Id="rId4921" Type="http://schemas.openxmlformats.org/officeDocument/2006/relationships/hyperlink" Target="https://youtu.be/Vq3ciWeixlc" TargetMode="External"/><Relationship Id="rId4920" Type="http://schemas.openxmlformats.org/officeDocument/2006/relationships/hyperlink" Target="https://youtu.be/f9zIwdur1ns" TargetMode="External"/><Relationship Id="rId492" Type="http://schemas.openxmlformats.org/officeDocument/2006/relationships/hyperlink" Target="https://youtu.be/ZRCTK5LpZXA" TargetMode="External"/><Relationship Id="rId4919" Type="http://schemas.openxmlformats.org/officeDocument/2006/relationships/hyperlink" Target="https://youtu.be/J-CwYzo2tVE" TargetMode="External"/><Relationship Id="rId4918" Type="http://schemas.openxmlformats.org/officeDocument/2006/relationships/hyperlink" Target="https://youtu.be/HF-Nx_ESe5o" TargetMode="External"/><Relationship Id="rId4917" Type="http://schemas.openxmlformats.org/officeDocument/2006/relationships/hyperlink" Target="https://youtu.be/Iokt2j7KcGw" TargetMode="External"/><Relationship Id="rId4916" Type="http://schemas.openxmlformats.org/officeDocument/2006/relationships/hyperlink" Target="https://youtu.be/GZerpR-poSA" TargetMode="External"/><Relationship Id="rId4915" Type="http://schemas.openxmlformats.org/officeDocument/2006/relationships/hyperlink" Target="https://youtu.be/Ftwromsqui8" TargetMode="External"/><Relationship Id="rId4914" Type="http://schemas.openxmlformats.org/officeDocument/2006/relationships/hyperlink" Target="https://youtu.be/tu0b2zEHiuk" TargetMode="External"/><Relationship Id="rId4913" Type="http://schemas.openxmlformats.org/officeDocument/2006/relationships/hyperlink" Target="https://youtu.be/uftxel9ue3Y" TargetMode="External"/><Relationship Id="rId4912" Type="http://schemas.openxmlformats.org/officeDocument/2006/relationships/hyperlink" Target="https://youtu.be/rCn5TqEPXLs" TargetMode="External"/><Relationship Id="rId4911" Type="http://schemas.openxmlformats.org/officeDocument/2006/relationships/hyperlink" Target="https://youtu.be/Ca0Mjoo-eGE" TargetMode="External"/><Relationship Id="rId4910" Type="http://schemas.openxmlformats.org/officeDocument/2006/relationships/hyperlink" Target="https://youtu.be/wQUB_KveKxE" TargetMode="External"/><Relationship Id="rId491" Type="http://schemas.openxmlformats.org/officeDocument/2006/relationships/hyperlink" Target="https://youtu.be/NHW_gq7dyXc" TargetMode="External"/><Relationship Id="rId4909" Type="http://schemas.openxmlformats.org/officeDocument/2006/relationships/hyperlink" Target="https://youtu.be/8DDaWb-xUEs" TargetMode="External"/><Relationship Id="rId4908" Type="http://schemas.openxmlformats.org/officeDocument/2006/relationships/hyperlink" Target="https://youtu.be/zsF3WHWGuoE" TargetMode="External"/><Relationship Id="rId4907" Type="http://schemas.openxmlformats.org/officeDocument/2006/relationships/hyperlink" Target="https://youtu.be/L6vuOx7AN4w" TargetMode="External"/><Relationship Id="rId4906" Type="http://schemas.openxmlformats.org/officeDocument/2006/relationships/hyperlink" Target="https://youtu.be/dDjoD_rK-oY" TargetMode="External"/><Relationship Id="rId4905" Type="http://schemas.openxmlformats.org/officeDocument/2006/relationships/hyperlink" Target="https://youtu.be/hEL5-AprbtA" TargetMode="External"/><Relationship Id="rId4904" Type="http://schemas.openxmlformats.org/officeDocument/2006/relationships/hyperlink" Target="https://youtu.be/kUQksM2OAaY" TargetMode="External"/><Relationship Id="rId4903" Type="http://schemas.openxmlformats.org/officeDocument/2006/relationships/hyperlink" Target="https://youtu.be/hVS8mjLiP90" TargetMode="External"/><Relationship Id="rId4902" Type="http://schemas.openxmlformats.org/officeDocument/2006/relationships/hyperlink" Target="https://youtu.be/pbMvnppbVYo" TargetMode="External"/><Relationship Id="rId4901" Type="http://schemas.openxmlformats.org/officeDocument/2006/relationships/hyperlink" Target="https://youtu.be/DiS4m7MX9bg" TargetMode="External"/><Relationship Id="rId4900" Type="http://schemas.openxmlformats.org/officeDocument/2006/relationships/hyperlink" Target="https://youtu.be/3rNn_cUrlmE" TargetMode="External"/><Relationship Id="rId490" Type="http://schemas.openxmlformats.org/officeDocument/2006/relationships/hyperlink" Target="https://youtu.be/KAegwr_ToJI" TargetMode="External"/><Relationship Id="rId49" Type="http://schemas.openxmlformats.org/officeDocument/2006/relationships/hyperlink" Target="https://youtu.be/bjJFqhBEAKE" TargetMode="External"/><Relationship Id="rId4899" Type="http://schemas.openxmlformats.org/officeDocument/2006/relationships/hyperlink" Target="https://youtu.be/TmxagW97EHc" TargetMode="External"/><Relationship Id="rId4898" Type="http://schemas.openxmlformats.org/officeDocument/2006/relationships/hyperlink" Target="https://youtu.be/7VAPO276VEE" TargetMode="External"/><Relationship Id="rId4897" Type="http://schemas.openxmlformats.org/officeDocument/2006/relationships/hyperlink" Target="https://youtu.be/MOIKfHWAUmw" TargetMode="External"/><Relationship Id="rId4896" Type="http://schemas.openxmlformats.org/officeDocument/2006/relationships/hyperlink" Target="https://youtu.be/is_6crooDG0" TargetMode="External"/><Relationship Id="rId4895" Type="http://schemas.openxmlformats.org/officeDocument/2006/relationships/hyperlink" Target="https://youtu.be/9WeCUJHwaB0" TargetMode="External"/><Relationship Id="rId4894" Type="http://schemas.openxmlformats.org/officeDocument/2006/relationships/hyperlink" Target="https://youtu.be/OTotzOtUANw" TargetMode="External"/><Relationship Id="rId4893" Type="http://schemas.openxmlformats.org/officeDocument/2006/relationships/hyperlink" Target="https://youtu.be/kRgzdOjBoAU" TargetMode="External"/><Relationship Id="rId4892" Type="http://schemas.openxmlformats.org/officeDocument/2006/relationships/hyperlink" Target="https://youtu.be/7T84BBLi-GQ" TargetMode="External"/><Relationship Id="rId4891" Type="http://schemas.openxmlformats.org/officeDocument/2006/relationships/hyperlink" Target="https://youtu.be/KNQ6o_iWlyM" TargetMode="External"/><Relationship Id="rId4890" Type="http://schemas.openxmlformats.org/officeDocument/2006/relationships/hyperlink" Target="https://youtu.be/Wz4oADqQdmc" TargetMode="External"/><Relationship Id="rId489" Type="http://schemas.openxmlformats.org/officeDocument/2006/relationships/hyperlink" Target="https://youtu.be/J3VuLKFnvlQ" TargetMode="External"/><Relationship Id="rId4889" Type="http://schemas.openxmlformats.org/officeDocument/2006/relationships/hyperlink" Target="https://youtu.be/GWtofoEqDhk" TargetMode="External"/><Relationship Id="rId4888" Type="http://schemas.openxmlformats.org/officeDocument/2006/relationships/hyperlink" Target="https://youtu.be/5Kk2YiemdBY" TargetMode="External"/><Relationship Id="rId4887" Type="http://schemas.openxmlformats.org/officeDocument/2006/relationships/hyperlink" Target="https://youtu.be/8Fiz8737i1o" TargetMode="External"/><Relationship Id="rId4886" Type="http://schemas.openxmlformats.org/officeDocument/2006/relationships/hyperlink" Target="https://youtu.be/gp19XonIWr0" TargetMode="External"/><Relationship Id="rId4885" Type="http://schemas.openxmlformats.org/officeDocument/2006/relationships/hyperlink" Target="https://youtu.be/dU0hlMXIGl8" TargetMode="External"/><Relationship Id="rId4884" Type="http://schemas.openxmlformats.org/officeDocument/2006/relationships/hyperlink" Target="https://youtu.be/9_xOXvjBUbM" TargetMode="External"/><Relationship Id="rId4883" Type="http://schemas.openxmlformats.org/officeDocument/2006/relationships/hyperlink" Target="https://youtu.be/0RVXBP3r8XA" TargetMode="External"/><Relationship Id="rId4882" Type="http://schemas.openxmlformats.org/officeDocument/2006/relationships/hyperlink" Target="https://youtu.be/22-Ji8_kDwg" TargetMode="External"/><Relationship Id="rId4881" Type="http://schemas.openxmlformats.org/officeDocument/2006/relationships/hyperlink" Target="https://youtu.be/MuKiaw-t-LM" TargetMode="External"/><Relationship Id="rId4880" Type="http://schemas.openxmlformats.org/officeDocument/2006/relationships/hyperlink" Target="https://youtu.be/U6B2SfRLCTI" TargetMode="External"/><Relationship Id="rId488" Type="http://schemas.openxmlformats.org/officeDocument/2006/relationships/hyperlink" Target="https://youtu.be/mwQvcGE0kPI" TargetMode="External"/><Relationship Id="rId4879" Type="http://schemas.openxmlformats.org/officeDocument/2006/relationships/hyperlink" Target="https://youtu.be/8v_ZLc3ApuY" TargetMode="External"/><Relationship Id="rId4878" Type="http://schemas.openxmlformats.org/officeDocument/2006/relationships/hyperlink" Target="https://youtu.be/cgcyJxk017M" TargetMode="External"/><Relationship Id="rId4877" Type="http://schemas.openxmlformats.org/officeDocument/2006/relationships/hyperlink" Target="https://youtu.be/hqgc0a5e64Y" TargetMode="External"/><Relationship Id="rId4876" Type="http://schemas.openxmlformats.org/officeDocument/2006/relationships/hyperlink" Target="https://youtu.be/fJmADQkhUeo" TargetMode="External"/><Relationship Id="rId4875" Type="http://schemas.openxmlformats.org/officeDocument/2006/relationships/hyperlink" Target="https://youtu.be/SCZlaJznx3E" TargetMode="External"/><Relationship Id="rId4874" Type="http://schemas.openxmlformats.org/officeDocument/2006/relationships/hyperlink" Target="https://youtu.be/9E6mbXqCA0U" TargetMode="External"/><Relationship Id="rId4873" Type="http://schemas.openxmlformats.org/officeDocument/2006/relationships/hyperlink" Target="https://youtu.be/4CEFHvFT59Y" TargetMode="External"/><Relationship Id="rId4872" Type="http://schemas.openxmlformats.org/officeDocument/2006/relationships/hyperlink" Target="https://youtu.be/4zSgR_WVhP0" TargetMode="External"/><Relationship Id="rId4871" Type="http://schemas.openxmlformats.org/officeDocument/2006/relationships/hyperlink" Target="https://youtu.be/hmwkcxkP9EI" TargetMode="External"/><Relationship Id="rId4870" Type="http://schemas.openxmlformats.org/officeDocument/2006/relationships/hyperlink" Target="https://youtu.be/cNi0sDkx1qw" TargetMode="External"/><Relationship Id="rId487" Type="http://schemas.openxmlformats.org/officeDocument/2006/relationships/hyperlink" Target="https://youtu.be/TUKA7ToC8R0" TargetMode="External"/><Relationship Id="rId4869" Type="http://schemas.openxmlformats.org/officeDocument/2006/relationships/hyperlink" Target="https://youtu.be/BJororoKuls" TargetMode="External"/><Relationship Id="rId4868" Type="http://schemas.openxmlformats.org/officeDocument/2006/relationships/hyperlink" Target="https://youtu.be/_bNcVUOniDU" TargetMode="External"/><Relationship Id="rId4867" Type="http://schemas.openxmlformats.org/officeDocument/2006/relationships/hyperlink" Target="https://youtu.be/RR6zecKg6_I" TargetMode="External"/><Relationship Id="rId4866" Type="http://schemas.openxmlformats.org/officeDocument/2006/relationships/hyperlink" Target="https://youtu.be/a6aQ64Mn96Q" TargetMode="External"/><Relationship Id="rId4865" Type="http://schemas.openxmlformats.org/officeDocument/2006/relationships/hyperlink" Target="https://youtu.be/m1wwzwvfsC0" TargetMode="External"/><Relationship Id="rId4864" Type="http://schemas.openxmlformats.org/officeDocument/2006/relationships/hyperlink" Target="https://youtu.be/3RMPxt-R_XU" TargetMode="External"/><Relationship Id="rId4863" Type="http://schemas.openxmlformats.org/officeDocument/2006/relationships/hyperlink" Target="https://youtu.be/czDwthupW8c" TargetMode="External"/><Relationship Id="rId4862" Type="http://schemas.openxmlformats.org/officeDocument/2006/relationships/hyperlink" Target="https://youtu.be/bWm5bjjaxwc" TargetMode="External"/><Relationship Id="rId4861" Type="http://schemas.openxmlformats.org/officeDocument/2006/relationships/hyperlink" Target="https://youtu.be/qJ_t_4WbGW8" TargetMode="External"/><Relationship Id="rId4860" Type="http://schemas.openxmlformats.org/officeDocument/2006/relationships/hyperlink" Target="https://youtu.be/PKSkX-jQhRQ" TargetMode="External"/><Relationship Id="rId486" Type="http://schemas.openxmlformats.org/officeDocument/2006/relationships/hyperlink" Target="https://youtu.be/qDjvuBah3K0" TargetMode="External"/><Relationship Id="rId4859" Type="http://schemas.openxmlformats.org/officeDocument/2006/relationships/hyperlink" Target="https://youtu.be/AU6jndd5vKs" TargetMode="External"/><Relationship Id="rId4858" Type="http://schemas.openxmlformats.org/officeDocument/2006/relationships/hyperlink" Target="https://youtu.be/2T5f9iMQ7lY" TargetMode="External"/><Relationship Id="rId4857" Type="http://schemas.openxmlformats.org/officeDocument/2006/relationships/hyperlink" Target="https://youtu.be/n9JKcB4M31w" TargetMode="External"/><Relationship Id="rId4856" Type="http://schemas.openxmlformats.org/officeDocument/2006/relationships/hyperlink" Target="https://youtu.be/RzJpWhuY-YE" TargetMode="External"/><Relationship Id="rId4855" Type="http://schemas.openxmlformats.org/officeDocument/2006/relationships/hyperlink" Target="https://youtu.be/IzC9FiJh2sk" TargetMode="External"/><Relationship Id="rId4854" Type="http://schemas.openxmlformats.org/officeDocument/2006/relationships/hyperlink" Target="https://youtu.be/-4xBVuxxiFM" TargetMode="External"/><Relationship Id="rId4853" Type="http://schemas.openxmlformats.org/officeDocument/2006/relationships/hyperlink" Target="https://youtu.be/IViqvMrhf9Q" TargetMode="External"/><Relationship Id="rId4852" Type="http://schemas.openxmlformats.org/officeDocument/2006/relationships/hyperlink" Target="https://youtu.be/0D726gnLQ7I" TargetMode="External"/><Relationship Id="rId4851" Type="http://schemas.openxmlformats.org/officeDocument/2006/relationships/hyperlink" Target="https://youtu.be/f5qh13Xp-_0" TargetMode="External"/><Relationship Id="rId4850" Type="http://schemas.openxmlformats.org/officeDocument/2006/relationships/hyperlink" Target="https://youtu.be/FtcypzKWI8o" TargetMode="External"/><Relationship Id="rId485" Type="http://schemas.openxmlformats.org/officeDocument/2006/relationships/hyperlink" Target="https://youtu.be/PLc3_vxTNmM" TargetMode="External"/><Relationship Id="rId4849" Type="http://schemas.openxmlformats.org/officeDocument/2006/relationships/hyperlink" Target="https://youtu.be/i2hcDmA-GcQ" TargetMode="External"/><Relationship Id="rId4848" Type="http://schemas.openxmlformats.org/officeDocument/2006/relationships/hyperlink" Target="https://youtu.be/y61L6usYGJc" TargetMode="External"/><Relationship Id="rId4847" Type="http://schemas.openxmlformats.org/officeDocument/2006/relationships/hyperlink" Target="https://youtu.be/6hqoBx6haUc" TargetMode="External"/><Relationship Id="rId4846" Type="http://schemas.openxmlformats.org/officeDocument/2006/relationships/hyperlink" Target="https://youtu.be/ptF6lxJ9guI" TargetMode="External"/><Relationship Id="rId4845" Type="http://schemas.openxmlformats.org/officeDocument/2006/relationships/hyperlink" Target="https://youtu.be/cHoI1FA_n88" TargetMode="External"/><Relationship Id="rId4844" Type="http://schemas.openxmlformats.org/officeDocument/2006/relationships/hyperlink" Target="https://youtu.be/3Du2D2CuaRw" TargetMode="External"/><Relationship Id="rId4843" Type="http://schemas.openxmlformats.org/officeDocument/2006/relationships/hyperlink" Target="https://youtu.be/o5pWUCQKtvU" TargetMode="External"/><Relationship Id="rId4842" Type="http://schemas.openxmlformats.org/officeDocument/2006/relationships/hyperlink" Target="https://youtu.be/cT6cDLTAvaY" TargetMode="External"/><Relationship Id="rId4841" Type="http://schemas.openxmlformats.org/officeDocument/2006/relationships/hyperlink" Target="https://youtu.be/LAjfLAd3yl8" TargetMode="External"/><Relationship Id="rId4840" Type="http://schemas.openxmlformats.org/officeDocument/2006/relationships/hyperlink" Target="https://youtu.be/5oM862gQY00" TargetMode="External"/><Relationship Id="rId484" Type="http://schemas.openxmlformats.org/officeDocument/2006/relationships/hyperlink" Target="https://youtu.be/xwElqBcisMY" TargetMode="External"/><Relationship Id="rId4839" Type="http://schemas.openxmlformats.org/officeDocument/2006/relationships/hyperlink" Target="https://youtu.be/eZYYE8E8Ye8" TargetMode="External"/><Relationship Id="rId4838" Type="http://schemas.openxmlformats.org/officeDocument/2006/relationships/hyperlink" Target="https://youtu.be/4Cerl9GxYnQ" TargetMode="External"/><Relationship Id="rId4837" Type="http://schemas.openxmlformats.org/officeDocument/2006/relationships/hyperlink" Target="https://youtu.be/Kxz8U_NZi5Q" TargetMode="External"/><Relationship Id="rId4836" Type="http://schemas.openxmlformats.org/officeDocument/2006/relationships/hyperlink" Target="https://youtu.be/Hr6px1r41Nc" TargetMode="External"/><Relationship Id="rId4835" Type="http://schemas.openxmlformats.org/officeDocument/2006/relationships/hyperlink" Target="https://youtu.be/9h9u2QfIf3M" TargetMode="External"/><Relationship Id="rId4834" Type="http://schemas.openxmlformats.org/officeDocument/2006/relationships/hyperlink" Target="https://youtu.be/qjob5B7nLe8" TargetMode="External"/><Relationship Id="rId4833" Type="http://schemas.openxmlformats.org/officeDocument/2006/relationships/hyperlink" Target="https://youtu.be/kbfJfbgIsFo" TargetMode="External"/><Relationship Id="rId4832" Type="http://schemas.openxmlformats.org/officeDocument/2006/relationships/hyperlink" Target="https://youtu.be/Co6mzeL23dg" TargetMode="External"/><Relationship Id="rId4831" Type="http://schemas.openxmlformats.org/officeDocument/2006/relationships/hyperlink" Target="https://youtu.be/pjckTbBEsno" TargetMode="External"/><Relationship Id="rId4830" Type="http://schemas.openxmlformats.org/officeDocument/2006/relationships/hyperlink" Target="https://youtu.be/RFZx_V7UtU8" TargetMode="External"/><Relationship Id="rId483" Type="http://schemas.openxmlformats.org/officeDocument/2006/relationships/hyperlink" Target="https://youtu.be/oEwwC9CakYU" TargetMode="External"/><Relationship Id="rId4829" Type="http://schemas.openxmlformats.org/officeDocument/2006/relationships/hyperlink" Target="https://youtu.be/o6M7hGidWE8" TargetMode="External"/><Relationship Id="rId4828" Type="http://schemas.openxmlformats.org/officeDocument/2006/relationships/hyperlink" Target="https://youtu.be/W6dazVnt-HQ" TargetMode="External"/><Relationship Id="rId4827" Type="http://schemas.openxmlformats.org/officeDocument/2006/relationships/hyperlink" Target="https://youtu.be/Dlo0x8aFjTk" TargetMode="External"/><Relationship Id="rId4826" Type="http://schemas.openxmlformats.org/officeDocument/2006/relationships/hyperlink" Target="https://youtu.be/XR_met6iavw" TargetMode="External"/><Relationship Id="rId4825" Type="http://schemas.openxmlformats.org/officeDocument/2006/relationships/hyperlink" Target="https://youtu.be/8F3OSLuP010" TargetMode="External"/><Relationship Id="rId4824" Type="http://schemas.openxmlformats.org/officeDocument/2006/relationships/hyperlink" Target="https://youtu.be/pfF32oTEW5s" TargetMode="External"/><Relationship Id="rId4823" Type="http://schemas.openxmlformats.org/officeDocument/2006/relationships/hyperlink" Target="https://youtu.be/9-8gIMIjCCk" TargetMode="External"/><Relationship Id="rId4822" Type="http://schemas.openxmlformats.org/officeDocument/2006/relationships/hyperlink" Target="https://youtu.be/wbC7YtC-eAo" TargetMode="External"/><Relationship Id="rId4821" Type="http://schemas.openxmlformats.org/officeDocument/2006/relationships/hyperlink" Target="https://youtu.be/AZvKBAaHnsQ" TargetMode="External"/><Relationship Id="rId4820" Type="http://schemas.openxmlformats.org/officeDocument/2006/relationships/hyperlink" Target="https://youtu.be/uWSCKHr9bEY" TargetMode="External"/><Relationship Id="rId482" Type="http://schemas.openxmlformats.org/officeDocument/2006/relationships/hyperlink" Target="https://youtu.be/Ps_HtCYOFBk" TargetMode="External"/><Relationship Id="rId4819" Type="http://schemas.openxmlformats.org/officeDocument/2006/relationships/hyperlink" Target="https://youtu.be/6X8b_j9RONQ" TargetMode="External"/><Relationship Id="rId4818" Type="http://schemas.openxmlformats.org/officeDocument/2006/relationships/hyperlink" Target="https://youtu.be/pb8Er9noHTI" TargetMode="External"/><Relationship Id="rId4817" Type="http://schemas.openxmlformats.org/officeDocument/2006/relationships/hyperlink" Target="https://youtu.be/o4JIMdUbA8c" TargetMode="External"/><Relationship Id="rId4816" Type="http://schemas.openxmlformats.org/officeDocument/2006/relationships/hyperlink" Target="https://youtu.be/vnN4sjhdjhQ" TargetMode="External"/><Relationship Id="rId4815" Type="http://schemas.openxmlformats.org/officeDocument/2006/relationships/hyperlink" Target="https://youtu.be/ug5UeLJSs9k" TargetMode="External"/><Relationship Id="rId4814" Type="http://schemas.openxmlformats.org/officeDocument/2006/relationships/hyperlink" Target="https://youtu.be/y-1iF-aEUxA" TargetMode="External"/><Relationship Id="rId4813" Type="http://schemas.openxmlformats.org/officeDocument/2006/relationships/hyperlink" Target="https://youtu.be/FZMmNJ6ItwU" TargetMode="External"/><Relationship Id="rId4812" Type="http://schemas.openxmlformats.org/officeDocument/2006/relationships/hyperlink" Target="https://youtu.be/HUpjCRk93Ac" TargetMode="External"/><Relationship Id="rId4811" Type="http://schemas.openxmlformats.org/officeDocument/2006/relationships/hyperlink" Target="https://youtu.be/kCIH0Zdvfac" TargetMode="External"/><Relationship Id="rId4810" Type="http://schemas.openxmlformats.org/officeDocument/2006/relationships/hyperlink" Target="https://youtu.be/K__IO9atbVI" TargetMode="External"/><Relationship Id="rId481" Type="http://schemas.openxmlformats.org/officeDocument/2006/relationships/hyperlink" Target="https://youtu.be/OyaXBrttBFQ" TargetMode="External"/><Relationship Id="rId4809" Type="http://schemas.openxmlformats.org/officeDocument/2006/relationships/hyperlink" Target="https://youtu.be/PNnLPr4oV1A" TargetMode="External"/><Relationship Id="rId4808" Type="http://schemas.openxmlformats.org/officeDocument/2006/relationships/hyperlink" Target="https://youtu.be/zIlBAMdQwsE" TargetMode="External"/><Relationship Id="rId4807" Type="http://schemas.openxmlformats.org/officeDocument/2006/relationships/hyperlink" Target="https://youtu.be/cVRZRStGZVA" TargetMode="External"/><Relationship Id="rId4806" Type="http://schemas.openxmlformats.org/officeDocument/2006/relationships/hyperlink" Target="https://youtu.be/M6GpYdhfa3c" TargetMode="External"/><Relationship Id="rId4805" Type="http://schemas.openxmlformats.org/officeDocument/2006/relationships/hyperlink" Target="https://youtu.be/wgzd6FIicq0" TargetMode="External"/><Relationship Id="rId4804" Type="http://schemas.openxmlformats.org/officeDocument/2006/relationships/hyperlink" Target="https://youtu.be/cUg2XnS3eyU" TargetMode="External"/><Relationship Id="rId4803" Type="http://schemas.openxmlformats.org/officeDocument/2006/relationships/hyperlink" Target="https://youtu.be/cZXoYoldz90" TargetMode="External"/><Relationship Id="rId4802" Type="http://schemas.openxmlformats.org/officeDocument/2006/relationships/hyperlink" Target="https://youtu.be/rO0fyCyHEOE" TargetMode="External"/><Relationship Id="rId4801" Type="http://schemas.openxmlformats.org/officeDocument/2006/relationships/hyperlink" Target="https://youtu.be/wRkLOHZ2r6k" TargetMode="External"/><Relationship Id="rId4800" Type="http://schemas.openxmlformats.org/officeDocument/2006/relationships/hyperlink" Target="https://youtu.be/NeY4JIy_Css" TargetMode="External"/><Relationship Id="rId480" Type="http://schemas.openxmlformats.org/officeDocument/2006/relationships/hyperlink" Target="https://youtu.be/8XFZfgjePlE" TargetMode="External"/><Relationship Id="rId48" Type="http://schemas.openxmlformats.org/officeDocument/2006/relationships/hyperlink" Target="https://youtu.be/MDMM9MZNcco" TargetMode="External"/><Relationship Id="rId4799" Type="http://schemas.openxmlformats.org/officeDocument/2006/relationships/hyperlink" Target="https://youtu.be/sESFVA-2dF0" TargetMode="External"/><Relationship Id="rId4798" Type="http://schemas.openxmlformats.org/officeDocument/2006/relationships/hyperlink" Target="https://youtu.be/5o67zNhntUI" TargetMode="External"/><Relationship Id="rId4797" Type="http://schemas.openxmlformats.org/officeDocument/2006/relationships/hyperlink" Target="https://youtu.be/mwoYGl1CKUY" TargetMode="External"/><Relationship Id="rId4796" Type="http://schemas.openxmlformats.org/officeDocument/2006/relationships/hyperlink" Target="https://youtu.be/oiElFC1HKdM" TargetMode="External"/><Relationship Id="rId4795" Type="http://schemas.openxmlformats.org/officeDocument/2006/relationships/hyperlink" Target="https://youtu.be/aXqPcC8AchY" TargetMode="External"/><Relationship Id="rId4794" Type="http://schemas.openxmlformats.org/officeDocument/2006/relationships/hyperlink" Target="https://youtu.be/qpM1svEbJy0" TargetMode="External"/><Relationship Id="rId4793" Type="http://schemas.openxmlformats.org/officeDocument/2006/relationships/hyperlink" Target="https://youtu.be/QUh5LIKoFJk" TargetMode="External"/><Relationship Id="rId4792" Type="http://schemas.openxmlformats.org/officeDocument/2006/relationships/hyperlink" Target="https://youtu.be/btc70vURm4o" TargetMode="External"/><Relationship Id="rId4791" Type="http://schemas.openxmlformats.org/officeDocument/2006/relationships/hyperlink" Target="https://youtu.be/cKPqomW5kDI" TargetMode="External"/><Relationship Id="rId4790" Type="http://schemas.openxmlformats.org/officeDocument/2006/relationships/hyperlink" Target="https://youtu.be/fr-WUy6geKs" TargetMode="External"/><Relationship Id="rId479" Type="http://schemas.openxmlformats.org/officeDocument/2006/relationships/hyperlink" Target="https://youtu.be/nHv5lQDwSVM" TargetMode="External"/><Relationship Id="rId4789" Type="http://schemas.openxmlformats.org/officeDocument/2006/relationships/hyperlink" Target="https://youtu.be/vmDYSqjodEQ" TargetMode="External"/><Relationship Id="rId4788" Type="http://schemas.openxmlformats.org/officeDocument/2006/relationships/hyperlink" Target="https://youtu.be/IMUxWcihwEE" TargetMode="External"/><Relationship Id="rId4787" Type="http://schemas.openxmlformats.org/officeDocument/2006/relationships/hyperlink" Target="https://youtu.be/BgM76yQrT8I" TargetMode="External"/><Relationship Id="rId4786" Type="http://schemas.openxmlformats.org/officeDocument/2006/relationships/hyperlink" Target="https://youtu.be/i4VOUacqDFU" TargetMode="External"/><Relationship Id="rId4785" Type="http://schemas.openxmlformats.org/officeDocument/2006/relationships/hyperlink" Target="https://youtu.be/M6i1eKW8M6Q" TargetMode="External"/><Relationship Id="rId4784" Type="http://schemas.openxmlformats.org/officeDocument/2006/relationships/hyperlink" Target="https://youtu.be/sSO5DDLHnhQ" TargetMode="External"/><Relationship Id="rId4783" Type="http://schemas.openxmlformats.org/officeDocument/2006/relationships/hyperlink" Target="https://youtu.be/tUndKqvYfuc" TargetMode="External"/><Relationship Id="rId4782" Type="http://schemas.openxmlformats.org/officeDocument/2006/relationships/hyperlink" Target="https://youtu.be/uwnR2NQX1c4" TargetMode="External"/><Relationship Id="rId4781" Type="http://schemas.openxmlformats.org/officeDocument/2006/relationships/hyperlink" Target="https://youtu.be/lslBglu98nQ" TargetMode="External"/><Relationship Id="rId4780" Type="http://schemas.openxmlformats.org/officeDocument/2006/relationships/hyperlink" Target="https://youtu.be/HAxhAGSRQuE" TargetMode="External"/><Relationship Id="rId478" Type="http://schemas.openxmlformats.org/officeDocument/2006/relationships/hyperlink" Target="https://youtu.be/_9AYw2EQm8s" TargetMode="External"/><Relationship Id="rId4779" Type="http://schemas.openxmlformats.org/officeDocument/2006/relationships/hyperlink" Target="https://youtu.be/LFVc8CxfO1o" TargetMode="External"/><Relationship Id="rId4778" Type="http://schemas.openxmlformats.org/officeDocument/2006/relationships/hyperlink" Target="https://youtu.be/vOjq0CmwlnQ" TargetMode="External"/><Relationship Id="rId4777" Type="http://schemas.openxmlformats.org/officeDocument/2006/relationships/hyperlink" Target="https://youtu.be/zHn0aRbIVaI" TargetMode="External"/><Relationship Id="rId4776" Type="http://schemas.openxmlformats.org/officeDocument/2006/relationships/hyperlink" Target="https://youtu.be/nXiKY6x4Qi8" TargetMode="External"/><Relationship Id="rId4775" Type="http://schemas.openxmlformats.org/officeDocument/2006/relationships/hyperlink" Target="https://youtu.be/bZQ1VVqdsog" TargetMode="External"/><Relationship Id="rId4774" Type="http://schemas.openxmlformats.org/officeDocument/2006/relationships/hyperlink" Target="https://youtu.be/pe-Lo95mDzo" TargetMode="External"/><Relationship Id="rId4773" Type="http://schemas.openxmlformats.org/officeDocument/2006/relationships/hyperlink" Target="https://youtu.be/yy0hqtygKuk" TargetMode="External"/><Relationship Id="rId4772" Type="http://schemas.openxmlformats.org/officeDocument/2006/relationships/hyperlink" Target="https://youtu.be/4IC72SdxLS8" TargetMode="External"/><Relationship Id="rId4771" Type="http://schemas.openxmlformats.org/officeDocument/2006/relationships/hyperlink" Target="https://youtu.be/6SOc_FHQP6I" TargetMode="External"/><Relationship Id="rId4770" Type="http://schemas.openxmlformats.org/officeDocument/2006/relationships/hyperlink" Target="https://youtu.be/NYaXA-7xo08" TargetMode="External"/><Relationship Id="rId477" Type="http://schemas.openxmlformats.org/officeDocument/2006/relationships/hyperlink" Target="https://youtu.be/kz_UTSOfs7o" TargetMode="External"/><Relationship Id="rId4769" Type="http://schemas.openxmlformats.org/officeDocument/2006/relationships/hyperlink" Target="https://youtu.be/Wd-8B-L4rcg" TargetMode="External"/><Relationship Id="rId4768" Type="http://schemas.openxmlformats.org/officeDocument/2006/relationships/hyperlink" Target="https://youtu.be/xF3P2ewE6eg" TargetMode="External"/><Relationship Id="rId4767" Type="http://schemas.openxmlformats.org/officeDocument/2006/relationships/hyperlink" Target="https://youtu.be/EiUpgWsP-2k" TargetMode="External"/><Relationship Id="rId4766" Type="http://schemas.openxmlformats.org/officeDocument/2006/relationships/hyperlink" Target="https://youtu.be/a7-gatElpos" TargetMode="External"/><Relationship Id="rId4765" Type="http://schemas.openxmlformats.org/officeDocument/2006/relationships/hyperlink" Target="https://youtu.be/z9-WrRNVZJo" TargetMode="External"/><Relationship Id="rId4764" Type="http://schemas.openxmlformats.org/officeDocument/2006/relationships/hyperlink" Target="https://youtu.be/xGUM-xmE_xM" TargetMode="External"/><Relationship Id="rId4763" Type="http://schemas.openxmlformats.org/officeDocument/2006/relationships/hyperlink" Target="https://youtu.be/NAeq7YZJZxo" TargetMode="External"/><Relationship Id="rId4762" Type="http://schemas.openxmlformats.org/officeDocument/2006/relationships/hyperlink" Target="https://youtu.be/_PGWRLy6OG8" TargetMode="External"/><Relationship Id="rId4761" Type="http://schemas.openxmlformats.org/officeDocument/2006/relationships/hyperlink" Target="https://youtu.be/5ynP-eGB8cg" TargetMode="External"/><Relationship Id="rId4760" Type="http://schemas.openxmlformats.org/officeDocument/2006/relationships/hyperlink" Target="https://youtu.be/iw64pFuGdjE" TargetMode="External"/><Relationship Id="rId476" Type="http://schemas.openxmlformats.org/officeDocument/2006/relationships/hyperlink" Target="https://youtu.be/PQSagzssvUQ" TargetMode="External"/><Relationship Id="rId4759" Type="http://schemas.openxmlformats.org/officeDocument/2006/relationships/hyperlink" Target="https://youtu.be/fADJUVsWIoI" TargetMode="External"/><Relationship Id="rId4758" Type="http://schemas.openxmlformats.org/officeDocument/2006/relationships/hyperlink" Target="https://youtu.be/iqay-OJcin8" TargetMode="External"/><Relationship Id="rId4757" Type="http://schemas.openxmlformats.org/officeDocument/2006/relationships/hyperlink" Target="https://youtu.be/CAM9RBPjSzQ" TargetMode="External"/><Relationship Id="rId4756" Type="http://schemas.openxmlformats.org/officeDocument/2006/relationships/hyperlink" Target="https://youtu.be/HssASU-K7Ec" TargetMode="External"/><Relationship Id="rId4755" Type="http://schemas.openxmlformats.org/officeDocument/2006/relationships/hyperlink" Target="https://youtu.be/HsAXMi05Nug" TargetMode="External"/><Relationship Id="rId4754" Type="http://schemas.openxmlformats.org/officeDocument/2006/relationships/hyperlink" Target="https://youtu.be/2rR1TGRIebw" TargetMode="External"/><Relationship Id="rId4753" Type="http://schemas.openxmlformats.org/officeDocument/2006/relationships/hyperlink" Target="https://youtu.be/HuNu39p_GFI" TargetMode="External"/><Relationship Id="rId4752" Type="http://schemas.openxmlformats.org/officeDocument/2006/relationships/hyperlink" Target="https://youtu.be/5fo9fhYTOoY" TargetMode="External"/><Relationship Id="rId4751" Type="http://schemas.openxmlformats.org/officeDocument/2006/relationships/hyperlink" Target="https://youtu.be/GQkwM-HRLho" TargetMode="External"/><Relationship Id="rId4750" Type="http://schemas.openxmlformats.org/officeDocument/2006/relationships/hyperlink" Target="https://youtu.be/Z_rqoks3j60" TargetMode="External"/><Relationship Id="rId475" Type="http://schemas.openxmlformats.org/officeDocument/2006/relationships/hyperlink" Target="https://youtu.be/aKPE_WwN7Yc" TargetMode="External"/><Relationship Id="rId4749" Type="http://schemas.openxmlformats.org/officeDocument/2006/relationships/hyperlink" Target="https://youtu.be/eqEIODCWI7Q" TargetMode="External"/><Relationship Id="rId4748" Type="http://schemas.openxmlformats.org/officeDocument/2006/relationships/hyperlink" Target="https://youtu.be/DdvMsKkpgPw" TargetMode="External"/><Relationship Id="rId4747" Type="http://schemas.openxmlformats.org/officeDocument/2006/relationships/hyperlink" Target="https://youtu.be/8lNsWWc5M5k" TargetMode="External"/><Relationship Id="rId4746" Type="http://schemas.openxmlformats.org/officeDocument/2006/relationships/hyperlink" Target="https://youtu.be/WAQYRA2atvg" TargetMode="External"/><Relationship Id="rId4745" Type="http://schemas.openxmlformats.org/officeDocument/2006/relationships/hyperlink" Target="https://youtu.be/JWUXOWWRAPI" TargetMode="External"/><Relationship Id="rId4744" Type="http://schemas.openxmlformats.org/officeDocument/2006/relationships/hyperlink" Target="https://youtu.be/ud4Pm_DCUrM" TargetMode="External"/><Relationship Id="rId4743" Type="http://schemas.openxmlformats.org/officeDocument/2006/relationships/hyperlink" Target="https://youtu.be/_rOIgDlT_Q4" TargetMode="External"/><Relationship Id="rId4742" Type="http://schemas.openxmlformats.org/officeDocument/2006/relationships/hyperlink" Target="https://youtu.be/aFXXrM6_aAI" TargetMode="External"/><Relationship Id="rId4741" Type="http://schemas.openxmlformats.org/officeDocument/2006/relationships/hyperlink" Target="https://youtu.be/GL0P6ZAgsls" TargetMode="External"/><Relationship Id="rId4740" Type="http://schemas.openxmlformats.org/officeDocument/2006/relationships/hyperlink" Target="https://youtu.be/-HEHIAaeFPs" TargetMode="External"/><Relationship Id="rId474" Type="http://schemas.openxmlformats.org/officeDocument/2006/relationships/hyperlink" Target="https://youtu.be/fnZ6G7hT-9I" TargetMode="External"/><Relationship Id="rId4739" Type="http://schemas.openxmlformats.org/officeDocument/2006/relationships/hyperlink" Target="https://youtu.be/rDHiamFar6o" TargetMode="External"/><Relationship Id="rId4738" Type="http://schemas.openxmlformats.org/officeDocument/2006/relationships/hyperlink" Target="https://youtu.be/KJfJbpDcqKA" TargetMode="External"/><Relationship Id="rId4737" Type="http://schemas.openxmlformats.org/officeDocument/2006/relationships/hyperlink" Target="https://youtu.be/mB9_7OJHDrI" TargetMode="External"/><Relationship Id="rId4736" Type="http://schemas.openxmlformats.org/officeDocument/2006/relationships/hyperlink" Target="https://youtu.be/7ollX4iUcdU" TargetMode="External"/><Relationship Id="rId4735" Type="http://schemas.openxmlformats.org/officeDocument/2006/relationships/hyperlink" Target="https://youtu.be/hzZfAXz4kgE" TargetMode="External"/><Relationship Id="rId4734" Type="http://schemas.openxmlformats.org/officeDocument/2006/relationships/hyperlink" Target="https://youtu.be/8Q7NHKl0nSI" TargetMode="External"/><Relationship Id="rId4733" Type="http://schemas.openxmlformats.org/officeDocument/2006/relationships/hyperlink" Target="https://youtu.be/030_pKgXUI8" TargetMode="External"/><Relationship Id="rId4732" Type="http://schemas.openxmlformats.org/officeDocument/2006/relationships/hyperlink" Target="https://youtu.be/VCZEp7jgCzc" TargetMode="External"/><Relationship Id="rId4731" Type="http://schemas.openxmlformats.org/officeDocument/2006/relationships/hyperlink" Target="https://youtu.be/5CAouXYLC2U" TargetMode="External"/><Relationship Id="rId4730" Type="http://schemas.openxmlformats.org/officeDocument/2006/relationships/hyperlink" Target="https://youtu.be/wswhFnYQdRs" TargetMode="External"/><Relationship Id="rId473" Type="http://schemas.openxmlformats.org/officeDocument/2006/relationships/hyperlink" Target="https://youtu.be/IXKzwwdcUlE" TargetMode="External"/><Relationship Id="rId4729" Type="http://schemas.openxmlformats.org/officeDocument/2006/relationships/hyperlink" Target="https://youtu.be/XVfcpROR2J8" TargetMode="External"/><Relationship Id="rId4728" Type="http://schemas.openxmlformats.org/officeDocument/2006/relationships/hyperlink" Target="https://youtu.be/t1a3klbJQ4I" TargetMode="External"/><Relationship Id="rId4727" Type="http://schemas.openxmlformats.org/officeDocument/2006/relationships/hyperlink" Target="https://youtu.be/AJvzZF2Q1lo" TargetMode="External"/><Relationship Id="rId4726" Type="http://schemas.openxmlformats.org/officeDocument/2006/relationships/hyperlink" Target="https://youtu.be/ggDveAjJacA" TargetMode="External"/><Relationship Id="rId4725" Type="http://schemas.openxmlformats.org/officeDocument/2006/relationships/hyperlink" Target="https://youtu.be/BK6C4m8wY5M" TargetMode="External"/><Relationship Id="rId4724" Type="http://schemas.openxmlformats.org/officeDocument/2006/relationships/hyperlink" Target="https://youtu.be/zWpD-fCC9lc" TargetMode="External"/><Relationship Id="rId4723" Type="http://schemas.openxmlformats.org/officeDocument/2006/relationships/hyperlink" Target="https://youtu.be/urdFzTATwWg" TargetMode="External"/><Relationship Id="rId4722" Type="http://schemas.openxmlformats.org/officeDocument/2006/relationships/hyperlink" Target="https://youtu.be/n_N6ybnawR0" TargetMode="External"/><Relationship Id="rId4721" Type="http://schemas.openxmlformats.org/officeDocument/2006/relationships/hyperlink" Target="https://youtu.be/p8tqynqDL2E" TargetMode="External"/><Relationship Id="rId4720" Type="http://schemas.openxmlformats.org/officeDocument/2006/relationships/hyperlink" Target="https://youtu.be/DIYYUuP-jKs" TargetMode="External"/><Relationship Id="rId472" Type="http://schemas.openxmlformats.org/officeDocument/2006/relationships/hyperlink" Target="https://youtu.be/PNop2HoNrbY" TargetMode="External"/><Relationship Id="rId4719" Type="http://schemas.openxmlformats.org/officeDocument/2006/relationships/hyperlink" Target="https://youtu.be/OPuoMvTsM-4" TargetMode="External"/><Relationship Id="rId4718" Type="http://schemas.openxmlformats.org/officeDocument/2006/relationships/hyperlink" Target="https://youtu.be/85YQx89ICQQ" TargetMode="External"/><Relationship Id="rId4717" Type="http://schemas.openxmlformats.org/officeDocument/2006/relationships/hyperlink" Target="https://youtu.be/s8QC5sbKnF0" TargetMode="External"/><Relationship Id="rId4716" Type="http://schemas.openxmlformats.org/officeDocument/2006/relationships/hyperlink" Target="https://youtu.be/wR6sYM6r5JU" TargetMode="External"/><Relationship Id="rId4715" Type="http://schemas.openxmlformats.org/officeDocument/2006/relationships/hyperlink" Target="https://youtu.be/griaUjEFH_g" TargetMode="External"/><Relationship Id="rId4714" Type="http://schemas.openxmlformats.org/officeDocument/2006/relationships/hyperlink" Target="https://youtu.be/D2C_Vsd5unA" TargetMode="External"/><Relationship Id="rId4713" Type="http://schemas.openxmlformats.org/officeDocument/2006/relationships/hyperlink" Target="https://youtu.be/fiU3zPibBSI" TargetMode="External"/><Relationship Id="rId4712" Type="http://schemas.openxmlformats.org/officeDocument/2006/relationships/hyperlink" Target="https://youtu.be/HBJZyzY55J0" TargetMode="External"/><Relationship Id="rId4711" Type="http://schemas.openxmlformats.org/officeDocument/2006/relationships/hyperlink" Target="https://youtu.be/NVmIbPP1iAM" TargetMode="External"/><Relationship Id="rId4710" Type="http://schemas.openxmlformats.org/officeDocument/2006/relationships/hyperlink" Target="https://youtu.be/QmEAIlsqXDs" TargetMode="External"/><Relationship Id="rId471" Type="http://schemas.openxmlformats.org/officeDocument/2006/relationships/hyperlink" Target="https://youtu.be/gHJDD02Jwms" TargetMode="External"/><Relationship Id="rId4709" Type="http://schemas.openxmlformats.org/officeDocument/2006/relationships/hyperlink" Target="https://youtu.be/GJL6EMiD3-Y" TargetMode="External"/><Relationship Id="rId4708" Type="http://schemas.openxmlformats.org/officeDocument/2006/relationships/hyperlink" Target="https://youtu.be/YBg2tuJxYTM" TargetMode="External"/><Relationship Id="rId4707" Type="http://schemas.openxmlformats.org/officeDocument/2006/relationships/hyperlink" Target="https://youtu.be/3vQMraQb4D0" TargetMode="External"/><Relationship Id="rId4706" Type="http://schemas.openxmlformats.org/officeDocument/2006/relationships/hyperlink" Target="https://youtu.be/TDtBT5XL5KQ" TargetMode="External"/><Relationship Id="rId4705" Type="http://schemas.openxmlformats.org/officeDocument/2006/relationships/hyperlink" Target="https://youtu.be/fHQrXERODS0" TargetMode="External"/><Relationship Id="rId4704" Type="http://schemas.openxmlformats.org/officeDocument/2006/relationships/hyperlink" Target="https://youtu.be/oRm0fnWyklo" TargetMode="External"/><Relationship Id="rId4703" Type="http://schemas.openxmlformats.org/officeDocument/2006/relationships/hyperlink" Target="https://youtu.be/PvrEtSUP7_M" TargetMode="External"/><Relationship Id="rId4702" Type="http://schemas.openxmlformats.org/officeDocument/2006/relationships/hyperlink" Target="https://youtu.be/8bn7t2-FCEs" TargetMode="External"/><Relationship Id="rId4701" Type="http://schemas.openxmlformats.org/officeDocument/2006/relationships/hyperlink" Target="https://youtu.be/OxjffeDfpgQ" TargetMode="External"/><Relationship Id="rId4700" Type="http://schemas.openxmlformats.org/officeDocument/2006/relationships/hyperlink" Target="https://youtu.be/5qMHgAI2z8o" TargetMode="External"/><Relationship Id="rId470" Type="http://schemas.openxmlformats.org/officeDocument/2006/relationships/hyperlink" Target="https://youtu.be/CqiIX5cE6BY" TargetMode="External"/><Relationship Id="rId47" Type="http://schemas.openxmlformats.org/officeDocument/2006/relationships/hyperlink" Target="https://youtu.be/Ej_xIAAPgpQ" TargetMode="External"/><Relationship Id="rId4699" Type="http://schemas.openxmlformats.org/officeDocument/2006/relationships/hyperlink" Target="https://youtu.be/ciHVOGCHpNE" TargetMode="External"/><Relationship Id="rId4698" Type="http://schemas.openxmlformats.org/officeDocument/2006/relationships/hyperlink" Target="https://youtu.be/z3aH4VQ-TDQ" TargetMode="External"/><Relationship Id="rId4697" Type="http://schemas.openxmlformats.org/officeDocument/2006/relationships/hyperlink" Target="https://youtu.be/Uul7nB7ZUtU" TargetMode="External"/><Relationship Id="rId4696" Type="http://schemas.openxmlformats.org/officeDocument/2006/relationships/hyperlink" Target="https://youtu.be/livOZ-fDQ88" TargetMode="External"/><Relationship Id="rId4695" Type="http://schemas.openxmlformats.org/officeDocument/2006/relationships/hyperlink" Target="https://youtu.be/nSG2qvDsmvY" TargetMode="External"/><Relationship Id="rId4694" Type="http://schemas.openxmlformats.org/officeDocument/2006/relationships/hyperlink" Target="https://youtu.be/2xaRotYad1o" TargetMode="External"/><Relationship Id="rId4693" Type="http://schemas.openxmlformats.org/officeDocument/2006/relationships/hyperlink" Target="https://youtu.be/vUfM17hvEFg" TargetMode="External"/><Relationship Id="rId4692" Type="http://schemas.openxmlformats.org/officeDocument/2006/relationships/hyperlink" Target="https://youtu.be/QyiI38FWU74" TargetMode="External"/><Relationship Id="rId4691" Type="http://schemas.openxmlformats.org/officeDocument/2006/relationships/hyperlink" Target="https://youtu.be/QAArGSgSQu8" TargetMode="External"/><Relationship Id="rId4690" Type="http://schemas.openxmlformats.org/officeDocument/2006/relationships/hyperlink" Target="https://youtu.be/CM4gaWo--fU" TargetMode="External"/><Relationship Id="rId469" Type="http://schemas.openxmlformats.org/officeDocument/2006/relationships/hyperlink" Target="https://youtu.be/-pJcbKr7iA4" TargetMode="External"/><Relationship Id="rId4689" Type="http://schemas.openxmlformats.org/officeDocument/2006/relationships/hyperlink" Target="https://youtu.be/M1x5JiF1iuk" TargetMode="External"/><Relationship Id="rId4688" Type="http://schemas.openxmlformats.org/officeDocument/2006/relationships/hyperlink" Target="https://youtu.be/UG9d_cP4iZ0" TargetMode="External"/><Relationship Id="rId4687" Type="http://schemas.openxmlformats.org/officeDocument/2006/relationships/hyperlink" Target="https://youtu.be/TJesh8DWBoc" TargetMode="External"/><Relationship Id="rId4686" Type="http://schemas.openxmlformats.org/officeDocument/2006/relationships/hyperlink" Target="https://youtu.be/lLJvG1K1N9M" TargetMode="External"/><Relationship Id="rId4685" Type="http://schemas.openxmlformats.org/officeDocument/2006/relationships/hyperlink" Target="https://youtu.be/T-zfZN3ZCzs" TargetMode="External"/><Relationship Id="rId4684" Type="http://schemas.openxmlformats.org/officeDocument/2006/relationships/hyperlink" Target="https://youtu.be/rQ4n2HjppWo" TargetMode="External"/><Relationship Id="rId4683" Type="http://schemas.openxmlformats.org/officeDocument/2006/relationships/hyperlink" Target="https://youtu.be/IyIweRep6OY" TargetMode="External"/><Relationship Id="rId4682" Type="http://schemas.openxmlformats.org/officeDocument/2006/relationships/hyperlink" Target="https://youtu.be/baRvcLVsNwc" TargetMode="External"/><Relationship Id="rId4681" Type="http://schemas.openxmlformats.org/officeDocument/2006/relationships/hyperlink" Target="https://youtu.be/tbX3NGDv_wI" TargetMode="External"/><Relationship Id="rId4680" Type="http://schemas.openxmlformats.org/officeDocument/2006/relationships/hyperlink" Target="https://youtu.be/YqDPaOEWqo8" TargetMode="External"/><Relationship Id="rId468" Type="http://schemas.openxmlformats.org/officeDocument/2006/relationships/hyperlink" Target="https://youtu.be/V7bhhKOON_o" TargetMode="External"/><Relationship Id="rId4679" Type="http://schemas.openxmlformats.org/officeDocument/2006/relationships/hyperlink" Target="https://youtu.be/YOT-Ij6bv9M" TargetMode="External"/><Relationship Id="rId4678" Type="http://schemas.openxmlformats.org/officeDocument/2006/relationships/hyperlink" Target="https://youtu.be/4uAms3uSKhg" TargetMode="External"/><Relationship Id="rId4677" Type="http://schemas.openxmlformats.org/officeDocument/2006/relationships/hyperlink" Target="https://youtu.be/Zq8TQHABi2s" TargetMode="External"/><Relationship Id="rId4676" Type="http://schemas.openxmlformats.org/officeDocument/2006/relationships/hyperlink" Target="https://youtu.be/_WySURo4_u0" TargetMode="External"/><Relationship Id="rId4675" Type="http://schemas.openxmlformats.org/officeDocument/2006/relationships/hyperlink" Target="https://youtu.be/TNwrRY4FvJU" TargetMode="External"/><Relationship Id="rId4674" Type="http://schemas.openxmlformats.org/officeDocument/2006/relationships/hyperlink" Target="https://youtu.be/ki-bYvLOZ6s" TargetMode="External"/><Relationship Id="rId4673" Type="http://schemas.openxmlformats.org/officeDocument/2006/relationships/hyperlink" Target="https://youtu.be/WsSF-VYY9vs" TargetMode="External"/><Relationship Id="rId4672" Type="http://schemas.openxmlformats.org/officeDocument/2006/relationships/hyperlink" Target="https://youtu.be/gXju8_EXko0" TargetMode="External"/><Relationship Id="rId4671" Type="http://schemas.openxmlformats.org/officeDocument/2006/relationships/hyperlink" Target="https://youtu.be/SC1PSGugtXA" TargetMode="External"/><Relationship Id="rId4670" Type="http://schemas.openxmlformats.org/officeDocument/2006/relationships/hyperlink" Target="https://youtu.be/65LeVveG-Po" TargetMode="External"/><Relationship Id="rId467" Type="http://schemas.openxmlformats.org/officeDocument/2006/relationships/hyperlink" Target="https://youtu.be/afw7dMIrw6I" TargetMode="External"/><Relationship Id="rId4669" Type="http://schemas.openxmlformats.org/officeDocument/2006/relationships/hyperlink" Target="https://youtu.be/g02meEV6hI4" TargetMode="External"/><Relationship Id="rId4668" Type="http://schemas.openxmlformats.org/officeDocument/2006/relationships/hyperlink" Target="https://youtu.be/PDc3TxWc0vM" TargetMode="External"/><Relationship Id="rId4667" Type="http://schemas.openxmlformats.org/officeDocument/2006/relationships/hyperlink" Target="https://youtu.be/UJu7Y-yCMiw" TargetMode="External"/><Relationship Id="rId4666" Type="http://schemas.openxmlformats.org/officeDocument/2006/relationships/hyperlink" Target="https://youtu.be/uJLPuftMGOU" TargetMode="External"/><Relationship Id="rId4665" Type="http://schemas.openxmlformats.org/officeDocument/2006/relationships/hyperlink" Target="https://youtu.be/izR0i-LaUro" TargetMode="External"/><Relationship Id="rId4664" Type="http://schemas.openxmlformats.org/officeDocument/2006/relationships/hyperlink" Target="https://youtu.be/LZ1cT47u75w" TargetMode="External"/><Relationship Id="rId4663" Type="http://schemas.openxmlformats.org/officeDocument/2006/relationships/hyperlink" Target="https://youtu.be/AlAEJyn5A1w" TargetMode="External"/><Relationship Id="rId4662" Type="http://schemas.openxmlformats.org/officeDocument/2006/relationships/hyperlink" Target="https://youtu.be/twRXaQMlXfM" TargetMode="External"/><Relationship Id="rId4661" Type="http://schemas.openxmlformats.org/officeDocument/2006/relationships/hyperlink" Target="https://youtu.be/K8T8uuKTips" TargetMode="External"/><Relationship Id="rId4660" Type="http://schemas.openxmlformats.org/officeDocument/2006/relationships/hyperlink" Target="https://youtu.be/xIYLhtYLA-g" TargetMode="External"/><Relationship Id="rId466" Type="http://schemas.openxmlformats.org/officeDocument/2006/relationships/hyperlink" Target="https://youtu.be/3NOmU06Vs6o" TargetMode="External"/><Relationship Id="rId4659" Type="http://schemas.openxmlformats.org/officeDocument/2006/relationships/hyperlink" Target="https://youtu.be/WKM8j0qFLy4" TargetMode="External"/><Relationship Id="rId4658" Type="http://schemas.openxmlformats.org/officeDocument/2006/relationships/hyperlink" Target="https://youtu.be/BcLF0tZC1NM" TargetMode="External"/><Relationship Id="rId4657" Type="http://schemas.openxmlformats.org/officeDocument/2006/relationships/hyperlink" Target="https://youtu.be/xRihDyoSDNo" TargetMode="External"/><Relationship Id="rId4656" Type="http://schemas.openxmlformats.org/officeDocument/2006/relationships/hyperlink" Target="https://youtu.be/Cp3Ann1pebk" TargetMode="External"/><Relationship Id="rId4655" Type="http://schemas.openxmlformats.org/officeDocument/2006/relationships/hyperlink" Target="https://youtu.be/FAp6l_lwp5g" TargetMode="External"/><Relationship Id="rId4654" Type="http://schemas.openxmlformats.org/officeDocument/2006/relationships/hyperlink" Target="https://youtu.be/K7ssZ-Lnaeg" TargetMode="External"/><Relationship Id="rId4653" Type="http://schemas.openxmlformats.org/officeDocument/2006/relationships/hyperlink" Target="https://youtu.be/mtl48NOtyg0" TargetMode="External"/><Relationship Id="rId4652" Type="http://schemas.openxmlformats.org/officeDocument/2006/relationships/hyperlink" Target="https://youtu.be/9nRgVzwgUqk" TargetMode="External"/><Relationship Id="rId4651" Type="http://schemas.openxmlformats.org/officeDocument/2006/relationships/hyperlink" Target="https://youtu.be/wcd2ht79HKA" TargetMode="External"/><Relationship Id="rId4650" Type="http://schemas.openxmlformats.org/officeDocument/2006/relationships/hyperlink" Target="https://youtu.be/a7DBqWj62Rc" TargetMode="External"/><Relationship Id="rId465" Type="http://schemas.openxmlformats.org/officeDocument/2006/relationships/hyperlink" Target="https://youtu.be/o2t5mbpscfQ" TargetMode="External"/><Relationship Id="rId4649" Type="http://schemas.openxmlformats.org/officeDocument/2006/relationships/hyperlink" Target="https://youtu.be/_NJSRankJhE" TargetMode="External"/><Relationship Id="rId4648" Type="http://schemas.openxmlformats.org/officeDocument/2006/relationships/hyperlink" Target="https://youtu.be/G40G1q1I7u8" TargetMode="External"/><Relationship Id="rId4647" Type="http://schemas.openxmlformats.org/officeDocument/2006/relationships/hyperlink" Target="https://youtu.be/UqhkfIrJ_Ic" TargetMode="External"/><Relationship Id="rId4646" Type="http://schemas.openxmlformats.org/officeDocument/2006/relationships/hyperlink" Target="https://youtu.be/_HoxR1W6uVg" TargetMode="External"/><Relationship Id="rId4645" Type="http://schemas.openxmlformats.org/officeDocument/2006/relationships/hyperlink" Target="https://youtu.be/HtpR8TmZGW4" TargetMode="External"/><Relationship Id="rId4644" Type="http://schemas.openxmlformats.org/officeDocument/2006/relationships/hyperlink" Target="https://youtu.be/MlIQTEwiKzQ" TargetMode="External"/><Relationship Id="rId4643" Type="http://schemas.openxmlformats.org/officeDocument/2006/relationships/hyperlink" Target="https://youtu.be/3zuIcj2PcH4" TargetMode="External"/><Relationship Id="rId4642" Type="http://schemas.openxmlformats.org/officeDocument/2006/relationships/hyperlink" Target="https://youtu.be/qAEjsS0i06k" TargetMode="External"/><Relationship Id="rId4641" Type="http://schemas.openxmlformats.org/officeDocument/2006/relationships/hyperlink" Target="https://youtu.be/ug3Dr6IqZiQ" TargetMode="External"/><Relationship Id="rId4640" Type="http://schemas.openxmlformats.org/officeDocument/2006/relationships/hyperlink" Target="https://youtu.be/vaChod1zEAQ" TargetMode="External"/><Relationship Id="rId464" Type="http://schemas.openxmlformats.org/officeDocument/2006/relationships/hyperlink" Target="https://youtu.be/-DmUZkJ9dnk" TargetMode="External"/><Relationship Id="rId4639" Type="http://schemas.openxmlformats.org/officeDocument/2006/relationships/hyperlink" Target="https://youtu.be/llix751qov0" TargetMode="External"/><Relationship Id="rId4638" Type="http://schemas.openxmlformats.org/officeDocument/2006/relationships/hyperlink" Target="https://youtu.be/cmJgAhwETy4" TargetMode="External"/><Relationship Id="rId4637" Type="http://schemas.openxmlformats.org/officeDocument/2006/relationships/hyperlink" Target="https://youtu.be/vtLlnrNrbys" TargetMode="External"/><Relationship Id="rId4636" Type="http://schemas.openxmlformats.org/officeDocument/2006/relationships/hyperlink" Target="https://youtu.be/_0cXTjnyFCk" TargetMode="External"/><Relationship Id="rId4635" Type="http://schemas.openxmlformats.org/officeDocument/2006/relationships/hyperlink" Target="https://youtu.be/jxapK63HUII" TargetMode="External"/><Relationship Id="rId4634" Type="http://schemas.openxmlformats.org/officeDocument/2006/relationships/hyperlink" Target="https://youtu.be/GE3jZLGaLPs" TargetMode="External"/><Relationship Id="rId4633" Type="http://schemas.openxmlformats.org/officeDocument/2006/relationships/hyperlink" Target="https://youtu.be/0qUr2hv4K8I" TargetMode="External"/><Relationship Id="rId4632" Type="http://schemas.openxmlformats.org/officeDocument/2006/relationships/hyperlink" Target="https://youtu.be/WgIMIXahv9s" TargetMode="External"/><Relationship Id="rId4631" Type="http://schemas.openxmlformats.org/officeDocument/2006/relationships/hyperlink" Target="https://youtu.be/84NJXctzzIU" TargetMode="External"/><Relationship Id="rId4630" Type="http://schemas.openxmlformats.org/officeDocument/2006/relationships/hyperlink" Target="https://youtu.be/vNHouLrFx-k" TargetMode="External"/><Relationship Id="rId463" Type="http://schemas.openxmlformats.org/officeDocument/2006/relationships/hyperlink" Target="https://youtu.be/rrzHZhZANXU" TargetMode="External"/><Relationship Id="rId4629" Type="http://schemas.openxmlformats.org/officeDocument/2006/relationships/hyperlink" Target="https://youtu.be/V080m972yFE" TargetMode="External"/><Relationship Id="rId4628" Type="http://schemas.openxmlformats.org/officeDocument/2006/relationships/hyperlink" Target="https://youtu.be/gZNXXOGRk0s" TargetMode="External"/><Relationship Id="rId4627" Type="http://schemas.openxmlformats.org/officeDocument/2006/relationships/hyperlink" Target="https://youtu.be/_aUxShY0Tiw" TargetMode="External"/><Relationship Id="rId4626" Type="http://schemas.openxmlformats.org/officeDocument/2006/relationships/hyperlink" Target="https://youtu.be/IhtqJKHC5Ig" TargetMode="External"/><Relationship Id="rId4625" Type="http://schemas.openxmlformats.org/officeDocument/2006/relationships/hyperlink" Target="https://youtu.be/dVfg7Y5XF3c" TargetMode="External"/><Relationship Id="rId4624" Type="http://schemas.openxmlformats.org/officeDocument/2006/relationships/hyperlink" Target="https://youtu.be/EqLqOc6rK1Q" TargetMode="External"/><Relationship Id="rId4623" Type="http://schemas.openxmlformats.org/officeDocument/2006/relationships/hyperlink" Target="https://youtu.be/J14do2LamhE" TargetMode="External"/><Relationship Id="rId4622" Type="http://schemas.openxmlformats.org/officeDocument/2006/relationships/hyperlink" Target="https://youtu.be/mhyIg2Jszfs" TargetMode="External"/><Relationship Id="rId4621" Type="http://schemas.openxmlformats.org/officeDocument/2006/relationships/hyperlink" Target="https://youtu.be/_auAhph-PF4" TargetMode="External"/><Relationship Id="rId4620" Type="http://schemas.openxmlformats.org/officeDocument/2006/relationships/hyperlink" Target="https://youtu.be/bGnQMyw3oFk" TargetMode="External"/><Relationship Id="rId462" Type="http://schemas.openxmlformats.org/officeDocument/2006/relationships/hyperlink" Target="https://youtu.be/mlTUDZX4oas" TargetMode="External"/><Relationship Id="rId4619" Type="http://schemas.openxmlformats.org/officeDocument/2006/relationships/hyperlink" Target="https://youtu.be/tkhdhaNyYqU" TargetMode="External"/><Relationship Id="rId4618" Type="http://schemas.openxmlformats.org/officeDocument/2006/relationships/hyperlink" Target="https://youtu.be/pKtof0Ykccc" TargetMode="External"/><Relationship Id="rId4617" Type="http://schemas.openxmlformats.org/officeDocument/2006/relationships/hyperlink" Target="https://youtu.be/pIhAmMyn1Ho" TargetMode="External"/><Relationship Id="rId4616" Type="http://schemas.openxmlformats.org/officeDocument/2006/relationships/hyperlink" Target="https://youtu.be/6DQN1Ace8Eo" TargetMode="External"/><Relationship Id="rId4615" Type="http://schemas.openxmlformats.org/officeDocument/2006/relationships/hyperlink" Target="https://youtu.be/vPoE8icyE7c" TargetMode="External"/><Relationship Id="rId4614" Type="http://schemas.openxmlformats.org/officeDocument/2006/relationships/hyperlink" Target="https://youtu.be/jpn2vUasQdI" TargetMode="External"/><Relationship Id="rId4613" Type="http://schemas.openxmlformats.org/officeDocument/2006/relationships/hyperlink" Target="https://youtu.be/YZIrX1KWKXk" TargetMode="External"/><Relationship Id="rId4612" Type="http://schemas.openxmlformats.org/officeDocument/2006/relationships/hyperlink" Target="https://youtu.be/7jEw9LoFCeM" TargetMode="External"/><Relationship Id="rId4611" Type="http://schemas.openxmlformats.org/officeDocument/2006/relationships/hyperlink" Target="https://youtu.be/JPkN8blaDMs" TargetMode="External"/><Relationship Id="rId4610" Type="http://schemas.openxmlformats.org/officeDocument/2006/relationships/hyperlink" Target="https://youtu.be/i9OMpqSN1jM" TargetMode="External"/><Relationship Id="rId461" Type="http://schemas.openxmlformats.org/officeDocument/2006/relationships/hyperlink" Target="https://youtu.be/4fdbfLJYYgI" TargetMode="External"/><Relationship Id="rId4609" Type="http://schemas.openxmlformats.org/officeDocument/2006/relationships/hyperlink" Target="https://youtu.be/rvKUMQ4emVk" TargetMode="External"/><Relationship Id="rId4608" Type="http://schemas.openxmlformats.org/officeDocument/2006/relationships/hyperlink" Target="https://youtu.be/so5i_t3bGIs" TargetMode="External"/><Relationship Id="rId4607" Type="http://schemas.openxmlformats.org/officeDocument/2006/relationships/hyperlink" Target="https://youtu.be/ZU6lE7pAXIo" TargetMode="External"/><Relationship Id="rId4606" Type="http://schemas.openxmlformats.org/officeDocument/2006/relationships/hyperlink" Target="https://youtu.be/dSpSushTDVw" TargetMode="External"/><Relationship Id="rId4605" Type="http://schemas.openxmlformats.org/officeDocument/2006/relationships/hyperlink" Target="https://youtu.be/PWaTzPt3M6w" TargetMode="External"/><Relationship Id="rId4604" Type="http://schemas.openxmlformats.org/officeDocument/2006/relationships/hyperlink" Target="https://youtu.be/c94TgAJuUEE" TargetMode="External"/><Relationship Id="rId4603" Type="http://schemas.openxmlformats.org/officeDocument/2006/relationships/hyperlink" Target="https://youtu.be/DzFFs3D9Tao" TargetMode="External"/><Relationship Id="rId4602" Type="http://schemas.openxmlformats.org/officeDocument/2006/relationships/hyperlink" Target="https://youtu.be/zgHhyhB6yUE" TargetMode="External"/><Relationship Id="rId4601" Type="http://schemas.openxmlformats.org/officeDocument/2006/relationships/hyperlink" Target="https://youtu.be/JN1w-T7SMV4" TargetMode="External"/><Relationship Id="rId4600" Type="http://schemas.openxmlformats.org/officeDocument/2006/relationships/hyperlink" Target="https://youtu.be/LLyKcAG7DOE" TargetMode="External"/><Relationship Id="rId460" Type="http://schemas.openxmlformats.org/officeDocument/2006/relationships/hyperlink" Target="https://youtu.be/LkK2jLJ59As" TargetMode="External"/><Relationship Id="rId46" Type="http://schemas.openxmlformats.org/officeDocument/2006/relationships/hyperlink" Target="https://youtu.be/FrIWSA1Blxo" TargetMode="External"/><Relationship Id="rId4599" Type="http://schemas.openxmlformats.org/officeDocument/2006/relationships/hyperlink" Target="https://youtu.be/Sl4JQynsBgc" TargetMode="External"/><Relationship Id="rId4598" Type="http://schemas.openxmlformats.org/officeDocument/2006/relationships/hyperlink" Target="https://youtu.be/B5u3tQQOvXQ" TargetMode="External"/><Relationship Id="rId4597" Type="http://schemas.openxmlformats.org/officeDocument/2006/relationships/hyperlink" Target="https://youtu.be/4aWlh8wxByk" TargetMode="External"/><Relationship Id="rId4596" Type="http://schemas.openxmlformats.org/officeDocument/2006/relationships/hyperlink" Target="https://youtu.be/cLiVrFx9SWQ" TargetMode="External"/><Relationship Id="rId4595" Type="http://schemas.openxmlformats.org/officeDocument/2006/relationships/hyperlink" Target="https://youtu.be/S7xj41iXCnE" TargetMode="External"/><Relationship Id="rId4594" Type="http://schemas.openxmlformats.org/officeDocument/2006/relationships/hyperlink" Target="https://youtu.be/NtrVwX1ncqk" TargetMode="External"/><Relationship Id="rId4593" Type="http://schemas.openxmlformats.org/officeDocument/2006/relationships/hyperlink" Target="https://youtu.be/c9PYpIvE7zE" TargetMode="External"/><Relationship Id="rId4592" Type="http://schemas.openxmlformats.org/officeDocument/2006/relationships/hyperlink" Target="https://youtu.be/VCjZLOS_i1o" TargetMode="External"/><Relationship Id="rId4591" Type="http://schemas.openxmlformats.org/officeDocument/2006/relationships/hyperlink" Target="https://youtu.be/NzMIsRmmQV8" TargetMode="External"/><Relationship Id="rId4590" Type="http://schemas.openxmlformats.org/officeDocument/2006/relationships/hyperlink" Target="https://youtu.be/vkHyRpRypwo" TargetMode="External"/><Relationship Id="rId459" Type="http://schemas.openxmlformats.org/officeDocument/2006/relationships/hyperlink" Target="https://youtu.be/uxtZwSSUJHw" TargetMode="External"/><Relationship Id="rId4589" Type="http://schemas.openxmlformats.org/officeDocument/2006/relationships/hyperlink" Target="https://youtu.be/wDO4q9EaUg4" TargetMode="External"/><Relationship Id="rId4588" Type="http://schemas.openxmlformats.org/officeDocument/2006/relationships/hyperlink" Target="https://youtu.be/kYWVG7qftaM" TargetMode="External"/><Relationship Id="rId4587" Type="http://schemas.openxmlformats.org/officeDocument/2006/relationships/hyperlink" Target="https://youtu.be/Rg-eVs1A_p8" TargetMode="External"/><Relationship Id="rId4586" Type="http://schemas.openxmlformats.org/officeDocument/2006/relationships/hyperlink" Target="https://youtu.be/hpe9T9teuQ4" TargetMode="External"/><Relationship Id="rId4585" Type="http://schemas.openxmlformats.org/officeDocument/2006/relationships/hyperlink" Target="https://youtu.be/HFnc_Q5ftfo" TargetMode="External"/><Relationship Id="rId4584" Type="http://schemas.openxmlformats.org/officeDocument/2006/relationships/hyperlink" Target="https://youtu.be/jwkbj8okWxY" TargetMode="External"/><Relationship Id="rId4583" Type="http://schemas.openxmlformats.org/officeDocument/2006/relationships/hyperlink" Target="https://youtu.be/R_zW1iCNEWo" TargetMode="External"/><Relationship Id="rId4582" Type="http://schemas.openxmlformats.org/officeDocument/2006/relationships/hyperlink" Target="https://youtu.be/i3WYViq7CjI" TargetMode="External"/><Relationship Id="rId4581" Type="http://schemas.openxmlformats.org/officeDocument/2006/relationships/hyperlink" Target="https://youtu.be/bOEkJIIFRsY" TargetMode="External"/><Relationship Id="rId4580" Type="http://schemas.openxmlformats.org/officeDocument/2006/relationships/hyperlink" Target="https://youtu.be/3ykdyxzIvrs" TargetMode="External"/><Relationship Id="rId458" Type="http://schemas.openxmlformats.org/officeDocument/2006/relationships/hyperlink" Target="https://youtu.be/xWmtxizuntI" TargetMode="External"/><Relationship Id="rId4579" Type="http://schemas.openxmlformats.org/officeDocument/2006/relationships/hyperlink" Target="https://youtu.be/Jbo_E2i0bQI" TargetMode="External"/><Relationship Id="rId4578" Type="http://schemas.openxmlformats.org/officeDocument/2006/relationships/hyperlink" Target="https://youtu.be/EN2r9EqdKp0" TargetMode="External"/><Relationship Id="rId4577" Type="http://schemas.openxmlformats.org/officeDocument/2006/relationships/hyperlink" Target="https://youtu.be/P_NL8lHCszo" TargetMode="External"/><Relationship Id="rId4576" Type="http://schemas.openxmlformats.org/officeDocument/2006/relationships/hyperlink" Target="https://youtu.be/TtWCT8qCyXs" TargetMode="External"/><Relationship Id="rId4575" Type="http://schemas.openxmlformats.org/officeDocument/2006/relationships/hyperlink" Target="https://youtu.be/qCkwNvKzom8" TargetMode="External"/><Relationship Id="rId4574" Type="http://schemas.openxmlformats.org/officeDocument/2006/relationships/hyperlink" Target="https://youtu.be/iHIcuYCeosE" TargetMode="External"/><Relationship Id="rId4573" Type="http://schemas.openxmlformats.org/officeDocument/2006/relationships/hyperlink" Target="https://youtu.be/bZMILIwkOzQ" TargetMode="External"/><Relationship Id="rId4572" Type="http://schemas.openxmlformats.org/officeDocument/2006/relationships/hyperlink" Target="https://youtu.be/34cHTsgRFdg" TargetMode="External"/><Relationship Id="rId4571" Type="http://schemas.openxmlformats.org/officeDocument/2006/relationships/hyperlink" Target="https://youtu.be/I6dru-Wefa0" TargetMode="External"/><Relationship Id="rId4570" Type="http://schemas.openxmlformats.org/officeDocument/2006/relationships/hyperlink" Target="https://youtu.be/sD8BuJPGExE" TargetMode="External"/><Relationship Id="rId457" Type="http://schemas.openxmlformats.org/officeDocument/2006/relationships/hyperlink" Target="https://youtu.be/u80H3FpTezA" TargetMode="External"/><Relationship Id="rId4569" Type="http://schemas.openxmlformats.org/officeDocument/2006/relationships/hyperlink" Target="https://youtu.be/X5PgNpwSqdI" TargetMode="External"/><Relationship Id="rId4568" Type="http://schemas.openxmlformats.org/officeDocument/2006/relationships/hyperlink" Target="https://youtu.be/9hlu-Uvt0t4" TargetMode="External"/><Relationship Id="rId4567" Type="http://schemas.openxmlformats.org/officeDocument/2006/relationships/hyperlink" Target="https://youtu.be/8pv1BeGYjMI" TargetMode="External"/><Relationship Id="rId4566" Type="http://schemas.openxmlformats.org/officeDocument/2006/relationships/hyperlink" Target="https://youtu.be/AS-26XG9GXA" TargetMode="External"/><Relationship Id="rId4565" Type="http://schemas.openxmlformats.org/officeDocument/2006/relationships/hyperlink" Target="https://youtu.be/d5DvW1caEgs" TargetMode="External"/><Relationship Id="rId4564" Type="http://schemas.openxmlformats.org/officeDocument/2006/relationships/hyperlink" Target="https://youtu.be/900J_ODhap4" TargetMode="External"/><Relationship Id="rId4563" Type="http://schemas.openxmlformats.org/officeDocument/2006/relationships/hyperlink" Target="https://youtu.be/Xy2iKji29H8" TargetMode="External"/><Relationship Id="rId4562" Type="http://schemas.openxmlformats.org/officeDocument/2006/relationships/hyperlink" Target="https://youtu.be/MpLb-bifrZ8" TargetMode="External"/><Relationship Id="rId4561" Type="http://schemas.openxmlformats.org/officeDocument/2006/relationships/hyperlink" Target="https://youtu.be/aIhP8nVik4Y" TargetMode="External"/><Relationship Id="rId4560" Type="http://schemas.openxmlformats.org/officeDocument/2006/relationships/hyperlink" Target="https://youtu.be/Q53-qnWBNp4" TargetMode="External"/><Relationship Id="rId456" Type="http://schemas.openxmlformats.org/officeDocument/2006/relationships/hyperlink" Target="https://youtu.be/N_737VvWq-Q" TargetMode="External"/><Relationship Id="rId4559" Type="http://schemas.openxmlformats.org/officeDocument/2006/relationships/hyperlink" Target="https://youtu.be/8YzHObZ2qb4" TargetMode="External"/><Relationship Id="rId4558" Type="http://schemas.openxmlformats.org/officeDocument/2006/relationships/hyperlink" Target="https://youtu.be/vIlJFIX7_ks" TargetMode="External"/><Relationship Id="rId4557" Type="http://schemas.openxmlformats.org/officeDocument/2006/relationships/hyperlink" Target="https://youtu.be/8jqrT1klE50" TargetMode="External"/><Relationship Id="rId4556" Type="http://schemas.openxmlformats.org/officeDocument/2006/relationships/hyperlink" Target="https://youtu.be/5S_2XetvKn0" TargetMode="External"/><Relationship Id="rId4555" Type="http://schemas.openxmlformats.org/officeDocument/2006/relationships/hyperlink" Target="https://youtu.be/GkP_HAzMnC0" TargetMode="External"/><Relationship Id="rId4554" Type="http://schemas.openxmlformats.org/officeDocument/2006/relationships/hyperlink" Target="https://youtu.be/LnAjWtsINnQ" TargetMode="External"/><Relationship Id="rId4553" Type="http://schemas.openxmlformats.org/officeDocument/2006/relationships/hyperlink" Target="https://youtu.be/rXX5Z5vbOlA" TargetMode="External"/><Relationship Id="rId4552" Type="http://schemas.openxmlformats.org/officeDocument/2006/relationships/hyperlink" Target="https://youtu.be/j0x-j1D4oJE" TargetMode="External"/><Relationship Id="rId4551" Type="http://schemas.openxmlformats.org/officeDocument/2006/relationships/hyperlink" Target="https://youtu.be/NWupQkE8WW8" TargetMode="External"/><Relationship Id="rId4550" Type="http://schemas.openxmlformats.org/officeDocument/2006/relationships/hyperlink" Target="https://youtu.be/DzeNeeA3iJY" TargetMode="External"/><Relationship Id="rId455" Type="http://schemas.openxmlformats.org/officeDocument/2006/relationships/hyperlink" Target="https://youtu.be/QfrLK9xFpYg" TargetMode="External"/><Relationship Id="rId4549" Type="http://schemas.openxmlformats.org/officeDocument/2006/relationships/hyperlink" Target="https://youtu.be/9DWj1-Hxnz0" TargetMode="External"/><Relationship Id="rId4548" Type="http://schemas.openxmlformats.org/officeDocument/2006/relationships/hyperlink" Target="https://youtu.be/sVwkscQzOho" TargetMode="External"/><Relationship Id="rId4547" Type="http://schemas.openxmlformats.org/officeDocument/2006/relationships/hyperlink" Target="https://youtu.be/O9sYVb2Iecg" TargetMode="External"/><Relationship Id="rId4546" Type="http://schemas.openxmlformats.org/officeDocument/2006/relationships/hyperlink" Target="https://youtu.be/h73EYcyszf8" TargetMode="External"/><Relationship Id="rId4545" Type="http://schemas.openxmlformats.org/officeDocument/2006/relationships/hyperlink" Target="https://youtu.be/sBkiOt3zjWI" TargetMode="External"/><Relationship Id="rId4544" Type="http://schemas.openxmlformats.org/officeDocument/2006/relationships/hyperlink" Target="https://youtu.be/BtzNxMGbTA4" TargetMode="External"/><Relationship Id="rId4543" Type="http://schemas.openxmlformats.org/officeDocument/2006/relationships/hyperlink" Target="https://youtu.be/i_1cVX_P_aQ" TargetMode="External"/><Relationship Id="rId4542" Type="http://schemas.openxmlformats.org/officeDocument/2006/relationships/hyperlink" Target="https://youtu.be/G0TWEN7kVAY" TargetMode="External"/><Relationship Id="rId4541" Type="http://schemas.openxmlformats.org/officeDocument/2006/relationships/hyperlink" Target="https://youtu.be/AY08g_8XKbE" TargetMode="External"/><Relationship Id="rId4540" Type="http://schemas.openxmlformats.org/officeDocument/2006/relationships/hyperlink" Target="https://youtu.be/02q4F_kDUB0" TargetMode="External"/><Relationship Id="rId454" Type="http://schemas.openxmlformats.org/officeDocument/2006/relationships/hyperlink" Target="https://youtu.be/17ItVJG7fVE" TargetMode="External"/><Relationship Id="rId4539" Type="http://schemas.openxmlformats.org/officeDocument/2006/relationships/hyperlink" Target="https://youtu.be/XhHaA8K2gZM" TargetMode="External"/><Relationship Id="rId4538" Type="http://schemas.openxmlformats.org/officeDocument/2006/relationships/hyperlink" Target="https://youtu.be/Sbn7NXkxoEU" TargetMode="External"/><Relationship Id="rId4537" Type="http://schemas.openxmlformats.org/officeDocument/2006/relationships/hyperlink" Target="https://youtu.be/mDU0fg6iLgk" TargetMode="External"/><Relationship Id="rId4536" Type="http://schemas.openxmlformats.org/officeDocument/2006/relationships/hyperlink" Target="https://youtu.be/JVSJLUIQrA0" TargetMode="External"/><Relationship Id="rId4535" Type="http://schemas.openxmlformats.org/officeDocument/2006/relationships/hyperlink" Target="https://youtu.be/5xo60Zb_gqw" TargetMode="External"/><Relationship Id="rId4534" Type="http://schemas.openxmlformats.org/officeDocument/2006/relationships/hyperlink" Target="https://youtu.be/Evlbc8yP75w" TargetMode="External"/><Relationship Id="rId4533" Type="http://schemas.openxmlformats.org/officeDocument/2006/relationships/hyperlink" Target="https://youtu.be/sgmGX8kgsZc" TargetMode="External"/><Relationship Id="rId4532" Type="http://schemas.openxmlformats.org/officeDocument/2006/relationships/hyperlink" Target="https://youtu.be/RkXN964rQb4" TargetMode="External"/><Relationship Id="rId4531" Type="http://schemas.openxmlformats.org/officeDocument/2006/relationships/hyperlink" Target="https://youtu.be/Powb_QQiJCw" TargetMode="External"/><Relationship Id="rId4530" Type="http://schemas.openxmlformats.org/officeDocument/2006/relationships/hyperlink" Target="https://youtu.be/aVczgFMj4U4" TargetMode="External"/><Relationship Id="rId453" Type="http://schemas.openxmlformats.org/officeDocument/2006/relationships/hyperlink" Target="https://youtu.be/zG3J57jMidk" TargetMode="External"/><Relationship Id="rId4529" Type="http://schemas.openxmlformats.org/officeDocument/2006/relationships/hyperlink" Target="https://youtu.be/de_2GoKGR54" TargetMode="External"/><Relationship Id="rId4528" Type="http://schemas.openxmlformats.org/officeDocument/2006/relationships/hyperlink" Target="https://youtu.be/LZcxJSMQBKY" TargetMode="External"/><Relationship Id="rId4527" Type="http://schemas.openxmlformats.org/officeDocument/2006/relationships/hyperlink" Target="https://youtu.be/ZUU38XkSFEs" TargetMode="External"/><Relationship Id="rId4526" Type="http://schemas.openxmlformats.org/officeDocument/2006/relationships/hyperlink" Target="https://youtu.be/QXWEoRDaXPM" TargetMode="External"/><Relationship Id="rId4525" Type="http://schemas.openxmlformats.org/officeDocument/2006/relationships/hyperlink" Target="https://youtu.be/vPBeiLv_m-s" TargetMode="External"/><Relationship Id="rId4524" Type="http://schemas.openxmlformats.org/officeDocument/2006/relationships/hyperlink" Target="https://youtu.be/PVVofOldIdw" TargetMode="External"/><Relationship Id="rId4523" Type="http://schemas.openxmlformats.org/officeDocument/2006/relationships/hyperlink" Target="https://youtu.be/i-GEZQ6zo9A" TargetMode="External"/><Relationship Id="rId4522" Type="http://schemas.openxmlformats.org/officeDocument/2006/relationships/hyperlink" Target="https://youtu.be/Hzqd84njl3g" TargetMode="External"/><Relationship Id="rId4521" Type="http://schemas.openxmlformats.org/officeDocument/2006/relationships/hyperlink" Target="https://youtu.be/UE00r8ISDI4" TargetMode="External"/><Relationship Id="rId4520" Type="http://schemas.openxmlformats.org/officeDocument/2006/relationships/hyperlink" Target="https://youtu.be/IsRm11sRi5E" TargetMode="External"/><Relationship Id="rId452" Type="http://schemas.openxmlformats.org/officeDocument/2006/relationships/hyperlink" Target="https://youtu.be/g2mNoksl9CU" TargetMode="External"/><Relationship Id="rId4519" Type="http://schemas.openxmlformats.org/officeDocument/2006/relationships/hyperlink" Target="https://youtu.be/MDG4fD6Qy7M" TargetMode="External"/><Relationship Id="rId4518" Type="http://schemas.openxmlformats.org/officeDocument/2006/relationships/hyperlink" Target="https://youtu.be/dykfmqK22rs" TargetMode="External"/><Relationship Id="rId4517" Type="http://schemas.openxmlformats.org/officeDocument/2006/relationships/hyperlink" Target="https://youtu.be/16Ex51OJVT4" TargetMode="External"/><Relationship Id="rId4516" Type="http://schemas.openxmlformats.org/officeDocument/2006/relationships/hyperlink" Target="https://youtu.be/hXg4ugCajkE" TargetMode="External"/><Relationship Id="rId4515" Type="http://schemas.openxmlformats.org/officeDocument/2006/relationships/hyperlink" Target="https://youtu.be/up0yImiN4S4" TargetMode="External"/><Relationship Id="rId4514" Type="http://schemas.openxmlformats.org/officeDocument/2006/relationships/hyperlink" Target="https://youtu.be/PHfxHcFWoaU" TargetMode="External"/><Relationship Id="rId4513" Type="http://schemas.openxmlformats.org/officeDocument/2006/relationships/hyperlink" Target="https://youtu.be/bKBcbBXecxs" TargetMode="External"/><Relationship Id="rId4512" Type="http://schemas.openxmlformats.org/officeDocument/2006/relationships/hyperlink" Target="https://youtu.be/WaUup6a-IMk" TargetMode="External"/><Relationship Id="rId4511" Type="http://schemas.openxmlformats.org/officeDocument/2006/relationships/hyperlink" Target="https://youtu.be/rk0IOEBOiZI" TargetMode="External"/><Relationship Id="rId4510" Type="http://schemas.openxmlformats.org/officeDocument/2006/relationships/hyperlink" Target="https://youtu.be/vFwqZ4qAUkE" TargetMode="External"/><Relationship Id="rId451" Type="http://schemas.openxmlformats.org/officeDocument/2006/relationships/hyperlink" Target="https://youtu.be/jszJbVoczEc" TargetMode="External"/><Relationship Id="rId4509" Type="http://schemas.openxmlformats.org/officeDocument/2006/relationships/hyperlink" Target="https://youtu.be/48hjjKUS7G8" TargetMode="External"/><Relationship Id="rId4508" Type="http://schemas.openxmlformats.org/officeDocument/2006/relationships/hyperlink" Target="https://youtu.be/KzCDsfZ0GQs" TargetMode="External"/><Relationship Id="rId4507" Type="http://schemas.openxmlformats.org/officeDocument/2006/relationships/hyperlink" Target="https://youtu.be/4OGJrOx_jBU" TargetMode="External"/><Relationship Id="rId4506" Type="http://schemas.openxmlformats.org/officeDocument/2006/relationships/hyperlink" Target="https://youtu.be/fDCeKGjhaRM" TargetMode="External"/><Relationship Id="rId4505" Type="http://schemas.openxmlformats.org/officeDocument/2006/relationships/hyperlink" Target="https://youtu.be/fzUmin_mHTs" TargetMode="External"/><Relationship Id="rId4504" Type="http://schemas.openxmlformats.org/officeDocument/2006/relationships/hyperlink" Target="https://youtu.be/bha5IZTXzBY" TargetMode="External"/><Relationship Id="rId4503" Type="http://schemas.openxmlformats.org/officeDocument/2006/relationships/hyperlink" Target="https://youtu.be/pxMuoAPxkvg" TargetMode="External"/><Relationship Id="rId4502" Type="http://schemas.openxmlformats.org/officeDocument/2006/relationships/hyperlink" Target="https://youtu.be/BOddPaD-2-g" TargetMode="External"/><Relationship Id="rId4501" Type="http://schemas.openxmlformats.org/officeDocument/2006/relationships/hyperlink" Target="https://youtu.be/2Bc-Opq1IlA" TargetMode="External"/><Relationship Id="rId4500" Type="http://schemas.openxmlformats.org/officeDocument/2006/relationships/hyperlink" Target="https://youtu.be/2P7ZggLYo2g" TargetMode="External"/><Relationship Id="rId450" Type="http://schemas.openxmlformats.org/officeDocument/2006/relationships/hyperlink" Target="https://youtu.be/XEAXTrtsu_0" TargetMode="External"/><Relationship Id="rId45" Type="http://schemas.openxmlformats.org/officeDocument/2006/relationships/hyperlink" Target="https://youtu.be/wFW8KSEc1lg" TargetMode="External"/><Relationship Id="rId4499" Type="http://schemas.openxmlformats.org/officeDocument/2006/relationships/hyperlink" Target="https://youtu.be/DBGwJ-Wkucc" TargetMode="External"/><Relationship Id="rId4498" Type="http://schemas.openxmlformats.org/officeDocument/2006/relationships/hyperlink" Target="https://youtu.be/Gsu79p3KWX4" TargetMode="External"/><Relationship Id="rId4497" Type="http://schemas.openxmlformats.org/officeDocument/2006/relationships/hyperlink" Target="https://youtu.be/NsIlYF4Kh-U" TargetMode="External"/><Relationship Id="rId4496" Type="http://schemas.openxmlformats.org/officeDocument/2006/relationships/hyperlink" Target="https://youtu.be/MiUB6HRgmGU" TargetMode="External"/><Relationship Id="rId4495" Type="http://schemas.openxmlformats.org/officeDocument/2006/relationships/hyperlink" Target="https://youtu.be/Q7p1nHtFT5Y" TargetMode="External"/><Relationship Id="rId4494" Type="http://schemas.openxmlformats.org/officeDocument/2006/relationships/hyperlink" Target="https://youtu.be/jweL9xyyu98" TargetMode="External"/><Relationship Id="rId4493" Type="http://schemas.openxmlformats.org/officeDocument/2006/relationships/hyperlink" Target="https://youtu.be/xnjIFKNalCg" TargetMode="External"/><Relationship Id="rId4492" Type="http://schemas.openxmlformats.org/officeDocument/2006/relationships/hyperlink" Target="https://youtu.be/gD2iT8hSm0k" TargetMode="External"/><Relationship Id="rId4491" Type="http://schemas.openxmlformats.org/officeDocument/2006/relationships/hyperlink" Target="https://youtu.be/bKJcDyBgTlc" TargetMode="External"/><Relationship Id="rId4490" Type="http://schemas.openxmlformats.org/officeDocument/2006/relationships/hyperlink" Target="https://youtu.be/9eMUd2Fb59w" TargetMode="External"/><Relationship Id="rId449" Type="http://schemas.openxmlformats.org/officeDocument/2006/relationships/hyperlink" Target="https://youtu.be/vDb3g_r0DfE" TargetMode="External"/><Relationship Id="rId4489" Type="http://schemas.openxmlformats.org/officeDocument/2006/relationships/hyperlink" Target="https://youtu.be/rpecnnbJPjg" TargetMode="External"/><Relationship Id="rId4488" Type="http://schemas.openxmlformats.org/officeDocument/2006/relationships/hyperlink" Target="https://youtu.be/k6XrZVDKXn0" TargetMode="External"/><Relationship Id="rId4487" Type="http://schemas.openxmlformats.org/officeDocument/2006/relationships/hyperlink" Target="https://youtu.be/xuhqSVBSruw" TargetMode="External"/><Relationship Id="rId4486" Type="http://schemas.openxmlformats.org/officeDocument/2006/relationships/hyperlink" Target="https://youtu.be/xZrdrWpEBRE" TargetMode="External"/><Relationship Id="rId4485" Type="http://schemas.openxmlformats.org/officeDocument/2006/relationships/hyperlink" Target="https://youtu.be/bpydgvoo7x8" TargetMode="External"/><Relationship Id="rId4484" Type="http://schemas.openxmlformats.org/officeDocument/2006/relationships/hyperlink" Target="https://youtu.be/Xe71vveJMjA" TargetMode="External"/><Relationship Id="rId4483" Type="http://schemas.openxmlformats.org/officeDocument/2006/relationships/hyperlink" Target="https://youtu.be/1-0-HKHjsPY" TargetMode="External"/><Relationship Id="rId4482" Type="http://schemas.openxmlformats.org/officeDocument/2006/relationships/hyperlink" Target="https://youtu.be/1n9GjJszdyQ" TargetMode="External"/><Relationship Id="rId4481" Type="http://schemas.openxmlformats.org/officeDocument/2006/relationships/hyperlink" Target="https://youtu.be/sq9gVEZjmlM" TargetMode="External"/><Relationship Id="rId4480" Type="http://schemas.openxmlformats.org/officeDocument/2006/relationships/hyperlink" Target="https://youtu.be/fzgsKupw5hM" TargetMode="External"/><Relationship Id="rId448" Type="http://schemas.openxmlformats.org/officeDocument/2006/relationships/hyperlink" Target="https://youtu.be/FnYDx1RvtIc" TargetMode="External"/><Relationship Id="rId4479" Type="http://schemas.openxmlformats.org/officeDocument/2006/relationships/hyperlink" Target="https://youtu.be/mfdQO1k2ehM" TargetMode="External"/><Relationship Id="rId4478" Type="http://schemas.openxmlformats.org/officeDocument/2006/relationships/hyperlink" Target="https://youtu.be/TlNhva55hZY" TargetMode="External"/><Relationship Id="rId4477" Type="http://schemas.openxmlformats.org/officeDocument/2006/relationships/hyperlink" Target="https://youtu.be/xd58pvZWluA" TargetMode="External"/><Relationship Id="rId4476" Type="http://schemas.openxmlformats.org/officeDocument/2006/relationships/hyperlink" Target="https://youtu.be/xr7fPdfQ_nY" TargetMode="External"/><Relationship Id="rId4475" Type="http://schemas.openxmlformats.org/officeDocument/2006/relationships/hyperlink" Target="https://youtu.be/FdQA-pE2luQ" TargetMode="External"/><Relationship Id="rId4474" Type="http://schemas.openxmlformats.org/officeDocument/2006/relationships/hyperlink" Target="https://youtu.be/G8PybJo9IWk" TargetMode="External"/><Relationship Id="rId4473" Type="http://schemas.openxmlformats.org/officeDocument/2006/relationships/hyperlink" Target="https://youtu.be/RQnYyV9JbbY" TargetMode="External"/><Relationship Id="rId4472" Type="http://schemas.openxmlformats.org/officeDocument/2006/relationships/hyperlink" Target="https://youtu.be/WU2pY5K88aM" TargetMode="External"/><Relationship Id="rId4471" Type="http://schemas.openxmlformats.org/officeDocument/2006/relationships/hyperlink" Target="https://youtu.be/uKMKGSt8W4k" TargetMode="External"/><Relationship Id="rId4470" Type="http://schemas.openxmlformats.org/officeDocument/2006/relationships/hyperlink" Target="https://youtu.be/g30lVjUU5Y0" TargetMode="External"/><Relationship Id="rId447" Type="http://schemas.openxmlformats.org/officeDocument/2006/relationships/hyperlink" Target="https://youtu.be/fvjfhFNN4M8" TargetMode="External"/><Relationship Id="rId4469" Type="http://schemas.openxmlformats.org/officeDocument/2006/relationships/hyperlink" Target="https://youtu.be/tjZp6WWpbb0" TargetMode="External"/><Relationship Id="rId4468" Type="http://schemas.openxmlformats.org/officeDocument/2006/relationships/hyperlink" Target="https://youtu.be/svUMzW3kV1s" TargetMode="External"/><Relationship Id="rId4467" Type="http://schemas.openxmlformats.org/officeDocument/2006/relationships/hyperlink" Target="https://youtu.be/rVXhhGrSBvY" TargetMode="External"/><Relationship Id="rId4466" Type="http://schemas.openxmlformats.org/officeDocument/2006/relationships/hyperlink" Target="https://youtu.be/WGB6qylPCo8" TargetMode="External"/><Relationship Id="rId4465" Type="http://schemas.openxmlformats.org/officeDocument/2006/relationships/hyperlink" Target="https://youtu.be/T8Q698X03W0" TargetMode="External"/><Relationship Id="rId4464" Type="http://schemas.openxmlformats.org/officeDocument/2006/relationships/hyperlink" Target="https://youtu.be/Fvr3XipwXYE" TargetMode="External"/><Relationship Id="rId4463" Type="http://schemas.openxmlformats.org/officeDocument/2006/relationships/hyperlink" Target="https://youtu.be/YIuNNZTllmY" TargetMode="External"/><Relationship Id="rId4462" Type="http://schemas.openxmlformats.org/officeDocument/2006/relationships/hyperlink" Target="https://youtu.be/11Dsh7_WDg0" TargetMode="External"/><Relationship Id="rId4461" Type="http://schemas.openxmlformats.org/officeDocument/2006/relationships/hyperlink" Target="https://youtu.be/Xkjis0Uwqyk" TargetMode="External"/><Relationship Id="rId4460" Type="http://schemas.openxmlformats.org/officeDocument/2006/relationships/hyperlink" Target="https://youtu.be/NhTylM5PW7k" TargetMode="External"/><Relationship Id="rId446" Type="http://schemas.openxmlformats.org/officeDocument/2006/relationships/hyperlink" Target="https://youtu.be/__OCgKch7AI" TargetMode="External"/><Relationship Id="rId4459" Type="http://schemas.openxmlformats.org/officeDocument/2006/relationships/hyperlink" Target="https://youtu.be/ANwlI_zKe3k" TargetMode="External"/><Relationship Id="rId4458" Type="http://schemas.openxmlformats.org/officeDocument/2006/relationships/hyperlink" Target="https://youtu.be/83xwb9ARw5Y" TargetMode="External"/><Relationship Id="rId4457" Type="http://schemas.openxmlformats.org/officeDocument/2006/relationships/hyperlink" Target="https://youtu.be/KyFejZwXg5k" TargetMode="External"/><Relationship Id="rId4456" Type="http://schemas.openxmlformats.org/officeDocument/2006/relationships/hyperlink" Target="https://youtu.be/KrdSLrJHXFw" TargetMode="External"/><Relationship Id="rId4455" Type="http://schemas.openxmlformats.org/officeDocument/2006/relationships/hyperlink" Target="https://youtu.be/2eSHTAO7ZUo" TargetMode="External"/><Relationship Id="rId4454" Type="http://schemas.openxmlformats.org/officeDocument/2006/relationships/hyperlink" Target="https://youtu.be/OZQjxC-kRdE" TargetMode="External"/><Relationship Id="rId4453" Type="http://schemas.openxmlformats.org/officeDocument/2006/relationships/hyperlink" Target="https://youtu.be/fF8vP5YEm3g" TargetMode="External"/><Relationship Id="rId4452" Type="http://schemas.openxmlformats.org/officeDocument/2006/relationships/hyperlink" Target="https://youtu.be/yZZHZCr27HE" TargetMode="External"/><Relationship Id="rId4451" Type="http://schemas.openxmlformats.org/officeDocument/2006/relationships/hyperlink" Target="https://youtu.be/5_mNN5v41KY" TargetMode="External"/><Relationship Id="rId4450" Type="http://schemas.openxmlformats.org/officeDocument/2006/relationships/hyperlink" Target="https://youtu.be/npV44pHdzdM" TargetMode="External"/><Relationship Id="rId445" Type="http://schemas.openxmlformats.org/officeDocument/2006/relationships/hyperlink" Target="https://youtu.be/0K61rP6t0L8" TargetMode="External"/><Relationship Id="rId4449" Type="http://schemas.openxmlformats.org/officeDocument/2006/relationships/hyperlink" Target="https://youtu.be/nAetqx5bods" TargetMode="External"/><Relationship Id="rId4448" Type="http://schemas.openxmlformats.org/officeDocument/2006/relationships/hyperlink" Target="https://youtu.be/l9bOnh0hwbU" TargetMode="External"/><Relationship Id="rId4447" Type="http://schemas.openxmlformats.org/officeDocument/2006/relationships/hyperlink" Target="https://youtu.be/OJYxOLF9FiM" TargetMode="External"/><Relationship Id="rId4446" Type="http://schemas.openxmlformats.org/officeDocument/2006/relationships/hyperlink" Target="https://youtu.be/zZHSptpDoLQ" TargetMode="External"/><Relationship Id="rId4445" Type="http://schemas.openxmlformats.org/officeDocument/2006/relationships/hyperlink" Target="https://youtu.be/Ucbm-BPxjq0" TargetMode="External"/><Relationship Id="rId4444" Type="http://schemas.openxmlformats.org/officeDocument/2006/relationships/hyperlink" Target="https://youtu.be/wKVoSCDJ-f4" TargetMode="External"/><Relationship Id="rId4443" Type="http://schemas.openxmlformats.org/officeDocument/2006/relationships/hyperlink" Target="https://youtu.be/u9VDPGY2DEQ" TargetMode="External"/><Relationship Id="rId4442" Type="http://schemas.openxmlformats.org/officeDocument/2006/relationships/hyperlink" Target="https://youtu.be/4IMFbhjbFj4" TargetMode="External"/><Relationship Id="rId4441" Type="http://schemas.openxmlformats.org/officeDocument/2006/relationships/hyperlink" Target="https://youtu.be/iHzEsXUfqD0" TargetMode="External"/><Relationship Id="rId4440" Type="http://schemas.openxmlformats.org/officeDocument/2006/relationships/hyperlink" Target="https://youtu.be/y9f8KsPfYsU" TargetMode="External"/><Relationship Id="rId444" Type="http://schemas.openxmlformats.org/officeDocument/2006/relationships/hyperlink" Target="https://youtu.be/ipxY_1Q2MWo" TargetMode="External"/><Relationship Id="rId4439" Type="http://schemas.openxmlformats.org/officeDocument/2006/relationships/hyperlink" Target="https://youtu.be/2zihywXgyOI" TargetMode="External"/><Relationship Id="rId4438" Type="http://schemas.openxmlformats.org/officeDocument/2006/relationships/hyperlink" Target="https://youtu.be/CQE0S_G7XIk" TargetMode="External"/><Relationship Id="rId4437" Type="http://schemas.openxmlformats.org/officeDocument/2006/relationships/hyperlink" Target="https://youtu.be/mAIrpnRFKBg" TargetMode="External"/><Relationship Id="rId4436" Type="http://schemas.openxmlformats.org/officeDocument/2006/relationships/hyperlink" Target="https://youtu.be/cmOiW_JbXMc" TargetMode="External"/><Relationship Id="rId4435" Type="http://schemas.openxmlformats.org/officeDocument/2006/relationships/hyperlink" Target="https://youtu.be/LASAF49JTgE" TargetMode="External"/><Relationship Id="rId4434" Type="http://schemas.openxmlformats.org/officeDocument/2006/relationships/hyperlink" Target="https://youtu.be/aL6vLBKydpE" TargetMode="External"/><Relationship Id="rId4433" Type="http://schemas.openxmlformats.org/officeDocument/2006/relationships/hyperlink" Target="https://youtu.be/AOcyDYf21NM" TargetMode="External"/><Relationship Id="rId4432" Type="http://schemas.openxmlformats.org/officeDocument/2006/relationships/hyperlink" Target="https://youtu.be/jZKSWuowgPI" TargetMode="External"/><Relationship Id="rId4431" Type="http://schemas.openxmlformats.org/officeDocument/2006/relationships/hyperlink" Target="https://youtu.be/dZFaMouTY1s" TargetMode="External"/><Relationship Id="rId4430" Type="http://schemas.openxmlformats.org/officeDocument/2006/relationships/hyperlink" Target="https://youtu.be/-m0uuO4HBgY" TargetMode="External"/><Relationship Id="rId443" Type="http://schemas.openxmlformats.org/officeDocument/2006/relationships/hyperlink" Target="https://youtu.be/zjJc8vSPNyk" TargetMode="External"/><Relationship Id="rId4429" Type="http://schemas.openxmlformats.org/officeDocument/2006/relationships/hyperlink" Target="https://youtu.be/dc8SJI1zHWg" TargetMode="External"/><Relationship Id="rId4428" Type="http://schemas.openxmlformats.org/officeDocument/2006/relationships/hyperlink" Target="https://youtu.be/12ZMgnC86o0" TargetMode="External"/><Relationship Id="rId4427" Type="http://schemas.openxmlformats.org/officeDocument/2006/relationships/hyperlink" Target="https://youtu.be/R7wPaVpLI4o" TargetMode="External"/><Relationship Id="rId4426" Type="http://schemas.openxmlformats.org/officeDocument/2006/relationships/hyperlink" Target="https://youtu.be/bnxQ8sMgAEw" TargetMode="External"/><Relationship Id="rId4425" Type="http://schemas.openxmlformats.org/officeDocument/2006/relationships/hyperlink" Target="https://youtu.be/mjOd9BHfsbw" TargetMode="External"/><Relationship Id="rId4424" Type="http://schemas.openxmlformats.org/officeDocument/2006/relationships/hyperlink" Target="https://youtu.be/2fd7W0bZLWI" TargetMode="External"/><Relationship Id="rId4423" Type="http://schemas.openxmlformats.org/officeDocument/2006/relationships/hyperlink" Target="https://youtu.be/DOFfw-YrgR0" TargetMode="External"/><Relationship Id="rId4422" Type="http://schemas.openxmlformats.org/officeDocument/2006/relationships/hyperlink" Target="https://youtu.be/PwPZebSjnGQ" TargetMode="External"/><Relationship Id="rId4421" Type="http://schemas.openxmlformats.org/officeDocument/2006/relationships/hyperlink" Target="https://youtu.be/Qv5NHCbVkBI" TargetMode="External"/><Relationship Id="rId4420" Type="http://schemas.openxmlformats.org/officeDocument/2006/relationships/hyperlink" Target="https://youtu.be/rs_ps8zsMX4" TargetMode="External"/><Relationship Id="rId442" Type="http://schemas.openxmlformats.org/officeDocument/2006/relationships/hyperlink" Target="https://youtu.be/3OpDe4v9MbI" TargetMode="External"/><Relationship Id="rId4419" Type="http://schemas.openxmlformats.org/officeDocument/2006/relationships/hyperlink" Target="https://youtu.be/tYddpBvMOUo" TargetMode="External"/><Relationship Id="rId4418" Type="http://schemas.openxmlformats.org/officeDocument/2006/relationships/hyperlink" Target="https://youtu.be/Ynqy3XV18zw" TargetMode="External"/><Relationship Id="rId4417" Type="http://schemas.openxmlformats.org/officeDocument/2006/relationships/hyperlink" Target="https://youtu.be/FfhtmLPBuR4" TargetMode="External"/><Relationship Id="rId4416" Type="http://schemas.openxmlformats.org/officeDocument/2006/relationships/hyperlink" Target="https://youtu.be/hysniE1bVzg" TargetMode="External"/><Relationship Id="rId4415" Type="http://schemas.openxmlformats.org/officeDocument/2006/relationships/hyperlink" Target="https://youtu.be/fBhrFxUbhYg" TargetMode="External"/><Relationship Id="rId4414" Type="http://schemas.openxmlformats.org/officeDocument/2006/relationships/hyperlink" Target="https://youtu.be/B3dxvNfrFU4" TargetMode="External"/><Relationship Id="rId4413" Type="http://schemas.openxmlformats.org/officeDocument/2006/relationships/hyperlink" Target="https://youtu.be/SH65Chfip0g" TargetMode="External"/><Relationship Id="rId4412" Type="http://schemas.openxmlformats.org/officeDocument/2006/relationships/hyperlink" Target="https://youtu.be/UpVClvUzhPA" TargetMode="External"/><Relationship Id="rId4411" Type="http://schemas.openxmlformats.org/officeDocument/2006/relationships/hyperlink" Target="https://youtu.be/TExUzUR88qc" TargetMode="External"/><Relationship Id="rId4410" Type="http://schemas.openxmlformats.org/officeDocument/2006/relationships/hyperlink" Target="https://youtu.be/OwQNn5i2Hmo" TargetMode="External"/><Relationship Id="rId441" Type="http://schemas.openxmlformats.org/officeDocument/2006/relationships/hyperlink" Target="https://youtu.be/2st9aoYj1ZM" TargetMode="External"/><Relationship Id="rId4409" Type="http://schemas.openxmlformats.org/officeDocument/2006/relationships/hyperlink" Target="https://youtu.be/_6NDwYonh-w" TargetMode="External"/><Relationship Id="rId4408" Type="http://schemas.openxmlformats.org/officeDocument/2006/relationships/hyperlink" Target="https://youtu.be/H_p3CGw-VlE" TargetMode="External"/><Relationship Id="rId4407" Type="http://schemas.openxmlformats.org/officeDocument/2006/relationships/hyperlink" Target="https://youtu.be/3lvSI_Oy2sA" TargetMode="External"/><Relationship Id="rId4406" Type="http://schemas.openxmlformats.org/officeDocument/2006/relationships/hyperlink" Target="https://youtu.be/VnLnkZq3yA8" TargetMode="External"/><Relationship Id="rId4405" Type="http://schemas.openxmlformats.org/officeDocument/2006/relationships/hyperlink" Target="https://youtu.be/c2ajFTQzKb0" TargetMode="External"/><Relationship Id="rId4404" Type="http://schemas.openxmlformats.org/officeDocument/2006/relationships/hyperlink" Target="https://youtu.be/5XkH-3zjXJA" TargetMode="External"/><Relationship Id="rId4403" Type="http://schemas.openxmlformats.org/officeDocument/2006/relationships/hyperlink" Target="https://youtu.be/lw4wPH84igc" TargetMode="External"/><Relationship Id="rId4402" Type="http://schemas.openxmlformats.org/officeDocument/2006/relationships/hyperlink" Target="https://youtu.be/W4ICBKdH00U" TargetMode="External"/><Relationship Id="rId4401" Type="http://schemas.openxmlformats.org/officeDocument/2006/relationships/hyperlink" Target="https://youtu.be/pecFxSjmIlM" TargetMode="External"/><Relationship Id="rId4400" Type="http://schemas.openxmlformats.org/officeDocument/2006/relationships/hyperlink" Target="https://youtu.be/SvJgJx5PTyQ" TargetMode="External"/><Relationship Id="rId440" Type="http://schemas.openxmlformats.org/officeDocument/2006/relationships/hyperlink" Target="https://youtu.be/v2GJwEOUsM4" TargetMode="External"/><Relationship Id="rId44" Type="http://schemas.openxmlformats.org/officeDocument/2006/relationships/hyperlink" Target="https://youtu.be/sz55xXsN8-U" TargetMode="External"/><Relationship Id="rId4399" Type="http://schemas.openxmlformats.org/officeDocument/2006/relationships/hyperlink" Target="https://youtu.be/IdKJRXP-2vg" TargetMode="External"/><Relationship Id="rId4398" Type="http://schemas.openxmlformats.org/officeDocument/2006/relationships/hyperlink" Target="https://youtu.be/tW1dVjXH9LQ" TargetMode="External"/><Relationship Id="rId4397" Type="http://schemas.openxmlformats.org/officeDocument/2006/relationships/hyperlink" Target="https://youtu.be/vUwd23UoHNk" TargetMode="External"/><Relationship Id="rId4396" Type="http://schemas.openxmlformats.org/officeDocument/2006/relationships/hyperlink" Target="https://youtu.be/bX9vMkzcelQ" TargetMode="External"/><Relationship Id="rId4395" Type="http://schemas.openxmlformats.org/officeDocument/2006/relationships/hyperlink" Target="https://youtu.be/n7V5IQAxp4w" TargetMode="External"/><Relationship Id="rId4394" Type="http://schemas.openxmlformats.org/officeDocument/2006/relationships/hyperlink" Target="https://youtu.be/uMvkVGwS060" TargetMode="External"/><Relationship Id="rId4393" Type="http://schemas.openxmlformats.org/officeDocument/2006/relationships/hyperlink" Target="https://youtu.be/3OUTa8RhZvI" TargetMode="External"/><Relationship Id="rId4392" Type="http://schemas.openxmlformats.org/officeDocument/2006/relationships/hyperlink" Target="https://youtu.be/flf4-SOgJO8" TargetMode="External"/><Relationship Id="rId4391" Type="http://schemas.openxmlformats.org/officeDocument/2006/relationships/hyperlink" Target="https://youtu.be/TRxwXrTMwew" TargetMode="External"/><Relationship Id="rId4390" Type="http://schemas.openxmlformats.org/officeDocument/2006/relationships/hyperlink" Target="https://youtu.be/OFQ3HGHMBa8" TargetMode="External"/><Relationship Id="rId439" Type="http://schemas.openxmlformats.org/officeDocument/2006/relationships/hyperlink" Target="https://youtu.be/XkzB4UZe1JE" TargetMode="External"/><Relationship Id="rId4389" Type="http://schemas.openxmlformats.org/officeDocument/2006/relationships/hyperlink" Target="https://youtu.be/-S9bAkz2X70" TargetMode="External"/><Relationship Id="rId4388" Type="http://schemas.openxmlformats.org/officeDocument/2006/relationships/hyperlink" Target="https://youtu.be/KfH8fjJecyE" TargetMode="External"/><Relationship Id="rId4387" Type="http://schemas.openxmlformats.org/officeDocument/2006/relationships/hyperlink" Target="https://youtu.be/-UiVHayv3gM" TargetMode="External"/><Relationship Id="rId4386" Type="http://schemas.openxmlformats.org/officeDocument/2006/relationships/hyperlink" Target="https://youtu.be/E2RyGOB7v_Y" TargetMode="External"/><Relationship Id="rId4385" Type="http://schemas.openxmlformats.org/officeDocument/2006/relationships/hyperlink" Target="https://youtu.be/3LX18OeUAFA" TargetMode="External"/><Relationship Id="rId4384" Type="http://schemas.openxmlformats.org/officeDocument/2006/relationships/hyperlink" Target="https://youtu.be/NmbEt_olRys" TargetMode="External"/><Relationship Id="rId4383" Type="http://schemas.openxmlformats.org/officeDocument/2006/relationships/hyperlink" Target="https://youtu.be/7odWaoSpGRg" TargetMode="External"/><Relationship Id="rId4382" Type="http://schemas.openxmlformats.org/officeDocument/2006/relationships/hyperlink" Target="https://youtu.be/y1Rhqg3pvqQ" TargetMode="External"/><Relationship Id="rId4381" Type="http://schemas.openxmlformats.org/officeDocument/2006/relationships/hyperlink" Target="https://youtu.be/fvSRnOJ8x38" TargetMode="External"/><Relationship Id="rId4380" Type="http://schemas.openxmlformats.org/officeDocument/2006/relationships/hyperlink" Target="https://youtu.be/kSuNwTxeAuo" TargetMode="External"/><Relationship Id="rId438" Type="http://schemas.openxmlformats.org/officeDocument/2006/relationships/hyperlink" Target="https://youtu.be/6Wj-5d3mE9U" TargetMode="External"/><Relationship Id="rId4379" Type="http://schemas.openxmlformats.org/officeDocument/2006/relationships/hyperlink" Target="https://youtu.be/UE1o_1U8cYg" TargetMode="External"/><Relationship Id="rId4378" Type="http://schemas.openxmlformats.org/officeDocument/2006/relationships/hyperlink" Target="https://youtu.be/Q3jh3UEF97Q" TargetMode="External"/><Relationship Id="rId4377" Type="http://schemas.openxmlformats.org/officeDocument/2006/relationships/hyperlink" Target="https://youtu.be/FvSDO1GS2gY" TargetMode="External"/><Relationship Id="rId4376" Type="http://schemas.openxmlformats.org/officeDocument/2006/relationships/hyperlink" Target="https://youtu.be/U_IKkGJzFDM" TargetMode="External"/><Relationship Id="rId4375" Type="http://schemas.openxmlformats.org/officeDocument/2006/relationships/hyperlink" Target="https://youtu.be/Hv7Qw9bnZe8" TargetMode="External"/><Relationship Id="rId4374" Type="http://schemas.openxmlformats.org/officeDocument/2006/relationships/hyperlink" Target="https://youtu.be/HQz3huNCX-o" TargetMode="External"/><Relationship Id="rId4373" Type="http://schemas.openxmlformats.org/officeDocument/2006/relationships/hyperlink" Target="https://youtu.be/zLmDKo5rxKg" TargetMode="External"/><Relationship Id="rId4372" Type="http://schemas.openxmlformats.org/officeDocument/2006/relationships/hyperlink" Target="https://youtu.be/FE0sgybgQy4" TargetMode="External"/><Relationship Id="rId4371" Type="http://schemas.openxmlformats.org/officeDocument/2006/relationships/hyperlink" Target="https://youtu.be/wxmw3LE9rvY" TargetMode="External"/><Relationship Id="rId4370" Type="http://schemas.openxmlformats.org/officeDocument/2006/relationships/hyperlink" Target="https://youtu.be/R22UNGuJyYw" TargetMode="External"/><Relationship Id="rId437" Type="http://schemas.openxmlformats.org/officeDocument/2006/relationships/hyperlink" Target="https://youtu.be/X2XJm8LfaP8" TargetMode="External"/><Relationship Id="rId4369" Type="http://schemas.openxmlformats.org/officeDocument/2006/relationships/hyperlink" Target="https://youtu.be/x0OaCenDySM" TargetMode="External"/><Relationship Id="rId4368" Type="http://schemas.openxmlformats.org/officeDocument/2006/relationships/hyperlink" Target="https://youtu.be/0wEMBhq-EZ8" TargetMode="External"/><Relationship Id="rId4367" Type="http://schemas.openxmlformats.org/officeDocument/2006/relationships/hyperlink" Target="https://youtu.be/g8okqWukoaU" TargetMode="External"/><Relationship Id="rId4366" Type="http://schemas.openxmlformats.org/officeDocument/2006/relationships/hyperlink" Target="https://youtu.be/WYmozt4yFZs" TargetMode="External"/><Relationship Id="rId4365" Type="http://schemas.openxmlformats.org/officeDocument/2006/relationships/hyperlink" Target="https://youtu.be/YkqiblIgB_Y" TargetMode="External"/><Relationship Id="rId4364" Type="http://schemas.openxmlformats.org/officeDocument/2006/relationships/hyperlink" Target="https://youtu.be/xRVHylmxUk8" TargetMode="External"/><Relationship Id="rId4363" Type="http://schemas.openxmlformats.org/officeDocument/2006/relationships/hyperlink" Target="https://youtu.be/BSJIEKcHlho" TargetMode="External"/><Relationship Id="rId4362" Type="http://schemas.openxmlformats.org/officeDocument/2006/relationships/hyperlink" Target="https://youtu.be/t6nVSmjZScU" TargetMode="External"/><Relationship Id="rId4361" Type="http://schemas.openxmlformats.org/officeDocument/2006/relationships/hyperlink" Target="https://youtu.be/-UO__C5UihE" TargetMode="External"/><Relationship Id="rId4360" Type="http://schemas.openxmlformats.org/officeDocument/2006/relationships/hyperlink" Target="https://youtu.be/bIdB1UWlNDU" TargetMode="External"/><Relationship Id="rId436" Type="http://schemas.openxmlformats.org/officeDocument/2006/relationships/hyperlink" Target="https://youtu.be/k2MSw-_hxgg" TargetMode="External"/><Relationship Id="rId4359" Type="http://schemas.openxmlformats.org/officeDocument/2006/relationships/hyperlink" Target="https://youtu.be/RRfZAVc1Alo" TargetMode="External"/><Relationship Id="rId4358" Type="http://schemas.openxmlformats.org/officeDocument/2006/relationships/hyperlink" Target="https://youtu.be/0t5--gUbMCg" TargetMode="External"/><Relationship Id="rId4357" Type="http://schemas.openxmlformats.org/officeDocument/2006/relationships/hyperlink" Target="https://youtu.be/UWHCsZtF37Q" TargetMode="External"/><Relationship Id="rId4356" Type="http://schemas.openxmlformats.org/officeDocument/2006/relationships/hyperlink" Target="https://youtu.be/DGn_zp9Ln5E" TargetMode="External"/><Relationship Id="rId4355" Type="http://schemas.openxmlformats.org/officeDocument/2006/relationships/hyperlink" Target="https://youtu.be/N7gmzQUG57E" TargetMode="External"/><Relationship Id="rId4354" Type="http://schemas.openxmlformats.org/officeDocument/2006/relationships/hyperlink" Target="https://youtu.be/FqriQJCFXag" TargetMode="External"/><Relationship Id="rId4353" Type="http://schemas.openxmlformats.org/officeDocument/2006/relationships/hyperlink" Target="https://youtu.be/da13q8AHTzs" TargetMode="External"/><Relationship Id="rId4352" Type="http://schemas.openxmlformats.org/officeDocument/2006/relationships/hyperlink" Target="https://youtu.be/Drv0SS1rCpk" TargetMode="External"/><Relationship Id="rId4351" Type="http://schemas.openxmlformats.org/officeDocument/2006/relationships/hyperlink" Target="https://youtu.be/DJwjwtCsDhs" TargetMode="External"/><Relationship Id="rId4350" Type="http://schemas.openxmlformats.org/officeDocument/2006/relationships/hyperlink" Target="https://youtu.be/zFx7R4Jm1TM" TargetMode="External"/><Relationship Id="rId435" Type="http://schemas.openxmlformats.org/officeDocument/2006/relationships/hyperlink" Target="https://youtu.be/T0_RJ4fbWA4" TargetMode="External"/><Relationship Id="rId4349" Type="http://schemas.openxmlformats.org/officeDocument/2006/relationships/hyperlink" Target="https://youtu.be/gWhJLg1umAE" TargetMode="External"/><Relationship Id="rId4348" Type="http://schemas.openxmlformats.org/officeDocument/2006/relationships/hyperlink" Target="https://youtu.be/VVSHiOFe4-0" TargetMode="External"/><Relationship Id="rId4347" Type="http://schemas.openxmlformats.org/officeDocument/2006/relationships/hyperlink" Target="https://youtu.be/iO2jOtxP3T8" TargetMode="External"/><Relationship Id="rId4346" Type="http://schemas.openxmlformats.org/officeDocument/2006/relationships/hyperlink" Target="https://youtu.be/vY7aNaLWpAE" TargetMode="External"/><Relationship Id="rId4345" Type="http://schemas.openxmlformats.org/officeDocument/2006/relationships/hyperlink" Target="https://youtu.be/zzGxpht0zwA" TargetMode="External"/><Relationship Id="rId4344" Type="http://schemas.openxmlformats.org/officeDocument/2006/relationships/hyperlink" Target="https://youtu.be/oJtZkPTJ0Qs" TargetMode="External"/><Relationship Id="rId4343" Type="http://schemas.openxmlformats.org/officeDocument/2006/relationships/hyperlink" Target="https://youtu.be/Z-qBZWmCiK8" TargetMode="External"/><Relationship Id="rId4342" Type="http://schemas.openxmlformats.org/officeDocument/2006/relationships/hyperlink" Target="https://youtu.be/InYCEeB5t2I" TargetMode="External"/><Relationship Id="rId4341" Type="http://schemas.openxmlformats.org/officeDocument/2006/relationships/hyperlink" Target="https://youtu.be/-iLBUJcz_oU" TargetMode="External"/><Relationship Id="rId4340" Type="http://schemas.openxmlformats.org/officeDocument/2006/relationships/hyperlink" Target="https://youtu.be/fGiD3ZrppKM" TargetMode="External"/><Relationship Id="rId434" Type="http://schemas.openxmlformats.org/officeDocument/2006/relationships/hyperlink" Target="https://youtu.be/RzDFkmqbZBA" TargetMode="External"/><Relationship Id="rId4339" Type="http://schemas.openxmlformats.org/officeDocument/2006/relationships/hyperlink" Target="https://youtu.be/9sh2DkTh3qc" TargetMode="External"/><Relationship Id="rId4338" Type="http://schemas.openxmlformats.org/officeDocument/2006/relationships/hyperlink" Target="https://youtu.be/bZtWf8VOdTY" TargetMode="External"/><Relationship Id="rId4337" Type="http://schemas.openxmlformats.org/officeDocument/2006/relationships/hyperlink" Target="https://youtu.be/uA3kIxpqIl4" TargetMode="External"/><Relationship Id="rId4336" Type="http://schemas.openxmlformats.org/officeDocument/2006/relationships/hyperlink" Target="https://youtu.be/yx3JkEO5lo4" TargetMode="External"/><Relationship Id="rId4335" Type="http://schemas.openxmlformats.org/officeDocument/2006/relationships/hyperlink" Target="https://youtu.be/Ajz69bgCriU" TargetMode="External"/><Relationship Id="rId4334" Type="http://schemas.openxmlformats.org/officeDocument/2006/relationships/hyperlink" Target="https://youtu.be/jDlx2N6fpM4" TargetMode="External"/><Relationship Id="rId4333" Type="http://schemas.openxmlformats.org/officeDocument/2006/relationships/hyperlink" Target="https://youtu.be/iDPRJznyOYw" TargetMode="External"/><Relationship Id="rId4332" Type="http://schemas.openxmlformats.org/officeDocument/2006/relationships/hyperlink" Target="https://youtu.be/Hkagxtiy1-M" TargetMode="External"/><Relationship Id="rId4331" Type="http://schemas.openxmlformats.org/officeDocument/2006/relationships/hyperlink" Target="https://youtu.be/WL_FwRFCAmA" TargetMode="External"/><Relationship Id="rId4330" Type="http://schemas.openxmlformats.org/officeDocument/2006/relationships/hyperlink" Target="https://youtu.be/Gbtulv0mnlU" TargetMode="External"/><Relationship Id="rId433" Type="http://schemas.openxmlformats.org/officeDocument/2006/relationships/hyperlink" Target="https://youtu.be/zYGnnfhq8ek" TargetMode="External"/><Relationship Id="rId4329" Type="http://schemas.openxmlformats.org/officeDocument/2006/relationships/hyperlink" Target="https://youtu.be/DGAPt_HOUls" TargetMode="External"/><Relationship Id="rId4328" Type="http://schemas.openxmlformats.org/officeDocument/2006/relationships/hyperlink" Target="https://youtu.be/KmFUo0CEEOE" TargetMode="External"/><Relationship Id="rId4327" Type="http://schemas.openxmlformats.org/officeDocument/2006/relationships/hyperlink" Target="https://youtu.be/oEnr13WLdl0" TargetMode="External"/><Relationship Id="rId4326" Type="http://schemas.openxmlformats.org/officeDocument/2006/relationships/hyperlink" Target="https://youtu.be/CSN7bhw3mXE" TargetMode="External"/><Relationship Id="rId4325" Type="http://schemas.openxmlformats.org/officeDocument/2006/relationships/hyperlink" Target="https://youtu.be/cawIs_rKaeI" TargetMode="External"/><Relationship Id="rId4324" Type="http://schemas.openxmlformats.org/officeDocument/2006/relationships/hyperlink" Target="https://youtu.be/KzaWX8uuyUI" TargetMode="External"/><Relationship Id="rId4323" Type="http://schemas.openxmlformats.org/officeDocument/2006/relationships/hyperlink" Target="https://youtu.be/uwIUF1V1Rv4" TargetMode="External"/><Relationship Id="rId4322" Type="http://schemas.openxmlformats.org/officeDocument/2006/relationships/hyperlink" Target="https://youtu.be/Xi3rc9n_-kY" TargetMode="External"/><Relationship Id="rId4321" Type="http://schemas.openxmlformats.org/officeDocument/2006/relationships/hyperlink" Target="https://youtu.be/MxPnAMLDmKY" TargetMode="External"/><Relationship Id="rId4320" Type="http://schemas.openxmlformats.org/officeDocument/2006/relationships/hyperlink" Target="https://youtu.be/k1gZXt0CHHU" TargetMode="External"/><Relationship Id="rId432" Type="http://schemas.openxmlformats.org/officeDocument/2006/relationships/hyperlink" Target="https://youtu.be/FWPyBmd1Cv0" TargetMode="External"/><Relationship Id="rId4319" Type="http://schemas.openxmlformats.org/officeDocument/2006/relationships/hyperlink" Target="https://youtu.be/UZy08F-gsqU" TargetMode="External"/><Relationship Id="rId4318" Type="http://schemas.openxmlformats.org/officeDocument/2006/relationships/hyperlink" Target="https://youtu.be/alO7-jncI_A" TargetMode="External"/><Relationship Id="rId4317" Type="http://schemas.openxmlformats.org/officeDocument/2006/relationships/hyperlink" Target="https://youtu.be/4I4CXm08e5M" TargetMode="External"/><Relationship Id="rId4316" Type="http://schemas.openxmlformats.org/officeDocument/2006/relationships/hyperlink" Target="https://youtu.be/RnG7SWZ6Kzs" TargetMode="External"/><Relationship Id="rId4315" Type="http://schemas.openxmlformats.org/officeDocument/2006/relationships/hyperlink" Target="https://youtu.be/XmpSHx79Q_E" TargetMode="External"/><Relationship Id="rId4314" Type="http://schemas.openxmlformats.org/officeDocument/2006/relationships/hyperlink" Target="https://youtu.be/MOC__iCwNRs" TargetMode="External"/><Relationship Id="rId4313" Type="http://schemas.openxmlformats.org/officeDocument/2006/relationships/hyperlink" Target="https://youtu.be/3fH3FUwGZRk" TargetMode="External"/><Relationship Id="rId4312" Type="http://schemas.openxmlformats.org/officeDocument/2006/relationships/hyperlink" Target="https://youtu.be/67qEPYJ45sI" TargetMode="External"/><Relationship Id="rId4311" Type="http://schemas.openxmlformats.org/officeDocument/2006/relationships/hyperlink" Target="https://youtu.be/V7O42TKb2DY" TargetMode="External"/><Relationship Id="rId4310" Type="http://schemas.openxmlformats.org/officeDocument/2006/relationships/hyperlink" Target="https://youtu.be/qhTW36re1eU" TargetMode="External"/><Relationship Id="rId431" Type="http://schemas.openxmlformats.org/officeDocument/2006/relationships/hyperlink" Target="https://youtu.be/9zj5-KzHJrY" TargetMode="External"/><Relationship Id="rId4309" Type="http://schemas.openxmlformats.org/officeDocument/2006/relationships/hyperlink" Target="https://youtu.be/1IPSlcZga8U" TargetMode="External"/><Relationship Id="rId4308" Type="http://schemas.openxmlformats.org/officeDocument/2006/relationships/hyperlink" Target="https://youtu.be/tlh63_sbDik" TargetMode="External"/><Relationship Id="rId4307" Type="http://schemas.openxmlformats.org/officeDocument/2006/relationships/hyperlink" Target="https://youtu.be/xhZ8W1WJvJw" TargetMode="External"/><Relationship Id="rId4306" Type="http://schemas.openxmlformats.org/officeDocument/2006/relationships/hyperlink" Target="https://youtu.be/ix_ytEmoqis" TargetMode="External"/><Relationship Id="rId4305" Type="http://schemas.openxmlformats.org/officeDocument/2006/relationships/hyperlink" Target="https://youtu.be/I_l9cj9rRd8" TargetMode="External"/><Relationship Id="rId4304" Type="http://schemas.openxmlformats.org/officeDocument/2006/relationships/hyperlink" Target="https://youtu.be/57Y7Qm-BoCw" TargetMode="External"/><Relationship Id="rId4303" Type="http://schemas.openxmlformats.org/officeDocument/2006/relationships/hyperlink" Target="https://youtu.be/skyEY0wstGk" TargetMode="External"/><Relationship Id="rId4302" Type="http://schemas.openxmlformats.org/officeDocument/2006/relationships/hyperlink" Target="https://youtu.be/Utx4FRj56WI" TargetMode="External"/><Relationship Id="rId4301" Type="http://schemas.openxmlformats.org/officeDocument/2006/relationships/hyperlink" Target="https://youtu.be/JLBA28Yq6oY" TargetMode="External"/><Relationship Id="rId4300" Type="http://schemas.openxmlformats.org/officeDocument/2006/relationships/hyperlink" Target="https://youtu.be/1o39Uvj1T0U" TargetMode="External"/><Relationship Id="rId430" Type="http://schemas.openxmlformats.org/officeDocument/2006/relationships/hyperlink" Target="https://youtu.be/jD0QlR_J8vE" TargetMode="External"/><Relationship Id="rId43" Type="http://schemas.openxmlformats.org/officeDocument/2006/relationships/hyperlink" Target="https://youtu.be/C1eTfdwYPg4" TargetMode="External"/><Relationship Id="rId4299" Type="http://schemas.openxmlformats.org/officeDocument/2006/relationships/hyperlink" Target="https://youtu.be/GuSC4J9vI0w" TargetMode="External"/><Relationship Id="rId4298" Type="http://schemas.openxmlformats.org/officeDocument/2006/relationships/hyperlink" Target="https://youtu.be/naAoNekod9c" TargetMode="External"/><Relationship Id="rId4297" Type="http://schemas.openxmlformats.org/officeDocument/2006/relationships/hyperlink" Target="https://youtu.be/urOu6AM_cCc" TargetMode="External"/><Relationship Id="rId4296" Type="http://schemas.openxmlformats.org/officeDocument/2006/relationships/hyperlink" Target="https://youtu.be/sDEqimA_JSo" TargetMode="External"/><Relationship Id="rId4295" Type="http://schemas.openxmlformats.org/officeDocument/2006/relationships/hyperlink" Target="https://youtu.be/rjmbXXUHwa0" TargetMode="External"/><Relationship Id="rId4294" Type="http://schemas.openxmlformats.org/officeDocument/2006/relationships/hyperlink" Target="https://youtu.be/y37_dIcvGkc" TargetMode="External"/><Relationship Id="rId4293" Type="http://schemas.openxmlformats.org/officeDocument/2006/relationships/hyperlink" Target="https://youtu.be/J2-4vOGMqio" TargetMode="External"/><Relationship Id="rId4292" Type="http://schemas.openxmlformats.org/officeDocument/2006/relationships/hyperlink" Target="https://youtu.be/3GfCI1hP8vI" TargetMode="External"/><Relationship Id="rId4291" Type="http://schemas.openxmlformats.org/officeDocument/2006/relationships/hyperlink" Target="https://youtu.be/9nm1U17MRGY" TargetMode="External"/><Relationship Id="rId4290" Type="http://schemas.openxmlformats.org/officeDocument/2006/relationships/hyperlink" Target="https://youtu.be/jz-inRrnCIE" TargetMode="External"/><Relationship Id="rId429" Type="http://schemas.openxmlformats.org/officeDocument/2006/relationships/hyperlink" Target="https://youtu.be/jAXm_J0KALc" TargetMode="External"/><Relationship Id="rId4289" Type="http://schemas.openxmlformats.org/officeDocument/2006/relationships/hyperlink" Target="https://youtu.be/ereZ56lWW9c" TargetMode="External"/><Relationship Id="rId4288" Type="http://schemas.openxmlformats.org/officeDocument/2006/relationships/hyperlink" Target="https://youtu.be/K8QaPxz8L-E" TargetMode="External"/><Relationship Id="rId4287" Type="http://schemas.openxmlformats.org/officeDocument/2006/relationships/hyperlink" Target="https://youtu.be/uFRBax05-4E" TargetMode="External"/><Relationship Id="rId4286" Type="http://schemas.openxmlformats.org/officeDocument/2006/relationships/hyperlink" Target="https://youtu.be/mjP2gm72gFo" TargetMode="External"/><Relationship Id="rId4285" Type="http://schemas.openxmlformats.org/officeDocument/2006/relationships/hyperlink" Target="https://youtu.be/6rduG1ghRXI" TargetMode="External"/><Relationship Id="rId4284" Type="http://schemas.openxmlformats.org/officeDocument/2006/relationships/hyperlink" Target="https://youtu.be/nEgw-GtMj2o" TargetMode="External"/><Relationship Id="rId4283" Type="http://schemas.openxmlformats.org/officeDocument/2006/relationships/hyperlink" Target="https://youtu.be/qSBuGBBJ8XI" TargetMode="External"/><Relationship Id="rId4282" Type="http://schemas.openxmlformats.org/officeDocument/2006/relationships/hyperlink" Target="https://youtu.be/XnEHq6p54Hw" TargetMode="External"/><Relationship Id="rId4281" Type="http://schemas.openxmlformats.org/officeDocument/2006/relationships/hyperlink" Target="https://youtu.be/BReUn3C1pzk" TargetMode="External"/><Relationship Id="rId4280" Type="http://schemas.openxmlformats.org/officeDocument/2006/relationships/hyperlink" Target="https://youtu.be/rlG7W0gkjjE" TargetMode="External"/><Relationship Id="rId428" Type="http://schemas.openxmlformats.org/officeDocument/2006/relationships/hyperlink" Target="https://youtu.be/PYLhLA_sv6E" TargetMode="External"/><Relationship Id="rId4279" Type="http://schemas.openxmlformats.org/officeDocument/2006/relationships/hyperlink" Target="https://youtu.be/OZq0Hd-_4Kk" TargetMode="External"/><Relationship Id="rId4278" Type="http://schemas.openxmlformats.org/officeDocument/2006/relationships/hyperlink" Target="https://youtu.be/-TeRXAhHfzE" TargetMode="External"/><Relationship Id="rId4277" Type="http://schemas.openxmlformats.org/officeDocument/2006/relationships/hyperlink" Target="https://youtu.be/UBQPE_bOP6Y" TargetMode="External"/><Relationship Id="rId4276" Type="http://schemas.openxmlformats.org/officeDocument/2006/relationships/hyperlink" Target="https://youtu.be/vu_6yuW6PY0" TargetMode="External"/><Relationship Id="rId4275" Type="http://schemas.openxmlformats.org/officeDocument/2006/relationships/hyperlink" Target="https://youtu.be/6Jxk_5oHv3s" TargetMode="External"/><Relationship Id="rId4274" Type="http://schemas.openxmlformats.org/officeDocument/2006/relationships/hyperlink" Target="https://youtu.be/sZRvMCewbVw" TargetMode="External"/><Relationship Id="rId4273" Type="http://schemas.openxmlformats.org/officeDocument/2006/relationships/hyperlink" Target="https://youtu.be/QW5xZV2pUWE" TargetMode="External"/><Relationship Id="rId4272" Type="http://schemas.openxmlformats.org/officeDocument/2006/relationships/hyperlink" Target="https://youtu.be/R74Su3LqxI4" TargetMode="External"/><Relationship Id="rId4271" Type="http://schemas.openxmlformats.org/officeDocument/2006/relationships/hyperlink" Target="https://youtu.be/J12mNMJtFKE" TargetMode="External"/><Relationship Id="rId4270" Type="http://schemas.openxmlformats.org/officeDocument/2006/relationships/hyperlink" Target="https://youtu.be/X9jvyo7xDWs" TargetMode="External"/><Relationship Id="rId427" Type="http://schemas.openxmlformats.org/officeDocument/2006/relationships/hyperlink" Target="https://youtu.be/rOvt25CYSb4" TargetMode="External"/><Relationship Id="rId4269" Type="http://schemas.openxmlformats.org/officeDocument/2006/relationships/hyperlink" Target="https://youtu.be/MK_F9YJQjUI" TargetMode="External"/><Relationship Id="rId4268" Type="http://schemas.openxmlformats.org/officeDocument/2006/relationships/hyperlink" Target="https://youtu.be/lXxhYZb2qw0" TargetMode="External"/><Relationship Id="rId4267" Type="http://schemas.openxmlformats.org/officeDocument/2006/relationships/hyperlink" Target="https://youtu.be/VLNA8Exb--8" TargetMode="External"/><Relationship Id="rId4266" Type="http://schemas.openxmlformats.org/officeDocument/2006/relationships/hyperlink" Target="https://youtu.be/IOKRR9sYlzc" TargetMode="External"/><Relationship Id="rId4265" Type="http://schemas.openxmlformats.org/officeDocument/2006/relationships/hyperlink" Target="https://youtu.be/QftA0I7JO2s" TargetMode="External"/><Relationship Id="rId4264" Type="http://schemas.openxmlformats.org/officeDocument/2006/relationships/hyperlink" Target="https://youtu.be/BABGPvEFybU" TargetMode="External"/><Relationship Id="rId4263" Type="http://schemas.openxmlformats.org/officeDocument/2006/relationships/hyperlink" Target="https://youtu.be/zqPB0l5FZP4" TargetMode="External"/><Relationship Id="rId4262" Type="http://schemas.openxmlformats.org/officeDocument/2006/relationships/hyperlink" Target="https://youtu.be/hDQ2O8fO1sI" TargetMode="External"/><Relationship Id="rId4261" Type="http://schemas.openxmlformats.org/officeDocument/2006/relationships/hyperlink" Target="https://youtu.be/U09KSe6aCfY" TargetMode="External"/><Relationship Id="rId4260" Type="http://schemas.openxmlformats.org/officeDocument/2006/relationships/hyperlink" Target="https://youtu.be/J7723PBrYSc" TargetMode="External"/><Relationship Id="rId426" Type="http://schemas.openxmlformats.org/officeDocument/2006/relationships/hyperlink" Target="https://youtu.be/QgPXtQQnQ-k" TargetMode="External"/><Relationship Id="rId4259" Type="http://schemas.openxmlformats.org/officeDocument/2006/relationships/hyperlink" Target="https://youtu.be/0UGMazfmFoo" TargetMode="External"/><Relationship Id="rId4258" Type="http://schemas.openxmlformats.org/officeDocument/2006/relationships/hyperlink" Target="https://youtu.be/0Aj2JdKEBcM" TargetMode="External"/><Relationship Id="rId4257" Type="http://schemas.openxmlformats.org/officeDocument/2006/relationships/hyperlink" Target="https://youtu.be/PcarFP61Trg" TargetMode="External"/><Relationship Id="rId4256" Type="http://schemas.openxmlformats.org/officeDocument/2006/relationships/hyperlink" Target="https://youtu.be/aQ_IAAV69z8" TargetMode="External"/><Relationship Id="rId4255" Type="http://schemas.openxmlformats.org/officeDocument/2006/relationships/hyperlink" Target="https://youtu.be/C2A9IVc9Qe8" TargetMode="External"/><Relationship Id="rId4254" Type="http://schemas.openxmlformats.org/officeDocument/2006/relationships/hyperlink" Target="https://youtu.be/aAHjq9jm2-g" TargetMode="External"/><Relationship Id="rId4253" Type="http://schemas.openxmlformats.org/officeDocument/2006/relationships/hyperlink" Target="https://youtu.be/APwntCQ8Iiw" TargetMode="External"/><Relationship Id="rId4252" Type="http://schemas.openxmlformats.org/officeDocument/2006/relationships/hyperlink" Target="https://youtu.be/SBiY0Fn1ze4" TargetMode="External"/><Relationship Id="rId4251" Type="http://schemas.openxmlformats.org/officeDocument/2006/relationships/hyperlink" Target="https://youtu.be/jy2KQJDYJhE" TargetMode="External"/><Relationship Id="rId4250" Type="http://schemas.openxmlformats.org/officeDocument/2006/relationships/hyperlink" Target="https://youtu.be/GzJRRVIUBBw" TargetMode="External"/><Relationship Id="rId425" Type="http://schemas.openxmlformats.org/officeDocument/2006/relationships/hyperlink" Target="https://youtu.be/Dcy4yZb13fE" TargetMode="External"/><Relationship Id="rId4249" Type="http://schemas.openxmlformats.org/officeDocument/2006/relationships/hyperlink" Target="https://youtu.be/BLxDE-Jz2hw" TargetMode="External"/><Relationship Id="rId4248" Type="http://schemas.openxmlformats.org/officeDocument/2006/relationships/hyperlink" Target="https://youtu.be/vx5mQ9ZGHZw" TargetMode="External"/><Relationship Id="rId4247" Type="http://schemas.openxmlformats.org/officeDocument/2006/relationships/hyperlink" Target="https://youtu.be/ICPq2uaRWEM" TargetMode="External"/><Relationship Id="rId4246" Type="http://schemas.openxmlformats.org/officeDocument/2006/relationships/hyperlink" Target="https://youtu.be/eYxHGK61HNY" TargetMode="External"/><Relationship Id="rId4245" Type="http://schemas.openxmlformats.org/officeDocument/2006/relationships/hyperlink" Target="https://youtu.be/bQIldPCgVPc" TargetMode="External"/><Relationship Id="rId4244" Type="http://schemas.openxmlformats.org/officeDocument/2006/relationships/hyperlink" Target="https://youtu.be/HZUHohVbGG8" TargetMode="External"/><Relationship Id="rId4243" Type="http://schemas.openxmlformats.org/officeDocument/2006/relationships/hyperlink" Target="https://youtu.be/dHfdWp_8AGY" TargetMode="External"/><Relationship Id="rId4242" Type="http://schemas.openxmlformats.org/officeDocument/2006/relationships/hyperlink" Target="https://youtu.be/b-D0tzfXJ9Q" TargetMode="External"/><Relationship Id="rId4241" Type="http://schemas.openxmlformats.org/officeDocument/2006/relationships/hyperlink" Target="https://youtu.be/ues4N6xODDM" TargetMode="External"/><Relationship Id="rId4240" Type="http://schemas.openxmlformats.org/officeDocument/2006/relationships/hyperlink" Target="https://youtu.be/SFLbjjPj-Xw" TargetMode="External"/><Relationship Id="rId424" Type="http://schemas.openxmlformats.org/officeDocument/2006/relationships/hyperlink" Target="https://youtu.be/G3yNvuCWDtU" TargetMode="External"/><Relationship Id="rId4239" Type="http://schemas.openxmlformats.org/officeDocument/2006/relationships/hyperlink" Target="https://youtu.be/bCJNZ3xSUfQ" TargetMode="External"/><Relationship Id="rId4238" Type="http://schemas.openxmlformats.org/officeDocument/2006/relationships/hyperlink" Target="https://youtu.be/PNWPEweU8pA" TargetMode="External"/><Relationship Id="rId4237" Type="http://schemas.openxmlformats.org/officeDocument/2006/relationships/hyperlink" Target="https://youtu.be/RGy7442gbF0" TargetMode="External"/><Relationship Id="rId4236" Type="http://schemas.openxmlformats.org/officeDocument/2006/relationships/hyperlink" Target="https://youtu.be/2fuaIEYEiLI" TargetMode="External"/><Relationship Id="rId4235" Type="http://schemas.openxmlformats.org/officeDocument/2006/relationships/hyperlink" Target="https://youtu.be/pom0ZCIzN90" TargetMode="External"/><Relationship Id="rId4234" Type="http://schemas.openxmlformats.org/officeDocument/2006/relationships/hyperlink" Target="https://youtu.be/7MlEY3RVk98" TargetMode="External"/><Relationship Id="rId4233" Type="http://schemas.openxmlformats.org/officeDocument/2006/relationships/hyperlink" Target="https://youtu.be/aoNHhTyaxJg" TargetMode="External"/><Relationship Id="rId4232" Type="http://schemas.openxmlformats.org/officeDocument/2006/relationships/hyperlink" Target="https://youtu.be/O8BKghgkk58" TargetMode="External"/><Relationship Id="rId4231" Type="http://schemas.openxmlformats.org/officeDocument/2006/relationships/hyperlink" Target="https://youtu.be/Z9VLXgjFKWo" TargetMode="External"/><Relationship Id="rId4230" Type="http://schemas.openxmlformats.org/officeDocument/2006/relationships/hyperlink" Target="https://youtu.be/H8S18HZFzTg" TargetMode="External"/><Relationship Id="rId423" Type="http://schemas.openxmlformats.org/officeDocument/2006/relationships/hyperlink" Target="https://youtu.be/qzpct7J4wfo" TargetMode="External"/><Relationship Id="rId4229" Type="http://schemas.openxmlformats.org/officeDocument/2006/relationships/hyperlink" Target="https://youtu.be/F113cjbndkk" TargetMode="External"/><Relationship Id="rId4228" Type="http://schemas.openxmlformats.org/officeDocument/2006/relationships/hyperlink" Target="https://youtu.be/gIwKsUcNDn0" TargetMode="External"/><Relationship Id="rId4227" Type="http://schemas.openxmlformats.org/officeDocument/2006/relationships/hyperlink" Target="https://youtu.be/XcI-S4KvaEo" TargetMode="External"/><Relationship Id="rId4226" Type="http://schemas.openxmlformats.org/officeDocument/2006/relationships/hyperlink" Target="https://youtu.be/iDbKW7XetNk" TargetMode="External"/><Relationship Id="rId4225" Type="http://schemas.openxmlformats.org/officeDocument/2006/relationships/hyperlink" Target="https://youtu.be/rCn-IjmAoHs" TargetMode="External"/><Relationship Id="rId4224" Type="http://schemas.openxmlformats.org/officeDocument/2006/relationships/hyperlink" Target="https://youtu.be/sO2InAhoPSU" TargetMode="External"/><Relationship Id="rId4223" Type="http://schemas.openxmlformats.org/officeDocument/2006/relationships/hyperlink" Target="https://youtu.be/scyJRlafRgc" TargetMode="External"/><Relationship Id="rId4222" Type="http://schemas.openxmlformats.org/officeDocument/2006/relationships/hyperlink" Target="https://youtu.be/NnEQhRb5JUI" TargetMode="External"/><Relationship Id="rId4221" Type="http://schemas.openxmlformats.org/officeDocument/2006/relationships/hyperlink" Target="https://youtu.be/GA_P7u3GO2w" TargetMode="External"/><Relationship Id="rId4220" Type="http://schemas.openxmlformats.org/officeDocument/2006/relationships/hyperlink" Target="https://youtu.be/6VvjOW1gPmU" TargetMode="External"/><Relationship Id="rId422" Type="http://schemas.openxmlformats.org/officeDocument/2006/relationships/hyperlink" Target="https://youtu.be/lr4r70DWShk" TargetMode="External"/><Relationship Id="rId4219" Type="http://schemas.openxmlformats.org/officeDocument/2006/relationships/hyperlink" Target="https://youtu.be/xUcg-RtKS6Q" TargetMode="External"/><Relationship Id="rId4218" Type="http://schemas.openxmlformats.org/officeDocument/2006/relationships/hyperlink" Target="https://youtu.be/__w18FPWvfc" TargetMode="External"/><Relationship Id="rId4217" Type="http://schemas.openxmlformats.org/officeDocument/2006/relationships/hyperlink" Target="https://youtu.be/VhbqrZOYGUg" TargetMode="External"/><Relationship Id="rId4216" Type="http://schemas.openxmlformats.org/officeDocument/2006/relationships/hyperlink" Target="https://youtu.be/DZ5jBs1aQyo" TargetMode="External"/><Relationship Id="rId4215" Type="http://schemas.openxmlformats.org/officeDocument/2006/relationships/hyperlink" Target="https://youtu.be/eJHiPn498PM" TargetMode="External"/><Relationship Id="rId4214" Type="http://schemas.openxmlformats.org/officeDocument/2006/relationships/hyperlink" Target="https://youtu.be/o8XVX3L2D1k" TargetMode="External"/><Relationship Id="rId4213" Type="http://schemas.openxmlformats.org/officeDocument/2006/relationships/hyperlink" Target="https://youtu.be/019ytYfZdZg" TargetMode="External"/><Relationship Id="rId4212" Type="http://schemas.openxmlformats.org/officeDocument/2006/relationships/hyperlink" Target="https://youtu.be/RR7UuzFAun8" TargetMode="External"/><Relationship Id="rId4211" Type="http://schemas.openxmlformats.org/officeDocument/2006/relationships/hyperlink" Target="https://youtu.be/S_3FG3SN89Q" TargetMode="External"/><Relationship Id="rId4210" Type="http://schemas.openxmlformats.org/officeDocument/2006/relationships/hyperlink" Target="https://youtu.be/FuqTODoI_hs" TargetMode="External"/><Relationship Id="rId421" Type="http://schemas.openxmlformats.org/officeDocument/2006/relationships/hyperlink" Target="https://youtu.be/UeIcDAhcQA8" TargetMode="External"/><Relationship Id="rId4209" Type="http://schemas.openxmlformats.org/officeDocument/2006/relationships/hyperlink" Target="https://youtu.be/Sa2vdohUp0U" TargetMode="External"/><Relationship Id="rId4208" Type="http://schemas.openxmlformats.org/officeDocument/2006/relationships/hyperlink" Target="https://youtu.be/81jAmb_e1pg" TargetMode="External"/><Relationship Id="rId4207" Type="http://schemas.openxmlformats.org/officeDocument/2006/relationships/hyperlink" Target="https://youtu.be/xMdPjWu2knw" TargetMode="External"/><Relationship Id="rId4206" Type="http://schemas.openxmlformats.org/officeDocument/2006/relationships/hyperlink" Target="https://youtu.be/b7jSBPp6k0Q" TargetMode="External"/><Relationship Id="rId4205" Type="http://schemas.openxmlformats.org/officeDocument/2006/relationships/hyperlink" Target="https://youtu.be/tcmIryQ2iPI" TargetMode="External"/><Relationship Id="rId4204" Type="http://schemas.openxmlformats.org/officeDocument/2006/relationships/hyperlink" Target="https://youtu.be/LNg1uH-O73s" TargetMode="External"/><Relationship Id="rId4203" Type="http://schemas.openxmlformats.org/officeDocument/2006/relationships/hyperlink" Target="https://youtu.be/p-1V_7As3Ek" TargetMode="External"/><Relationship Id="rId4202" Type="http://schemas.openxmlformats.org/officeDocument/2006/relationships/hyperlink" Target="https://youtu.be/ci2WTrq_mjI" TargetMode="External"/><Relationship Id="rId4201" Type="http://schemas.openxmlformats.org/officeDocument/2006/relationships/hyperlink" Target="https://youtu.be/qcY4T4O4nLg" TargetMode="External"/><Relationship Id="rId4200" Type="http://schemas.openxmlformats.org/officeDocument/2006/relationships/hyperlink" Target="https://youtu.be/G-8GMxcxfVE" TargetMode="External"/><Relationship Id="rId420" Type="http://schemas.openxmlformats.org/officeDocument/2006/relationships/hyperlink" Target="https://youtu.be/zMYbirKXmSY" TargetMode="External"/><Relationship Id="rId42" Type="http://schemas.openxmlformats.org/officeDocument/2006/relationships/hyperlink" Target="https://youtu.be/15Wgo65737Y" TargetMode="External"/><Relationship Id="rId4199" Type="http://schemas.openxmlformats.org/officeDocument/2006/relationships/hyperlink" Target="https://youtu.be/Aji0_CwkHT0" TargetMode="External"/><Relationship Id="rId4198" Type="http://schemas.openxmlformats.org/officeDocument/2006/relationships/hyperlink" Target="https://youtu.be/BWnxhnM8I4k" TargetMode="External"/><Relationship Id="rId4197" Type="http://schemas.openxmlformats.org/officeDocument/2006/relationships/hyperlink" Target="https://youtu.be/1CsU-McSTmM" TargetMode="External"/><Relationship Id="rId4196" Type="http://schemas.openxmlformats.org/officeDocument/2006/relationships/hyperlink" Target="https://youtu.be/kehtaclbPjs" TargetMode="External"/><Relationship Id="rId4195" Type="http://schemas.openxmlformats.org/officeDocument/2006/relationships/hyperlink" Target="https://youtu.be/O4XVhoezrzM" TargetMode="External"/><Relationship Id="rId4194" Type="http://schemas.openxmlformats.org/officeDocument/2006/relationships/hyperlink" Target="https://youtu.be/1qqWrIa0WbM" TargetMode="External"/><Relationship Id="rId4193" Type="http://schemas.openxmlformats.org/officeDocument/2006/relationships/hyperlink" Target="https://youtu.be/TH6VPAO7FZI" TargetMode="External"/><Relationship Id="rId4192" Type="http://schemas.openxmlformats.org/officeDocument/2006/relationships/hyperlink" Target="https://youtu.be/58_JHzCtj00" TargetMode="External"/><Relationship Id="rId4191" Type="http://schemas.openxmlformats.org/officeDocument/2006/relationships/hyperlink" Target="https://youtu.be/Kg7W9GtDiIY" TargetMode="External"/><Relationship Id="rId4190" Type="http://schemas.openxmlformats.org/officeDocument/2006/relationships/hyperlink" Target="https://youtu.be/R3LpNxUHIrI" TargetMode="External"/><Relationship Id="rId419" Type="http://schemas.openxmlformats.org/officeDocument/2006/relationships/hyperlink" Target="https://youtu.be/orXKd7kTWiw" TargetMode="External"/><Relationship Id="rId4189" Type="http://schemas.openxmlformats.org/officeDocument/2006/relationships/hyperlink" Target="https://youtu.be/cd0jxM2_1so" TargetMode="External"/><Relationship Id="rId4188" Type="http://schemas.openxmlformats.org/officeDocument/2006/relationships/hyperlink" Target="https://youtu.be/nZD-6mEp9_4" TargetMode="External"/><Relationship Id="rId4187" Type="http://schemas.openxmlformats.org/officeDocument/2006/relationships/hyperlink" Target="https://youtu.be/b5e_rLltI6Y" TargetMode="External"/><Relationship Id="rId4186" Type="http://schemas.openxmlformats.org/officeDocument/2006/relationships/hyperlink" Target="https://youtu.be/biSdeqwcGMk" TargetMode="External"/><Relationship Id="rId4185" Type="http://schemas.openxmlformats.org/officeDocument/2006/relationships/hyperlink" Target="https://youtu.be/zlnnHIoxd_Y" TargetMode="External"/><Relationship Id="rId4184" Type="http://schemas.openxmlformats.org/officeDocument/2006/relationships/hyperlink" Target="https://youtu.be/bJla-JsVNpw" TargetMode="External"/><Relationship Id="rId4183" Type="http://schemas.openxmlformats.org/officeDocument/2006/relationships/hyperlink" Target="https://youtu.be/NMSKOdvS-V4" TargetMode="External"/><Relationship Id="rId4182" Type="http://schemas.openxmlformats.org/officeDocument/2006/relationships/hyperlink" Target="https://youtu.be/HV3AMOC928o" TargetMode="External"/><Relationship Id="rId4181" Type="http://schemas.openxmlformats.org/officeDocument/2006/relationships/hyperlink" Target="https://youtu.be/UpqcocSdgJQ" TargetMode="External"/><Relationship Id="rId4180" Type="http://schemas.openxmlformats.org/officeDocument/2006/relationships/hyperlink" Target="https://youtu.be/NPruKwzphc8" TargetMode="External"/><Relationship Id="rId418" Type="http://schemas.openxmlformats.org/officeDocument/2006/relationships/hyperlink" Target="https://youtu.be/9Xx0IRlh4hw" TargetMode="External"/><Relationship Id="rId4179" Type="http://schemas.openxmlformats.org/officeDocument/2006/relationships/hyperlink" Target="https://youtu.be/LbJ2xL7Tpeo" TargetMode="External"/><Relationship Id="rId4178" Type="http://schemas.openxmlformats.org/officeDocument/2006/relationships/hyperlink" Target="https://youtu.be/d8oJBrUKYTg" TargetMode="External"/><Relationship Id="rId4177" Type="http://schemas.openxmlformats.org/officeDocument/2006/relationships/hyperlink" Target="https://youtu.be/11HQORFArOg" TargetMode="External"/><Relationship Id="rId4176" Type="http://schemas.openxmlformats.org/officeDocument/2006/relationships/hyperlink" Target="https://youtu.be/176-oUVZD4E" TargetMode="External"/><Relationship Id="rId4175" Type="http://schemas.openxmlformats.org/officeDocument/2006/relationships/hyperlink" Target="https://youtu.be/mPEJTs_gFJc" TargetMode="External"/><Relationship Id="rId4174" Type="http://schemas.openxmlformats.org/officeDocument/2006/relationships/hyperlink" Target="https://youtu.be/AimHTadtopc" TargetMode="External"/><Relationship Id="rId4173" Type="http://schemas.openxmlformats.org/officeDocument/2006/relationships/hyperlink" Target="https://youtu.be/Lb-iFEjONCo" TargetMode="External"/><Relationship Id="rId4172" Type="http://schemas.openxmlformats.org/officeDocument/2006/relationships/hyperlink" Target="https://youtu.be/F_o0VmZFEu4" TargetMode="External"/><Relationship Id="rId4171" Type="http://schemas.openxmlformats.org/officeDocument/2006/relationships/hyperlink" Target="https://youtu.be/NEJr-Bt8eGI" TargetMode="External"/><Relationship Id="rId4170" Type="http://schemas.openxmlformats.org/officeDocument/2006/relationships/hyperlink" Target="https://youtu.be/T4VQqe5N2zY" TargetMode="External"/><Relationship Id="rId417" Type="http://schemas.openxmlformats.org/officeDocument/2006/relationships/hyperlink" Target="https://youtu.be/ydRjW7keLGo" TargetMode="External"/><Relationship Id="rId4169" Type="http://schemas.openxmlformats.org/officeDocument/2006/relationships/hyperlink" Target="https://youtu.be/BNKgv7u7W3Q" TargetMode="External"/><Relationship Id="rId4168" Type="http://schemas.openxmlformats.org/officeDocument/2006/relationships/hyperlink" Target="https://youtu.be/z63hrM6vHUA" TargetMode="External"/><Relationship Id="rId4167" Type="http://schemas.openxmlformats.org/officeDocument/2006/relationships/hyperlink" Target="https://youtu.be/Z6X5QhRvGWQ" TargetMode="External"/><Relationship Id="rId4166" Type="http://schemas.openxmlformats.org/officeDocument/2006/relationships/hyperlink" Target="https://youtu.be/O_rsFPpkrNs" TargetMode="External"/><Relationship Id="rId4165" Type="http://schemas.openxmlformats.org/officeDocument/2006/relationships/hyperlink" Target="https://youtu.be/03s1SM8zgO4" TargetMode="External"/><Relationship Id="rId4164" Type="http://schemas.openxmlformats.org/officeDocument/2006/relationships/hyperlink" Target="https://youtu.be/9FR2PO0r5rQ" TargetMode="External"/><Relationship Id="rId4163" Type="http://schemas.openxmlformats.org/officeDocument/2006/relationships/hyperlink" Target="https://youtu.be/W9YpNeW3tQ4" TargetMode="External"/><Relationship Id="rId4162" Type="http://schemas.openxmlformats.org/officeDocument/2006/relationships/hyperlink" Target="https://youtu.be/IIv6KxkkWtg" TargetMode="External"/><Relationship Id="rId4161" Type="http://schemas.openxmlformats.org/officeDocument/2006/relationships/hyperlink" Target="https://youtu.be/g9kUrejo52I" TargetMode="External"/><Relationship Id="rId4160" Type="http://schemas.openxmlformats.org/officeDocument/2006/relationships/hyperlink" Target="https://youtu.be/oiqFKi--C1E" TargetMode="External"/><Relationship Id="rId416" Type="http://schemas.openxmlformats.org/officeDocument/2006/relationships/hyperlink" Target="https://youtu.be/xJpbemMjqQo" TargetMode="External"/><Relationship Id="rId4159" Type="http://schemas.openxmlformats.org/officeDocument/2006/relationships/hyperlink" Target="https://youtu.be/6Mom3Fdg36c" TargetMode="External"/><Relationship Id="rId4158" Type="http://schemas.openxmlformats.org/officeDocument/2006/relationships/hyperlink" Target="https://youtu.be/twCidsVCBso" TargetMode="External"/><Relationship Id="rId4157" Type="http://schemas.openxmlformats.org/officeDocument/2006/relationships/hyperlink" Target="https://youtu.be/Jt0eqRGSlvw" TargetMode="External"/><Relationship Id="rId4156" Type="http://schemas.openxmlformats.org/officeDocument/2006/relationships/hyperlink" Target="https://youtu.be/fBB9sAitVTE" TargetMode="External"/><Relationship Id="rId4155" Type="http://schemas.openxmlformats.org/officeDocument/2006/relationships/hyperlink" Target="https://youtu.be/OcQSDUWUhNE" TargetMode="External"/><Relationship Id="rId4154" Type="http://schemas.openxmlformats.org/officeDocument/2006/relationships/hyperlink" Target="https://youtu.be/elRr7V3B7ys" TargetMode="External"/><Relationship Id="rId4153" Type="http://schemas.openxmlformats.org/officeDocument/2006/relationships/hyperlink" Target="https://youtu.be/Bgxw9s8a8vk" TargetMode="External"/><Relationship Id="rId4152" Type="http://schemas.openxmlformats.org/officeDocument/2006/relationships/hyperlink" Target="https://youtu.be/cGIY3E_WMr0" TargetMode="External"/><Relationship Id="rId4151" Type="http://schemas.openxmlformats.org/officeDocument/2006/relationships/hyperlink" Target="https://youtu.be/bQxCLl6dWC4" TargetMode="External"/><Relationship Id="rId4150" Type="http://schemas.openxmlformats.org/officeDocument/2006/relationships/hyperlink" Target="https://youtu.be/S5A2TCUw5Yc" TargetMode="External"/><Relationship Id="rId415" Type="http://schemas.openxmlformats.org/officeDocument/2006/relationships/hyperlink" Target="https://youtu.be/u1stIxjQV-Q" TargetMode="External"/><Relationship Id="rId4149" Type="http://schemas.openxmlformats.org/officeDocument/2006/relationships/hyperlink" Target="https://youtu.be/9-d_PDxLlcs" TargetMode="External"/><Relationship Id="rId4148" Type="http://schemas.openxmlformats.org/officeDocument/2006/relationships/hyperlink" Target="https://youtu.be/ChlEmzegVvI" TargetMode="External"/><Relationship Id="rId4147" Type="http://schemas.openxmlformats.org/officeDocument/2006/relationships/hyperlink" Target="https://youtu.be/wp6U3Di1Btg" TargetMode="External"/><Relationship Id="rId4146" Type="http://schemas.openxmlformats.org/officeDocument/2006/relationships/hyperlink" Target="https://youtu.be/wyzXsed6jgQ" TargetMode="External"/><Relationship Id="rId4145" Type="http://schemas.openxmlformats.org/officeDocument/2006/relationships/hyperlink" Target="https://youtu.be/fUudz3CLJPI" TargetMode="External"/><Relationship Id="rId4144" Type="http://schemas.openxmlformats.org/officeDocument/2006/relationships/hyperlink" Target="https://youtu.be/fbb63fSP14M" TargetMode="External"/><Relationship Id="rId4143" Type="http://schemas.openxmlformats.org/officeDocument/2006/relationships/hyperlink" Target="https://youtu.be/vAPlT4cExs0" TargetMode="External"/><Relationship Id="rId4142" Type="http://schemas.openxmlformats.org/officeDocument/2006/relationships/hyperlink" Target="https://youtu.be/dWNLussF_lQ" TargetMode="External"/><Relationship Id="rId4141" Type="http://schemas.openxmlformats.org/officeDocument/2006/relationships/hyperlink" Target="https://youtu.be/k_dyhxeU44s" TargetMode="External"/><Relationship Id="rId4140" Type="http://schemas.openxmlformats.org/officeDocument/2006/relationships/hyperlink" Target="https://youtu.be/bx2hZC6UyO4" TargetMode="External"/><Relationship Id="rId414" Type="http://schemas.openxmlformats.org/officeDocument/2006/relationships/hyperlink" Target="https://youtu.be/lSKw3R0e97Y" TargetMode="External"/><Relationship Id="rId4139" Type="http://schemas.openxmlformats.org/officeDocument/2006/relationships/hyperlink" Target="https://youtu.be/Z6N-tkxlfVs" TargetMode="External"/><Relationship Id="rId4138" Type="http://schemas.openxmlformats.org/officeDocument/2006/relationships/hyperlink" Target="https://youtu.be/3qSlHh23Qto" TargetMode="External"/><Relationship Id="rId4137" Type="http://schemas.openxmlformats.org/officeDocument/2006/relationships/hyperlink" Target="https://youtu.be/HMSoqSfEgS0" TargetMode="External"/><Relationship Id="rId4136" Type="http://schemas.openxmlformats.org/officeDocument/2006/relationships/hyperlink" Target="https://youtu.be/GEsg50IlmBM" TargetMode="External"/><Relationship Id="rId4135" Type="http://schemas.openxmlformats.org/officeDocument/2006/relationships/hyperlink" Target="https://youtu.be/vV61OoU-r3M" TargetMode="External"/><Relationship Id="rId4134" Type="http://schemas.openxmlformats.org/officeDocument/2006/relationships/hyperlink" Target="https://youtu.be/r_If7LyjyXo" TargetMode="External"/><Relationship Id="rId4133" Type="http://schemas.openxmlformats.org/officeDocument/2006/relationships/hyperlink" Target="https://youtu.be/0yZLP32ehRE" TargetMode="External"/><Relationship Id="rId4132" Type="http://schemas.openxmlformats.org/officeDocument/2006/relationships/hyperlink" Target="https://youtu.be/z27GRH23nkw" TargetMode="External"/><Relationship Id="rId4131" Type="http://schemas.openxmlformats.org/officeDocument/2006/relationships/hyperlink" Target="https://youtu.be/iOLh3Vxk0HM" TargetMode="External"/><Relationship Id="rId4130" Type="http://schemas.openxmlformats.org/officeDocument/2006/relationships/hyperlink" Target="https://youtu.be/g-fCkzHkn3c" TargetMode="External"/><Relationship Id="rId413" Type="http://schemas.openxmlformats.org/officeDocument/2006/relationships/hyperlink" Target="https://youtu.be/pyGrcfUK2Ts" TargetMode="External"/><Relationship Id="rId4129" Type="http://schemas.openxmlformats.org/officeDocument/2006/relationships/hyperlink" Target="https://youtu.be/64jml5rxKr0" TargetMode="External"/><Relationship Id="rId4128" Type="http://schemas.openxmlformats.org/officeDocument/2006/relationships/hyperlink" Target="https://youtu.be/W2moU4Djzbk" TargetMode="External"/><Relationship Id="rId4127" Type="http://schemas.openxmlformats.org/officeDocument/2006/relationships/hyperlink" Target="https://youtu.be/aMiP-D4SJZQ" TargetMode="External"/><Relationship Id="rId4126" Type="http://schemas.openxmlformats.org/officeDocument/2006/relationships/hyperlink" Target="https://youtu.be/idRwRcDapgg" TargetMode="External"/><Relationship Id="rId4125" Type="http://schemas.openxmlformats.org/officeDocument/2006/relationships/hyperlink" Target="https://youtu.be/5lGq5dQ2a-A" TargetMode="External"/><Relationship Id="rId4124" Type="http://schemas.openxmlformats.org/officeDocument/2006/relationships/hyperlink" Target="https://youtu.be/nMBTnYEsw6k" TargetMode="External"/><Relationship Id="rId4123" Type="http://schemas.openxmlformats.org/officeDocument/2006/relationships/hyperlink" Target="https://youtu.be/0w2umL6OYNk" TargetMode="External"/><Relationship Id="rId4122" Type="http://schemas.openxmlformats.org/officeDocument/2006/relationships/hyperlink" Target="https://youtu.be/elel_HBHSV0" TargetMode="External"/><Relationship Id="rId4121" Type="http://schemas.openxmlformats.org/officeDocument/2006/relationships/hyperlink" Target="https://youtu.be/k28G6jLx24A" TargetMode="External"/><Relationship Id="rId4120" Type="http://schemas.openxmlformats.org/officeDocument/2006/relationships/hyperlink" Target="https://youtu.be/sjJRyFNtzzk" TargetMode="External"/><Relationship Id="rId412" Type="http://schemas.openxmlformats.org/officeDocument/2006/relationships/hyperlink" Target="https://youtu.be/jo-TeN2_lxE" TargetMode="External"/><Relationship Id="rId4119" Type="http://schemas.openxmlformats.org/officeDocument/2006/relationships/hyperlink" Target="https://youtu.be/KAsoNC73uRE" TargetMode="External"/><Relationship Id="rId4118" Type="http://schemas.openxmlformats.org/officeDocument/2006/relationships/hyperlink" Target="https://youtu.be/mGvBbZE6EQ0" TargetMode="External"/><Relationship Id="rId4117" Type="http://schemas.openxmlformats.org/officeDocument/2006/relationships/hyperlink" Target="https://youtu.be/i8stQ3m-VD8" TargetMode="External"/><Relationship Id="rId4116" Type="http://schemas.openxmlformats.org/officeDocument/2006/relationships/hyperlink" Target="https://youtu.be/uy-zRqdi32E" TargetMode="External"/><Relationship Id="rId4115" Type="http://schemas.openxmlformats.org/officeDocument/2006/relationships/hyperlink" Target="https://youtu.be/VMcUN3Bp_b0" TargetMode="External"/><Relationship Id="rId4114" Type="http://schemas.openxmlformats.org/officeDocument/2006/relationships/hyperlink" Target="https://youtu.be/CbXhAEtsbHA" TargetMode="External"/><Relationship Id="rId4113" Type="http://schemas.openxmlformats.org/officeDocument/2006/relationships/hyperlink" Target="https://youtu.be/Kux0Jc53hj0" TargetMode="External"/><Relationship Id="rId4112" Type="http://schemas.openxmlformats.org/officeDocument/2006/relationships/hyperlink" Target="https://youtu.be/8IZvzs4YzzI" TargetMode="External"/><Relationship Id="rId4111" Type="http://schemas.openxmlformats.org/officeDocument/2006/relationships/hyperlink" Target="https://youtu.be/CKW1UvKmRqM" TargetMode="External"/><Relationship Id="rId4110" Type="http://schemas.openxmlformats.org/officeDocument/2006/relationships/hyperlink" Target="https://youtu.be/TRgocJcABco" TargetMode="External"/><Relationship Id="rId411" Type="http://schemas.openxmlformats.org/officeDocument/2006/relationships/hyperlink" Target="https://youtu.be/cyePTXNJ1p4" TargetMode="External"/><Relationship Id="rId4109" Type="http://schemas.openxmlformats.org/officeDocument/2006/relationships/hyperlink" Target="https://youtu.be/RGhvkVafUqI" TargetMode="External"/><Relationship Id="rId4108" Type="http://schemas.openxmlformats.org/officeDocument/2006/relationships/hyperlink" Target="https://youtu.be/sw0gWqUsD-g" TargetMode="External"/><Relationship Id="rId4107" Type="http://schemas.openxmlformats.org/officeDocument/2006/relationships/hyperlink" Target="https://youtu.be/2hz-cGhiTLE" TargetMode="External"/><Relationship Id="rId4106" Type="http://schemas.openxmlformats.org/officeDocument/2006/relationships/hyperlink" Target="https://youtu.be/BgciF5iz9fA" TargetMode="External"/><Relationship Id="rId4105" Type="http://schemas.openxmlformats.org/officeDocument/2006/relationships/hyperlink" Target="https://youtu.be/iz1XF2Acn2Y" TargetMode="External"/><Relationship Id="rId4104" Type="http://schemas.openxmlformats.org/officeDocument/2006/relationships/hyperlink" Target="https://youtu.be/FfFuEpptyUk" TargetMode="External"/><Relationship Id="rId4103" Type="http://schemas.openxmlformats.org/officeDocument/2006/relationships/hyperlink" Target="https://youtu.be/XJ3m4bB0MWo" TargetMode="External"/><Relationship Id="rId4102" Type="http://schemas.openxmlformats.org/officeDocument/2006/relationships/hyperlink" Target="https://youtu.be/BKSWVa7kt6s" TargetMode="External"/><Relationship Id="rId4101" Type="http://schemas.openxmlformats.org/officeDocument/2006/relationships/hyperlink" Target="https://youtu.be/Y9O2zoIPTZE" TargetMode="External"/><Relationship Id="rId4100" Type="http://schemas.openxmlformats.org/officeDocument/2006/relationships/hyperlink" Target="https://youtu.be/qPne2ffaG9Q" TargetMode="External"/><Relationship Id="rId410" Type="http://schemas.openxmlformats.org/officeDocument/2006/relationships/hyperlink" Target="https://youtu.be/bSKc8xvvd80" TargetMode="External"/><Relationship Id="rId41" Type="http://schemas.openxmlformats.org/officeDocument/2006/relationships/hyperlink" Target="https://youtu.be/vMu5bNadlGo" TargetMode="External"/><Relationship Id="rId4099" Type="http://schemas.openxmlformats.org/officeDocument/2006/relationships/hyperlink" Target="https://youtu.be/4Xn180k6k_Q" TargetMode="External"/><Relationship Id="rId4098" Type="http://schemas.openxmlformats.org/officeDocument/2006/relationships/hyperlink" Target="https://youtu.be/oQapAbaWrmQ" TargetMode="External"/><Relationship Id="rId4097" Type="http://schemas.openxmlformats.org/officeDocument/2006/relationships/hyperlink" Target="https://youtu.be/UleTHCoU-Zc" TargetMode="External"/><Relationship Id="rId4096" Type="http://schemas.openxmlformats.org/officeDocument/2006/relationships/hyperlink" Target="https://youtu.be/-lhmzhNYLbU" TargetMode="External"/><Relationship Id="rId4095" Type="http://schemas.openxmlformats.org/officeDocument/2006/relationships/hyperlink" Target="https://youtu.be/Y-5VO2nlRYA" TargetMode="External"/><Relationship Id="rId4094" Type="http://schemas.openxmlformats.org/officeDocument/2006/relationships/hyperlink" Target="https://youtu.be/f-MgyVJq-y4" TargetMode="External"/><Relationship Id="rId4093" Type="http://schemas.openxmlformats.org/officeDocument/2006/relationships/hyperlink" Target="https://youtu.be/mkjBW5CZWkc" TargetMode="External"/><Relationship Id="rId4092" Type="http://schemas.openxmlformats.org/officeDocument/2006/relationships/hyperlink" Target="https://youtu.be/lSz0JifzWSU" TargetMode="External"/><Relationship Id="rId4091" Type="http://schemas.openxmlformats.org/officeDocument/2006/relationships/hyperlink" Target="https://youtu.be/peKQyXZ_g5w" TargetMode="External"/><Relationship Id="rId4090" Type="http://schemas.openxmlformats.org/officeDocument/2006/relationships/hyperlink" Target="https://youtu.be/VYaNE49vv9I" TargetMode="External"/><Relationship Id="rId409" Type="http://schemas.openxmlformats.org/officeDocument/2006/relationships/hyperlink" Target="https://youtu.be/NcMCxIbPyws" TargetMode="External"/><Relationship Id="rId4089" Type="http://schemas.openxmlformats.org/officeDocument/2006/relationships/hyperlink" Target="https://youtu.be/xR0004YvK2s" TargetMode="External"/><Relationship Id="rId4088" Type="http://schemas.openxmlformats.org/officeDocument/2006/relationships/hyperlink" Target="https://youtu.be/t7nVTByMiZA" TargetMode="External"/><Relationship Id="rId4087" Type="http://schemas.openxmlformats.org/officeDocument/2006/relationships/hyperlink" Target="https://youtu.be/lswDRdT3zJw" TargetMode="External"/><Relationship Id="rId4086" Type="http://schemas.openxmlformats.org/officeDocument/2006/relationships/hyperlink" Target="https://youtu.be/SgP5N8tJisg" TargetMode="External"/><Relationship Id="rId4085" Type="http://schemas.openxmlformats.org/officeDocument/2006/relationships/hyperlink" Target="https://youtu.be/BE8LojTjo2A" TargetMode="External"/><Relationship Id="rId4084" Type="http://schemas.openxmlformats.org/officeDocument/2006/relationships/hyperlink" Target="https://youtu.be/9jqtxyvH4Vc" TargetMode="External"/><Relationship Id="rId4083" Type="http://schemas.openxmlformats.org/officeDocument/2006/relationships/hyperlink" Target="https://youtu.be/SvaG0xDdP8g" TargetMode="External"/><Relationship Id="rId4082" Type="http://schemas.openxmlformats.org/officeDocument/2006/relationships/hyperlink" Target="https://youtu.be/_lOio5YxVz8" TargetMode="External"/><Relationship Id="rId4081" Type="http://schemas.openxmlformats.org/officeDocument/2006/relationships/hyperlink" Target="https://youtu.be/hBnO8lJd2JU" TargetMode="External"/><Relationship Id="rId4080" Type="http://schemas.openxmlformats.org/officeDocument/2006/relationships/hyperlink" Target="https://youtu.be/s6twVLxek2g" TargetMode="External"/><Relationship Id="rId408" Type="http://schemas.openxmlformats.org/officeDocument/2006/relationships/hyperlink" Target="https://youtu.be/N7mz_xz5RN0" TargetMode="External"/><Relationship Id="rId4079" Type="http://schemas.openxmlformats.org/officeDocument/2006/relationships/hyperlink" Target="https://youtu.be/ejk5GL3nE5I" TargetMode="External"/><Relationship Id="rId4078" Type="http://schemas.openxmlformats.org/officeDocument/2006/relationships/hyperlink" Target="https://youtu.be/R69tCTKMP6g" TargetMode="External"/><Relationship Id="rId4077" Type="http://schemas.openxmlformats.org/officeDocument/2006/relationships/hyperlink" Target="https://youtu.be/0KDyezVYPBY" TargetMode="External"/><Relationship Id="rId4076" Type="http://schemas.openxmlformats.org/officeDocument/2006/relationships/hyperlink" Target="https://youtu.be/knRwq9DRHbw" TargetMode="External"/><Relationship Id="rId4075" Type="http://schemas.openxmlformats.org/officeDocument/2006/relationships/hyperlink" Target="https://youtu.be/PDlnNrl64S8" TargetMode="External"/><Relationship Id="rId4074" Type="http://schemas.openxmlformats.org/officeDocument/2006/relationships/hyperlink" Target="https://youtu.be/V-wXjYid4_8" TargetMode="External"/><Relationship Id="rId4073" Type="http://schemas.openxmlformats.org/officeDocument/2006/relationships/hyperlink" Target="https://youtu.be/1cFdhyVtNUw" TargetMode="External"/><Relationship Id="rId4072" Type="http://schemas.openxmlformats.org/officeDocument/2006/relationships/hyperlink" Target="https://youtu.be/3deA3BXAnHs" TargetMode="External"/><Relationship Id="rId4071" Type="http://schemas.openxmlformats.org/officeDocument/2006/relationships/hyperlink" Target="https://youtu.be/eGxJwX4HOXY" TargetMode="External"/><Relationship Id="rId4070" Type="http://schemas.openxmlformats.org/officeDocument/2006/relationships/hyperlink" Target="https://youtu.be/-eznixDTqCc" TargetMode="External"/><Relationship Id="rId407" Type="http://schemas.openxmlformats.org/officeDocument/2006/relationships/hyperlink" Target="https://youtu.be/M_UBqIsUL1A" TargetMode="External"/><Relationship Id="rId4069" Type="http://schemas.openxmlformats.org/officeDocument/2006/relationships/hyperlink" Target="https://youtu.be/Mz8jPvhUjy0" TargetMode="External"/><Relationship Id="rId4068" Type="http://schemas.openxmlformats.org/officeDocument/2006/relationships/hyperlink" Target="https://youtu.be/AX_muSpK8dU" TargetMode="External"/><Relationship Id="rId4067" Type="http://schemas.openxmlformats.org/officeDocument/2006/relationships/hyperlink" Target="https://youtu.be/EbU7dFoCoyU" TargetMode="External"/><Relationship Id="rId4066" Type="http://schemas.openxmlformats.org/officeDocument/2006/relationships/hyperlink" Target="https://youtu.be/gooXoVf_llw" TargetMode="External"/><Relationship Id="rId4065" Type="http://schemas.openxmlformats.org/officeDocument/2006/relationships/hyperlink" Target="https://youtu.be/ZYb0p991x1Y" TargetMode="External"/><Relationship Id="rId4064" Type="http://schemas.openxmlformats.org/officeDocument/2006/relationships/hyperlink" Target="https://youtu.be/YUnQCs77PoY" TargetMode="External"/><Relationship Id="rId4063" Type="http://schemas.openxmlformats.org/officeDocument/2006/relationships/hyperlink" Target="https://youtu.be/SAj12ESML_0" TargetMode="External"/><Relationship Id="rId4062" Type="http://schemas.openxmlformats.org/officeDocument/2006/relationships/hyperlink" Target="https://youtu.be/VEERQzt-9l8" TargetMode="External"/><Relationship Id="rId4061" Type="http://schemas.openxmlformats.org/officeDocument/2006/relationships/hyperlink" Target="https://youtu.be/vujmgfuL3Wk" TargetMode="External"/><Relationship Id="rId4060" Type="http://schemas.openxmlformats.org/officeDocument/2006/relationships/hyperlink" Target="https://youtu.be/CNpLLtW0xC0" TargetMode="External"/><Relationship Id="rId406" Type="http://schemas.openxmlformats.org/officeDocument/2006/relationships/hyperlink" Target="https://youtu.be/GqAheEDtWK4" TargetMode="External"/><Relationship Id="rId4059" Type="http://schemas.openxmlformats.org/officeDocument/2006/relationships/hyperlink" Target="https://youtu.be/Y53pI0Wj6KY" TargetMode="External"/><Relationship Id="rId4058" Type="http://schemas.openxmlformats.org/officeDocument/2006/relationships/hyperlink" Target="https://youtu.be/aml4u8JMn5A" TargetMode="External"/><Relationship Id="rId4057" Type="http://schemas.openxmlformats.org/officeDocument/2006/relationships/hyperlink" Target="https://youtu.be/fU4dAyVbgWw" TargetMode="External"/><Relationship Id="rId4056" Type="http://schemas.openxmlformats.org/officeDocument/2006/relationships/hyperlink" Target="https://youtu.be/bJM3rOhfje0" TargetMode="External"/><Relationship Id="rId4055" Type="http://schemas.openxmlformats.org/officeDocument/2006/relationships/hyperlink" Target="https://youtu.be/wCHo5C5EPKM" TargetMode="External"/><Relationship Id="rId4054" Type="http://schemas.openxmlformats.org/officeDocument/2006/relationships/hyperlink" Target="https://youtu.be/hqYhL8agRYM" TargetMode="External"/><Relationship Id="rId4053" Type="http://schemas.openxmlformats.org/officeDocument/2006/relationships/hyperlink" Target="https://youtu.be/iiPFT5OwDMI" TargetMode="External"/><Relationship Id="rId4052" Type="http://schemas.openxmlformats.org/officeDocument/2006/relationships/hyperlink" Target="https://youtu.be/L-oMCEemI08" TargetMode="External"/><Relationship Id="rId4051" Type="http://schemas.openxmlformats.org/officeDocument/2006/relationships/hyperlink" Target="https://youtu.be/l5cXp5ZZiZA" TargetMode="External"/><Relationship Id="rId4050" Type="http://schemas.openxmlformats.org/officeDocument/2006/relationships/hyperlink" Target="https://youtu.be/q3zgUWD7EZY" TargetMode="External"/><Relationship Id="rId405" Type="http://schemas.openxmlformats.org/officeDocument/2006/relationships/hyperlink" Target="https://youtu.be/CW5-q-JxC3o" TargetMode="External"/><Relationship Id="rId4049" Type="http://schemas.openxmlformats.org/officeDocument/2006/relationships/hyperlink" Target="https://youtu.be/sIjys2D8L_A" TargetMode="External"/><Relationship Id="rId4048" Type="http://schemas.openxmlformats.org/officeDocument/2006/relationships/hyperlink" Target="https://youtu.be/XLlBD5IaWbo" TargetMode="External"/><Relationship Id="rId4047" Type="http://schemas.openxmlformats.org/officeDocument/2006/relationships/hyperlink" Target="https://youtu.be/VyYUCseZ4i8" TargetMode="External"/><Relationship Id="rId4046" Type="http://schemas.openxmlformats.org/officeDocument/2006/relationships/hyperlink" Target="https://youtu.be/3sBlQnF3cpc" TargetMode="External"/><Relationship Id="rId4045" Type="http://schemas.openxmlformats.org/officeDocument/2006/relationships/hyperlink" Target="https://youtu.be/sCE47dK7f2E" TargetMode="External"/><Relationship Id="rId4044" Type="http://schemas.openxmlformats.org/officeDocument/2006/relationships/hyperlink" Target="https://youtu.be/nLEZQZxd3pA" TargetMode="External"/><Relationship Id="rId4043" Type="http://schemas.openxmlformats.org/officeDocument/2006/relationships/hyperlink" Target="https://youtu.be/ALaUAjtw7cg" TargetMode="External"/><Relationship Id="rId4042" Type="http://schemas.openxmlformats.org/officeDocument/2006/relationships/hyperlink" Target="https://youtu.be/fBzj2bHQENQ" TargetMode="External"/><Relationship Id="rId4041" Type="http://schemas.openxmlformats.org/officeDocument/2006/relationships/hyperlink" Target="https://youtu.be/krVj1FLDJB4" TargetMode="External"/><Relationship Id="rId4040" Type="http://schemas.openxmlformats.org/officeDocument/2006/relationships/hyperlink" Target="https://youtu.be/ADBZji-VTGU" TargetMode="External"/><Relationship Id="rId404" Type="http://schemas.openxmlformats.org/officeDocument/2006/relationships/hyperlink" Target="https://youtu.be/BC5khqpKovU" TargetMode="External"/><Relationship Id="rId4039" Type="http://schemas.openxmlformats.org/officeDocument/2006/relationships/hyperlink" Target="https://youtu.be/KqDKDD1M9Dg" TargetMode="External"/><Relationship Id="rId4038" Type="http://schemas.openxmlformats.org/officeDocument/2006/relationships/hyperlink" Target="https://youtu.be/ALtA-kve86c" TargetMode="External"/><Relationship Id="rId4037" Type="http://schemas.openxmlformats.org/officeDocument/2006/relationships/hyperlink" Target="https://youtu.be/S_exKI8MXOA" TargetMode="External"/><Relationship Id="rId4036" Type="http://schemas.openxmlformats.org/officeDocument/2006/relationships/hyperlink" Target="https://youtu.be/zxE3KBRorZI" TargetMode="External"/><Relationship Id="rId4035" Type="http://schemas.openxmlformats.org/officeDocument/2006/relationships/hyperlink" Target="https://youtu.be/OiXtvQEVKWI" TargetMode="External"/><Relationship Id="rId4034" Type="http://schemas.openxmlformats.org/officeDocument/2006/relationships/hyperlink" Target="https://youtu.be/6KWknGuxUx4" TargetMode="External"/><Relationship Id="rId4033" Type="http://schemas.openxmlformats.org/officeDocument/2006/relationships/hyperlink" Target="https://youtu.be/c7ON6zZ2pCY" TargetMode="External"/><Relationship Id="rId4032" Type="http://schemas.openxmlformats.org/officeDocument/2006/relationships/hyperlink" Target="https://youtu.be/Y3QSYZA_NK4" TargetMode="External"/><Relationship Id="rId4031" Type="http://schemas.openxmlformats.org/officeDocument/2006/relationships/hyperlink" Target="https://youtu.be/V___dKNv1pM" TargetMode="External"/><Relationship Id="rId4030" Type="http://schemas.openxmlformats.org/officeDocument/2006/relationships/hyperlink" Target="https://youtu.be/-w6w9w-MQJM" TargetMode="External"/><Relationship Id="rId403" Type="http://schemas.openxmlformats.org/officeDocument/2006/relationships/hyperlink" Target="https://youtu.be/5VEkTuD3NIk" TargetMode="External"/><Relationship Id="rId4029" Type="http://schemas.openxmlformats.org/officeDocument/2006/relationships/hyperlink" Target="https://youtu.be/0k1RZdKz3Zk" TargetMode="External"/><Relationship Id="rId4028" Type="http://schemas.openxmlformats.org/officeDocument/2006/relationships/hyperlink" Target="https://youtu.be/NreQUWr8fOs" TargetMode="External"/><Relationship Id="rId4027" Type="http://schemas.openxmlformats.org/officeDocument/2006/relationships/hyperlink" Target="https://youtu.be/e8AHmDxiHZs" TargetMode="External"/><Relationship Id="rId4026" Type="http://schemas.openxmlformats.org/officeDocument/2006/relationships/hyperlink" Target="https://youtu.be/oXzkdYVzlcc" TargetMode="External"/><Relationship Id="rId4025" Type="http://schemas.openxmlformats.org/officeDocument/2006/relationships/hyperlink" Target="https://youtu.be/Us18oQTAm9k" TargetMode="External"/><Relationship Id="rId4024" Type="http://schemas.openxmlformats.org/officeDocument/2006/relationships/hyperlink" Target="https://youtu.be/0Z6B4OB1Kr0" TargetMode="External"/><Relationship Id="rId4023" Type="http://schemas.openxmlformats.org/officeDocument/2006/relationships/hyperlink" Target="https://youtu.be/6Oaw9rNdRrQ" TargetMode="External"/><Relationship Id="rId4022" Type="http://schemas.openxmlformats.org/officeDocument/2006/relationships/hyperlink" Target="https://youtu.be/r1mKjY15XFU" TargetMode="External"/><Relationship Id="rId4021" Type="http://schemas.openxmlformats.org/officeDocument/2006/relationships/hyperlink" Target="https://youtu.be/ON1tBvz5e5w" TargetMode="External"/><Relationship Id="rId4020" Type="http://schemas.openxmlformats.org/officeDocument/2006/relationships/hyperlink" Target="https://youtu.be/Vo9Y9i1nN3U" TargetMode="External"/><Relationship Id="rId402" Type="http://schemas.openxmlformats.org/officeDocument/2006/relationships/hyperlink" Target="https://youtu.be/3jQuovAcUm4" TargetMode="External"/><Relationship Id="rId4019" Type="http://schemas.openxmlformats.org/officeDocument/2006/relationships/hyperlink" Target="https://youtu.be/LnvzphT1XCY" TargetMode="External"/><Relationship Id="rId4018" Type="http://schemas.openxmlformats.org/officeDocument/2006/relationships/hyperlink" Target="https://youtu.be/PVlpNMtoeHE" TargetMode="External"/><Relationship Id="rId4017" Type="http://schemas.openxmlformats.org/officeDocument/2006/relationships/hyperlink" Target="https://youtu.be/GFceGcsLSuY" TargetMode="External"/><Relationship Id="rId4016" Type="http://schemas.openxmlformats.org/officeDocument/2006/relationships/hyperlink" Target="https://youtu.be/lJ7i9az_yU4" TargetMode="External"/><Relationship Id="rId4015" Type="http://schemas.openxmlformats.org/officeDocument/2006/relationships/hyperlink" Target="https://youtu.be/ALe_MYH1q58" TargetMode="External"/><Relationship Id="rId4014" Type="http://schemas.openxmlformats.org/officeDocument/2006/relationships/hyperlink" Target="https://youtu.be/8aZjVA90wio" TargetMode="External"/><Relationship Id="rId4013" Type="http://schemas.openxmlformats.org/officeDocument/2006/relationships/hyperlink" Target="https://youtu.be/qWIqW3CysGw" TargetMode="External"/><Relationship Id="rId4012" Type="http://schemas.openxmlformats.org/officeDocument/2006/relationships/hyperlink" Target="https://youtu.be/8Drno0nGT3Q" TargetMode="External"/><Relationship Id="rId4011" Type="http://schemas.openxmlformats.org/officeDocument/2006/relationships/hyperlink" Target="https://youtu.be/uOCjF8MtRVg" TargetMode="External"/><Relationship Id="rId4010" Type="http://schemas.openxmlformats.org/officeDocument/2006/relationships/hyperlink" Target="https://youtu.be/LycueAyuATg" TargetMode="External"/><Relationship Id="rId401" Type="http://schemas.openxmlformats.org/officeDocument/2006/relationships/hyperlink" Target="https://youtu.be/szkJlHqriDY" TargetMode="External"/><Relationship Id="rId4009" Type="http://schemas.openxmlformats.org/officeDocument/2006/relationships/hyperlink" Target="https://youtu.be/T4ikciBsT9E" TargetMode="External"/><Relationship Id="rId4008" Type="http://schemas.openxmlformats.org/officeDocument/2006/relationships/hyperlink" Target="https://youtu.be/r3SYMALDFWE" TargetMode="External"/><Relationship Id="rId4007" Type="http://schemas.openxmlformats.org/officeDocument/2006/relationships/hyperlink" Target="https://youtu.be/rW4CUDLZtCQ" TargetMode="External"/><Relationship Id="rId4006" Type="http://schemas.openxmlformats.org/officeDocument/2006/relationships/hyperlink" Target="https://youtu.be/u37hsZQ2hUc" TargetMode="External"/><Relationship Id="rId4005" Type="http://schemas.openxmlformats.org/officeDocument/2006/relationships/hyperlink" Target="https://youtu.be/40YpG8j8O5s" TargetMode="External"/><Relationship Id="rId4004" Type="http://schemas.openxmlformats.org/officeDocument/2006/relationships/hyperlink" Target="https://youtu.be/KjA17RHNF0M" TargetMode="External"/><Relationship Id="rId4003" Type="http://schemas.openxmlformats.org/officeDocument/2006/relationships/hyperlink" Target="https://youtu.be/dEQF_C3E-Q4" TargetMode="External"/><Relationship Id="rId4002" Type="http://schemas.openxmlformats.org/officeDocument/2006/relationships/hyperlink" Target="https://youtu.be/4jkdq-BCkDI" TargetMode="External"/><Relationship Id="rId4001" Type="http://schemas.openxmlformats.org/officeDocument/2006/relationships/hyperlink" Target="https://youtu.be/9MWJi9BBznU" TargetMode="External"/><Relationship Id="rId4000" Type="http://schemas.openxmlformats.org/officeDocument/2006/relationships/hyperlink" Target="https://youtu.be/VVGrS7jVq90" TargetMode="External"/><Relationship Id="rId400" Type="http://schemas.openxmlformats.org/officeDocument/2006/relationships/hyperlink" Target="https://youtu.be/IdP-RFD9Plc" TargetMode="External"/><Relationship Id="rId40" Type="http://schemas.openxmlformats.org/officeDocument/2006/relationships/hyperlink" Target="https://youtu.be/pZp5-TFTlIY" TargetMode="External"/><Relationship Id="rId4" Type="http://schemas.openxmlformats.org/officeDocument/2006/relationships/hyperlink" Target="https://youtu.be/FpxABPoGSA0" TargetMode="External"/><Relationship Id="rId3999" Type="http://schemas.openxmlformats.org/officeDocument/2006/relationships/hyperlink" Target="https://youtu.be/DRQbGB4T5Os" TargetMode="External"/><Relationship Id="rId3998" Type="http://schemas.openxmlformats.org/officeDocument/2006/relationships/hyperlink" Target="https://youtu.be/HLDG5sNMX2M" TargetMode="External"/><Relationship Id="rId3997" Type="http://schemas.openxmlformats.org/officeDocument/2006/relationships/hyperlink" Target="https://youtu.be/8nl69I9ZX1A" TargetMode="External"/><Relationship Id="rId3996" Type="http://schemas.openxmlformats.org/officeDocument/2006/relationships/hyperlink" Target="https://youtu.be/e7dISGGxLRk" TargetMode="External"/><Relationship Id="rId3995" Type="http://schemas.openxmlformats.org/officeDocument/2006/relationships/hyperlink" Target="https://youtu.be/1Wmi2uCiEsU" TargetMode="External"/><Relationship Id="rId3994" Type="http://schemas.openxmlformats.org/officeDocument/2006/relationships/hyperlink" Target="https://youtu.be/lzf-edLOo-8" TargetMode="External"/><Relationship Id="rId3993" Type="http://schemas.openxmlformats.org/officeDocument/2006/relationships/hyperlink" Target="https://youtu.be/9OtJLltVpZI" TargetMode="External"/><Relationship Id="rId3992" Type="http://schemas.openxmlformats.org/officeDocument/2006/relationships/hyperlink" Target="https://youtu.be/JhwgG3V_GA8" TargetMode="External"/><Relationship Id="rId3991" Type="http://schemas.openxmlformats.org/officeDocument/2006/relationships/hyperlink" Target="https://youtu.be/evhdrNmcaqM" TargetMode="External"/><Relationship Id="rId3990" Type="http://schemas.openxmlformats.org/officeDocument/2006/relationships/hyperlink" Target="https://youtu.be/He2kGMRMjPk" TargetMode="External"/><Relationship Id="rId399" Type="http://schemas.openxmlformats.org/officeDocument/2006/relationships/hyperlink" Target="https://youtu.be/8WO2JzzJPVQ" TargetMode="External"/><Relationship Id="rId3989" Type="http://schemas.openxmlformats.org/officeDocument/2006/relationships/hyperlink" Target="https://youtu.be/87Tu23BrLh8" TargetMode="External"/><Relationship Id="rId3988" Type="http://schemas.openxmlformats.org/officeDocument/2006/relationships/hyperlink" Target="https://youtu.be/Ar1rnwLwP3M" TargetMode="External"/><Relationship Id="rId3987" Type="http://schemas.openxmlformats.org/officeDocument/2006/relationships/hyperlink" Target="https://youtu.be/IknfWcps40g" TargetMode="External"/><Relationship Id="rId3986" Type="http://schemas.openxmlformats.org/officeDocument/2006/relationships/hyperlink" Target="https://youtu.be/Rpfe2d3EX0o" TargetMode="External"/><Relationship Id="rId3985" Type="http://schemas.openxmlformats.org/officeDocument/2006/relationships/hyperlink" Target="https://youtu.be/3QCRriFKanM" TargetMode="External"/><Relationship Id="rId3984" Type="http://schemas.openxmlformats.org/officeDocument/2006/relationships/hyperlink" Target="https://youtu.be/zrbS0B3l56A" TargetMode="External"/><Relationship Id="rId3983" Type="http://schemas.openxmlformats.org/officeDocument/2006/relationships/hyperlink" Target="https://youtu.be/rVG53nAeUEk" TargetMode="External"/><Relationship Id="rId3982" Type="http://schemas.openxmlformats.org/officeDocument/2006/relationships/hyperlink" Target="https://youtu.be/6Yzg4QoP64A" TargetMode="External"/><Relationship Id="rId3981" Type="http://schemas.openxmlformats.org/officeDocument/2006/relationships/hyperlink" Target="https://youtu.be/POq-HEiNbHA" TargetMode="External"/><Relationship Id="rId3980" Type="http://schemas.openxmlformats.org/officeDocument/2006/relationships/hyperlink" Target="https://youtu.be/9--Ns_AYdwQ" TargetMode="External"/><Relationship Id="rId398" Type="http://schemas.openxmlformats.org/officeDocument/2006/relationships/hyperlink" Target="https://youtu.be/180pFU_h5Eg" TargetMode="External"/><Relationship Id="rId3979" Type="http://schemas.openxmlformats.org/officeDocument/2006/relationships/hyperlink" Target="https://youtu.be/7LlnAk5NiyA" TargetMode="External"/><Relationship Id="rId3978" Type="http://schemas.openxmlformats.org/officeDocument/2006/relationships/hyperlink" Target="https://youtu.be/sNMOOjemMG8" TargetMode="External"/><Relationship Id="rId3977" Type="http://schemas.openxmlformats.org/officeDocument/2006/relationships/hyperlink" Target="https://youtu.be/POB8Bnpxo6Y" TargetMode="External"/><Relationship Id="rId3976" Type="http://schemas.openxmlformats.org/officeDocument/2006/relationships/hyperlink" Target="https://youtu.be/Kq6qKhs5jFg" TargetMode="External"/><Relationship Id="rId3975" Type="http://schemas.openxmlformats.org/officeDocument/2006/relationships/hyperlink" Target="https://youtu.be/POW95rQSNj8" TargetMode="External"/><Relationship Id="rId3974" Type="http://schemas.openxmlformats.org/officeDocument/2006/relationships/hyperlink" Target="https://youtu.be/x8DG72R6pqw" TargetMode="External"/><Relationship Id="rId3973" Type="http://schemas.openxmlformats.org/officeDocument/2006/relationships/hyperlink" Target="https://youtu.be/uYMq4PvWKnE" TargetMode="External"/><Relationship Id="rId3972" Type="http://schemas.openxmlformats.org/officeDocument/2006/relationships/hyperlink" Target="https://youtu.be/BLy6bvwmAxk" TargetMode="External"/><Relationship Id="rId3971" Type="http://schemas.openxmlformats.org/officeDocument/2006/relationships/hyperlink" Target="https://youtu.be/DJBcxfxNo-M" TargetMode="External"/><Relationship Id="rId3970" Type="http://schemas.openxmlformats.org/officeDocument/2006/relationships/hyperlink" Target="https://youtu.be/j1qnGXbGf0o" TargetMode="External"/><Relationship Id="rId397" Type="http://schemas.openxmlformats.org/officeDocument/2006/relationships/hyperlink" Target="https://youtu.be/iIlAkbUKHKU" TargetMode="External"/><Relationship Id="rId3969" Type="http://schemas.openxmlformats.org/officeDocument/2006/relationships/hyperlink" Target="https://youtu.be/35StUm25Qg0" TargetMode="External"/><Relationship Id="rId3968" Type="http://schemas.openxmlformats.org/officeDocument/2006/relationships/hyperlink" Target="https://youtu.be/kCfTLc9oHa8" TargetMode="External"/><Relationship Id="rId3967" Type="http://schemas.openxmlformats.org/officeDocument/2006/relationships/hyperlink" Target="https://youtu.be/Em_KPz8OtCw" TargetMode="External"/><Relationship Id="rId3966" Type="http://schemas.openxmlformats.org/officeDocument/2006/relationships/hyperlink" Target="https://youtu.be/5iWgZ_TmL0M" TargetMode="External"/><Relationship Id="rId3965" Type="http://schemas.openxmlformats.org/officeDocument/2006/relationships/hyperlink" Target="https://youtu.be/Do9xkkSqOCw" TargetMode="External"/><Relationship Id="rId3964" Type="http://schemas.openxmlformats.org/officeDocument/2006/relationships/hyperlink" Target="https://youtu.be/EIyt5EBUlfM" TargetMode="External"/><Relationship Id="rId3963" Type="http://schemas.openxmlformats.org/officeDocument/2006/relationships/hyperlink" Target="https://youtu.be/2jo3DsRP5vA" TargetMode="External"/><Relationship Id="rId3962" Type="http://schemas.openxmlformats.org/officeDocument/2006/relationships/hyperlink" Target="https://youtu.be/BrG-8bVL-v4" TargetMode="External"/><Relationship Id="rId3961" Type="http://schemas.openxmlformats.org/officeDocument/2006/relationships/hyperlink" Target="https://youtu.be/qnkeD04jveg" TargetMode="External"/><Relationship Id="rId3960" Type="http://schemas.openxmlformats.org/officeDocument/2006/relationships/hyperlink" Target="https://youtu.be/51lS4UkrXt4" TargetMode="External"/><Relationship Id="rId396" Type="http://schemas.openxmlformats.org/officeDocument/2006/relationships/hyperlink" Target="https://youtu.be/kbS6gzmvrpY" TargetMode="External"/><Relationship Id="rId3959" Type="http://schemas.openxmlformats.org/officeDocument/2006/relationships/hyperlink" Target="https://youtu.be/iMnt6PWYscg" TargetMode="External"/><Relationship Id="rId3958" Type="http://schemas.openxmlformats.org/officeDocument/2006/relationships/hyperlink" Target="https://youtu.be/iHGIN3RlbP8" TargetMode="External"/><Relationship Id="rId3957" Type="http://schemas.openxmlformats.org/officeDocument/2006/relationships/hyperlink" Target="https://youtu.be/eA-iWUXMCic" TargetMode="External"/><Relationship Id="rId3956" Type="http://schemas.openxmlformats.org/officeDocument/2006/relationships/hyperlink" Target="https://youtu.be/OfqV8cwCbkQ" TargetMode="External"/><Relationship Id="rId3955" Type="http://schemas.openxmlformats.org/officeDocument/2006/relationships/hyperlink" Target="https://youtu.be/4qkpTy7Ba9E" TargetMode="External"/><Relationship Id="rId3954" Type="http://schemas.openxmlformats.org/officeDocument/2006/relationships/hyperlink" Target="https://youtu.be/GVE1JJaPJiI" TargetMode="External"/><Relationship Id="rId3953" Type="http://schemas.openxmlformats.org/officeDocument/2006/relationships/hyperlink" Target="https://youtu.be/ME51bNgsDaM" TargetMode="External"/><Relationship Id="rId3952" Type="http://schemas.openxmlformats.org/officeDocument/2006/relationships/hyperlink" Target="https://youtu.be/EZzIk2JFSQw" TargetMode="External"/><Relationship Id="rId3951" Type="http://schemas.openxmlformats.org/officeDocument/2006/relationships/hyperlink" Target="https://youtu.be/l9hoWRovfpM" TargetMode="External"/><Relationship Id="rId3950" Type="http://schemas.openxmlformats.org/officeDocument/2006/relationships/hyperlink" Target="https://youtu.be/UdtsueWG2mM" TargetMode="External"/><Relationship Id="rId395" Type="http://schemas.openxmlformats.org/officeDocument/2006/relationships/hyperlink" Target="https://youtu.be/YSXIOxFhLiM" TargetMode="External"/><Relationship Id="rId3949" Type="http://schemas.openxmlformats.org/officeDocument/2006/relationships/hyperlink" Target="https://youtu.be/x5zzf4L8Ec4" TargetMode="External"/><Relationship Id="rId3948" Type="http://schemas.openxmlformats.org/officeDocument/2006/relationships/hyperlink" Target="https://youtu.be/wtdhAXBSZ6M" TargetMode="External"/><Relationship Id="rId3947" Type="http://schemas.openxmlformats.org/officeDocument/2006/relationships/hyperlink" Target="https://youtu.be/zWBHO8FIP8Y" TargetMode="External"/><Relationship Id="rId3946" Type="http://schemas.openxmlformats.org/officeDocument/2006/relationships/hyperlink" Target="https://youtu.be/VVVozYAvPkk" TargetMode="External"/><Relationship Id="rId3945" Type="http://schemas.openxmlformats.org/officeDocument/2006/relationships/hyperlink" Target="https://youtu.be/la1--kuU_5U" TargetMode="External"/><Relationship Id="rId3944" Type="http://schemas.openxmlformats.org/officeDocument/2006/relationships/hyperlink" Target="https://youtu.be/aaB8ca5GJ-Y" TargetMode="External"/><Relationship Id="rId3943" Type="http://schemas.openxmlformats.org/officeDocument/2006/relationships/hyperlink" Target="https://youtu.be/mRY-E8eBkXE" TargetMode="External"/><Relationship Id="rId3942" Type="http://schemas.openxmlformats.org/officeDocument/2006/relationships/hyperlink" Target="https://youtu.be/zA1R5xZdlbQ" TargetMode="External"/><Relationship Id="rId3941" Type="http://schemas.openxmlformats.org/officeDocument/2006/relationships/hyperlink" Target="https://youtu.be/dXHRcDM6Tv8" TargetMode="External"/><Relationship Id="rId3940" Type="http://schemas.openxmlformats.org/officeDocument/2006/relationships/hyperlink" Target="https://youtu.be/KpKwKLP2Ans" TargetMode="External"/><Relationship Id="rId394" Type="http://schemas.openxmlformats.org/officeDocument/2006/relationships/hyperlink" Target="https://youtu.be/TURJhJB9F-Y" TargetMode="External"/><Relationship Id="rId3939" Type="http://schemas.openxmlformats.org/officeDocument/2006/relationships/hyperlink" Target="https://youtu.be/0a6H0EuvOZQ" TargetMode="External"/><Relationship Id="rId3938" Type="http://schemas.openxmlformats.org/officeDocument/2006/relationships/hyperlink" Target="https://youtu.be/VmmBrd7LzMk" TargetMode="External"/><Relationship Id="rId3937" Type="http://schemas.openxmlformats.org/officeDocument/2006/relationships/hyperlink" Target="https://youtu.be/fki5r9T6dZk" TargetMode="External"/><Relationship Id="rId3936" Type="http://schemas.openxmlformats.org/officeDocument/2006/relationships/hyperlink" Target="https://youtu.be/29OIVEIU0W0" TargetMode="External"/><Relationship Id="rId3935" Type="http://schemas.openxmlformats.org/officeDocument/2006/relationships/hyperlink" Target="https://youtu.be/9lq6eNqQ4_0" TargetMode="External"/><Relationship Id="rId3934" Type="http://schemas.openxmlformats.org/officeDocument/2006/relationships/hyperlink" Target="https://youtu.be/9i2j7gdHuuE" TargetMode="External"/><Relationship Id="rId3933" Type="http://schemas.openxmlformats.org/officeDocument/2006/relationships/hyperlink" Target="https://youtu.be/6UNDq1eTgPQ" TargetMode="External"/><Relationship Id="rId3932" Type="http://schemas.openxmlformats.org/officeDocument/2006/relationships/hyperlink" Target="https://youtu.be/TJ-Oer3XpGI" TargetMode="External"/><Relationship Id="rId3931" Type="http://schemas.openxmlformats.org/officeDocument/2006/relationships/hyperlink" Target="https://youtu.be/mmhJD0UHMPY" TargetMode="External"/><Relationship Id="rId3930" Type="http://schemas.openxmlformats.org/officeDocument/2006/relationships/hyperlink" Target="https://youtu.be/24VOW3shcGQ" TargetMode="External"/><Relationship Id="rId393" Type="http://schemas.openxmlformats.org/officeDocument/2006/relationships/hyperlink" Target="https://youtu.be/3yumLKlB_Ww" TargetMode="External"/><Relationship Id="rId3929" Type="http://schemas.openxmlformats.org/officeDocument/2006/relationships/hyperlink" Target="https://youtu.be/u2i7FBzFgws" TargetMode="External"/><Relationship Id="rId3928" Type="http://schemas.openxmlformats.org/officeDocument/2006/relationships/hyperlink" Target="https://youtu.be/NiejvDFB5dI" TargetMode="External"/><Relationship Id="rId3927" Type="http://schemas.openxmlformats.org/officeDocument/2006/relationships/hyperlink" Target="https://youtu.be/lZTeKvukrso" TargetMode="External"/><Relationship Id="rId3926" Type="http://schemas.openxmlformats.org/officeDocument/2006/relationships/hyperlink" Target="https://youtu.be/J5jY2IsqSLA" TargetMode="External"/><Relationship Id="rId3925" Type="http://schemas.openxmlformats.org/officeDocument/2006/relationships/hyperlink" Target="https://youtu.be/vFY7gfHh4s0" TargetMode="External"/><Relationship Id="rId3924" Type="http://schemas.openxmlformats.org/officeDocument/2006/relationships/hyperlink" Target="https://youtu.be/e4tB3RqveKQ" TargetMode="External"/><Relationship Id="rId3923" Type="http://schemas.openxmlformats.org/officeDocument/2006/relationships/hyperlink" Target="https://youtu.be/rrKMO_FuF-o" TargetMode="External"/><Relationship Id="rId3922" Type="http://schemas.openxmlformats.org/officeDocument/2006/relationships/hyperlink" Target="https://youtu.be/MrWqFOjBvMs" TargetMode="External"/><Relationship Id="rId3921" Type="http://schemas.openxmlformats.org/officeDocument/2006/relationships/hyperlink" Target="https://youtu.be/FwrrLhKNwN0" TargetMode="External"/><Relationship Id="rId3920" Type="http://schemas.openxmlformats.org/officeDocument/2006/relationships/hyperlink" Target="https://youtu.be/2Jq42IqYlBo" TargetMode="External"/><Relationship Id="rId392" Type="http://schemas.openxmlformats.org/officeDocument/2006/relationships/hyperlink" Target="https://youtu.be/GtgxGhXLDBQ" TargetMode="External"/><Relationship Id="rId3919" Type="http://schemas.openxmlformats.org/officeDocument/2006/relationships/hyperlink" Target="https://youtu.be/vO45Gh_orM0" TargetMode="External"/><Relationship Id="rId3918" Type="http://schemas.openxmlformats.org/officeDocument/2006/relationships/hyperlink" Target="https://youtu.be/0pm9DTgoVIM" TargetMode="External"/><Relationship Id="rId3917" Type="http://schemas.openxmlformats.org/officeDocument/2006/relationships/hyperlink" Target="https://youtu.be/SIuFcNphMzY" TargetMode="External"/><Relationship Id="rId3916" Type="http://schemas.openxmlformats.org/officeDocument/2006/relationships/hyperlink" Target="https://youtu.be/yw5m9QXYvRQ" TargetMode="External"/><Relationship Id="rId3915" Type="http://schemas.openxmlformats.org/officeDocument/2006/relationships/hyperlink" Target="https://youtu.be/Oa1ayR3PVSE" TargetMode="External"/><Relationship Id="rId3914" Type="http://schemas.openxmlformats.org/officeDocument/2006/relationships/hyperlink" Target="https://youtu.be/3f7qFCYYB0E" TargetMode="External"/><Relationship Id="rId3913" Type="http://schemas.openxmlformats.org/officeDocument/2006/relationships/hyperlink" Target="https://youtu.be/3VSD6YcgsBw" TargetMode="External"/><Relationship Id="rId3912" Type="http://schemas.openxmlformats.org/officeDocument/2006/relationships/hyperlink" Target="https://youtu.be/qtSie19oVKE" TargetMode="External"/><Relationship Id="rId3911" Type="http://schemas.openxmlformats.org/officeDocument/2006/relationships/hyperlink" Target="https://youtu.be/iBsgd-JQx9A" TargetMode="External"/><Relationship Id="rId3910" Type="http://schemas.openxmlformats.org/officeDocument/2006/relationships/hyperlink" Target="https://youtu.be/hG3Z3HcfWq0" TargetMode="External"/><Relationship Id="rId391" Type="http://schemas.openxmlformats.org/officeDocument/2006/relationships/hyperlink" Target="https://youtu.be/HgHr_1DOrrU" TargetMode="External"/><Relationship Id="rId3909" Type="http://schemas.openxmlformats.org/officeDocument/2006/relationships/hyperlink" Target="https://youtu.be/K-1mpjet12k" TargetMode="External"/><Relationship Id="rId3908" Type="http://schemas.openxmlformats.org/officeDocument/2006/relationships/hyperlink" Target="https://youtu.be/IdBbNdRsFeM" TargetMode="External"/><Relationship Id="rId3907" Type="http://schemas.openxmlformats.org/officeDocument/2006/relationships/hyperlink" Target="https://youtu.be/p18j_vmIyso" TargetMode="External"/><Relationship Id="rId3906" Type="http://schemas.openxmlformats.org/officeDocument/2006/relationships/hyperlink" Target="https://youtu.be/p7zgcKFGbtk" TargetMode="External"/><Relationship Id="rId3905" Type="http://schemas.openxmlformats.org/officeDocument/2006/relationships/hyperlink" Target="https://youtu.be/PTeM4ZqEKR4" TargetMode="External"/><Relationship Id="rId3904" Type="http://schemas.openxmlformats.org/officeDocument/2006/relationships/hyperlink" Target="https://youtu.be/sbr9nH8ix4k" TargetMode="External"/><Relationship Id="rId3903" Type="http://schemas.openxmlformats.org/officeDocument/2006/relationships/hyperlink" Target="https://youtu.be/Jje78j9E6Hw" TargetMode="External"/><Relationship Id="rId3902" Type="http://schemas.openxmlformats.org/officeDocument/2006/relationships/hyperlink" Target="https://youtu.be/bxtlzby4YjM" TargetMode="External"/><Relationship Id="rId3901" Type="http://schemas.openxmlformats.org/officeDocument/2006/relationships/hyperlink" Target="https://youtu.be/CMnfcWTY4uQ" TargetMode="External"/><Relationship Id="rId3900" Type="http://schemas.openxmlformats.org/officeDocument/2006/relationships/hyperlink" Target="https://youtu.be/0vkXMHGSqKw" TargetMode="External"/><Relationship Id="rId390" Type="http://schemas.openxmlformats.org/officeDocument/2006/relationships/hyperlink" Target="https://youtu.be/49-2VDRBRX4" TargetMode="External"/><Relationship Id="rId39" Type="http://schemas.openxmlformats.org/officeDocument/2006/relationships/hyperlink" Target="https://youtu.be/G77jdUMUj0Y" TargetMode="External"/><Relationship Id="rId3899" Type="http://schemas.openxmlformats.org/officeDocument/2006/relationships/hyperlink" Target="https://youtu.be/9w3SakwPXQc" TargetMode="External"/><Relationship Id="rId3898" Type="http://schemas.openxmlformats.org/officeDocument/2006/relationships/hyperlink" Target="https://youtu.be/Ffxj35bxwnw" TargetMode="External"/><Relationship Id="rId3897" Type="http://schemas.openxmlformats.org/officeDocument/2006/relationships/hyperlink" Target="https://youtu.be/_vHQBjvGg-k" TargetMode="External"/><Relationship Id="rId3896" Type="http://schemas.openxmlformats.org/officeDocument/2006/relationships/hyperlink" Target="https://youtu.be/QZa0haNFy1M" TargetMode="External"/><Relationship Id="rId3895" Type="http://schemas.openxmlformats.org/officeDocument/2006/relationships/hyperlink" Target="https://youtu.be/pSUDohqwg3I" TargetMode="External"/><Relationship Id="rId3894" Type="http://schemas.openxmlformats.org/officeDocument/2006/relationships/hyperlink" Target="https://youtu.be/S5Y94_rEsfs" TargetMode="External"/><Relationship Id="rId3893" Type="http://schemas.openxmlformats.org/officeDocument/2006/relationships/hyperlink" Target="https://youtu.be/rFZ50AZedhw" TargetMode="External"/><Relationship Id="rId3892" Type="http://schemas.openxmlformats.org/officeDocument/2006/relationships/hyperlink" Target="https://youtu.be/ThBMvOIkkII" TargetMode="External"/><Relationship Id="rId3891" Type="http://schemas.openxmlformats.org/officeDocument/2006/relationships/hyperlink" Target="https://youtu.be/c6Rb5B0vrgI" TargetMode="External"/><Relationship Id="rId3890" Type="http://schemas.openxmlformats.org/officeDocument/2006/relationships/hyperlink" Target="https://youtu.be/8-juzSr4HPI" TargetMode="External"/><Relationship Id="rId389" Type="http://schemas.openxmlformats.org/officeDocument/2006/relationships/hyperlink" Target="https://youtu.be/I5c0a6mBF8k" TargetMode="External"/><Relationship Id="rId3889" Type="http://schemas.openxmlformats.org/officeDocument/2006/relationships/hyperlink" Target="https://youtu.be/1elSL-w1B8g" TargetMode="External"/><Relationship Id="rId3888" Type="http://schemas.openxmlformats.org/officeDocument/2006/relationships/hyperlink" Target="https://youtu.be/YUwoKuQywrk" TargetMode="External"/><Relationship Id="rId3887" Type="http://schemas.openxmlformats.org/officeDocument/2006/relationships/hyperlink" Target="https://youtu.be/cTMzkHa8rCI" TargetMode="External"/><Relationship Id="rId3886" Type="http://schemas.openxmlformats.org/officeDocument/2006/relationships/hyperlink" Target="https://youtu.be/mrD8gjnwMcg" TargetMode="External"/><Relationship Id="rId3885" Type="http://schemas.openxmlformats.org/officeDocument/2006/relationships/hyperlink" Target="https://youtu.be/DU0Vhd1ceDQ" TargetMode="External"/><Relationship Id="rId3884" Type="http://schemas.openxmlformats.org/officeDocument/2006/relationships/hyperlink" Target="https://youtu.be/0yiJNA7dTAw" TargetMode="External"/><Relationship Id="rId3883" Type="http://schemas.openxmlformats.org/officeDocument/2006/relationships/hyperlink" Target="https://youtu.be/AKevqfI2ZeY" TargetMode="External"/><Relationship Id="rId3882" Type="http://schemas.openxmlformats.org/officeDocument/2006/relationships/hyperlink" Target="https://youtu.be/8uorMEOWl08" TargetMode="External"/><Relationship Id="rId3881" Type="http://schemas.openxmlformats.org/officeDocument/2006/relationships/hyperlink" Target="https://youtu.be/QO_-kkjY9qU" TargetMode="External"/><Relationship Id="rId3880" Type="http://schemas.openxmlformats.org/officeDocument/2006/relationships/hyperlink" Target="https://youtu.be/WjbKvj15DZM" TargetMode="External"/><Relationship Id="rId388" Type="http://schemas.openxmlformats.org/officeDocument/2006/relationships/hyperlink" Target="https://youtu.be/_fRSaLAEW2s" TargetMode="External"/><Relationship Id="rId3879" Type="http://schemas.openxmlformats.org/officeDocument/2006/relationships/hyperlink" Target="https://youtu.be/3mihT5ECrS8" TargetMode="External"/><Relationship Id="rId3878" Type="http://schemas.openxmlformats.org/officeDocument/2006/relationships/hyperlink" Target="https://youtu.be/N0_QB0kWhVo" TargetMode="External"/><Relationship Id="rId3877" Type="http://schemas.openxmlformats.org/officeDocument/2006/relationships/hyperlink" Target="https://youtu.be/RyyQSMq29W8" TargetMode="External"/><Relationship Id="rId3876" Type="http://schemas.openxmlformats.org/officeDocument/2006/relationships/hyperlink" Target="https://youtu.be/a1AZHMg-J5Q" TargetMode="External"/><Relationship Id="rId3875" Type="http://schemas.openxmlformats.org/officeDocument/2006/relationships/hyperlink" Target="https://youtu.be/vhOQ1Xz7oOo" TargetMode="External"/><Relationship Id="rId3874" Type="http://schemas.openxmlformats.org/officeDocument/2006/relationships/hyperlink" Target="https://youtu.be/0R_FSS22P_E" TargetMode="External"/><Relationship Id="rId3873" Type="http://schemas.openxmlformats.org/officeDocument/2006/relationships/hyperlink" Target="https://youtu.be/pLOpRnxyySI" TargetMode="External"/><Relationship Id="rId3872" Type="http://schemas.openxmlformats.org/officeDocument/2006/relationships/hyperlink" Target="https://youtu.be/S1fO9QAOxi0" TargetMode="External"/><Relationship Id="rId3871" Type="http://schemas.openxmlformats.org/officeDocument/2006/relationships/hyperlink" Target="https://youtu.be/0KAq-5gwq-s" TargetMode="External"/><Relationship Id="rId3870" Type="http://schemas.openxmlformats.org/officeDocument/2006/relationships/hyperlink" Target="https://youtu.be/Y2NwvJa37Ng" TargetMode="External"/><Relationship Id="rId387" Type="http://schemas.openxmlformats.org/officeDocument/2006/relationships/hyperlink" Target="https://youtu.be/DIkqs9_FK28" TargetMode="External"/><Relationship Id="rId3869" Type="http://schemas.openxmlformats.org/officeDocument/2006/relationships/hyperlink" Target="https://youtu.be/76tf_uy7skQ" TargetMode="External"/><Relationship Id="rId3868" Type="http://schemas.openxmlformats.org/officeDocument/2006/relationships/hyperlink" Target="https://youtu.be/xbZ4MlTw2JA" TargetMode="External"/><Relationship Id="rId3867" Type="http://schemas.openxmlformats.org/officeDocument/2006/relationships/hyperlink" Target="https://youtu.be/cUCn0TRb2dA" TargetMode="External"/><Relationship Id="rId3866" Type="http://schemas.openxmlformats.org/officeDocument/2006/relationships/hyperlink" Target="https://youtu.be/HKx13fAzs4Q" TargetMode="External"/><Relationship Id="rId3865" Type="http://schemas.openxmlformats.org/officeDocument/2006/relationships/hyperlink" Target="https://youtu.be/s5-R-HjWEUA" TargetMode="External"/><Relationship Id="rId3864" Type="http://schemas.openxmlformats.org/officeDocument/2006/relationships/hyperlink" Target="https://youtu.be/yiTstmr1WHo" TargetMode="External"/><Relationship Id="rId3863" Type="http://schemas.openxmlformats.org/officeDocument/2006/relationships/hyperlink" Target="https://youtu.be/tAwTJPUHkEs" TargetMode="External"/><Relationship Id="rId3862" Type="http://schemas.openxmlformats.org/officeDocument/2006/relationships/hyperlink" Target="https://youtu.be/uqZVf08nEYc" TargetMode="External"/><Relationship Id="rId3861" Type="http://schemas.openxmlformats.org/officeDocument/2006/relationships/hyperlink" Target="https://youtu.be/m3NDbu5Y8c4" TargetMode="External"/><Relationship Id="rId3860" Type="http://schemas.openxmlformats.org/officeDocument/2006/relationships/hyperlink" Target="https://youtu.be/0AvtBkZdiME" TargetMode="External"/><Relationship Id="rId386" Type="http://schemas.openxmlformats.org/officeDocument/2006/relationships/hyperlink" Target="https://youtu.be/aDhvP6qEvVM" TargetMode="External"/><Relationship Id="rId3859" Type="http://schemas.openxmlformats.org/officeDocument/2006/relationships/hyperlink" Target="https://youtu.be/BsxL_B5_rO0" TargetMode="External"/><Relationship Id="rId3858" Type="http://schemas.openxmlformats.org/officeDocument/2006/relationships/hyperlink" Target="https://youtu.be/VkCyzw88r_E" TargetMode="External"/><Relationship Id="rId3857" Type="http://schemas.openxmlformats.org/officeDocument/2006/relationships/hyperlink" Target="https://youtu.be/S6RKyIIyOqM" TargetMode="External"/><Relationship Id="rId3856" Type="http://schemas.openxmlformats.org/officeDocument/2006/relationships/hyperlink" Target="https://youtu.be/hyS81PPCErY" TargetMode="External"/><Relationship Id="rId3855" Type="http://schemas.openxmlformats.org/officeDocument/2006/relationships/hyperlink" Target="https://youtu.be/O0sL7mGsDpU" TargetMode="External"/><Relationship Id="rId3854" Type="http://schemas.openxmlformats.org/officeDocument/2006/relationships/hyperlink" Target="https://youtu.be/Yf1NAwSoE6s" TargetMode="External"/><Relationship Id="rId3853" Type="http://schemas.openxmlformats.org/officeDocument/2006/relationships/hyperlink" Target="https://youtu.be/R8l-1j-kZo8" TargetMode="External"/><Relationship Id="rId3852" Type="http://schemas.openxmlformats.org/officeDocument/2006/relationships/hyperlink" Target="https://youtu.be/CuHuoad7b8k" TargetMode="External"/><Relationship Id="rId3851" Type="http://schemas.openxmlformats.org/officeDocument/2006/relationships/hyperlink" Target="https://youtu.be/IVoXpBEwFyY" TargetMode="External"/><Relationship Id="rId3850" Type="http://schemas.openxmlformats.org/officeDocument/2006/relationships/hyperlink" Target="https://youtu.be/fkV_r8pxhbI" TargetMode="External"/><Relationship Id="rId385" Type="http://schemas.openxmlformats.org/officeDocument/2006/relationships/hyperlink" Target="https://youtu.be/PapBjpzRhnA" TargetMode="External"/><Relationship Id="rId3849" Type="http://schemas.openxmlformats.org/officeDocument/2006/relationships/hyperlink" Target="https://youtu.be/3J--96zTgJg" TargetMode="External"/><Relationship Id="rId3848" Type="http://schemas.openxmlformats.org/officeDocument/2006/relationships/hyperlink" Target="https://youtu.be/xI4rKSsAbH4" TargetMode="External"/><Relationship Id="rId3847" Type="http://schemas.openxmlformats.org/officeDocument/2006/relationships/hyperlink" Target="https://youtu.be/vwrrnrp3rTE" TargetMode="External"/><Relationship Id="rId3846" Type="http://schemas.openxmlformats.org/officeDocument/2006/relationships/hyperlink" Target="https://youtu.be/OMc7GHIsfk0" TargetMode="External"/><Relationship Id="rId3845" Type="http://schemas.openxmlformats.org/officeDocument/2006/relationships/hyperlink" Target="https://youtu.be/psO0Y6vImMA" TargetMode="External"/><Relationship Id="rId3844" Type="http://schemas.openxmlformats.org/officeDocument/2006/relationships/hyperlink" Target="https://youtu.be/gNpH0kBmtFQ" TargetMode="External"/><Relationship Id="rId3843" Type="http://schemas.openxmlformats.org/officeDocument/2006/relationships/hyperlink" Target="https://youtu.be/8-ZEGrmluNM" TargetMode="External"/><Relationship Id="rId3842" Type="http://schemas.openxmlformats.org/officeDocument/2006/relationships/hyperlink" Target="https://youtu.be/UbxL_Ub9B64" TargetMode="External"/><Relationship Id="rId3841" Type="http://schemas.openxmlformats.org/officeDocument/2006/relationships/hyperlink" Target="https://youtu.be/yi391opiZ0A" TargetMode="External"/><Relationship Id="rId3840" Type="http://schemas.openxmlformats.org/officeDocument/2006/relationships/hyperlink" Target="https://youtu.be/eZbX95fqPmM" TargetMode="External"/><Relationship Id="rId384" Type="http://schemas.openxmlformats.org/officeDocument/2006/relationships/hyperlink" Target="https://youtu.be/iZ3pNJlozLY" TargetMode="External"/><Relationship Id="rId3839" Type="http://schemas.openxmlformats.org/officeDocument/2006/relationships/hyperlink" Target="https://youtu.be/uWvgWuVwpKg" TargetMode="External"/><Relationship Id="rId3838" Type="http://schemas.openxmlformats.org/officeDocument/2006/relationships/hyperlink" Target="https://youtu.be/6tBVSyDNboQ" TargetMode="External"/><Relationship Id="rId3837" Type="http://schemas.openxmlformats.org/officeDocument/2006/relationships/hyperlink" Target="https://youtu.be/Ot2I9ahOjGY" TargetMode="External"/><Relationship Id="rId3836" Type="http://schemas.openxmlformats.org/officeDocument/2006/relationships/hyperlink" Target="https://youtu.be/qVsIp5G_Yms" TargetMode="External"/><Relationship Id="rId3835" Type="http://schemas.openxmlformats.org/officeDocument/2006/relationships/hyperlink" Target="https://youtu.be/vyWm3JJT_k0" TargetMode="External"/><Relationship Id="rId3834" Type="http://schemas.openxmlformats.org/officeDocument/2006/relationships/hyperlink" Target="https://youtu.be/nlQNIPBc6TY" TargetMode="External"/><Relationship Id="rId3833" Type="http://schemas.openxmlformats.org/officeDocument/2006/relationships/hyperlink" Target="https://youtu.be/nnUSnZDY7yE" TargetMode="External"/><Relationship Id="rId3832" Type="http://schemas.openxmlformats.org/officeDocument/2006/relationships/hyperlink" Target="https://youtu.be/zsATmjG79ew" TargetMode="External"/><Relationship Id="rId3831" Type="http://schemas.openxmlformats.org/officeDocument/2006/relationships/hyperlink" Target="https://youtu.be/DwsQQtKFmz0" TargetMode="External"/><Relationship Id="rId3830" Type="http://schemas.openxmlformats.org/officeDocument/2006/relationships/hyperlink" Target="https://youtu.be/UcjM2GhMD-E" TargetMode="External"/><Relationship Id="rId383" Type="http://schemas.openxmlformats.org/officeDocument/2006/relationships/hyperlink" Target="https://youtu.be/sxajQGQp4-s" TargetMode="External"/><Relationship Id="rId3829" Type="http://schemas.openxmlformats.org/officeDocument/2006/relationships/hyperlink" Target="https://youtu.be/u6UJxP3n0Lw" TargetMode="External"/><Relationship Id="rId3828" Type="http://schemas.openxmlformats.org/officeDocument/2006/relationships/hyperlink" Target="https://youtu.be/FhY3zGFlw_Q" TargetMode="External"/><Relationship Id="rId3827" Type="http://schemas.openxmlformats.org/officeDocument/2006/relationships/hyperlink" Target="https://youtu.be/x-4JTTQ4FAU" TargetMode="External"/><Relationship Id="rId3826" Type="http://schemas.openxmlformats.org/officeDocument/2006/relationships/hyperlink" Target="https://youtu.be/2cDSD60qSz0" TargetMode="External"/><Relationship Id="rId3825" Type="http://schemas.openxmlformats.org/officeDocument/2006/relationships/hyperlink" Target="https://youtu.be/QYWdLUxLlnc" TargetMode="External"/><Relationship Id="rId3824" Type="http://schemas.openxmlformats.org/officeDocument/2006/relationships/hyperlink" Target="https://youtu.be/WCCIAeh4_Zk" TargetMode="External"/><Relationship Id="rId3823" Type="http://schemas.openxmlformats.org/officeDocument/2006/relationships/hyperlink" Target="https://youtu.be/Q9B9MlfvqVM" TargetMode="External"/><Relationship Id="rId3822" Type="http://schemas.openxmlformats.org/officeDocument/2006/relationships/hyperlink" Target="https://youtu.be/cJcMvUNIAhc" TargetMode="External"/><Relationship Id="rId3821" Type="http://schemas.openxmlformats.org/officeDocument/2006/relationships/hyperlink" Target="https://youtu.be/GOclsLhvzdY" TargetMode="External"/><Relationship Id="rId3820" Type="http://schemas.openxmlformats.org/officeDocument/2006/relationships/hyperlink" Target="https://youtu.be/4bj831dCzVk" TargetMode="External"/><Relationship Id="rId382" Type="http://schemas.openxmlformats.org/officeDocument/2006/relationships/hyperlink" Target="https://youtu.be/0hSdAvJhpm4" TargetMode="External"/><Relationship Id="rId3819" Type="http://schemas.openxmlformats.org/officeDocument/2006/relationships/hyperlink" Target="https://youtu.be/e_4BQCS1XZs" TargetMode="External"/><Relationship Id="rId3818" Type="http://schemas.openxmlformats.org/officeDocument/2006/relationships/hyperlink" Target="https://youtu.be/_xUlhaFKjsE" TargetMode="External"/><Relationship Id="rId3817" Type="http://schemas.openxmlformats.org/officeDocument/2006/relationships/hyperlink" Target="https://youtu.be/65RrRQ2E7Xs" TargetMode="External"/><Relationship Id="rId3816" Type="http://schemas.openxmlformats.org/officeDocument/2006/relationships/hyperlink" Target="https://youtu.be/s5ZymKzCVsM" TargetMode="External"/><Relationship Id="rId3815" Type="http://schemas.openxmlformats.org/officeDocument/2006/relationships/hyperlink" Target="https://youtu.be/0kb57v9dZJo" TargetMode="External"/><Relationship Id="rId3814" Type="http://schemas.openxmlformats.org/officeDocument/2006/relationships/hyperlink" Target="https://youtu.be/cxMe8PFaAOY" TargetMode="External"/><Relationship Id="rId3813" Type="http://schemas.openxmlformats.org/officeDocument/2006/relationships/hyperlink" Target="https://youtu.be/pbz5J3O2gyU" TargetMode="External"/><Relationship Id="rId3812" Type="http://schemas.openxmlformats.org/officeDocument/2006/relationships/hyperlink" Target="https://youtu.be/R8hvFOpxehA" TargetMode="External"/><Relationship Id="rId3811" Type="http://schemas.openxmlformats.org/officeDocument/2006/relationships/hyperlink" Target="https://youtu.be/kglk3bdaImc" TargetMode="External"/><Relationship Id="rId3810" Type="http://schemas.openxmlformats.org/officeDocument/2006/relationships/hyperlink" Target="https://youtu.be/CJvvb6jfe3w" TargetMode="External"/><Relationship Id="rId381" Type="http://schemas.openxmlformats.org/officeDocument/2006/relationships/hyperlink" Target="https://youtu.be/jhbL9JtTIQg" TargetMode="External"/><Relationship Id="rId3809" Type="http://schemas.openxmlformats.org/officeDocument/2006/relationships/hyperlink" Target="https://youtu.be/PZlTbVuUgX0" TargetMode="External"/><Relationship Id="rId3808" Type="http://schemas.openxmlformats.org/officeDocument/2006/relationships/hyperlink" Target="https://youtu.be/F0vSIJBfUl8" TargetMode="External"/><Relationship Id="rId3807" Type="http://schemas.openxmlformats.org/officeDocument/2006/relationships/hyperlink" Target="https://youtu.be/2VtQC9VnS_Q" TargetMode="External"/><Relationship Id="rId3806" Type="http://schemas.openxmlformats.org/officeDocument/2006/relationships/hyperlink" Target="https://youtu.be/MjQ0j1a9RcA" TargetMode="External"/><Relationship Id="rId3805" Type="http://schemas.openxmlformats.org/officeDocument/2006/relationships/hyperlink" Target="https://youtu.be/v7yngnjivQ4" TargetMode="External"/><Relationship Id="rId3804" Type="http://schemas.openxmlformats.org/officeDocument/2006/relationships/hyperlink" Target="https://youtu.be/PWnwIW3JHH4" TargetMode="External"/><Relationship Id="rId3803" Type="http://schemas.openxmlformats.org/officeDocument/2006/relationships/hyperlink" Target="https://youtu.be/BBl65R8a0XQ" TargetMode="External"/><Relationship Id="rId3802" Type="http://schemas.openxmlformats.org/officeDocument/2006/relationships/hyperlink" Target="https://youtu.be/EUBqARUjYvM" TargetMode="External"/><Relationship Id="rId3801" Type="http://schemas.openxmlformats.org/officeDocument/2006/relationships/hyperlink" Target="https://youtu.be/YBr7P0D6Kkk" TargetMode="External"/><Relationship Id="rId3800" Type="http://schemas.openxmlformats.org/officeDocument/2006/relationships/hyperlink" Target="https://youtu.be/I2WUz8hpOkI" TargetMode="External"/><Relationship Id="rId380" Type="http://schemas.openxmlformats.org/officeDocument/2006/relationships/hyperlink" Target="https://youtu.be/t3uLFB5IxRk" TargetMode="External"/><Relationship Id="rId38" Type="http://schemas.openxmlformats.org/officeDocument/2006/relationships/hyperlink" Target="https://youtu.be/iNVgnOXq-m8" TargetMode="External"/><Relationship Id="rId3799" Type="http://schemas.openxmlformats.org/officeDocument/2006/relationships/hyperlink" Target="https://youtu.be/bbTKRPnYaZc" TargetMode="External"/><Relationship Id="rId3798" Type="http://schemas.openxmlformats.org/officeDocument/2006/relationships/hyperlink" Target="https://youtu.be/u0Q86S7hYO0" TargetMode="External"/><Relationship Id="rId3797" Type="http://schemas.openxmlformats.org/officeDocument/2006/relationships/hyperlink" Target="https://youtu.be/-LwNaMMMFws" TargetMode="External"/><Relationship Id="rId3796" Type="http://schemas.openxmlformats.org/officeDocument/2006/relationships/hyperlink" Target="https://youtu.be/REY8JbGtLMg" TargetMode="External"/><Relationship Id="rId3795" Type="http://schemas.openxmlformats.org/officeDocument/2006/relationships/hyperlink" Target="https://youtu.be/dyT0iKqYg0g" TargetMode="External"/><Relationship Id="rId3794" Type="http://schemas.openxmlformats.org/officeDocument/2006/relationships/hyperlink" Target="https://youtu.be/6KlNJ2scxcw" TargetMode="External"/><Relationship Id="rId3793" Type="http://schemas.openxmlformats.org/officeDocument/2006/relationships/hyperlink" Target="https://youtu.be/dy7ounc7GB8" TargetMode="External"/><Relationship Id="rId3792" Type="http://schemas.openxmlformats.org/officeDocument/2006/relationships/hyperlink" Target="https://youtu.be/9y8-ajXQ0nc" TargetMode="External"/><Relationship Id="rId3791" Type="http://schemas.openxmlformats.org/officeDocument/2006/relationships/hyperlink" Target="https://youtu.be/T4axdEwLguE" TargetMode="External"/><Relationship Id="rId3790" Type="http://schemas.openxmlformats.org/officeDocument/2006/relationships/hyperlink" Target="https://youtu.be/iDwd701cXxk" TargetMode="External"/><Relationship Id="rId379" Type="http://schemas.openxmlformats.org/officeDocument/2006/relationships/hyperlink" Target="https://youtu.be/KA-aYSyeBB0" TargetMode="External"/><Relationship Id="rId3789" Type="http://schemas.openxmlformats.org/officeDocument/2006/relationships/hyperlink" Target="https://youtu.be/9DP0O8uBm68" TargetMode="External"/><Relationship Id="rId3788" Type="http://schemas.openxmlformats.org/officeDocument/2006/relationships/hyperlink" Target="https://youtu.be/YKnyE1Fa1Mw" TargetMode="External"/><Relationship Id="rId3787" Type="http://schemas.openxmlformats.org/officeDocument/2006/relationships/hyperlink" Target="https://youtu.be/ldzRCO55cUw" TargetMode="External"/><Relationship Id="rId3786" Type="http://schemas.openxmlformats.org/officeDocument/2006/relationships/hyperlink" Target="https://youtu.be/1PNzPh1jJhE" TargetMode="External"/><Relationship Id="rId3785" Type="http://schemas.openxmlformats.org/officeDocument/2006/relationships/hyperlink" Target="https://youtu.be/f-yyMM5c6J0" TargetMode="External"/><Relationship Id="rId3784" Type="http://schemas.openxmlformats.org/officeDocument/2006/relationships/hyperlink" Target="https://youtu.be/6qSktYoxsxo" TargetMode="External"/><Relationship Id="rId3783" Type="http://schemas.openxmlformats.org/officeDocument/2006/relationships/hyperlink" Target="https://youtu.be/8DuBCAF6vE4" TargetMode="External"/><Relationship Id="rId3782" Type="http://schemas.openxmlformats.org/officeDocument/2006/relationships/hyperlink" Target="https://youtu.be/bXkUenG3izQ" TargetMode="External"/><Relationship Id="rId3781" Type="http://schemas.openxmlformats.org/officeDocument/2006/relationships/hyperlink" Target="https://youtu.be/zwNbMv_Pujc" TargetMode="External"/><Relationship Id="rId3780" Type="http://schemas.openxmlformats.org/officeDocument/2006/relationships/hyperlink" Target="https://youtu.be/syunkxkacLA" TargetMode="External"/><Relationship Id="rId378" Type="http://schemas.openxmlformats.org/officeDocument/2006/relationships/hyperlink" Target="https://youtu.be/l7MMTm1-DAA" TargetMode="External"/><Relationship Id="rId3779" Type="http://schemas.openxmlformats.org/officeDocument/2006/relationships/hyperlink" Target="https://youtu.be/UKwa1jbMS40" TargetMode="External"/><Relationship Id="rId3778" Type="http://schemas.openxmlformats.org/officeDocument/2006/relationships/hyperlink" Target="https://youtu.be/fORo5XeK4DU" TargetMode="External"/><Relationship Id="rId3777" Type="http://schemas.openxmlformats.org/officeDocument/2006/relationships/hyperlink" Target="https://youtu.be/W_3FHecSOHE" TargetMode="External"/><Relationship Id="rId3776" Type="http://schemas.openxmlformats.org/officeDocument/2006/relationships/hyperlink" Target="https://youtu.be/_QIESV73OJA" TargetMode="External"/><Relationship Id="rId3775" Type="http://schemas.openxmlformats.org/officeDocument/2006/relationships/hyperlink" Target="https://youtu.be/uYAjudD51EY" TargetMode="External"/><Relationship Id="rId3774" Type="http://schemas.openxmlformats.org/officeDocument/2006/relationships/hyperlink" Target="https://youtu.be/eHBFR1biJX8" TargetMode="External"/><Relationship Id="rId3773" Type="http://schemas.openxmlformats.org/officeDocument/2006/relationships/hyperlink" Target="https://youtu.be/otlbX8ky4yw" TargetMode="External"/><Relationship Id="rId3772" Type="http://schemas.openxmlformats.org/officeDocument/2006/relationships/hyperlink" Target="https://youtu.be/iRhoYm7Fqrg" TargetMode="External"/><Relationship Id="rId3771" Type="http://schemas.openxmlformats.org/officeDocument/2006/relationships/hyperlink" Target="https://youtu.be/0-Knwsw2fSI" TargetMode="External"/><Relationship Id="rId3770" Type="http://schemas.openxmlformats.org/officeDocument/2006/relationships/hyperlink" Target="https://youtu.be/7ZktPYY6_84" TargetMode="External"/><Relationship Id="rId377" Type="http://schemas.openxmlformats.org/officeDocument/2006/relationships/hyperlink" Target="https://youtu.be/7xXWHklpOqI" TargetMode="External"/><Relationship Id="rId3769" Type="http://schemas.openxmlformats.org/officeDocument/2006/relationships/hyperlink" Target="https://youtu.be/Ee3hBkCs4O0" TargetMode="External"/><Relationship Id="rId3768" Type="http://schemas.openxmlformats.org/officeDocument/2006/relationships/hyperlink" Target="https://youtu.be/J2mDVCSVnYo" TargetMode="External"/><Relationship Id="rId3767" Type="http://schemas.openxmlformats.org/officeDocument/2006/relationships/hyperlink" Target="https://youtu.be/wOfuKrJYpqU" TargetMode="External"/><Relationship Id="rId3766" Type="http://schemas.openxmlformats.org/officeDocument/2006/relationships/hyperlink" Target="https://youtu.be/TIs8GPgq_0I" TargetMode="External"/><Relationship Id="rId3765" Type="http://schemas.openxmlformats.org/officeDocument/2006/relationships/hyperlink" Target="https://youtu.be/2lLTP4yxcTA" TargetMode="External"/><Relationship Id="rId3764" Type="http://schemas.openxmlformats.org/officeDocument/2006/relationships/hyperlink" Target="https://youtu.be/9kcv4DQhft0" TargetMode="External"/><Relationship Id="rId3763" Type="http://schemas.openxmlformats.org/officeDocument/2006/relationships/hyperlink" Target="https://youtu.be/jEXoMpmfJcM" TargetMode="External"/><Relationship Id="rId3762" Type="http://schemas.openxmlformats.org/officeDocument/2006/relationships/hyperlink" Target="https://youtu.be/WzA1Uciv7VQ" TargetMode="External"/><Relationship Id="rId3761" Type="http://schemas.openxmlformats.org/officeDocument/2006/relationships/hyperlink" Target="https://youtu.be/psWbhnqz1l0" TargetMode="External"/><Relationship Id="rId3760" Type="http://schemas.openxmlformats.org/officeDocument/2006/relationships/hyperlink" Target="https://youtu.be/ytQ0bYcIX-c" TargetMode="External"/><Relationship Id="rId376" Type="http://schemas.openxmlformats.org/officeDocument/2006/relationships/hyperlink" Target="https://youtu.be/UnRwCRWeLqw" TargetMode="External"/><Relationship Id="rId3759" Type="http://schemas.openxmlformats.org/officeDocument/2006/relationships/hyperlink" Target="https://youtu.be/kX_w4mUlvjQ" TargetMode="External"/><Relationship Id="rId3758" Type="http://schemas.openxmlformats.org/officeDocument/2006/relationships/hyperlink" Target="https://youtu.be/cj5LTHPi5w0" TargetMode="External"/><Relationship Id="rId3757" Type="http://schemas.openxmlformats.org/officeDocument/2006/relationships/hyperlink" Target="https://youtu.be/I1C33rgC7X0" TargetMode="External"/><Relationship Id="rId3756" Type="http://schemas.openxmlformats.org/officeDocument/2006/relationships/hyperlink" Target="https://youtu.be/tV-cyS7iIe8" TargetMode="External"/><Relationship Id="rId3755" Type="http://schemas.openxmlformats.org/officeDocument/2006/relationships/hyperlink" Target="https://youtu.be/_FAPXKtj2ds" TargetMode="External"/><Relationship Id="rId3754" Type="http://schemas.openxmlformats.org/officeDocument/2006/relationships/hyperlink" Target="https://youtu.be/vWTUGgNKG9Q" TargetMode="External"/><Relationship Id="rId3753" Type="http://schemas.openxmlformats.org/officeDocument/2006/relationships/hyperlink" Target="https://youtu.be/MujkxjrMA2Y" TargetMode="External"/><Relationship Id="rId3752" Type="http://schemas.openxmlformats.org/officeDocument/2006/relationships/hyperlink" Target="https://youtu.be/RrqVQ_oxtb4" TargetMode="External"/><Relationship Id="rId3751" Type="http://schemas.openxmlformats.org/officeDocument/2006/relationships/hyperlink" Target="https://youtu.be/anbNrKAZ3ZY" TargetMode="External"/><Relationship Id="rId3750" Type="http://schemas.openxmlformats.org/officeDocument/2006/relationships/hyperlink" Target="https://youtu.be/8JL8kXpO2a0" TargetMode="External"/><Relationship Id="rId375" Type="http://schemas.openxmlformats.org/officeDocument/2006/relationships/hyperlink" Target="https://youtu.be/vwfe-KQJwNc" TargetMode="External"/><Relationship Id="rId3749" Type="http://schemas.openxmlformats.org/officeDocument/2006/relationships/hyperlink" Target="https://youtu.be/nv9wfi0Na4w" TargetMode="External"/><Relationship Id="rId3748" Type="http://schemas.openxmlformats.org/officeDocument/2006/relationships/hyperlink" Target="https://youtu.be/X3v-LG3lMsY" TargetMode="External"/><Relationship Id="rId3747" Type="http://schemas.openxmlformats.org/officeDocument/2006/relationships/hyperlink" Target="https://youtu.be/srNy2NKoPqk" TargetMode="External"/><Relationship Id="rId3746" Type="http://schemas.openxmlformats.org/officeDocument/2006/relationships/hyperlink" Target="https://youtu.be/Uyc8agPJ7pQ" TargetMode="External"/><Relationship Id="rId3745" Type="http://schemas.openxmlformats.org/officeDocument/2006/relationships/hyperlink" Target="https://youtu.be/LEQX7IJt2x4" TargetMode="External"/><Relationship Id="rId3744" Type="http://schemas.openxmlformats.org/officeDocument/2006/relationships/hyperlink" Target="https://youtu.be/p7fZMYtfA8A" TargetMode="External"/><Relationship Id="rId3743" Type="http://schemas.openxmlformats.org/officeDocument/2006/relationships/hyperlink" Target="https://youtu.be/DOX3GNi_oz0" TargetMode="External"/><Relationship Id="rId3742" Type="http://schemas.openxmlformats.org/officeDocument/2006/relationships/hyperlink" Target="https://youtu.be/e8NLNej6mC8" TargetMode="External"/><Relationship Id="rId3741" Type="http://schemas.openxmlformats.org/officeDocument/2006/relationships/hyperlink" Target="https://youtu.be/cIamEABjVyA" TargetMode="External"/><Relationship Id="rId3740" Type="http://schemas.openxmlformats.org/officeDocument/2006/relationships/hyperlink" Target="https://youtu.be/RkD5JprAxNQ" TargetMode="External"/><Relationship Id="rId374" Type="http://schemas.openxmlformats.org/officeDocument/2006/relationships/hyperlink" Target="https://youtu.be/iHlMyvBvVTE" TargetMode="External"/><Relationship Id="rId3739" Type="http://schemas.openxmlformats.org/officeDocument/2006/relationships/hyperlink" Target="https://youtu.be/zMtFaqXJFmc" TargetMode="External"/><Relationship Id="rId3738" Type="http://schemas.openxmlformats.org/officeDocument/2006/relationships/hyperlink" Target="https://youtu.be/nWd3-oh2Dbo" TargetMode="External"/><Relationship Id="rId3737" Type="http://schemas.openxmlformats.org/officeDocument/2006/relationships/hyperlink" Target="https://youtu.be/2UWFXY0hGfM" TargetMode="External"/><Relationship Id="rId3736" Type="http://schemas.openxmlformats.org/officeDocument/2006/relationships/hyperlink" Target="https://youtu.be/GMRDlmmgD-w" TargetMode="External"/><Relationship Id="rId3735" Type="http://schemas.openxmlformats.org/officeDocument/2006/relationships/hyperlink" Target="https://youtu.be/tOn3K9u1JbU" TargetMode="External"/><Relationship Id="rId3734" Type="http://schemas.openxmlformats.org/officeDocument/2006/relationships/hyperlink" Target="https://youtu.be/scL5wNVQKGs" TargetMode="External"/><Relationship Id="rId3733" Type="http://schemas.openxmlformats.org/officeDocument/2006/relationships/hyperlink" Target="https://youtu.be/GMA8JrNQX1Y" TargetMode="External"/><Relationship Id="rId3732" Type="http://schemas.openxmlformats.org/officeDocument/2006/relationships/hyperlink" Target="https://youtu.be/3L1py3dP8kk" TargetMode="External"/><Relationship Id="rId3731" Type="http://schemas.openxmlformats.org/officeDocument/2006/relationships/hyperlink" Target="https://youtu.be/efToKfN51BQ" TargetMode="External"/><Relationship Id="rId3730" Type="http://schemas.openxmlformats.org/officeDocument/2006/relationships/hyperlink" Target="https://youtu.be/dTBiV3nSFWI" TargetMode="External"/><Relationship Id="rId373" Type="http://schemas.openxmlformats.org/officeDocument/2006/relationships/hyperlink" Target="https://youtu.be/iqRRWse9DaY" TargetMode="External"/><Relationship Id="rId3729" Type="http://schemas.openxmlformats.org/officeDocument/2006/relationships/hyperlink" Target="https://youtu.be/8bqkABFZnG8" TargetMode="External"/><Relationship Id="rId3728" Type="http://schemas.openxmlformats.org/officeDocument/2006/relationships/hyperlink" Target="https://youtu.be/fRNQIiGHYuI" TargetMode="External"/><Relationship Id="rId3727" Type="http://schemas.openxmlformats.org/officeDocument/2006/relationships/hyperlink" Target="https://youtu.be/uxi50vrwKFs" TargetMode="External"/><Relationship Id="rId3726" Type="http://schemas.openxmlformats.org/officeDocument/2006/relationships/hyperlink" Target="https://youtu.be/5HhvfKRCbQ8" TargetMode="External"/><Relationship Id="rId3725" Type="http://schemas.openxmlformats.org/officeDocument/2006/relationships/hyperlink" Target="https://youtu.be/4iSACXQS5Vc" TargetMode="External"/><Relationship Id="rId3724" Type="http://schemas.openxmlformats.org/officeDocument/2006/relationships/hyperlink" Target="https://youtu.be/l4VuAeUO6yI" TargetMode="External"/><Relationship Id="rId3723" Type="http://schemas.openxmlformats.org/officeDocument/2006/relationships/hyperlink" Target="https://youtu.be/D2yhG5cZuQg" TargetMode="External"/><Relationship Id="rId3722" Type="http://schemas.openxmlformats.org/officeDocument/2006/relationships/hyperlink" Target="https://youtu.be/IhBcdY_o0mU" TargetMode="External"/><Relationship Id="rId3721" Type="http://schemas.openxmlformats.org/officeDocument/2006/relationships/hyperlink" Target="https://youtu.be/X8kP1aZTNFo" TargetMode="External"/><Relationship Id="rId3720" Type="http://schemas.openxmlformats.org/officeDocument/2006/relationships/hyperlink" Target="https://youtu.be/GwixAyVHHU0" TargetMode="External"/><Relationship Id="rId372" Type="http://schemas.openxmlformats.org/officeDocument/2006/relationships/hyperlink" Target="https://youtu.be/AK0blY50X5c" TargetMode="External"/><Relationship Id="rId3719" Type="http://schemas.openxmlformats.org/officeDocument/2006/relationships/hyperlink" Target="https://youtu.be/xGp98cqlTgw" TargetMode="External"/><Relationship Id="rId3718" Type="http://schemas.openxmlformats.org/officeDocument/2006/relationships/hyperlink" Target="https://youtu.be/OQ-Co3cId3c" TargetMode="External"/><Relationship Id="rId3717" Type="http://schemas.openxmlformats.org/officeDocument/2006/relationships/hyperlink" Target="https://youtu.be/Hsw94X6ovIw" TargetMode="External"/><Relationship Id="rId3716" Type="http://schemas.openxmlformats.org/officeDocument/2006/relationships/hyperlink" Target="https://youtu.be/hE_2sQpr4PA" TargetMode="External"/><Relationship Id="rId3715" Type="http://schemas.openxmlformats.org/officeDocument/2006/relationships/hyperlink" Target="https://youtu.be/I29jwRWnN4I" TargetMode="External"/><Relationship Id="rId3714" Type="http://schemas.openxmlformats.org/officeDocument/2006/relationships/hyperlink" Target="https://youtu.be/kduLGUgXQ2I" TargetMode="External"/><Relationship Id="rId3713" Type="http://schemas.openxmlformats.org/officeDocument/2006/relationships/hyperlink" Target="https://youtu.be/9yFziJ7J7GY" TargetMode="External"/><Relationship Id="rId3712" Type="http://schemas.openxmlformats.org/officeDocument/2006/relationships/hyperlink" Target="https://youtu.be/sVgu-LGiw6k" TargetMode="External"/><Relationship Id="rId3711" Type="http://schemas.openxmlformats.org/officeDocument/2006/relationships/hyperlink" Target="https://youtu.be/bgoMll8MmKI" TargetMode="External"/><Relationship Id="rId3710" Type="http://schemas.openxmlformats.org/officeDocument/2006/relationships/hyperlink" Target="https://youtu.be/4RUjz2TYUOk" TargetMode="External"/><Relationship Id="rId371" Type="http://schemas.openxmlformats.org/officeDocument/2006/relationships/hyperlink" Target="https://youtu.be/8MbcriX4dks" TargetMode="External"/><Relationship Id="rId3709" Type="http://schemas.openxmlformats.org/officeDocument/2006/relationships/hyperlink" Target="https://youtu.be/7F_tgmWpOVs" TargetMode="External"/><Relationship Id="rId3708" Type="http://schemas.openxmlformats.org/officeDocument/2006/relationships/hyperlink" Target="https://youtu.be/4oe5z1IBJBU" TargetMode="External"/><Relationship Id="rId3707" Type="http://schemas.openxmlformats.org/officeDocument/2006/relationships/hyperlink" Target="https://youtu.be/FstovgoN4J4" TargetMode="External"/><Relationship Id="rId3706" Type="http://schemas.openxmlformats.org/officeDocument/2006/relationships/hyperlink" Target="https://youtu.be/NuJxe8XoYW0" TargetMode="External"/><Relationship Id="rId3705" Type="http://schemas.openxmlformats.org/officeDocument/2006/relationships/hyperlink" Target="https://youtu.be/tBtZ54cKj3o" TargetMode="External"/><Relationship Id="rId3704" Type="http://schemas.openxmlformats.org/officeDocument/2006/relationships/hyperlink" Target="https://youtu.be/gR3A0IhsP48" TargetMode="External"/><Relationship Id="rId3703" Type="http://schemas.openxmlformats.org/officeDocument/2006/relationships/hyperlink" Target="https://youtu.be/WqciLBr6t7c" TargetMode="External"/><Relationship Id="rId3702" Type="http://schemas.openxmlformats.org/officeDocument/2006/relationships/hyperlink" Target="https://youtu.be/YwwVrnLWUvA" TargetMode="External"/><Relationship Id="rId3701" Type="http://schemas.openxmlformats.org/officeDocument/2006/relationships/hyperlink" Target="https://youtu.be/HX_GZiNog_I" TargetMode="External"/><Relationship Id="rId3700" Type="http://schemas.openxmlformats.org/officeDocument/2006/relationships/hyperlink" Target="https://youtu.be/w2JC775S1hE" TargetMode="External"/><Relationship Id="rId370" Type="http://schemas.openxmlformats.org/officeDocument/2006/relationships/hyperlink" Target="https://youtu.be/uMjXb7T-evE" TargetMode="External"/><Relationship Id="rId37" Type="http://schemas.openxmlformats.org/officeDocument/2006/relationships/hyperlink" Target="https://youtu.be/OQ7t0eBBlG8" TargetMode="External"/><Relationship Id="rId3699" Type="http://schemas.openxmlformats.org/officeDocument/2006/relationships/hyperlink" Target="https://youtu.be/f3NLaZPHLgE" TargetMode="External"/><Relationship Id="rId3698" Type="http://schemas.openxmlformats.org/officeDocument/2006/relationships/hyperlink" Target="https://youtu.be/cC1qPuCdS9I" TargetMode="External"/><Relationship Id="rId3697" Type="http://schemas.openxmlformats.org/officeDocument/2006/relationships/hyperlink" Target="https://youtu.be/Fw0WH6guVYM" TargetMode="External"/><Relationship Id="rId3696" Type="http://schemas.openxmlformats.org/officeDocument/2006/relationships/hyperlink" Target="https://youtu.be/wU2eZNbt1m0" TargetMode="External"/><Relationship Id="rId3695" Type="http://schemas.openxmlformats.org/officeDocument/2006/relationships/hyperlink" Target="https://youtu.be/--xB13b1UOI" TargetMode="External"/><Relationship Id="rId3694" Type="http://schemas.openxmlformats.org/officeDocument/2006/relationships/hyperlink" Target="https://youtu.be/aQOVs7G3fNk" TargetMode="External"/><Relationship Id="rId3693" Type="http://schemas.openxmlformats.org/officeDocument/2006/relationships/hyperlink" Target="https://youtu.be/l1PceS4yRGQ" TargetMode="External"/><Relationship Id="rId3692" Type="http://schemas.openxmlformats.org/officeDocument/2006/relationships/hyperlink" Target="https://youtu.be/Z3a4gufbUOg" TargetMode="External"/><Relationship Id="rId3691" Type="http://schemas.openxmlformats.org/officeDocument/2006/relationships/hyperlink" Target="https://youtu.be/mxh57wwJonI" TargetMode="External"/><Relationship Id="rId3690" Type="http://schemas.openxmlformats.org/officeDocument/2006/relationships/hyperlink" Target="https://youtu.be/c6rpZXPDLhc" TargetMode="External"/><Relationship Id="rId369" Type="http://schemas.openxmlformats.org/officeDocument/2006/relationships/hyperlink" Target="https://youtu.be/TgcI8ur72x0" TargetMode="External"/><Relationship Id="rId3689" Type="http://schemas.openxmlformats.org/officeDocument/2006/relationships/hyperlink" Target="https://youtu.be/AbLhM94HDjY" TargetMode="External"/><Relationship Id="rId3688" Type="http://schemas.openxmlformats.org/officeDocument/2006/relationships/hyperlink" Target="https://youtu.be/E-lTPK5sQAA" TargetMode="External"/><Relationship Id="rId3687" Type="http://schemas.openxmlformats.org/officeDocument/2006/relationships/hyperlink" Target="https://youtu.be/O-T7CZeiRqM" TargetMode="External"/><Relationship Id="rId3686" Type="http://schemas.openxmlformats.org/officeDocument/2006/relationships/hyperlink" Target="https://youtu.be/10V3au51LWc" TargetMode="External"/><Relationship Id="rId3685" Type="http://schemas.openxmlformats.org/officeDocument/2006/relationships/hyperlink" Target="https://youtu.be/OvXQs87N624" TargetMode="External"/><Relationship Id="rId3684" Type="http://schemas.openxmlformats.org/officeDocument/2006/relationships/hyperlink" Target="https://youtu.be/OV5iUcdrPSE" TargetMode="External"/><Relationship Id="rId3683" Type="http://schemas.openxmlformats.org/officeDocument/2006/relationships/hyperlink" Target="https://youtu.be/rUpwB4qMaMM" TargetMode="External"/><Relationship Id="rId3682" Type="http://schemas.openxmlformats.org/officeDocument/2006/relationships/hyperlink" Target="https://youtu.be/SEbOlyngWDk" TargetMode="External"/><Relationship Id="rId3681" Type="http://schemas.openxmlformats.org/officeDocument/2006/relationships/hyperlink" Target="https://youtu.be/2Cmh3YsUuJA" TargetMode="External"/><Relationship Id="rId3680" Type="http://schemas.openxmlformats.org/officeDocument/2006/relationships/hyperlink" Target="https://youtu.be/5YOTuB4TcL0" TargetMode="External"/><Relationship Id="rId368" Type="http://schemas.openxmlformats.org/officeDocument/2006/relationships/hyperlink" Target="https://youtu.be/RmQpLuc0MtE" TargetMode="External"/><Relationship Id="rId3679" Type="http://schemas.openxmlformats.org/officeDocument/2006/relationships/hyperlink" Target="https://youtu.be/kbGestZ4KTA" TargetMode="External"/><Relationship Id="rId3678" Type="http://schemas.openxmlformats.org/officeDocument/2006/relationships/hyperlink" Target="https://youtu.be/QSz6UITs_Cg" TargetMode="External"/><Relationship Id="rId3677" Type="http://schemas.openxmlformats.org/officeDocument/2006/relationships/hyperlink" Target="https://youtu.be/ut5oWQTyAx8" TargetMode="External"/><Relationship Id="rId3676" Type="http://schemas.openxmlformats.org/officeDocument/2006/relationships/hyperlink" Target="https://youtu.be/_CnRVXV4Q50" TargetMode="External"/><Relationship Id="rId3675" Type="http://schemas.openxmlformats.org/officeDocument/2006/relationships/hyperlink" Target="https://youtu.be/iK8HkV0Ge5Y" TargetMode="External"/><Relationship Id="rId3674" Type="http://schemas.openxmlformats.org/officeDocument/2006/relationships/hyperlink" Target="https://youtu.be/C_CO-4fJz0M" TargetMode="External"/><Relationship Id="rId3673" Type="http://schemas.openxmlformats.org/officeDocument/2006/relationships/hyperlink" Target="https://youtu.be/ePALXCWQjvA" TargetMode="External"/><Relationship Id="rId3672" Type="http://schemas.openxmlformats.org/officeDocument/2006/relationships/hyperlink" Target="https://youtu.be/aQpFcS3FeRQ" TargetMode="External"/><Relationship Id="rId3671" Type="http://schemas.openxmlformats.org/officeDocument/2006/relationships/hyperlink" Target="https://youtu.be/8Mr2BTTwbkY" TargetMode="External"/><Relationship Id="rId3670" Type="http://schemas.openxmlformats.org/officeDocument/2006/relationships/hyperlink" Target="https://youtu.be/iIUCevyU4l4" TargetMode="External"/><Relationship Id="rId367" Type="http://schemas.openxmlformats.org/officeDocument/2006/relationships/hyperlink" Target="https://youtu.be/5peaq6aKIvI" TargetMode="External"/><Relationship Id="rId3669" Type="http://schemas.openxmlformats.org/officeDocument/2006/relationships/hyperlink" Target="https://youtu.be/DxmWaH0GaxI" TargetMode="External"/><Relationship Id="rId3668" Type="http://schemas.openxmlformats.org/officeDocument/2006/relationships/hyperlink" Target="https://youtu.be/sR85BtWNpZA" TargetMode="External"/><Relationship Id="rId3667" Type="http://schemas.openxmlformats.org/officeDocument/2006/relationships/hyperlink" Target="https://youtu.be/o2jGR8uIlC0" TargetMode="External"/><Relationship Id="rId3666" Type="http://schemas.openxmlformats.org/officeDocument/2006/relationships/hyperlink" Target="https://youtu.be/15aAvSV8KJY" TargetMode="External"/><Relationship Id="rId3665" Type="http://schemas.openxmlformats.org/officeDocument/2006/relationships/hyperlink" Target="https://youtu.be/8wwgZRsA_eE" TargetMode="External"/><Relationship Id="rId3664" Type="http://schemas.openxmlformats.org/officeDocument/2006/relationships/hyperlink" Target="https://youtu.be/ybwb-W2xMGc" TargetMode="External"/><Relationship Id="rId3663" Type="http://schemas.openxmlformats.org/officeDocument/2006/relationships/hyperlink" Target="https://youtu.be/MVAfflk0PJU" TargetMode="External"/><Relationship Id="rId3662" Type="http://schemas.openxmlformats.org/officeDocument/2006/relationships/hyperlink" Target="https://youtu.be/N4_WXjp9Hzo" TargetMode="External"/><Relationship Id="rId3661" Type="http://schemas.openxmlformats.org/officeDocument/2006/relationships/hyperlink" Target="https://youtu.be/YqaLtJf9eGc" TargetMode="External"/><Relationship Id="rId3660" Type="http://schemas.openxmlformats.org/officeDocument/2006/relationships/hyperlink" Target="https://youtu.be/N-1T5ZdcCxs" TargetMode="External"/><Relationship Id="rId366" Type="http://schemas.openxmlformats.org/officeDocument/2006/relationships/hyperlink" Target="https://youtu.be/AKA9FeqX_ns" TargetMode="External"/><Relationship Id="rId3659" Type="http://schemas.openxmlformats.org/officeDocument/2006/relationships/hyperlink" Target="https://youtu.be/80fkgZfwnk0" TargetMode="External"/><Relationship Id="rId3658" Type="http://schemas.openxmlformats.org/officeDocument/2006/relationships/hyperlink" Target="https://youtu.be/CwiUhxL4TwM" TargetMode="External"/><Relationship Id="rId3657" Type="http://schemas.openxmlformats.org/officeDocument/2006/relationships/hyperlink" Target="https://youtu.be/nrQ2912Miuk" TargetMode="External"/><Relationship Id="rId3656" Type="http://schemas.openxmlformats.org/officeDocument/2006/relationships/hyperlink" Target="https://youtu.be/deAcVKv5_2I" TargetMode="External"/><Relationship Id="rId3655" Type="http://schemas.openxmlformats.org/officeDocument/2006/relationships/hyperlink" Target="https://youtu.be/kApcB7lod2s" TargetMode="External"/><Relationship Id="rId3654" Type="http://schemas.openxmlformats.org/officeDocument/2006/relationships/hyperlink" Target="https://youtu.be/dvHQ1vV21i0" TargetMode="External"/><Relationship Id="rId3653" Type="http://schemas.openxmlformats.org/officeDocument/2006/relationships/hyperlink" Target="https://youtu.be/5wtN9FF_jn8" TargetMode="External"/><Relationship Id="rId3652" Type="http://schemas.openxmlformats.org/officeDocument/2006/relationships/hyperlink" Target="https://youtu.be/eveNwSz6734" TargetMode="External"/><Relationship Id="rId3651" Type="http://schemas.openxmlformats.org/officeDocument/2006/relationships/hyperlink" Target="https://youtu.be/HtGJSRyFmgs" TargetMode="External"/><Relationship Id="rId3650" Type="http://schemas.openxmlformats.org/officeDocument/2006/relationships/hyperlink" Target="https://youtu.be/LqOEaDo7DdU" TargetMode="External"/><Relationship Id="rId365" Type="http://schemas.openxmlformats.org/officeDocument/2006/relationships/hyperlink" Target="https://youtu.be/TIHDSfOlSKc" TargetMode="External"/><Relationship Id="rId3649" Type="http://schemas.openxmlformats.org/officeDocument/2006/relationships/hyperlink" Target="https://youtu.be/kWcO-bz1f3w" TargetMode="External"/><Relationship Id="rId3648" Type="http://schemas.openxmlformats.org/officeDocument/2006/relationships/hyperlink" Target="https://youtu.be/_htxk1sv_7c" TargetMode="External"/><Relationship Id="rId3647" Type="http://schemas.openxmlformats.org/officeDocument/2006/relationships/hyperlink" Target="https://youtu.be/PNdsJHEDW_M" TargetMode="External"/><Relationship Id="rId3646" Type="http://schemas.openxmlformats.org/officeDocument/2006/relationships/hyperlink" Target="https://youtu.be/hYCO9_B61oA" TargetMode="External"/><Relationship Id="rId3645" Type="http://schemas.openxmlformats.org/officeDocument/2006/relationships/hyperlink" Target="https://youtu.be/zL1tfSBVRVM" TargetMode="External"/><Relationship Id="rId3644" Type="http://schemas.openxmlformats.org/officeDocument/2006/relationships/hyperlink" Target="https://youtu.be/k7s4ubmj99U" TargetMode="External"/><Relationship Id="rId3643" Type="http://schemas.openxmlformats.org/officeDocument/2006/relationships/hyperlink" Target="https://youtu.be/63bAwZuxfo4" TargetMode="External"/><Relationship Id="rId3642" Type="http://schemas.openxmlformats.org/officeDocument/2006/relationships/hyperlink" Target="https://youtu.be/QDMDZh8y72o" TargetMode="External"/><Relationship Id="rId3641" Type="http://schemas.openxmlformats.org/officeDocument/2006/relationships/hyperlink" Target="https://youtu.be/jwpiSPdHITo" TargetMode="External"/><Relationship Id="rId3640" Type="http://schemas.openxmlformats.org/officeDocument/2006/relationships/hyperlink" Target="https://youtu.be/3bk_WKF5gCc" TargetMode="External"/><Relationship Id="rId364" Type="http://schemas.openxmlformats.org/officeDocument/2006/relationships/hyperlink" Target="https://youtu.be/vaB7eZ5jNn4" TargetMode="External"/><Relationship Id="rId3639" Type="http://schemas.openxmlformats.org/officeDocument/2006/relationships/hyperlink" Target="https://youtu.be/A6vZMw40ArA" TargetMode="External"/><Relationship Id="rId3638" Type="http://schemas.openxmlformats.org/officeDocument/2006/relationships/hyperlink" Target="https://youtu.be/527fb3-UZGo" TargetMode="External"/><Relationship Id="rId3637" Type="http://schemas.openxmlformats.org/officeDocument/2006/relationships/hyperlink" Target="https://youtu.be/U63O0naPtyg" TargetMode="External"/><Relationship Id="rId3636" Type="http://schemas.openxmlformats.org/officeDocument/2006/relationships/hyperlink" Target="https://youtu.be/m4qYACF3wAk" TargetMode="External"/><Relationship Id="rId3635" Type="http://schemas.openxmlformats.org/officeDocument/2006/relationships/hyperlink" Target="https://youtu.be/U4YIFl0_AQE" TargetMode="External"/><Relationship Id="rId3634" Type="http://schemas.openxmlformats.org/officeDocument/2006/relationships/hyperlink" Target="https://youtu.be/bgUhdI7-0O8" TargetMode="External"/><Relationship Id="rId3633" Type="http://schemas.openxmlformats.org/officeDocument/2006/relationships/hyperlink" Target="https://youtu.be/16rfcTbU_D4" TargetMode="External"/><Relationship Id="rId3632" Type="http://schemas.openxmlformats.org/officeDocument/2006/relationships/hyperlink" Target="https://youtu.be/TD9N_VyqXXE" TargetMode="External"/><Relationship Id="rId3631" Type="http://schemas.openxmlformats.org/officeDocument/2006/relationships/hyperlink" Target="https://youtu.be/ID36q7gBwwM" TargetMode="External"/><Relationship Id="rId3630" Type="http://schemas.openxmlformats.org/officeDocument/2006/relationships/hyperlink" Target="https://youtu.be/KDGpfAzCaDk" TargetMode="External"/><Relationship Id="rId363" Type="http://schemas.openxmlformats.org/officeDocument/2006/relationships/hyperlink" Target="https://youtu.be/4czjS9h4Fpg" TargetMode="External"/><Relationship Id="rId3629" Type="http://schemas.openxmlformats.org/officeDocument/2006/relationships/hyperlink" Target="https://youtu.be/IDGVUBAeq8I" TargetMode="External"/><Relationship Id="rId3628" Type="http://schemas.openxmlformats.org/officeDocument/2006/relationships/hyperlink" Target="https://youtu.be/rZwKysRcWsY" TargetMode="External"/><Relationship Id="rId3627" Type="http://schemas.openxmlformats.org/officeDocument/2006/relationships/hyperlink" Target="https://youtu.be/-DftngDMvNM" TargetMode="External"/><Relationship Id="rId3626" Type="http://schemas.openxmlformats.org/officeDocument/2006/relationships/hyperlink" Target="https://youtu.be/yYoTGuQroRI" TargetMode="External"/><Relationship Id="rId3625" Type="http://schemas.openxmlformats.org/officeDocument/2006/relationships/hyperlink" Target="https://youtu.be/EDz0AviGge0" TargetMode="External"/><Relationship Id="rId3624" Type="http://schemas.openxmlformats.org/officeDocument/2006/relationships/hyperlink" Target="https://youtu.be/kP2Ut3QpgWU" TargetMode="External"/><Relationship Id="rId3623" Type="http://schemas.openxmlformats.org/officeDocument/2006/relationships/hyperlink" Target="https://youtu.be/42DIYPyjado" TargetMode="External"/><Relationship Id="rId3622" Type="http://schemas.openxmlformats.org/officeDocument/2006/relationships/hyperlink" Target="https://youtu.be/QGZwqXqmsT0" TargetMode="External"/><Relationship Id="rId3621" Type="http://schemas.openxmlformats.org/officeDocument/2006/relationships/hyperlink" Target="https://youtu.be/Kw5zkf2ZfvA" TargetMode="External"/><Relationship Id="rId3620" Type="http://schemas.openxmlformats.org/officeDocument/2006/relationships/hyperlink" Target="https://youtu.be/HfKdJfEGM4s" TargetMode="External"/><Relationship Id="rId362" Type="http://schemas.openxmlformats.org/officeDocument/2006/relationships/hyperlink" Target="https://youtu.be/irbigpycU8w" TargetMode="External"/><Relationship Id="rId3619" Type="http://schemas.openxmlformats.org/officeDocument/2006/relationships/hyperlink" Target="https://youtu.be/f4w0Q_16LMM" TargetMode="External"/><Relationship Id="rId3618" Type="http://schemas.openxmlformats.org/officeDocument/2006/relationships/hyperlink" Target="https://youtu.be/CzVJ6sFCpV8" TargetMode="External"/><Relationship Id="rId3617" Type="http://schemas.openxmlformats.org/officeDocument/2006/relationships/hyperlink" Target="https://youtu.be/A7IA0MJqXjg" TargetMode="External"/><Relationship Id="rId3616" Type="http://schemas.openxmlformats.org/officeDocument/2006/relationships/hyperlink" Target="https://youtu.be/Bh5tFatnrfM" TargetMode="External"/><Relationship Id="rId3615" Type="http://schemas.openxmlformats.org/officeDocument/2006/relationships/hyperlink" Target="https://youtu.be/PorM-1F4jdo" TargetMode="External"/><Relationship Id="rId3614" Type="http://schemas.openxmlformats.org/officeDocument/2006/relationships/hyperlink" Target="https://youtu.be/-RsIodI-iJI" TargetMode="External"/><Relationship Id="rId3613" Type="http://schemas.openxmlformats.org/officeDocument/2006/relationships/hyperlink" Target="https://youtu.be/Fo705Wm_QKs" TargetMode="External"/><Relationship Id="rId3612" Type="http://schemas.openxmlformats.org/officeDocument/2006/relationships/hyperlink" Target="https://youtu.be/Eojhoc7n0yA" TargetMode="External"/><Relationship Id="rId3611" Type="http://schemas.openxmlformats.org/officeDocument/2006/relationships/hyperlink" Target="https://youtu.be/lLVGM6j2k3g" TargetMode="External"/><Relationship Id="rId3610" Type="http://schemas.openxmlformats.org/officeDocument/2006/relationships/hyperlink" Target="https://youtu.be/Wh0l6JmLjQU" TargetMode="External"/><Relationship Id="rId361" Type="http://schemas.openxmlformats.org/officeDocument/2006/relationships/hyperlink" Target="https://youtu.be/GUqsH5y1j1M" TargetMode="External"/><Relationship Id="rId3609" Type="http://schemas.openxmlformats.org/officeDocument/2006/relationships/hyperlink" Target="https://youtu.be/mYSiBRyDQZY" TargetMode="External"/><Relationship Id="rId3608" Type="http://schemas.openxmlformats.org/officeDocument/2006/relationships/hyperlink" Target="https://youtu.be/jd5aGcT5d0o" TargetMode="External"/><Relationship Id="rId3607" Type="http://schemas.openxmlformats.org/officeDocument/2006/relationships/hyperlink" Target="https://youtu.be/ZmvRgcDfDDc" TargetMode="External"/><Relationship Id="rId3606" Type="http://schemas.openxmlformats.org/officeDocument/2006/relationships/hyperlink" Target="https://youtu.be/yGwN4E4vKpc" TargetMode="External"/><Relationship Id="rId3605" Type="http://schemas.openxmlformats.org/officeDocument/2006/relationships/hyperlink" Target="https://youtu.be/UtAG9Lt0OrQ" TargetMode="External"/><Relationship Id="rId3604" Type="http://schemas.openxmlformats.org/officeDocument/2006/relationships/hyperlink" Target="https://youtu.be/VQ4sG3rwKuw" TargetMode="External"/><Relationship Id="rId3603" Type="http://schemas.openxmlformats.org/officeDocument/2006/relationships/hyperlink" Target="https://youtu.be/80T8CBUHoL0" TargetMode="External"/><Relationship Id="rId3602" Type="http://schemas.openxmlformats.org/officeDocument/2006/relationships/hyperlink" Target="https://youtu.be/a1Y6mdKfMn4" TargetMode="External"/><Relationship Id="rId3601" Type="http://schemas.openxmlformats.org/officeDocument/2006/relationships/hyperlink" Target="https://youtu.be/L_LPrxAV7OE" TargetMode="External"/><Relationship Id="rId3600" Type="http://schemas.openxmlformats.org/officeDocument/2006/relationships/hyperlink" Target="https://youtu.be/nr5to_r25Ug" TargetMode="External"/><Relationship Id="rId360" Type="http://schemas.openxmlformats.org/officeDocument/2006/relationships/hyperlink" Target="https://youtu.be/-kaysm_xhM8" TargetMode="External"/><Relationship Id="rId36" Type="http://schemas.openxmlformats.org/officeDocument/2006/relationships/hyperlink" Target="https://youtu.be/yTVxELrVfB0" TargetMode="External"/><Relationship Id="rId3599" Type="http://schemas.openxmlformats.org/officeDocument/2006/relationships/hyperlink" Target="https://youtu.be/x1D2qF3bL0k" TargetMode="External"/><Relationship Id="rId3598" Type="http://schemas.openxmlformats.org/officeDocument/2006/relationships/hyperlink" Target="https://youtu.be/i0QBYlU3st0" TargetMode="External"/><Relationship Id="rId3597" Type="http://schemas.openxmlformats.org/officeDocument/2006/relationships/hyperlink" Target="https://youtu.be/p0heftXWkVU" TargetMode="External"/><Relationship Id="rId3596" Type="http://schemas.openxmlformats.org/officeDocument/2006/relationships/hyperlink" Target="https://youtu.be/mL4JUPpJw1s" TargetMode="External"/><Relationship Id="rId3595" Type="http://schemas.openxmlformats.org/officeDocument/2006/relationships/hyperlink" Target="https://youtu.be/6dcyiPK-vx4" TargetMode="External"/><Relationship Id="rId3594" Type="http://schemas.openxmlformats.org/officeDocument/2006/relationships/hyperlink" Target="https://youtu.be/DdWUWZuOStc" TargetMode="External"/><Relationship Id="rId3593" Type="http://schemas.openxmlformats.org/officeDocument/2006/relationships/hyperlink" Target="https://youtu.be/bgYFgAMJskg" TargetMode="External"/><Relationship Id="rId3592" Type="http://schemas.openxmlformats.org/officeDocument/2006/relationships/hyperlink" Target="https://youtu.be/jyoMwKcWjko" TargetMode="External"/><Relationship Id="rId3591" Type="http://schemas.openxmlformats.org/officeDocument/2006/relationships/hyperlink" Target="https://youtu.be/caKrNA1l1MI" TargetMode="External"/><Relationship Id="rId3590" Type="http://schemas.openxmlformats.org/officeDocument/2006/relationships/hyperlink" Target="https://youtu.be/WbRVKpJ0ZsU" TargetMode="External"/><Relationship Id="rId359" Type="http://schemas.openxmlformats.org/officeDocument/2006/relationships/hyperlink" Target="https://youtu.be/JPqjGLcGbyU" TargetMode="External"/><Relationship Id="rId3589" Type="http://schemas.openxmlformats.org/officeDocument/2006/relationships/hyperlink" Target="https://youtu.be/4pE2y5dtY_Q" TargetMode="External"/><Relationship Id="rId3588" Type="http://schemas.openxmlformats.org/officeDocument/2006/relationships/hyperlink" Target="https://youtu.be/pCiX21pLOsY" TargetMode="External"/><Relationship Id="rId3587" Type="http://schemas.openxmlformats.org/officeDocument/2006/relationships/hyperlink" Target="https://youtu.be/KZIkkfWpvzA" TargetMode="External"/><Relationship Id="rId3586" Type="http://schemas.openxmlformats.org/officeDocument/2006/relationships/hyperlink" Target="https://youtu.be/XcumBFCxu3E" TargetMode="External"/><Relationship Id="rId3585" Type="http://schemas.openxmlformats.org/officeDocument/2006/relationships/hyperlink" Target="https://youtu.be/2bPA5G0X5Fo" TargetMode="External"/><Relationship Id="rId3584" Type="http://schemas.openxmlformats.org/officeDocument/2006/relationships/hyperlink" Target="https://youtu.be/xYTY_yHr9rY" TargetMode="External"/><Relationship Id="rId3583" Type="http://schemas.openxmlformats.org/officeDocument/2006/relationships/hyperlink" Target="https://youtu.be/4M7pePzV_cE" TargetMode="External"/><Relationship Id="rId3582" Type="http://schemas.openxmlformats.org/officeDocument/2006/relationships/hyperlink" Target="https://youtu.be/nL7pBbvHLhY" TargetMode="External"/><Relationship Id="rId3581" Type="http://schemas.openxmlformats.org/officeDocument/2006/relationships/hyperlink" Target="https://youtu.be/V1bVxVTiZGE" TargetMode="External"/><Relationship Id="rId3580" Type="http://schemas.openxmlformats.org/officeDocument/2006/relationships/hyperlink" Target="https://youtu.be/GL_snhngIKU" TargetMode="External"/><Relationship Id="rId358" Type="http://schemas.openxmlformats.org/officeDocument/2006/relationships/hyperlink" Target="https://youtu.be/-A58krE7bBE" TargetMode="External"/><Relationship Id="rId3579" Type="http://schemas.openxmlformats.org/officeDocument/2006/relationships/hyperlink" Target="https://youtu.be/07oW8O_9Mw0" TargetMode="External"/><Relationship Id="rId3578" Type="http://schemas.openxmlformats.org/officeDocument/2006/relationships/hyperlink" Target="https://youtu.be/sbYrQrVPA24" TargetMode="External"/><Relationship Id="rId3577" Type="http://schemas.openxmlformats.org/officeDocument/2006/relationships/hyperlink" Target="https://youtu.be/hyVYX9VsWVo" TargetMode="External"/><Relationship Id="rId3576" Type="http://schemas.openxmlformats.org/officeDocument/2006/relationships/hyperlink" Target="https://youtu.be/SAaV9rBSJ98" TargetMode="External"/><Relationship Id="rId3575" Type="http://schemas.openxmlformats.org/officeDocument/2006/relationships/hyperlink" Target="https://youtu.be/UD5VViT08ME" TargetMode="External"/><Relationship Id="rId3574" Type="http://schemas.openxmlformats.org/officeDocument/2006/relationships/hyperlink" Target="https://youtu.be/QSULwrdHF_g" TargetMode="External"/><Relationship Id="rId3573" Type="http://schemas.openxmlformats.org/officeDocument/2006/relationships/hyperlink" Target="https://youtu.be/r-kWEUp7WFM" TargetMode="External"/><Relationship Id="rId3572" Type="http://schemas.openxmlformats.org/officeDocument/2006/relationships/hyperlink" Target="https://youtu.be/Jmyq3TfYMsk" TargetMode="External"/><Relationship Id="rId3571" Type="http://schemas.openxmlformats.org/officeDocument/2006/relationships/hyperlink" Target="https://youtu.be/UeK37okqAMU" TargetMode="External"/><Relationship Id="rId3570" Type="http://schemas.openxmlformats.org/officeDocument/2006/relationships/hyperlink" Target="https://youtu.be/-aDM0gVZXrs" TargetMode="External"/><Relationship Id="rId357" Type="http://schemas.openxmlformats.org/officeDocument/2006/relationships/hyperlink" Target="https://youtu.be/ldRl10hMm9U" TargetMode="External"/><Relationship Id="rId3569" Type="http://schemas.openxmlformats.org/officeDocument/2006/relationships/hyperlink" Target="https://youtu.be/zKynhsqvgCA" TargetMode="External"/><Relationship Id="rId3568" Type="http://schemas.openxmlformats.org/officeDocument/2006/relationships/hyperlink" Target="https://youtu.be/CYPB3XwUI3U" TargetMode="External"/><Relationship Id="rId3567" Type="http://schemas.openxmlformats.org/officeDocument/2006/relationships/hyperlink" Target="https://youtu.be/Kfp29h20y-o" TargetMode="External"/><Relationship Id="rId3566" Type="http://schemas.openxmlformats.org/officeDocument/2006/relationships/hyperlink" Target="https://youtu.be/4eM1sFzVWfA" TargetMode="External"/><Relationship Id="rId3565" Type="http://schemas.openxmlformats.org/officeDocument/2006/relationships/hyperlink" Target="https://youtu.be/Ga-ZNd2ZgDQ" TargetMode="External"/><Relationship Id="rId3564" Type="http://schemas.openxmlformats.org/officeDocument/2006/relationships/hyperlink" Target="https://youtu.be/pBPUBHyArxk" TargetMode="External"/><Relationship Id="rId3563" Type="http://schemas.openxmlformats.org/officeDocument/2006/relationships/hyperlink" Target="https://youtu.be/1iD9zPNL5U0" TargetMode="External"/><Relationship Id="rId3562" Type="http://schemas.openxmlformats.org/officeDocument/2006/relationships/hyperlink" Target="https://youtu.be/2i19UVw_Si4" TargetMode="External"/><Relationship Id="rId3561" Type="http://schemas.openxmlformats.org/officeDocument/2006/relationships/hyperlink" Target="https://youtu.be/VvgIBVaauHs" TargetMode="External"/><Relationship Id="rId3560" Type="http://schemas.openxmlformats.org/officeDocument/2006/relationships/hyperlink" Target="https://youtu.be/-XeSM3C1NRM" TargetMode="External"/><Relationship Id="rId356" Type="http://schemas.openxmlformats.org/officeDocument/2006/relationships/hyperlink" Target="https://youtu.be/fIvSACh46YM" TargetMode="External"/><Relationship Id="rId3559" Type="http://schemas.openxmlformats.org/officeDocument/2006/relationships/hyperlink" Target="https://youtu.be/_iJJIFnjaIc" TargetMode="External"/><Relationship Id="rId3558" Type="http://schemas.openxmlformats.org/officeDocument/2006/relationships/hyperlink" Target="https://youtu.be/LoFCtYvxyHQ" TargetMode="External"/><Relationship Id="rId3557" Type="http://schemas.openxmlformats.org/officeDocument/2006/relationships/hyperlink" Target="https://youtu.be/T266Q8as4UA" TargetMode="External"/><Relationship Id="rId3556" Type="http://schemas.openxmlformats.org/officeDocument/2006/relationships/hyperlink" Target="https://youtu.be/-JyETCfuq8Q" TargetMode="External"/><Relationship Id="rId3555" Type="http://schemas.openxmlformats.org/officeDocument/2006/relationships/hyperlink" Target="https://youtu.be/2YOqEaEDh9M" TargetMode="External"/><Relationship Id="rId3554" Type="http://schemas.openxmlformats.org/officeDocument/2006/relationships/hyperlink" Target="https://youtu.be/S-qGgpljcso" TargetMode="External"/><Relationship Id="rId3553" Type="http://schemas.openxmlformats.org/officeDocument/2006/relationships/hyperlink" Target="https://youtu.be/zZ7QP7cb0Sw" TargetMode="External"/><Relationship Id="rId3552" Type="http://schemas.openxmlformats.org/officeDocument/2006/relationships/hyperlink" Target="https://youtu.be/E0pckVd6EjA" TargetMode="External"/><Relationship Id="rId3551" Type="http://schemas.openxmlformats.org/officeDocument/2006/relationships/hyperlink" Target="https://youtu.be/xSlNgPG-TkI" TargetMode="External"/><Relationship Id="rId3550" Type="http://schemas.openxmlformats.org/officeDocument/2006/relationships/hyperlink" Target="https://youtu.be/W-fBBKvtN7g" TargetMode="External"/><Relationship Id="rId355" Type="http://schemas.openxmlformats.org/officeDocument/2006/relationships/hyperlink" Target="https://youtu.be/OsIhTw0CK8U" TargetMode="External"/><Relationship Id="rId3549" Type="http://schemas.openxmlformats.org/officeDocument/2006/relationships/hyperlink" Target="https://youtu.be/3SET3iOVw5g" TargetMode="External"/><Relationship Id="rId3548" Type="http://schemas.openxmlformats.org/officeDocument/2006/relationships/hyperlink" Target="https://youtu.be/qm6B3s12VLI" TargetMode="External"/><Relationship Id="rId3547" Type="http://schemas.openxmlformats.org/officeDocument/2006/relationships/hyperlink" Target="https://youtu.be/ugdWb4k4fws" TargetMode="External"/><Relationship Id="rId3546" Type="http://schemas.openxmlformats.org/officeDocument/2006/relationships/hyperlink" Target="https://youtu.be/s2Ho8seXwQg" TargetMode="External"/><Relationship Id="rId3545" Type="http://schemas.openxmlformats.org/officeDocument/2006/relationships/hyperlink" Target="https://youtu.be/VLkKadCo0Mk" TargetMode="External"/><Relationship Id="rId3544" Type="http://schemas.openxmlformats.org/officeDocument/2006/relationships/hyperlink" Target="https://youtu.be/q99Lv66eiVk" TargetMode="External"/><Relationship Id="rId3543" Type="http://schemas.openxmlformats.org/officeDocument/2006/relationships/hyperlink" Target="https://youtu.be/RVfr4uZSqZ4" TargetMode="External"/><Relationship Id="rId3542" Type="http://schemas.openxmlformats.org/officeDocument/2006/relationships/hyperlink" Target="https://youtu.be/OoFaRCkegIQ" TargetMode="External"/><Relationship Id="rId3541" Type="http://schemas.openxmlformats.org/officeDocument/2006/relationships/hyperlink" Target="https://youtu.be/eCXJMCSyZbw" TargetMode="External"/><Relationship Id="rId3540" Type="http://schemas.openxmlformats.org/officeDocument/2006/relationships/hyperlink" Target="https://youtu.be/TPW6kRJQCfE" TargetMode="External"/><Relationship Id="rId354" Type="http://schemas.openxmlformats.org/officeDocument/2006/relationships/hyperlink" Target="https://youtu.be/Dqk3HbwNo1g" TargetMode="External"/><Relationship Id="rId3539" Type="http://schemas.openxmlformats.org/officeDocument/2006/relationships/hyperlink" Target="https://youtu.be/_Iz4pNRU_2s" TargetMode="External"/><Relationship Id="rId3538" Type="http://schemas.openxmlformats.org/officeDocument/2006/relationships/hyperlink" Target="https://youtu.be/EYOl9PdBrfw" TargetMode="External"/><Relationship Id="rId3537" Type="http://schemas.openxmlformats.org/officeDocument/2006/relationships/hyperlink" Target="https://youtu.be/JNIbuEqRPTU" TargetMode="External"/><Relationship Id="rId3536" Type="http://schemas.openxmlformats.org/officeDocument/2006/relationships/hyperlink" Target="https://youtu.be/_Mpm1UPnJ4M" TargetMode="External"/><Relationship Id="rId3535" Type="http://schemas.openxmlformats.org/officeDocument/2006/relationships/hyperlink" Target="https://youtu.be/TAsHOqVswEw" TargetMode="External"/><Relationship Id="rId3534" Type="http://schemas.openxmlformats.org/officeDocument/2006/relationships/hyperlink" Target="https://youtu.be/_0G2V6-m70E" TargetMode="External"/><Relationship Id="rId3533" Type="http://schemas.openxmlformats.org/officeDocument/2006/relationships/hyperlink" Target="https://youtu.be/THigU1Q2D7Y" TargetMode="External"/><Relationship Id="rId3532" Type="http://schemas.openxmlformats.org/officeDocument/2006/relationships/hyperlink" Target="https://youtu.be/7Apu0brG69g" TargetMode="External"/><Relationship Id="rId3531" Type="http://schemas.openxmlformats.org/officeDocument/2006/relationships/hyperlink" Target="https://youtu.be/nS3tEzaTSlM" TargetMode="External"/><Relationship Id="rId3530" Type="http://schemas.openxmlformats.org/officeDocument/2006/relationships/hyperlink" Target="https://youtu.be/FUwZPaw4F9A" TargetMode="External"/><Relationship Id="rId353" Type="http://schemas.openxmlformats.org/officeDocument/2006/relationships/hyperlink" Target="https://youtu.be/bxqoMwUTcj0" TargetMode="External"/><Relationship Id="rId3529" Type="http://schemas.openxmlformats.org/officeDocument/2006/relationships/hyperlink" Target="https://youtu.be/DBw9Mas5HdM" TargetMode="External"/><Relationship Id="rId3528" Type="http://schemas.openxmlformats.org/officeDocument/2006/relationships/hyperlink" Target="https://youtu.be/6EpKaP18Leo" TargetMode="External"/><Relationship Id="rId3527" Type="http://schemas.openxmlformats.org/officeDocument/2006/relationships/hyperlink" Target="https://youtu.be/k64UY0vRPIE" TargetMode="External"/><Relationship Id="rId3526" Type="http://schemas.openxmlformats.org/officeDocument/2006/relationships/hyperlink" Target="https://youtu.be/UaZX1vuSe2M" TargetMode="External"/><Relationship Id="rId3525" Type="http://schemas.openxmlformats.org/officeDocument/2006/relationships/hyperlink" Target="https://youtu.be/QGewghzJ48Q" TargetMode="External"/><Relationship Id="rId3524" Type="http://schemas.openxmlformats.org/officeDocument/2006/relationships/hyperlink" Target="https://youtu.be/WGJXvDcBut8" TargetMode="External"/><Relationship Id="rId3523" Type="http://schemas.openxmlformats.org/officeDocument/2006/relationships/hyperlink" Target="https://youtu.be/9QsjlRxwarw" TargetMode="External"/><Relationship Id="rId3522" Type="http://schemas.openxmlformats.org/officeDocument/2006/relationships/hyperlink" Target="https://youtu.be/neZkBzaGeOY" TargetMode="External"/><Relationship Id="rId3521" Type="http://schemas.openxmlformats.org/officeDocument/2006/relationships/hyperlink" Target="https://youtu.be/Qr6JkzUzBgk" TargetMode="External"/><Relationship Id="rId3520" Type="http://schemas.openxmlformats.org/officeDocument/2006/relationships/hyperlink" Target="https://youtu.be/CAb4RgqwW30" TargetMode="External"/><Relationship Id="rId352" Type="http://schemas.openxmlformats.org/officeDocument/2006/relationships/hyperlink" Target="https://youtu.be/b__IE2vtInQ" TargetMode="External"/><Relationship Id="rId3519" Type="http://schemas.openxmlformats.org/officeDocument/2006/relationships/hyperlink" Target="https://youtu.be/jjutZLmKchs" TargetMode="External"/><Relationship Id="rId3518" Type="http://schemas.openxmlformats.org/officeDocument/2006/relationships/hyperlink" Target="https://youtu.be/r_xvzwPni5I" TargetMode="External"/><Relationship Id="rId3517" Type="http://schemas.openxmlformats.org/officeDocument/2006/relationships/hyperlink" Target="https://youtu.be/HHgHW4ZqrjA" TargetMode="External"/><Relationship Id="rId3516" Type="http://schemas.openxmlformats.org/officeDocument/2006/relationships/hyperlink" Target="https://youtu.be/szlGrFBclXQ" TargetMode="External"/><Relationship Id="rId3515" Type="http://schemas.openxmlformats.org/officeDocument/2006/relationships/hyperlink" Target="https://youtu.be/nV_JqBOeXMk" TargetMode="External"/><Relationship Id="rId3514" Type="http://schemas.openxmlformats.org/officeDocument/2006/relationships/hyperlink" Target="https://youtu.be/tUNkX94TRgU" TargetMode="External"/><Relationship Id="rId3513" Type="http://schemas.openxmlformats.org/officeDocument/2006/relationships/hyperlink" Target="https://youtu.be/ZHjPMg-Lin8" TargetMode="External"/><Relationship Id="rId3512" Type="http://schemas.openxmlformats.org/officeDocument/2006/relationships/hyperlink" Target="https://youtu.be/-0wRJGGPBUk" TargetMode="External"/><Relationship Id="rId3511" Type="http://schemas.openxmlformats.org/officeDocument/2006/relationships/hyperlink" Target="https://youtu.be/hJNNiYPyAeQ" TargetMode="External"/><Relationship Id="rId3510" Type="http://schemas.openxmlformats.org/officeDocument/2006/relationships/hyperlink" Target="https://youtu.be/Mww8LPoGhgE" TargetMode="External"/><Relationship Id="rId351" Type="http://schemas.openxmlformats.org/officeDocument/2006/relationships/hyperlink" Target="https://youtu.be/t2AgFb4jL1M" TargetMode="External"/><Relationship Id="rId3509" Type="http://schemas.openxmlformats.org/officeDocument/2006/relationships/hyperlink" Target="https://youtu.be/NZU1ak6BdnY" TargetMode="External"/><Relationship Id="rId3508" Type="http://schemas.openxmlformats.org/officeDocument/2006/relationships/hyperlink" Target="https://youtu.be/L8mpKnCm1JM" TargetMode="External"/><Relationship Id="rId3507" Type="http://schemas.openxmlformats.org/officeDocument/2006/relationships/hyperlink" Target="https://youtu.be/6xqOUWjLHao" TargetMode="External"/><Relationship Id="rId3506" Type="http://schemas.openxmlformats.org/officeDocument/2006/relationships/hyperlink" Target="https://youtu.be/MO-nVZ-QZJk" TargetMode="External"/><Relationship Id="rId3505" Type="http://schemas.openxmlformats.org/officeDocument/2006/relationships/hyperlink" Target="https://youtu.be/jtN2FNpf0lw" TargetMode="External"/><Relationship Id="rId3504" Type="http://schemas.openxmlformats.org/officeDocument/2006/relationships/hyperlink" Target="https://youtu.be/rFBxUz9ROuk" TargetMode="External"/><Relationship Id="rId3503" Type="http://schemas.openxmlformats.org/officeDocument/2006/relationships/hyperlink" Target="https://youtu.be/ggISl9UZc6o" TargetMode="External"/><Relationship Id="rId3502" Type="http://schemas.openxmlformats.org/officeDocument/2006/relationships/hyperlink" Target="https://youtu.be/YjuvIlskUf4" TargetMode="External"/><Relationship Id="rId3501" Type="http://schemas.openxmlformats.org/officeDocument/2006/relationships/hyperlink" Target="https://youtu.be/mTdxIS8J_NI" TargetMode="External"/><Relationship Id="rId3500" Type="http://schemas.openxmlformats.org/officeDocument/2006/relationships/hyperlink" Target="https://youtu.be/J3Smw7rz1FU" TargetMode="External"/><Relationship Id="rId350" Type="http://schemas.openxmlformats.org/officeDocument/2006/relationships/hyperlink" Target="https://youtu.be/OvzeB1TI5qw" TargetMode="External"/><Relationship Id="rId35" Type="http://schemas.openxmlformats.org/officeDocument/2006/relationships/hyperlink" Target="https://youtu.be/mPcoBfQ5j-k" TargetMode="External"/><Relationship Id="rId3499" Type="http://schemas.openxmlformats.org/officeDocument/2006/relationships/hyperlink" Target="https://youtu.be/98Wbzf7a_4o" TargetMode="External"/><Relationship Id="rId3498" Type="http://schemas.openxmlformats.org/officeDocument/2006/relationships/hyperlink" Target="https://youtu.be/QCZwUohCp1o" TargetMode="External"/><Relationship Id="rId3497" Type="http://schemas.openxmlformats.org/officeDocument/2006/relationships/hyperlink" Target="https://youtu.be/sRP1DEpgTSI" TargetMode="External"/><Relationship Id="rId3496" Type="http://schemas.openxmlformats.org/officeDocument/2006/relationships/hyperlink" Target="https://youtu.be/mZcwWCWDW6Q" TargetMode="External"/><Relationship Id="rId3495" Type="http://schemas.openxmlformats.org/officeDocument/2006/relationships/hyperlink" Target="https://youtu.be/JqBI-Sz4pAA" TargetMode="External"/><Relationship Id="rId3494" Type="http://schemas.openxmlformats.org/officeDocument/2006/relationships/hyperlink" Target="https://youtu.be/uIrM2F0k_NE" TargetMode="External"/><Relationship Id="rId3493" Type="http://schemas.openxmlformats.org/officeDocument/2006/relationships/hyperlink" Target="https://youtu.be/m2bUMAvBgW4" TargetMode="External"/><Relationship Id="rId3492" Type="http://schemas.openxmlformats.org/officeDocument/2006/relationships/hyperlink" Target="https://youtu.be/G6zoyY_ToQ0" TargetMode="External"/><Relationship Id="rId3491" Type="http://schemas.openxmlformats.org/officeDocument/2006/relationships/hyperlink" Target="https://youtu.be/es3ZYd85XbA" TargetMode="External"/><Relationship Id="rId3490" Type="http://schemas.openxmlformats.org/officeDocument/2006/relationships/hyperlink" Target="https://youtu.be/f-LUKIUvc30" TargetMode="External"/><Relationship Id="rId349" Type="http://schemas.openxmlformats.org/officeDocument/2006/relationships/hyperlink" Target="https://youtu.be/t_oorb24lrg" TargetMode="External"/><Relationship Id="rId3489" Type="http://schemas.openxmlformats.org/officeDocument/2006/relationships/hyperlink" Target="https://youtu.be/9Z7RXVym9DY" TargetMode="External"/><Relationship Id="rId3488" Type="http://schemas.openxmlformats.org/officeDocument/2006/relationships/hyperlink" Target="https://youtu.be/hDEc7HKP0oY" TargetMode="External"/><Relationship Id="rId3487" Type="http://schemas.openxmlformats.org/officeDocument/2006/relationships/hyperlink" Target="https://youtu.be/wgwlh0nA2yI" TargetMode="External"/><Relationship Id="rId3486" Type="http://schemas.openxmlformats.org/officeDocument/2006/relationships/hyperlink" Target="https://youtu.be/oNrX6oESbaU" TargetMode="External"/><Relationship Id="rId3485" Type="http://schemas.openxmlformats.org/officeDocument/2006/relationships/hyperlink" Target="https://youtu.be/RdPWfM8_HR0" TargetMode="External"/><Relationship Id="rId3484" Type="http://schemas.openxmlformats.org/officeDocument/2006/relationships/hyperlink" Target="https://youtu.be/ugV4q1VRDMQ" TargetMode="External"/><Relationship Id="rId3483" Type="http://schemas.openxmlformats.org/officeDocument/2006/relationships/hyperlink" Target="https://youtu.be/uOhC99DMQ1M" TargetMode="External"/><Relationship Id="rId3482" Type="http://schemas.openxmlformats.org/officeDocument/2006/relationships/hyperlink" Target="https://youtu.be/DwTbASTyk8E" TargetMode="External"/><Relationship Id="rId3481" Type="http://schemas.openxmlformats.org/officeDocument/2006/relationships/hyperlink" Target="https://youtu.be/2O_zvBMVHe0" TargetMode="External"/><Relationship Id="rId3480" Type="http://schemas.openxmlformats.org/officeDocument/2006/relationships/hyperlink" Target="https://youtu.be/4YW8Wj-_vlg" TargetMode="External"/><Relationship Id="rId348" Type="http://schemas.openxmlformats.org/officeDocument/2006/relationships/hyperlink" Target="https://youtu.be/nPmQbhlVeMs" TargetMode="External"/><Relationship Id="rId3479" Type="http://schemas.openxmlformats.org/officeDocument/2006/relationships/hyperlink" Target="https://youtu.be/ZKKwosuuUK4" TargetMode="External"/><Relationship Id="rId3478" Type="http://schemas.openxmlformats.org/officeDocument/2006/relationships/hyperlink" Target="https://youtu.be/tHzFkiUIZxc" TargetMode="External"/><Relationship Id="rId3477" Type="http://schemas.openxmlformats.org/officeDocument/2006/relationships/hyperlink" Target="https://youtu.be/B26s6f-wtOg" TargetMode="External"/><Relationship Id="rId3476" Type="http://schemas.openxmlformats.org/officeDocument/2006/relationships/hyperlink" Target="https://youtu.be/qiYes-vFB9M" TargetMode="External"/><Relationship Id="rId3475" Type="http://schemas.openxmlformats.org/officeDocument/2006/relationships/hyperlink" Target="https://youtu.be/CQ8VpelbNZU" TargetMode="External"/><Relationship Id="rId3474" Type="http://schemas.openxmlformats.org/officeDocument/2006/relationships/hyperlink" Target="https://youtu.be/ClPTuL2heX0" TargetMode="External"/><Relationship Id="rId3473" Type="http://schemas.openxmlformats.org/officeDocument/2006/relationships/hyperlink" Target="https://youtu.be/EDH5VApZ958" TargetMode="External"/><Relationship Id="rId3472" Type="http://schemas.openxmlformats.org/officeDocument/2006/relationships/hyperlink" Target="https://youtu.be/tbTzBiz3gUI" TargetMode="External"/><Relationship Id="rId3471" Type="http://schemas.openxmlformats.org/officeDocument/2006/relationships/hyperlink" Target="https://youtu.be/K_UAs12NnLo" TargetMode="External"/><Relationship Id="rId3470" Type="http://schemas.openxmlformats.org/officeDocument/2006/relationships/hyperlink" Target="https://youtu.be/G-aRfB4yh9E" TargetMode="External"/><Relationship Id="rId347" Type="http://schemas.openxmlformats.org/officeDocument/2006/relationships/hyperlink" Target="https://youtu.be/dpQUTSPGz-0" TargetMode="External"/><Relationship Id="rId3469" Type="http://schemas.openxmlformats.org/officeDocument/2006/relationships/hyperlink" Target="https://youtu.be/2_MIwbPo7T8" TargetMode="External"/><Relationship Id="rId3468" Type="http://schemas.openxmlformats.org/officeDocument/2006/relationships/hyperlink" Target="https://youtu.be/OHwUrxzrvtg" TargetMode="External"/><Relationship Id="rId3467" Type="http://schemas.openxmlformats.org/officeDocument/2006/relationships/hyperlink" Target="https://youtu.be/jmpKqZLLNfw" TargetMode="External"/><Relationship Id="rId3466" Type="http://schemas.openxmlformats.org/officeDocument/2006/relationships/hyperlink" Target="https://youtu.be/bVGXe9SllJ8" TargetMode="External"/><Relationship Id="rId3465" Type="http://schemas.openxmlformats.org/officeDocument/2006/relationships/hyperlink" Target="https://youtu.be/GHu6KVvpfP8" TargetMode="External"/><Relationship Id="rId3464" Type="http://schemas.openxmlformats.org/officeDocument/2006/relationships/hyperlink" Target="https://youtu.be/TaJgR26EhEc" TargetMode="External"/><Relationship Id="rId3463" Type="http://schemas.openxmlformats.org/officeDocument/2006/relationships/hyperlink" Target="https://youtu.be/YeXkZZ55dKM" TargetMode="External"/><Relationship Id="rId3462" Type="http://schemas.openxmlformats.org/officeDocument/2006/relationships/hyperlink" Target="https://youtu.be/9DchwNOmxbw" TargetMode="External"/><Relationship Id="rId3461" Type="http://schemas.openxmlformats.org/officeDocument/2006/relationships/hyperlink" Target="https://youtu.be/Xj8vaLhR0s0" TargetMode="External"/><Relationship Id="rId3460" Type="http://schemas.openxmlformats.org/officeDocument/2006/relationships/hyperlink" Target="https://youtu.be/EuH3U2_YQqA" TargetMode="External"/><Relationship Id="rId346" Type="http://schemas.openxmlformats.org/officeDocument/2006/relationships/hyperlink" Target="https://youtu.be/cr4nZkw0k28" TargetMode="External"/><Relationship Id="rId3459" Type="http://schemas.openxmlformats.org/officeDocument/2006/relationships/hyperlink" Target="https://youtu.be/xr_NGtq34c0" TargetMode="External"/><Relationship Id="rId3458" Type="http://schemas.openxmlformats.org/officeDocument/2006/relationships/hyperlink" Target="https://youtu.be/ztHfT4if35c" TargetMode="External"/><Relationship Id="rId3457" Type="http://schemas.openxmlformats.org/officeDocument/2006/relationships/hyperlink" Target="https://youtu.be/-ce76c4MKv0" TargetMode="External"/><Relationship Id="rId3456" Type="http://schemas.openxmlformats.org/officeDocument/2006/relationships/hyperlink" Target="https://youtu.be/2UQcK2xG570" TargetMode="External"/><Relationship Id="rId3455" Type="http://schemas.openxmlformats.org/officeDocument/2006/relationships/hyperlink" Target="https://youtu.be/CfSxv-bX1-Q" TargetMode="External"/><Relationship Id="rId3454" Type="http://schemas.openxmlformats.org/officeDocument/2006/relationships/hyperlink" Target="https://youtu.be/N2d9IZKKVnw" TargetMode="External"/><Relationship Id="rId3453" Type="http://schemas.openxmlformats.org/officeDocument/2006/relationships/hyperlink" Target="https://youtu.be/j3scLxYeskg" TargetMode="External"/><Relationship Id="rId3452" Type="http://schemas.openxmlformats.org/officeDocument/2006/relationships/hyperlink" Target="https://youtu.be/EAairXMp51s" TargetMode="External"/><Relationship Id="rId3451" Type="http://schemas.openxmlformats.org/officeDocument/2006/relationships/hyperlink" Target="https://youtu.be/8Kf30kd5Gow" TargetMode="External"/><Relationship Id="rId3450" Type="http://schemas.openxmlformats.org/officeDocument/2006/relationships/hyperlink" Target="https://youtu.be/uKsEgWfVQrA" TargetMode="External"/><Relationship Id="rId345" Type="http://schemas.openxmlformats.org/officeDocument/2006/relationships/hyperlink" Target="https://youtu.be/qTtP9NKuxxY" TargetMode="External"/><Relationship Id="rId3449" Type="http://schemas.openxmlformats.org/officeDocument/2006/relationships/hyperlink" Target="https://youtu.be/yLdAtQGjxHA" TargetMode="External"/><Relationship Id="rId3448" Type="http://schemas.openxmlformats.org/officeDocument/2006/relationships/hyperlink" Target="https://youtu.be/ZCSaFwWYRqo" TargetMode="External"/><Relationship Id="rId3447" Type="http://schemas.openxmlformats.org/officeDocument/2006/relationships/hyperlink" Target="https://youtu.be/HbtUXk8kmD0" TargetMode="External"/><Relationship Id="rId3446" Type="http://schemas.openxmlformats.org/officeDocument/2006/relationships/hyperlink" Target="https://youtu.be/ZtBnRe0B2pQ" TargetMode="External"/><Relationship Id="rId3445" Type="http://schemas.openxmlformats.org/officeDocument/2006/relationships/hyperlink" Target="https://youtu.be/3GxBZAQoFms" TargetMode="External"/><Relationship Id="rId3444" Type="http://schemas.openxmlformats.org/officeDocument/2006/relationships/hyperlink" Target="https://youtu.be/5LEEA7QCEgQ" TargetMode="External"/><Relationship Id="rId3443" Type="http://schemas.openxmlformats.org/officeDocument/2006/relationships/hyperlink" Target="https://youtu.be/lAzxABXvREY" TargetMode="External"/><Relationship Id="rId3442" Type="http://schemas.openxmlformats.org/officeDocument/2006/relationships/hyperlink" Target="https://youtu.be/0N_H3iysqfM" TargetMode="External"/><Relationship Id="rId3441" Type="http://schemas.openxmlformats.org/officeDocument/2006/relationships/hyperlink" Target="https://youtu.be/18utCxIQydY" TargetMode="External"/><Relationship Id="rId3440" Type="http://schemas.openxmlformats.org/officeDocument/2006/relationships/hyperlink" Target="https://youtu.be/oWQ1dkaMJik" TargetMode="External"/><Relationship Id="rId344" Type="http://schemas.openxmlformats.org/officeDocument/2006/relationships/hyperlink" Target="https://youtu.be/g4tld6ppv7Q" TargetMode="External"/><Relationship Id="rId3439" Type="http://schemas.openxmlformats.org/officeDocument/2006/relationships/hyperlink" Target="https://youtu.be/hNdZafWo_Q8" TargetMode="External"/><Relationship Id="rId3438" Type="http://schemas.openxmlformats.org/officeDocument/2006/relationships/hyperlink" Target="https://youtu.be/RAQ0eIz3gP0" TargetMode="External"/><Relationship Id="rId3437" Type="http://schemas.openxmlformats.org/officeDocument/2006/relationships/hyperlink" Target="https://youtu.be/zqDZAYUT34E" TargetMode="External"/><Relationship Id="rId3436" Type="http://schemas.openxmlformats.org/officeDocument/2006/relationships/hyperlink" Target="https://youtu.be/rmQD-j9QADE" TargetMode="External"/><Relationship Id="rId3435" Type="http://schemas.openxmlformats.org/officeDocument/2006/relationships/hyperlink" Target="https://youtu.be/yWm1RgWd7AA" TargetMode="External"/><Relationship Id="rId3434" Type="http://schemas.openxmlformats.org/officeDocument/2006/relationships/hyperlink" Target="https://youtu.be/l9BRqeqJ2X0" TargetMode="External"/><Relationship Id="rId3433" Type="http://schemas.openxmlformats.org/officeDocument/2006/relationships/hyperlink" Target="https://youtu.be/v2GO7DDAJuw" TargetMode="External"/><Relationship Id="rId3432" Type="http://schemas.openxmlformats.org/officeDocument/2006/relationships/hyperlink" Target="https://youtu.be/5AY-uDGEfpg" TargetMode="External"/><Relationship Id="rId3431" Type="http://schemas.openxmlformats.org/officeDocument/2006/relationships/hyperlink" Target="https://youtu.be/gyLsqZY1j78" TargetMode="External"/><Relationship Id="rId3430" Type="http://schemas.openxmlformats.org/officeDocument/2006/relationships/hyperlink" Target="https://youtu.be/zpY94hwNmlo" TargetMode="External"/><Relationship Id="rId343" Type="http://schemas.openxmlformats.org/officeDocument/2006/relationships/hyperlink" Target="https://youtu.be/0ZOhJe_7GrE" TargetMode="External"/><Relationship Id="rId3429" Type="http://schemas.openxmlformats.org/officeDocument/2006/relationships/hyperlink" Target="https://youtu.be/gG0wj5C9k4I" TargetMode="External"/><Relationship Id="rId3428" Type="http://schemas.openxmlformats.org/officeDocument/2006/relationships/hyperlink" Target="https://youtu.be/Q2hOv6fcL48" TargetMode="External"/><Relationship Id="rId3427" Type="http://schemas.openxmlformats.org/officeDocument/2006/relationships/hyperlink" Target="https://youtu.be/EmjnFbTLvZ8" TargetMode="External"/><Relationship Id="rId3426" Type="http://schemas.openxmlformats.org/officeDocument/2006/relationships/hyperlink" Target="https://youtu.be/uK3ZeYEr4DU" TargetMode="External"/><Relationship Id="rId3425" Type="http://schemas.openxmlformats.org/officeDocument/2006/relationships/hyperlink" Target="https://youtu.be/WAlLKdOImA0" TargetMode="External"/><Relationship Id="rId3424" Type="http://schemas.openxmlformats.org/officeDocument/2006/relationships/hyperlink" Target="https://youtu.be/Y5SJggiT_yg" TargetMode="External"/><Relationship Id="rId3423" Type="http://schemas.openxmlformats.org/officeDocument/2006/relationships/hyperlink" Target="https://youtu.be/5Y6ElWadXbo" TargetMode="External"/><Relationship Id="rId3422" Type="http://schemas.openxmlformats.org/officeDocument/2006/relationships/hyperlink" Target="https://youtu.be/Oe34088Bw1E" TargetMode="External"/><Relationship Id="rId3421" Type="http://schemas.openxmlformats.org/officeDocument/2006/relationships/hyperlink" Target="https://youtu.be/rpplvjBK7do" TargetMode="External"/><Relationship Id="rId3420" Type="http://schemas.openxmlformats.org/officeDocument/2006/relationships/hyperlink" Target="https://youtu.be/5tteRAPg2DE" TargetMode="External"/><Relationship Id="rId342" Type="http://schemas.openxmlformats.org/officeDocument/2006/relationships/hyperlink" Target="https://youtu.be/GgmRAV8HNKE" TargetMode="External"/><Relationship Id="rId3419" Type="http://schemas.openxmlformats.org/officeDocument/2006/relationships/hyperlink" Target="https://youtu.be/_Hy-zGC1knc" TargetMode="External"/><Relationship Id="rId3418" Type="http://schemas.openxmlformats.org/officeDocument/2006/relationships/hyperlink" Target="https://youtu.be/GPrXr_HjFiQ" TargetMode="External"/><Relationship Id="rId3417" Type="http://schemas.openxmlformats.org/officeDocument/2006/relationships/hyperlink" Target="https://youtu.be/V5RCjNGUUdg" TargetMode="External"/><Relationship Id="rId3416" Type="http://schemas.openxmlformats.org/officeDocument/2006/relationships/hyperlink" Target="https://youtu.be/pAEmnmrLjw8" TargetMode="External"/><Relationship Id="rId3415" Type="http://schemas.openxmlformats.org/officeDocument/2006/relationships/hyperlink" Target="https://youtu.be/7-I1CfgIyNU" TargetMode="External"/><Relationship Id="rId3414" Type="http://schemas.openxmlformats.org/officeDocument/2006/relationships/hyperlink" Target="https://youtu.be/nttnecwEku8" TargetMode="External"/><Relationship Id="rId3413" Type="http://schemas.openxmlformats.org/officeDocument/2006/relationships/hyperlink" Target="https://youtu.be/nzYZlkHkM1M" TargetMode="External"/><Relationship Id="rId3412" Type="http://schemas.openxmlformats.org/officeDocument/2006/relationships/hyperlink" Target="https://youtu.be/zyXOTYlkSVI" TargetMode="External"/><Relationship Id="rId3411" Type="http://schemas.openxmlformats.org/officeDocument/2006/relationships/hyperlink" Target="https://youtu.be/SwXe_X4UKoM" TargetMode="External"/><Relationship Id="rId3410" Type="http://schemas.openxmlformats.org/officeDocument/2006/relationships/hyperlink" Target="https://youtu.be/KP-IR0MkZfs" TargetMode="External"/><Relationship Id="rId341" Type="http://schemas.openxmlformats.org/officeDocument/2006/relationships/hyperlink" Target="https://youtu.be/Xh2IU9EWwFw" TargetMode="External"/><Relationship Id="rId3409" Type="http://schemas.openxmlformats.org/officeDocument/2006/relationships/hyperlink" Target="https://youtu.be/q6lP8Kg9jnE" TargetMode="External"/><Relationship Id="rId3408" Type="http://schemas.openxmlformats.org/officeDocument/2006/relationships/hyperlink" Target="https://youtu.be/7jZslKRtZNE" TargetMode="External"/><Relationship Id="rId3407" Type="http://schemas.openxmlformats.org/officeDocument/2006/relationships/hyperlink" Target="https://youtu.be/nA3rOlwOfzY" TargetMode="External"/><Relationship Id="rId3406" Type="http://schemas.openxmlformats.org/officeDocument/2006/relationships/hyperlink" Target="https://youtu.be/QnodZFD0-RM" TargetMode="External"/><Relationship Id="rId3405" Type="http://schemas.openxmlformats.org/officeDocument/2006/relationships/hyperlink" Target="https://youtu.be/dmhSov4m1MI" TargetMode="External"/><Relationship Id="rId3404" Type="http://schemas.openxmlformats.org/officeDocument/2006/relationships/hyperlink" Target="https://youtu.be/DLbSvMk4Pf0" TargetMode="External"/><Relationship Id="rId3403" Type="http://schemas.openxmlformats.org/officeDocument/2006/relationships/hyperlink" Target="https://youtu.be/7yB9-oMj2ew" TargetMode="External"/><Relationship Id="rId3402" Type="http://schemas.openxmlformats.org/officeDocument/2006/relationships/hyperlink" Target="https://youtu.be/Ps01BLaO7D8" TargetMode="External"/><Relationship Id="rId3401" Type="http://schemas.openxmlformats.org/officeDocument/2006/relationships/hyperlink" Target="https://youtu.be/imOr0y74FxI" TargetMode="External"/><Relationship Id="rId3400" Type="http://schemas.openxmlformats.org/officeDocument/2006/relationships/hyperlink" Target="https://youtu.be/wnG-rFFpP8A" TargetMode="External"/><Relationship Id="rId340" Type="http://schemas.openxmlformats.org/officeDocument/2006/relationships/hyperlink" Target="https://youtu.be/4pkhD96dMdg" TargetMode="External"/><Relationship Id="rId34" Type="http://schemas.openxmlformats.org/officeDocument/2006/relationships/hyperlink" Target="https://youtu.be/HvbI3nPsrh0" TargetMode="External"/><Relationship Id="rId3399" Type="http://schemas.openxmlformats.org/officeDocument/2006/relationships/hyperlink" Target="https://youtu.be/FVzfDZlEwaU" TargetMode="External"/><Relationship Id="rId3398" Type="http://schemas.openxmlformats.org/officeDocument/2006/relationships/hyperlink" Target="https://youtu.be/Ti_yre6dsa4" TargetMode="External"/><Relationship Id="rId3397" Type="http://schemas.openxmlformats.org/officeDocument/2006/relationships/hyperlink" Target="https://youtu.be/drGX9SVQQRI" TargetMode="External"/><Relationship Id="rId3396" Type="http://schemas.openxmlformats.org/officeDocument/2006/relationships/hyperlink" Target="https://youtu.be/AAA3ANe8FMs" TargetMode="External"/><Relationship Id="rId3395" Type="http://schemas.openxmlformats.org/officeDocument/2006/relationships/hyperlink" Target="https://youtu.be/j3smd4INzng" TargetMode="External"/><Relationship Id="rId3394" Type="http://schemas.openxmlformats.org/officeDocument/2006/relationships/hyperlink" Target="https://youtu.be/m5YtXtp5WAc" TargetMode="External"/><Relationship Id="rId3393" Type="http://schemas.openxmlformats.org/officeDocument/2006/relationships/hyperlink" Target="https://youtu.be/C_d6aneQ7Bg" TargetMode="External"/><Relationship Id="rId3392" Type="http://schemas.openxmlformats.org/officeDocument/2006/relationships/hyperlink" Target="https://youtu.be/6f8HHQ2U2jg" TargetMode="External"/><Relationship Id="rId3391" Type="http://schemas.openxmlformats.org/officeDocument/2006/relationships/hyperlink" Target="https://youtu.be/8x9Jp1tSkqo" TargetMode="External"/><Relationship Id="rId3390" Type="http://schemas.openxmlformats.org/officeDocument/2006/relationships/hyperlink" Target="https://youtu.be/BzKVPnmI-8Q" TargetMode="External"/><Relationship Id="rId339" Type="http://schemas.openxmlformats.org/officeDocument/2006/relationships/hyperlink" Target="https://youtu.be/VdDK_eIEO-o" TargetMode="External"/><Relationship Id="rId3389" Type="http://schemas.openxmlformats.org/officeDocument/2006/relationships/hyperlink" Target="https://youtu.be/y_FH6PByZeY" TargetMode="External"/><Relationship Id="rId3388" Type="http://schemas.openxmlformats.org/officeDocument/2006/relationships/hyperlink" Target="https://youtu.be/hBfNkGs47NE" TargetMode="External"/><Relationship Id="rId3387" Type="http://schemas.openxmlformats.org/officeDocument/2006/relationships/hyperlink" Target="https://youtu.be/_NcaHJ0S_LA" TargetMode="External"/><Relationship Id="rId3386" Type="http://schemas.openxmlformats.org/officeDocument/2006/relationships/hyperlink" Target="https://youtu.be/H5-HyE_PKZ8" TargetMode="External"/><Relationship Id="rId3385" Type="http://schemas.openxmlformats.org/officeDocument/2006/relationships/hyperlink" Target="https://youtu.be/BArApRIjdTI" TargetMode="External"/><Relationship Id="rId3384" Type="http://schemas.openxmlformats.org/officeDocument/2006/relationships/hyperlink" Target="https://youtu.be/PRIlOPJQqsE" TargetMode="External"/><Relationship Id="rId3383" Type="http://schemas.openxmlformats.org/officeDocument/2006/relationships/hyperlink" Target="https://youtu.be/aItHV96NJt4" TargetMode="External"/><Relationship Id="rId3382" Type="http://schemas.openxmlformats.org/officeDocument/2006/relationships/hyperlink" Target="https://youtu.be/BvQ0PUqd7PI" TargetMode="External"/><Relationship Id="rId3381" Type="http://schemas.openxmlformats.org/officeDocument/2006/relationships/hyperlink" Target="https://youtu.be/YyodK2g6aok" TargetMode="External"/><Relationship Id="rId3380" Type="http://schemas.openxmlformats.org/officeDocument/2006/relationships/hyperlink" Target="https://youtu.be/56xBnFPuDBU" TargetMode="External"/><Relationship Id="rId338" Type="http://schemas.openxmlformats.org/officeDocument/2006/relationships/hyperlink" Target="https://youtu.be/66RYpY_adnw" TargetMode="External"/><Relationship Id="rId3379" Type="http://schemas.openxmlformats.org/officeDocument/2006/relationships/hyperlink" Target="https://youtu.be/2KnTpm9Y77E" TargetMode="External"/><Relationship Id="rId3378" Type="http://schemas.openxmlformats.org/officeDocument/2006/relationships/hyperlink" Target="https://youtu.be/njp6ffI_rg4" TargetMode="External"/><Relationship Id="rId3377" Type="http://schemas.openxmlformats.org/officeDocument/2006/relationships/hyperlink" Target="https://youtu.be/hnFNgqyyUi0" TargetMode="External"/><Relationship Id="rId3376" Type="http://schemas.openxmlformats.org/officeDocument/2006/relationships/hyperlink" Target="https://youtu.be/9jfB3KU1UqY" TargetMode="External"/><Relationship Id="rId3375" Type="http://schemas.openxmlformats.org/officeDocument/2006/relationships/hyperlink" Target="https://youtu.be/vAS1YUi8Jgc" TargetMode="External"/><Relationship Id="rId3374" Type="http://schemas.openxmlformats.org/officeDocument/2006/relationships/hyperlink" Target="https://youtu.be/QMMGiBffvII" TargetMode="External"/><Relationship Id="rId3373" Type="http://schemas.openxmlformats.org/officeDocument/2006/relationships/hyperlink" Target="https://youtu.be/er8lbdGHiro" TargetMode="External"/><Relationship Id="rId3372" Type="http://schemas.openxmlformats.org/officeDocument/2006/relationships/hyperlink" Target="https://youtu.be/92qi9JBhGUI" TargetMode="External"/><Relationship Id="rId3371" Type="http://schemas.openxmlformats.org/officeDocument/2006/relationships/hyperlink" Target="https://youtu.be/EfydyUOv9TM" TargetMode="External"/><Relationship Id="rId3370" Type="http://schemas.openxmlformats.org/officeDocument/2006/relationships/hyperlink" Target="https://youtu.be/JCYFC1ppXug" TargetMode="External"/><Relationship Id="rId337" Type="http://schemas.openxmlformats.org/officeDocument/2006/relationships/hyperlink" Target="https://youtu.be/XKr09ZbXYUo" TargetMode="External"/><Relationship Id="rId3369" Type="http://schemas.openxmlformats.org/officeDocument/2006/relationships/hyperlink" Target="https://youtu.be/w0SaKPuocRA" TargetMode="External"/><Relationship Id="rId3368" Type="http://schemas.openxmlformats.org/officeDocument/2006/relationships/hyperlink" Target="https://youtu.be/v5O3CfTu1d4" TargetMode="External"/><Relationship Id="rId3367" Type="http://schemas.openxmlformats.org/officeDocument/2006/relationships/hyperlink" Target="https://youtu.be/2D5U7I0yLcU" TargetMode="External"/><Relationship Id="rId3366" Type="http://schemas.openxmlformats.org/officeDocument/2006/relationships/hyperlink" Target="https://youtu.be/Bj3n1BIq_5I" TargetMode="External"/><Relationship Id="rId3365" Type="http://schemas.openxmlformats.org/officeDocument/2006/relationships/hyperlink" Target="https://youtu.be/vBmxnVm7vUw" TargetMode="External"/><Relationship Id="rId3364" Type="http://schemas.openxmlformats.org/officeDocument/2006/relationships/hyperlink" Target="https://youtu.be/3TrNN_eTau0" TargetMode="External"/><Relationship Id="rId3363" Type="http://schemas.openxmlformats.org/officeDocument/2006/relationships/hyperlink" Target="https://youtu.be/7R1VvQH1mEo" TargetMode="External"/><Relationship Id="rId3362" Type="http://schemas.openxmlformats.org/officeDocument/2006/relationships/hyperlink" Target="https://youtu.be/j12YWoU0X_0" TargetMode="External"/><Relationship Id="rId3361" Type="http://schemas.openxmlformats.org/officeDocument/2006/relationships/hyperlink" Target="https://youtu.be/ixaf3td-qxU" TargetMode="External"/><Relationship Id="rId3360" Type="http://schemas.openxmlformats.org/officeDocument/2006/relationships/hyperlink" Target="https://youtu.be/7qwqyU4pg_E" TargetMode="External"/><Relationship Id="rId336" Type="http://schemas.openxmlformats.org/officeDocument/2006/relationships/hyperlink" Target="https://youtu.be/k1UcseLVNVc" TargetMode="External"/><Relationship Id="rId3359" Type="http://schemas.openxmlformats.org/officeDocument/2006/relationships/hyperlink" Target="https://youtu.be/sd1vKkgz5gI" TargetMode="External"/><Relationship Id="rId3358" Type="http://schemas.openxmlformats.org/officeDocument/2006/relationships/hyperlink" Target="https://youtu.be/w3tG_UW-k7Q" TargetMode="External"/><Relationship Id="rId3357" Type="http://schemas.openxmlformats.org/officeDocument/2006/relationships/hyperlink" Target="https://youtu.be/Z0aX3n7T0fU" TargetMode="External"/><Relationship Id="rId3356" Type="http://schemas.openxmlformats.org/officeDocument/2006/relationships/hyperlink" Target="https://youtu.be/lH0ZAZY7IUE" TargetMode="External"/><Relationship Id="rId3355" Type="http://schemas.openxmlformats.org/officeDocument/2006/relationships/hyperlink" Target="https://youtu.be/Qk8Qp-71Cus" TargetMode="External"/><Relationship Id="rId3354" Type="http://schemas.openxmlformats.org/officeDocument/2006/relationships/hyperlink" Target="https://youtu.be/yuQLdraazBo" TargetMode="External"/><Relationship Id="rId3353" Type="http://schemas.openxmlformats.org/officeDocument/2006/relationships/hyperlink" Target="https://youtu.be/0OFYjz_iw6E" TargetMode="External"/><Relationship Id="rId3352" Type="http://schemas.openxmlformats.org/officeDocument/2006/relationships/hyperlink" Target="https://youtu.be/p7r5HB1027E" TargetMode="External"/><Relationship Id="rId3351" Type="http://schemas.openxmlformats.org/officeDocument/2006/relationships/hyperlink" Target="https://youtu.be/Srcynvld7d8" TargetMode="External"/><Relationship Id="rId3350" Type="http://schemas.openxmlformats.org/officeDocument/2006/relationships/hyperlink" Target="https://youtu.be/eyKhqFwSNcs" TargetMode="External"/><Relationship Id="rId335" Type="http://schemas.openxmlformats.org/officeDocument/2006/relationships/hyperlink" Target="https://youtu.be/y-sA3R4MWjA" TargetMode="External"/><Relationship Id="rId3349" Type="http://schemas.openxmlformats.org/officeDocument/2006/relationships/hyperlink" Target="https://youtu.be/3QAf1oRui-Q" TargetMode="External"/><Relationship Id="rId3348" Type="http://schemas.openxmlformats.org/officeDocument/2006/relationships/hyperlink" Target="https://youtu.be/xlQtIqUI_1Y" TargetMode="External"/><Relationship Id="rId3347" Type="http://schemas.openxmlformats.org/officeDocument/2006/relationships/hyperlink" Target="https://youtu.be/Dgv0P86rVVQ" TargetMode="External"/><Relationship Id="rId3346" Type="http://schemas.openxmlformats.org/officeDocument/2006/relationships/hyperlink" Target="https://youtu.be/YkDBcmfV6DI" TargetMode="External"/><Relationship Id="rId3345" Type="http://schemas.openxmlformats.org/officeDocument/2006/relationships/hyperlink" Target="https://youtu.be/QCNkWwIDZFg" TargetMode="External"/><Relationship Id="rId3344" Type="http://schemas.openxmlformats.org/officeDocument/2006/relationships/hyperlink" Target="https://youtu.be/1ynkJSVNTnI" TargetMode="External"/><Relationship Id="rId3343" Type="http://schemas.openxmlformats.org/officeDocument/2006/relationships/hyperlink" Target="https://youtu.be/1pQKZc2AXW0" TargetMode="External"/><Relationship Id="rId3342" Type="http://schemas.openxmlformats.org/officeDocument/2006/relationships/hyperlink" Target="https://youtu.be/1HV6wY6rhvA" TargetMode="External"/><Relationship Id="rId3341" Type="http://schemas.openxmlformats.org/officeDocument/2006/relationships/hyperlink" Target="https://youtu.be/9q0FJUmencM" TargetMode="External"/><Relationship Id="rId3340" Type="http://schemas.openxmlformats.org/officeDocument/2006/relationships/hyperlink" Target="https://youtu.be/CfbMZHCh5ZI" TargetMode="External"/><Relationship Id="rId334" Type="http://schemas.openxmlformats.org/officeDocument/2006/relationships/hyperlink" Target="https://youtu.be/NH44vP7R_58" TargetMode="External"/><Relationship Id="rId3339" Type="http://schemas.openxmlformats.org/officeDocument/2006/relationships/hyperlink" Target="https://youtu.be/xpa68lJhbOc" TargetMode="External"/><Relationship Id="rId3338" Type="http://schemas.openxmlformats.org/officeDocument/2006/relationships/hyperlink" Target="https://youtu.be/mv7cHRz0q2A" TargetMode="External"/><Relationship Id="rId3337" Type="http://schemas.openxmlformats.org/officeDocument/2006/relationships/hyperlink" Target="https://youtu.be/Gv1wYZ0dJ3A" TargetMode="External"/><Relationship Id="rId3336" Type="http://schemas.openxmlformats.org/officeDocument/2006/relationships/hyperlink" Target="https://youtu.be/GC9C5DhZuk8" TargetMode="External"/><Relationship Id="rId3335" Type="http://schemas.openxmlformats.org/officeDocument/2006/relationships/hyperlink" Target="https://youtu.be/BnRAmUOvGCQ" TargetMode="External"/><Relationship Id="rId3334" Type="http://schemas.openxmlformats.org/officeDocument/2006/relationships/hyperlink" Target="https://youtu.be/wGrWPMo4D14" TargetMode="External"/><Relationship Id="rId3333" Type="http://schemas.openxmlformats.org/officeDocument/2006/relationships/hyperlink" Target="https://youtu.be/Tb3vqagpFHc" TargetMode="External"/><Relationship Id="rId3332" Type="http://schemas.openxmlformats.org/officeDocument/2006/relationships/hyperlink" Target="https://youtu.be/iFBWsxWeZ80" TargetMode="External"/><Relationship Id="rId3331" Type="http://schemas.openxmlformats.org/officeDocument/2006/relationships/hyperlink" Target="https://youtu.be/YNDPmQTJni8" TargetMode="External"/><Relationship Id="rId3330" Type="http://schemas.openxmlformats.org/officeDocument/2006/relationships/hyperlink" Target="https://youtu.be/EapkPilhCOc" TargetMode="External"/><Relationship Id="rId333" Type="http://schemas.openxmlformats.org/officeDocument/2006/relationships/hyperlink" Target="https://youtu.be/TiUvXmRDwEQ" TargetMode="External"/><Relationship Id="rId3329" Type="http://schemas.openxmlformats.org/officeDocument/2006/relationships/hyperlink" Target="https://youtu.be/15ltO-24-ys" TargetMode="External"/><Relationship Id="rId3328" Type="http://schemas.openxmlformats.org/officeDocument/2006/relationships/hyperlink" Target="https://youtu.be/67E3kxAA4k4" TargetMode="External"/><Relationship Id="rId3327" Type="http://schemas.openxmlformats.org/officeDocument/2006/relationships/hyperlink" Target="https://youtu.be/REuqI11CwgY" TargetMode="External"/><Relationship Id="rId3326" Type="http://schemas.openxmlformats.org/officeDocument/2006/relationships/hyperlink" Target="https://youtu.be/iCHsDmSLePc" TargetMode="External"/><Relationship Id="rId3325" Type="http://schemas.openxmlformats.org/officeDocument/2006/relationships/hyperlink" Target="https://youtu.be/gC2VIJGm2TU" TargetMode="External"/><Relationship Id="rId3324" Type="http://schemas.openxmlformats.org/officeDocument/2006/relationships/hyperlink" Target="https://youtu.be/B1h1KXeT7ro" TargetMode="External"/><Relationship Id="rId3323" Type="http://schemas.openxmlformats.org/officeDocument/2006/relationships/hyperlink" Target="https://youtu.be/Kdij2V0vlCg" TargetMode="External"/><Relationship Id="rId3322" Type="http://schemas.openxmlformats.org/officeDocument/2006/relationships/hyperlink" Target="https://youtu.be/vws4nLghYZY" TargetMode="External"/><Relationship Id="rId3321" Type="http://schemas.openxmlformats.org/officeDocument/2006/relationships/hyperlink" Target="https://youtu.be/7fBl_z3Ksgs" TargetMode="External"/><Relationship Id="rId3320" Type="http://schemas.openxmlformats.org/officeDocument/2006/relationships/hyperlink" Target="https://youtu.be/7bIoPuoznsA" TargetMode="External"/><Relationship Id="rId332" Type="http://schemas.openxmlformats.org/officeDocument/2006/relationships/hyperlink" Target="https://youtu.be/WpJT54UrM00" TargetMode="External"/><Relationship Id="rId3319" Type="http://schemas.openxmlformats.org/officeDocument/2006/relationships/hyperlink" Target="https://youtu.be/2RJyI0pBFbI" TargetMode="External"/><Relationship Id="rId3318" Type="http://schemas.openxmlformats.org/officeDocument/2006/relationships/hyperlink" Target="https://youtu.be/IpNO465ai_M" TargetMode="External"/><Relationship Id="rId3317" Type="http://schemas.openxmlformats.org/officeDocument/2006/relationships/hyperlink" Target="https://youtu.be/lsDgQ4UrnCk" TargetMode="External"/><Relationship Id="rId3316" Type="http://schemas.openxmlformats.org/officeDocument/2006/relationships/hyperlink" Target="https://youtu.be/l7N84-QOiGg" TargetMode="External"/><Relationship Id="rId3315" Type="http://schemas.openxmlformats.org/officeDocument/2006/relationships/hyperlink" Target="https://youtu.be/xhkuse5ox7U" TargetMode="External"/><Relationship Id="rId3314" Type="http://schemas.openxmlformats.org/officeDocument/2006/relationships/hyperlink" Target="https://youtu.be/pdRvFROQjbk" TargetMode="External"/><Relationship Id="rId3313" Type="http://schemas.openxmlformats.org/officeDocument/2006/relationships/hyperlink" Target="https://youtu.be/QqV0_kvze4Y" TargetMode="External"/><Relationship Id="rId3312" Type="http://schemas.openxmlformats.org/officeDocument/2006/relationships/hyperlink" Target="https://youtu.be/c-qeFNU_-ys" TargetMode="External"/><Relationship Id="rId3311" Type="http://schemas.openxmlformats.org/officeDocument/2006/relationships/hyperlink" Target="https://youtu.be/WkC4YjcIzKI" TargetMode="External"/><Relationship Id="rId3310" Type="http://schemas.openxmlformats.org/officeDocument/2006/relationships/hyperlink" Target="https://youtu.be/5TnCumH1mL4" TargetMode="External"/><Relationship Id="rId331" Type="http://schemas.openxmlformats.org/officeDocument/2006/relationships/hyperlink" Target="https://youtu.be/bFUoXFbS5RI" TargetMode="External"/><Relationship Id="rId3309" Type="http://schemas.openxmlformats.org/officeDocument/2006/relationships/hyperlink" Target="https://youtu.be/TF3LYtLolHA" TargetMode="External"/><Relationship Id="rId3308" Type="http://schemas.openxmlformats.org/officeDocument/2006/relationships/hyperlink" Target="https://youtu.be/yOCoSrJIYAQ" TargetMode="External"/><Relationship Id="rId3307" Type="http://schemas.openxmlformats.org/officeDocument/2006/relationships/hyperlink" Target="https://youtu.be/q0Mw2iJA5Bc" TargetMode="External"/><Relationship Id="rId3306" Type="http://schemas.openxmlformats.org/officeDocument/2006/relationships/hyperlink" Target="https://youtu.be/HlNcfGcEYOE" TargetMode="External"/><Relationship Id="rId3305" Type="http://schemas.openxmlformats.org/officeDocument/2006/relationships/hyperlink" Target="https://youtu.be/jSR_Co4dtLk" TargetMode="External"/><Relationship Id="rId3304" Type="http://schemas.openxmlformats.org/officeDocument/2006/relationships/hyperlink" Target="https://youtu.be/iSUXZDnp0RU" TargetMode="External"/><Relationship Id="rId3303" Type="http://schemas.openxmlformats.org/officeDocument/2006/relationships/hyperlink" Target="https://youtu.be/fYo31XjoXOk" TargetMode="External"/><Relationship Id="rId3302" Type="http://schemas.openxmlformats.org/officeDocument/2006/relationships/hyperlink" Target="https://youtu.be/SJbIRxV6yOA" TargetMode="External"/><Relationship Id="rId3301" Type="http://schemas.openxmlformats.org/officeDocument/2006/relationships/hyperlink" Target="https://youtu.be/G6RLahJrAj4" TargetMode="External"/><Relationship Id="rId3300" Type="http://schemas.openxmlformats.org/officeDocument/2006/relationships/hyperlink" Target="https://youtu.be/MVTyRNbsqk8" TargetMode="External"/><Relationship Id="rId330" Type="http://schemas.openxmlformats.org/officeDocument/2006/relationships/hyperlink" Target="https://youtu.be/8DQeFmWUyd8" TargetMode="External"/><Relationship Id="rId33" Type="http://schemas.openxmlformats.org/officeDocument/2006/relationships/hyperlink" Target="https://youtu.be/qj6YsJqO6bA" TargetMode="External"/><Relationship Id="rId3299" Type="http://schemas.openxmlformats.org/officeDocument/2006/relationships/hyperlink" Target="https://youtu.be/l7MOAUAzFBg" TargetMode="External"/><Relationship Id="rId3298" Type="http://schemas.openxmlformats.org/officeDocument/2006/relationships/hyperlink" Target="https://youtu.be/4lRPgo7fqtI" TargetMode="External"/><Relationship Id="rId3297" Type="http://schemas.openxmlformats.org/officeDocument/2006/relationships/hyperlink" Target="https://youtu.be/8EnoM68d9mc" TargetMode="External"/><Relationship Id="rId3296" Type="http://schemas.openxmlformats.org/officeDocument/2006/relationships/hyperlink" Target="https://youtu.be/4JVOQR15fyg" TargetMode="External"/><Relationship Id="rId3295" Type="http://schemas.openxmlformats.org/officeDocument/2006/relationships/hyperlink" Target="https://youtu.be/TWTjD5H7gYM" TargetMode="External"/><Relationship Id="rId3294" Type="http://schemas.openxmlformats.org/officeDocument/2006/relationships/hyperlink" Target="https://youtu.be/2uTJateA0iw" TargetMode="External"/><Relationship Id="rId3293" Type="http://schemas.openxmlformats.org/officeDocument/2006/relationships/hyperlink" Target="https://youtu.be/Hgkb6U1McOE" TargetMode="External"/><Relationship Id="rId3292" Type="http://schemas.openxmlformats.org/officeDocument/2006/relationships/hyperlink" Target="https://youtu.be/Fi-M3VrCXCc" TargetMode="External"/><Relationship Id="rId3291" Type="http://schemas.openxmlformats.org/officeDocument/2006/relationships/hyperlink" Target="https://youtu.be/Fp-grYu2i38" TargetMode="External"/><Relationship Id="rId3290" Type="http://schemas.openxmlformats.org/officeDocument/2006/relationships/hyperlink" Target="https://youtu.be/EMhqtGDUQZA" TargetMode="External"/><Relationship Id="rId329" Type="http://schemas.openxmlformats.org/officeDocument/2006/relationships/hyperlink" Target="https://youtu.be/UnxhawYoKCI" TargetMode="External"/><Relationship Id="rId3289" Type="http://schemas.openxmlformats.org/officeDocument/2006/relationships/hyperlink" Target="https://youtu.be/rHJOLi5OZU8" TargetMode="External"/><Relationship Id="rId3288" Type="http://schemas.openxmlformats.org/officeDocument/2006/relationships/hyperlink" Target="https://youtu.be/rq99ZuIe40c" TargetMode="External"/><Relationship Id="rId3287" Type="http://schemas.openxmlformats.org/officeDocument/2006/relationships/hyperlink" Target="https://youtu.be/NAXBdt5gS_c" TargetMode="External"/><Relationship Id="rId3286" Type="http://schemas.openxmlformats.org/officeDocument/2006/relationships/hyperlink" Target="https://youtu.be/cua2wqUQrak" TargetMode="External"/><Relationship Id="rId3285" Type="http://schemas.openxmlformats.org/officeDocument/2006/relationships/hyperlink" Target="https://youtu.be/_g7dEXjumEM" TargetMode="External"/><Relationship Id="rId3284" Type="http://schemas.openxmlformats.org/officeDocument/2006/relationships/hyperlink" Target="https://youtu.be/SaFAH5YL4GU" TargetMode="External"/><Relationship Id="rId3283" Type="http://schemas.openxmlformats.org/officeDocument/2006/relationships/hyperlink" Target="https://youtu.be/SdiIeBT8kA8" TargetMode="External"/><Relationship Id="rId3282" Type="http://schemas.openxmlformats.org/officeDocument/2006/relationships/hyperlink" Target="https://youtu.be/DUwzAxVdaNY" TargetMode="External"/><Relationship Id="rId3281" Type="http://schemas.openxmlformats.org/officeDocument/2006/relationships/hyperlink" Target="https://youtu.be/oNOZZruBc7w" TargetMode="External"/><Relationship Id="rId3280" Type="http://schemas.openxmlformats.org/officeDocument/2006/relationships/hyperlink" Target="https://youtu.be/8AaCGVcuDqM" TargetMode="External"/><Relationship Id="rId328" Type="http://schemas.openxmlformats.org/officeDocument/2006/relationships/hyperlink" Target="https://youtu.be/Fc3dV87zloY" TargetMode="External"/><Relationship Id="rId3279" Type="http://schemas.openxmlformats.org/officeDocument/2006/relationships/hyperlink" Target="https://youtu.be/gjO958LuB0E" TargetMode="External"/><Relationship Id="rId3278" Type="http://schemas.openxmlformats.org/officeDocument/2006/relationships/hyperlink" Target="https://youtu.be/Az7GQb-emnk" TargetMode="External"/><Relationship Id="rId3277" Type="http://schemas.openxmlformats.org/officeDocument/2006/relationships/hyperlink" Target="https://youtu.be/oDdTZkxcv3I" TargetMode="External"/><Relationship Id="rId3276" Type="http://schemas.openxmlformats.org/officeDocument/2006/relationships/hyperlink" Target="https://youtu.be/Rom6M8udyI8" TargetMode="External"/><Relationship Id="rId3275" Type="http://schemas.openxmlformats.org/officeDocument/2006/relationships/hyperlink" Target="https://youtu.be/z22vOjOAQt0" TargetMode="External"/><Relationship Id="rId3274" Type="http://schemas.openxmlformats.org/officeDocument/2006/relationships/hyperlink" Target="https://youtu.be/HmhYrsMvenE" TargetMode="External"/><Relationship Id="rId3273" Type="http://schemas.openxmlformats.org/officeDocument/2006/relationships/hyperlink" Target="https://youtu.be/nwnmspnNHEA" TargetMode="External"/><Relationship Id="rId3272" Type="http://schemas.openxmlformats.org/officeDocument/2006/relationships/hyperlink" Target="https://youtu.be/nSIUnSpbfd4" TargetMode="External"/><Relationship Id="rId3271" Type="http://schemas.openxmlformats.org/officeDocument/2006/relationships/hyperlink" Target="https://youtu.be/firW5Gid49o" TargetMode="External"/><Relationship Id="rId3270" Type="http://schemas.openxmlformats.org/officeDocument/2006/relationships/hyperlink" Target="https://youtu.be/DIK0nMnenx0" TargetMode="External"/><Relationship Id="rId327" Type="http://schemas.openxmlformats.org/officeDocument/2006/relationships/hyperlink" Target="https://youtu.be/3elbEt0lohM" TargetMode="External"/><Relationship Id="rId3269" Type="http://schemas.openxmlformats.org/officeDocument/2006/relationships/hyperlink" Target="https://youtu.be/NhhOc_dRnLE" TargetMode="External"/><Relationship Id="rId3268" Type="http://schemas.openxmlformats.org/officeDocument/2006/relationships/hyperlink" Target="https://youtu.be/g6wB7Cuwux8" TargetMode="External"/><Relationship Id="rId3267" Type="http://schemas.openxmlformats.org/officeDocument/2006/relationships/hyperlink" Target="https://youtu.be/8pVHViay3sA" TargetMode="External"/><Relationship Id="rId3266" Type="http://schemas.openxmlformats.org/officeDocument/2006/relationships/hyperlink" Target="https://youtu.be/MCML1V-ojE0" TargetMode="External"/><Relationship Id="rId3265" Type="http://schemas.openxmlformats.org/officeDocument/2006/relationships/hyperlink" Target="https://youtu.be/csMEQiM5o3w" TargetMode="External"/><Relationship Id="rId3264" Type="http://schemas.openxmlformats.org/officeDocument/2006/relationships/hyperlink" Target="https://youtu.be/LL_usHvz3G0" TargetMode="External"/><Relationship Id="rId3263" Type="http://schemas.openxmlformats.org/officeDocument/2006/relationships/hyperlink" Target="https://youtu.be/K6CPCByf3Bo" TargetMode="External"/><Relationship Id="rId3262" Type="http://schemas.openxmlformats.org/officeDocument/2006/relationships/hyperlink" Target="https://youtu.be/h1V7-ZNPeXc" TargetMode="External"/><Relationship Id="rId3261" Type="http://schemas.openxmlformats.org/officeDocument/2006/relationships/hyperlink" Target="https://youtu.be/fBKs6uoyfrA" TargetMode="External"/><Relationship Id="rId3260" Type="http://schemas.openxmlformats.org/officeDocument/2006/relationships/hyperlink" Target="https://youtu.be/a0JDs-R4Z2c" TargetMode="External"/><Relationship Id="rId326" Type="http://schemas.openxmlformats.org/officeDocument/2006/relationships/hyperlink" Target="https://youtu.be/OCETx0Lyy2M" TargetMode="External"/><Relationship Id="rId3259" Type="http://schemas.openxmlformats.org/officeDocument/2006/relationships/hyperlink" Target="https://youtu.be/eSHN-_VIcrE" TargetMode="External"/><Relationship Id="rId3258" Type="http://schemas.openxmlformats.org/officeDocument/2006/relationships/hyperlink" Target="https://youtu.be/ggwAW4nRMYQ" TargetMode="External"/><Relationship Id="rId3257" Type="http://schemas.openxmlformats.org/officeDocument/2006/relationships/hyperlink" Target="https://youtu.be/Y2ZbudSD9G0" TargetMode="External"/><Relationship Id="rId3256" Type="http://schemas.openxmlformats.org/officeDocument/2006/relationships/hyperlink" Target="https://youtu.be/F6-8UKkaZL4" TargetMode="External"/><Relationship Id="rId3255" Type="http://schemas.openxmlformats.org/officeDocument/2006/relationships/hyperlink" Target="https://youtu.be/ZAI3WO2Vv5Q" TargetMode="External"/><Relationship Id="rId3254" Type="http://schemas.openxmlformats.org/officeDocument/2006/relationships/hyperlink" Target="https://youtu.be/HItD7pg4htU" TargetMode="External"/><Relationship Id="rId3253" Type="http://schemas.openxmlformats.org/officeDocument/2006/relationships/hyperlink" Target="https://youtu.be/YJHk-nldS-E" TargetMode="External"/><Relationship Id="rId3252" Type="http://schemas.openxmlformats.org/officeDocument/2006/relationships/hyperlink" Target="https://youtu.be/E6NQu-8Gomc" TargetMode="External"/><Relationship Id="rId3251" Type="http://schemas.openxmlformats.org/officeDocument/2006/relationships/hyperlink" Target="https://youtu.be/otDdZxX8wIY" TargetMode="External"/><Relationship Id="rId3250" Type="http://schemas.openxmlformats.org/officeDocument/2006/relationships/hyperlink" Target="https://youtu.be/TScEakB0J-s" TargetMode="External"/><Relationship Id="rId325" Type="http://schemas.openxmlformats.org/officeDocument/2006/relationships/hyperlink" Target="https://youtu.be/IkXIdup6vqo" TargetMode="External"/><Relationship Id="rId3249" Type="http://schemas.openxmlformats.org/officeDocument/2006/relationships/hyperlink" Target="https://youtu.be/ycF048xwlXc" TargetMode="External"/><Relationship Id="rId3248" Type="http://schemas.openxmlformats.org/officeDocument/2006/relationships/hyperlink" Target="https://youtu.be/CxJQ4pu_0Qc" TargetMode="External"/><Relationship Id="rId3247" Type="http://schemas.openxmlformats.org/officeDocument/2006/relationships/hyperlink" Target="https://youtu.be/_qVURcmeqD4" TargetMode="External"/><Relationship Id="rId3246" Type="http://schemas.openxmlformats.org/officeDocument/2006/relationships/hyperlink" Target="https://youtu.be/2jy52AUjRHM" TargetMode="External"/><Relationship Id="rId3245" Type="http://schemas.openxmlformats.org/officeDocument/2006/relationships/hyperlink" Target="https://youtu.be/Btvi-Ftq8JU" TargetMode="External"/><Relationship Id="rId3244" Type="http://schemas.openxmlformats.org/officeDocument/2006/relationships/hyperlink" Target="https://youtu.be/wN1buAEAp-k" TargetMode="External"/><Relationship Id="rId3243" Type="http://schemas.openxmlformats.org/officeDocument/2006/relationships/hyperlink" Target="https://youtu.be/RwhcMVFt3gU" TargetMode="External"/><Relationship Id="rId3242" Type="http://schemas.openxmlformats.org/officeDocument/2006/relationships/hyperlink" Target="https://youtu.be/2_MzDKO9lak" TargetMode="External"/><Relationship Id="rId3241" Type="http://schemas.openxmlformats.org/officeDocument/2006/relationships/hyperlink" Target="https://youtu.be/l_c_aBKKTKs" TargetMode="External"/><Relationship Id="rId3240" Type="http://schemas.openxmlformats.org/officeDocument/2006/relationships/hyperlink" Target="https://youtu.be/ERvUcNMJ3Uc" TargetMode="External"/><Relationship Id="rId324" Type="http://schemas.openxmlformats.org/officeDocument/2006/relationships/hyperlink" Target="https://youtu.be/-4jQQu8eyUw" TargetMode="External"/><Relationship Id="rId3239" Type="http://schemas.openxmlformats.org/officeDocument/2006/relationships/hyperlink" Target="https://youtu.be/MugqcMS1M4M" TargetMode="External"/><Relationship Id="rId3238" Type="http://schemas.openxmlformats.org/officeDocument/2006/relationships/hyperlink" Target="https://youtu.be/-dVKJMnyp_Y" TargetMode="External"/><Relationship Id="rId3237" Type="http://schemas.openxmlformats.org/officeDocument/2006/relationships/hyperlink" Target="https://youtu.be/OnJZAvUh2yY" TargetMode="External"/><Relationship Id="rId3236" Type="http://schemas.openxmlformats.org/officeDocument/2006/relationships/hyperlink" Target="https://youtu.be/YZIABszVvDU" TargetMode="External"/><Relationship Id="rId3235" Type="http://schemas.openxmlformats.org/officeDocument/2006/relationships/hyperlink" Target="https://youtu.be/0sLd-P4L30k" TargetMode="External"/><Relationship Id="rId3234" Type="http://schemas.openxmlformats.org/officeDocument/2006/relationships/hyperlink" Target="https://youtu.be/OZuYyUgYbdU" TargetMode="External"/><Relationship Id="rId3233" Type="http://schemas.openxmlformats.org/officeDocument/2006/relationships/hyperlink" Target="https://youtu.be/fdu6GMGLgYQ" TargetMode="External"/><Relationship Id="rId3232" Type="http://schemas.openxmlformats.org/officeDocument/2006/relationships/hyperlink" Target="https://youtu.be/tqbPAZ06xI4" TargetMode="External"/><Relationship Id="rId3231" Type="http://schemas.openxmlformats.org/officeDocument/2006/relationships/hyperlink" Target="https://youtu.be/DtkiV48HKMA" TargetMode="External"/><Relationship Id="rId3230" Type="http://schemas.openxmlformats.org/officeDocument/2006/relationships/hyperlink" Target="https://youtu.be/0HIma_ivY3g" TargetMode="External"/><Relationship Id="rId323" Type="http://schemas.openxmlformats.org/officeDocument/2006/relationships/hyperlink" Target="https://youtu.be/_HqZn1BePqM" TargetMode="External"/><Relationship Id="rId3229" Type="http://schemas.openxmlformats.org/officeDocument/2006/relationships/hyperlink" Target="https://youtu.be/qux_Xm4NlKs" TargetMode="External"/><Relationship Id="rId3228" Type="http://schemas.openxmlformats.org/officeDocument/2006/relationships/hyperlink" Target="https://youtu.be/As2o-Ho2MNE" TargetMode="External"/><Relationship Id="rId3227" Type="http://schemas.openxmlformats.org/officeDocument/2006/relationships/hyperlink" Target="https://youtu.be/4UaFBmdD3pA" TargetMode="External"/><Relationship Id="rId3226" Type="http://schemas.openxmlformats.org/officeDocument/2006/relationships/hyperlink" Target="https://youtu.be/hPUJ6XJCvfY" TargetMode="External"/><Relationship Id="rId3225" Type="http://schemas.openxmlformats.org/officeDocument/2006/relationships/hyperlink" Target="https://youtu.be/iXfWkJK0nfo" TargetMode="External"/><Relationship Id="rId3224" Type="http://schemas.openxmlformats.org/officeDocument/2006/relationships/hyperlink" Target="https://youtu.be/1CvK5WWzkuw" TargetMode="External"/><Relationship Id="rId3223" Type="http://schemas.openxmlformats.org/officeDocument/2006/relationships/hyperlink" Target="https://youtu.be/_gds6dQV8YM" TargetMode="External"/><Relationship Id="rId3222" Type="http://schemas.openxmlformats.org/officeDocument/2006/relationships/hyperlink" Target="https://youtu.be/LL-OvCnn53c" TargetMode="External"/><Relationship Id="rId3221" Type="http://schemas.openxmlformats.org/officeDocument/2006/relationships/hyperlink" Target="https://youtu.be/mxZi8wKoRL4" TargetMode="External"/><Relationship Id="rId3220" Type="http://schemas.openxmlformats.org/officeDocument/2006/relationships/hyperlink" Target="https://youtu.be/0t0LWFHB8Qo" TargetMode="External"/><Relationship Id="rId322" Type="http://schemas.openxmlformats.org/officeDocument/2006/relationships/hyperlink" Target="https://youtu.be/mUdd2Sm1h_I" TargetMode="External"/><Relationship Id="rId3219" Type="http://schemas.openxmlformats.org/officeDocument/2006/relationships/hyperlink" Target="https://youtu.be/ef90LYq7GRA" TargetMode="External"/><Relationship Id="rId3218" Type="http://schemas.openxmlformats.org/officeDocument/2006/relationships/hyperlink" Target="https://youtu.be/2HsoSbUxrlw" TargetMode="External"/><Relationship Id="rId3217" Type="http://schemas.openxmlformats.org/officeDocument/2006/relationships/hyperlink" Target="https://youtu.be/nBeWajjnDvw" TargetMode="External"/><Relationship Id="rId3216" Type="http://schemas.openxmlformats.org/officeDocument/2006/relationships/hyperlink" Target="https://youtu.be/JZts7RVdGkA" TargetMode="External"/><Relationship Id="rId3215" Type="http://schemas.openxmlformats.org/officeDocument/2006/relationships/hyperlink" Target="https://youtu.be/Tll8Yw_BMCQ" TargetMode="External"/><Relationship Id="rId3214" Type="http://schemas.openxmlformats.org/officeDocument/2006/relationships/hyperlink" Target="https://youtu.be/xkf2-UJWMr8" TargetMode="External"/><Relationship Id="rId3213" Type="http://schemas.openxmlformats.org/officeDocument/2006/relationships/hyperlink" Target="https://youtu.be/DrnOXNMwbdk" TargetMode="External"/><Relationship Id="rId3212" Type="http://schemas.openxmlformats.org/officeDocument/2006/relationships/hyperlink" Target="https://youtu.be/doN4t5NKW-k" TargetMode="External"/><Relationship Id="rId3211" Type="http://schemas.openxmlformats.org/officeDocument/2006/relationships/hyperlink" Target="https://youtu.be/CXOXce_62w0" TargetMode="External"/><Relationship Id="rId3210" Type="http://schemas.openxmlformats.org/officeDocument/2006/relationships/hyperlink" Target="https://youtu.be/G4SHEPizG5A" TargetMode="External"/><Relationship Id="rId321" Type="http://schemas.openxmlformats.org/officeDocument/2006/relationships/hyperlink" Target="https://youtu.be/J04YN9azln8" TargetMode="External"/><Relationship Id="rId3209" Type="http://schemas.openxmlformats.org/officeDocument/2006/relationships/hyperlink" Target="https://youtu.be/CTwISyNx9nw" TargetMode="External"/><Relationship Id="rId3208" Type="http://schemas.openxmlformats.org/officeDocument/2006/relationships/hyperlink" Target="https://youtu.be/SN0y10Nx6rs" TargetMode="External"/><Relationship Id="rId3207" Type="http://schemas.openxmlformats.org/officeDocument/2006/relationships/hyperlink" Target="https://youtu.be/UAecap7-3z4" TargetMode="External"/><Relationship Id="rId3206" Type="http://schemas.openxmlformats.org/officeDocument/2006/relationships/hyperlink" Target="https://youtu.be/ebkLwOmQyOo" TargetMode="External"/><Relationship Id="rId3205" Type="http://schemas.openxmlformats.org/officeDocument/2006/relationships/hyperlink" Target="https://youtu.be/RmQPPCYmHKY" TargetMode="External"/><Relationship Id="rId3204" Type="http://schemas.openxmlformats.org/officeDocument/2006/relationships/hyperlink" Target="https://youtu.be/FySvyk8VNOw" TargetMode="External"/><Relationship Id="rId3203" Type="http://schemas.openxmlformats.org/officeDocument/2006/relationships/hyperlink" Target="https://youtu.be/enFpdbJj7cA" TargetMode="External"/><Relationship Id="rId3202" Type="http://schemas.openxmlformats.org/officeDocument/2006/relationships/hyperlink" Target="https://youtu.be/Uov18Cv2u94" TargetMode="External"/><Relationship Id="rId3201" Type="http://schemas.openxmlformats.org/officeDocument/2006/relationships/hyperlink" Target="https://youtu.be/7zj8-UguuAo" TargetMode="External"/><Relationship Id="rId3200" Type="http://schemas.openxmlformats.org/officeDocument/2006/relationships/hyperlink" Target="https://youtu.be/Z3xLSO7yYdc" TargetMode="External"/><Relationship Id="rId320" Type="http://schemas.openxmlformats.org/officeDocument/2006/relationships/hyperlink" Target="https://youtu.be/E4mnpHvK8yM" TargetMode="External"/><Relationship Id="rId32" Type="http://schemas.openxmlformats.org/officeDocument/2006/relationships/hyperlink" Target="https://youtu.be/5nEnnsiHceo" TargetMode="External"/><Relationship Id="rId3199" Type="http://schemas.openxmlformats.org/officeDocument/2006/relationships/hyperlink" Target="https://youtu.be/-rm7CD0OGw4" TargetMode="External"/><Relationship Id="rId3198" Type="http://schemas.openxmlformats.org/officeDocument/2006/relationships/hyperlink" Target="https://youtu.be/3tKJvUfe6yA" TargetMode="External"/><Relationship Id="rId3197" Type="http://schemas.openxmlformats.org/officeDocument/2006/relationships/hyperlink" Target="https://youtu.be/mFiKo3amY9I" TargetMode="External"/><Relationship Id="rId3196" Type="http://schemas.openxmlformats.org/officeDocument/2006/relationships/hyperlink" Target="https://youtu.be/5tIn9-MAL70" TargetMode="External"/><Relationship Id="rId3195" Type="http://schemas.openxmlformats.org/officeDocument/2006/relationships/hyperlink" Target="https://youtu.be/viNGOE8fIb0" TargetMode="External"/><Relationship Id="rId3194" Type="http://schemas.openxmlformats.org/officeDocument/2006/relationships/hyperlink" Target="https://youtu.be/snCyFGB5hSU" TargetMode="External"/><Relationship Id="rId3193" Type="http://schemas.openxmlformats.org/officeDocument/2006/relationships/hyperlink" Target="https://youtu.be/lz4bIxeF9lI" TargetMode="External"/><Relationship Id="rId3192" Type="http://schemas.openxmlformats.org/officeDocument/2006/relationships/hyperlink" Target="https://youtu.be/cfVM3fWvnmc" TargetMode="External"/><Relationship Id="rId3191" Type="http://schemas.openxmlformats.org/officeDocument/2006/relationships/hyperlink" Target="https://youtu.be/WeFi3uHc9ns" TargetMode="External"/><Relationship Id="rId3190" Type="http://schemas.openxmlformats.org/officeDocument/2006/relationships/hyperlink" Target="https://youtu.be/c73gjwUW3MQ" TargetMode="External"/><Relationship Id="rId319" Type="http://schemas.openxmlformats.org/officeDocument/2006/relationships/hyperlink" Target="https://youtu.be/BqvDIB5pSBc" TargetMode="External"/><Relationship Id="rId3189" Type="http://schemas.openxmlformats.org/officeDocument/2006/relationships/hyperlink" Target="https://youtu.be/eGylCcEZQXQ" TargetMode="External"/><Relationship Id="rId3188" Type="http://schemas.openxmlformats.org/officeDocument/2006/relationships/hyperlink" Target="https://youtu.be/CCPRyFrHkGk" TargetMode="External"/><Relationship Id="rId3187" Type="http://schemas.openxmlformats.org/officeDocument/2006/relationships/hyperlink" Target="https://youtu.be/hzI6gbDmTGc" TargetMode="External"/><Relationship Id="rId3186" Type="http://schemas.openxmlformats.org/officeDocument/2006/relationships/hyperlink" Target="https://youtu.be/oiXLTOPtL4U" TargetMode="External"/><Relationship Id="rId3185" Type="http://schemas.openxmlformats.org/officeDocument/2006/relationships/hyperlink" Target="https://youtu.be/_MQ-sW8ZL1Q" TargetMode="External"/><Relationship Id="rId3184" Type="http://schemas.openxmlformats.org/officeDocument/2006/relationships/hyperlink" Target="https://youtu.be/9rFusYGB5FY" TargetMode="External"/><Relationship Id="rId3183" Type="http://schemas.openxmlformats.org/officeDocument/2006/relationships/hyperlink" Target="https://youtu.be/BspOIRV_ifg" TargetMode="External"/><Relationship Id="rId3182" Type="http://schemas.openxmlformats.org/officeDocument/2006/relationships/hyperlink" Target="https://youtu.be/r9NVtKfFp_s" TargetMode="External"/><Relationship Id="rId3181" Type="http://schemas.openxmlformats.org/officeDocument/2006/relationships/hyperlink" Target="https://youtu.be/NZFtaLhPQCE" TargetMode="External"/><Relationship Id="rId3180" Type="http://schemas.openxmlformats.org/officeDocument/2006/relationships/hyperlink" Target="https://youtu.be/j6hrXAxYjVc" TargetMode="External"/><Relationship Id="rId318" Type="http://schemas.openxmlformats.org/officeDocument/2006/relationships/hyperlink" Target="https://youtu.be/PnEvu9jpkeE" TargetMode="External"/><Relationship Id="rId3179" Type="http://schemas.openxmlformats.org/officeDocument/2006/relationships/hyperlink" Target="https://youtu.be/TGKfeHgaMvg" TargetMode="External"/><Relationship Id="rId3178" Type="http://schemas.openxmlformats.org/officeDocument/2006/relationships/hyperlink" Target="https://youtu.be/LAR3MuJLpr4" TargetMode="External"/><Relationship Id="rId3177" Type="http://schemas.openxmlformats.org/officeDocument/2006/relationships/hyperlink" Target="https://youtu.be/QF9ezIz2AZ4" TargetMode="External"/><Relationship Id="rId3176" Type="http://schemas.openxmlformats.org/officeDocument/2006/relationships/hyperlink" Target="https://youtu.be/bMRlMSPVQT8" TargetMode="External"/><Relationship Id="rId3175" Type="http://schemas.openxmlformats.org/officeDocument/2006/relationships/hyperlink" Target="https://youtu.be/ZskM0diLe90" TargetMode="External"/><Relationship Id="rId3174" Type="http://schemas.openxmlformats.org/officeDocument/2006/relationships/hyperlink" Target="https://youtu.be/ieN2whar2bg" TargetMode="External"/><Relationship Id="rId3173" Type="http://schemas.openxmlformats.org/officeDocument/2006/relationships/hyperlink" Target="https://youtu.be/vJXfhdyFpPU" TargetMode="External"/><Relationship Id="rId3172" Type="http://schemas.openxmlformats.org/officeDocument/2006/relationships/hyperlink" Target="https://youtu.be/2wimiRUHMI4" TargetMode="External"/><Relationship Id="rId3171" Type="http://schemas.openxmlformats.org/officeDocument/2006/relationships/hyperlink" Target="https://youtu.be/04mcodXWZF4" TargetMode="External"/><Relationship Id="rId3170" Type="http://schemas.openxmlformats.org/officeDocument/2006/relationships/hyperlink" Target="https://youtu.be/xyg5XhGHwN0" TargetMode="External"/><Relationship Id="rId317" Type="http://schemas.openxmlformats.org/officeDocument/2006/relationships/hyperlink" Target="https://youtu.be/6lEzFykAFVE" TargetMode="External"/><Relationship Id="rId3169" Type="http://schemas.openxmlformats.org/officeDocument/2006/relationships/hyperlink" Target="https://youtu.be/O4RFMJJObWw" TargetMode="External"/><Relationship Id="rId3168" Type="http://schemas.openxmlformats.org/officeDocument/2006/relationships/hyperlink" Target="https://youtu.be/fm1NINitjVQ" TargetMode="External"/><Relationship Id="rId3167" Type="http://schemas.openxmlformats.org/officeDocument/2006/relationships/hyperlink" Target="https://youtu.be/TY_snIUoE5c" TargetMode="External"/><Relationship Id="rId3166" Type="http://schemas.openxmlformats.org/officeDocument/2006/relationships/hyperlink" Target="https://youtu.be/9cR-KSXUhzo" TargetMode="External"/><Relationship Id="rId3165" Type="http://schemas.openxmlformats.org/officeDocument/2006/relationships/hyperlink" Target="https://youtu.be/zulxSCb4ZVk" TargetMode="External"/><Relationship Id="rId3164" Type="http://schemas.openxmlformats.org/officeDocument/2006/relationships/hyperlink" Target="https://youtu.be/osLM4BIvSrg" TargetMode="External"/><Relationship Id="rId3163" Type="http://schemas.openxmlformats.org/officeDocument/2006/relationships/hyperlink" Target="https://youtu.be/VoIC4POOQMg" TargetMode="External"/><Relationship Id="rId3162" Type="http://schemas.openxmlformats.org/officeDocument/2006/relationships/hyperlink" Target="https://youtu.be/oSGi7qVDBFI" TargetMode="External"/><Relationship Id="rId3161" Type="http://schemas.openxmlformats.org/officeDocument/2006/relationships/hyperlink" Target="https://youtu.be/_YkeI9VXta4" TargetMode="External"/><Relationship Id="rId3160" Type="http://schemas.openxmlformats.org/officeDocument/2006/relationships/hyperlink" Target="https://youtu.be/Ffh1LMBLJd4" TargetMode="External"/><Relationship Id="rId316" Type="http://schemas.openxmlformats.org/officeDocument/2006/relationships/hyperlink" Target="https://youtu.be/4Wbcf2LCjok" TargetMode="External"/><Relationship Id="rId3159" Type="http://schemas.openxmlformats.org/officeDocument/2006/relationships/hyperlink" Target="https://youtu.be/P45vaEgck_w" TargetMode="External"/><Relationship Id="rId3158" Type="http://schemas.openxmlformats.org/officeDocument/2006/relationships/hyperlink" Target="https://youtu.be/AmS20epgSOY" TargetMode="External"/><Relationship Id="rId3157" Type="http://schemas.openxmlformats.org/officeDocument/2006/relationships/hyperlink" Target="https://youtu.be/CgRLm2srV1E" TargetMode="External"/><Relationship Id="rId3156" Type="http://schemas.openxmlformats.org/officeDocument/2006/relationships/hyperlink" Target="https://youtu.be/wdseM-A0YPU" TargetMode="External"/><Relationship Id="rId3155" Type="http://schemas.openxmlformats.org/officeDocument/2006/relationships/hyperlink" Target="https://youtu.be/3LVm85hUBRs" TargetMode="External"/><Relationship Id="rId3154" Type="http://schemas.openxmlformats.org/officeDocument/2006/relationships/hyperlink" Target="https://youtu.be/vE55WCIf88o" TargetMode="External"/><Relationship Id="rId3153" Type="http://schemas.openxmlformats.org/officeDocument/2006/relationships/hyperlink" Target="https://youtu.be/T_2CS-ov1dU" TargetMode="External"/><Relationship Id="rId3152" Type="http://schemas.openxmlformats.org/officeDocument/2006/relationships/hyperlink" Target="https://youtu.be/qUfkJyU4PaM" TargetMode="External"/><Relationship Id="rId3151" Type="http://schemas.openxmlformats.org/officeDocument/2006/relationships/hyperlink" Target="https://youtu.be/k7_zsTvZjFg" TargetMode="External"/><Relationship Id="rId3150" Type="http://schemas.openxmlformats.org/officeDocument/2006/relationships/hyperlink" Target="https://youtu.be/OBOolkHVG_Q" TargetMode="External"/><Relationship Id="rId315" Type="http://schemas.openxmlformats.org/officeDocument/2006/relationships/hyperlink" Target="https://youtu.be/YJd3eZIT2XY" TargetMode="External"/><Relationship Id="rId3149" Type="http://schemas.openxmlformats.org/officeDocument/2006/relationships/hyperlink" Target="https://youtu.be/LS2_FKKApRA" TargetMode="External"/><Relationship Id="rId3148" Type="http://schemas.openxmlformats.org/officeDocument/2006/relationships/hyperlink" Target="https://youtu.be/dvLSYBaSE3c" TargetMode="External"/><Relationship Id="rId3147" Type="http://schemas.openxmlformats.org/officeDocument/2006/relationships/hyperlink" Target="https://youtu.be/MF7JLvoYYmE" TargetMode="External"/><Relationship Id="rId3146" Type="http://schemas.openxmlformats.org/officeDocument/2006/relationships/hyperlink" Target="https://youtu.be/IvVdD6qqROM" TargetMode="External"/><Relationship Id="rId3145" Type="http://schemas.openxmlformats.org/officeDocument/2006/relationships/hyperlink" Target="https://youtu.be/absjEiqicw4" TargetMode="External"/><Relationship Id="rId3144" Type="http://schemas.openxmlformats.org/officeDocument/2006/relationships/hyperlink" Target="https://youtu.be/inxyaiIYEnQ" TargetMode="External"/><Relationship Id="rId3143" Type="http://schemas.openxmlformats.org/officeDocument/2006/relationships/hyperlink" Target="https://youtu.be/oDWb6VdC_s8" TargetMode="External"/><Relationship Id="rId3142" Type="http://schemas.openxmlformats.org/officeDocument/2006/relationships/hyperlink" Target="https://youtu.be/6-vwlAmrhp0" TargetMode="External"/><Relationship Id="rId3141" Type="http://schemas.openxmlformats.org/officeDocument/2006/relationships/hyperlink" Target="https://youtu.be/ErzROQYSf_0" TargetMode="External"/><Relationship Id="rId3140" Type="http://schemas.openxmlformats.org/officeDocument/2006/relationships/hyperlink" Target="https://youtu.be/VD0tU2-D448" TargetMode="External"/><Relationship Id="rId314" Type="http://schemas.openxmlformats.org/officeDocument/2006/relationships/hyperlink" Target="https://youtu.be/0XAWja5ncI0" TargetMode="External"/><Relationship Id="rId3139" Type="http://schemas.openxmlformats.org/officeDocument/2006/relationships/hyperlink" Target="https://youtu.be/canmpG_uSow" TargetMode="External"/><Relationship Id="rId3138" Type="http://schemas.openxmlformats.org/officeDocument/2006/relationships/hyperlink" Target="https://youtu.be/XgKovUIQ1Eo" TargetMode="External"/><Relationship Id="rId3137" Type="http://schemas.openxmlformats.org/officeDocument/2006/relationships/hyperlink" Target="https://youtu.be/mU8H9CcziL0" TargetMode="External"/><Relationship Id="rId3136" Type="http://schemas.openxmlformats.org/officeDocument/2006/relationships/hyperlink" Target="https://youtu.be/F_G7KyJG57Q" TargetMode="External"/><Relationship Id="rId3135" Type="http://schemas.openxmlformats.org/officeDocument/2006/relationships/hyperlink" Target="https://youtu.be/0DM750sNj8g" TargetMode="External"/><Relationship Id="rId3134" Type="http://schemas.openxmlformats.org/officeDocument/2006/relationships/hyperlink" Target="https://youtu.be/yf3OxLxKyyA" TargetMode="External"/><Relationship Id="rId3133" Type="http://schemas.openxmlformats.org/officeDocument/2006/relationships/hyperlink" Target="https://youtu.be/aKSXNeqxPQE" TargetMode="External"/><Relationship Id="rId3132" Type="http://schemas.openxmlformats.org/officeDocument/2006/relationships/hyperlink" Target="https://youtu.be/z4vB44Rdq48" TargetMode="External"/><Relationship Id="rId3131" Type="http://schemas.openxmlformats.org/officeDocument/2006/relationships/hyperlink" Target="https://youtu.be/QNbQDVdybq4" TargetMode="External"/><Relationship Id="rId3130" Type="http://schemas.openxmlformats.org/officeDocument/2006/relationships/hyperlink" Target="https://youtu.be/CeAbS4RYOYI" TargetMode="External"/><Relationship Id="rId313" Type="http://schemas.openxmlformats.org/officeDocument/2006/relationships/hyperlink" Target="https://youtu.be/4IXYp9Fse44" TargetMode="External"/><Relationship Id="rId3129" Type="http://schemas.openxmlformats.org/officeDocument/2006/relationships/hyperlink" Target="https://youtu.be/tPqHSSTyZsU" TargetMode="External"/><Relationship Id="rId3128" Type="http://schemas.openxmlformats.org/officeDocument/2006/relationships/hyperlink" Target="https://youtu.be/7I0pUE0GQn0" TargetMode="External"/><Relationship Id="rId3127" Type="http://schemas.openxmlformats.org/officeDocument/2006/relationships/hyperlink" Target="https://youtu.be/6o7s-fVykfs" TargetMode="External"/><Relationship Id="rId3126" Type="http://schemas.openxmlformats.org/officeDocument/2006/relationships/hyperlink" Target="https://youtu.be/ui6ernRFxOg" TargetMode="External"/><Relationship Id="rId3125" Type="http://schemas.openxmlformats.org/officeDocument/2006/relationships/hyperlink" Target="https://youtu.be/tbmX3X5Anv0" TargetMode="External"/><Relationship Id="rId3124" Type="http://schemas.openxmlformats.org/officeDocument/2006/relationships/hyperlink" Target="https://youtu.be/6v-XEO6h_LE" TargetMode="External"/><Relationship Id="rId3123" Type="http://schemas.openxmlformats.org/officeDocument/2006/relationships/hyperlink" Target="https://youtu.be/1rSSw7ajlz8" TargetMode="External"/><Relationship Id="rId3122" Type="http://schemas.openxmlformats.org/officeDocument/2006/relationships/hyperlink" Target="https://youtu.be/QmykVTgyAE0" TargetMode="External"/><Relationship Id="rId3121" Type="http://schemas.openxmlformats.org/officeDocument/2006/relationships/hyperlink" Target="https://youtu.be/I8tHGlWwAEM" TargetMode="External"/><Relationship Id="rId3120" Type="http://schemas.openxmlformats.org/officeDocument/2006/relationships/hyperlink" Target="https://youtu.be/Fuh3voptpek" TargetMode="External"/><Relationship Id="rId312" Type="http://schemas.openxmlformats.org/officeDocument/2006/relationships/hyperlink" Target="https://youtu.be/YMptAi6Z8io" TargetMode="External"/><Relationship Id="rId3119" Type="http://schemas.openxmlformats.org/officeDocument/2006/relationships/hyperlink" Target="https://youtu.be/HsA_BsH0QxM" TargetMode="External"/><Relationship Id="rId3118" Type="http://schemas.openxmlformats.org/officeDocument/2006/relationships/hyperlink" Target="https://youtu.be/b7b4m722QEU" TargetMode="External"/><Relationship Id="rId3117" Type="http://schemas.openxmlformats.org/officeDocument/2006/relationships/hyperlink" Target="https://youtu.be/QsgXMoxHrkg" TargetMode="External"/><Relationship Id="rId3116" Type="http://schemas.openxmlformats.org/officeDocument/2006/relationships/hyperlink" Target="https://youtu.be/rtesZxRlqOE" TargetMode="External"/><Relationship Id="rId3115" Type="http://schemas.openxmlformats.org/officeDocument/2006/relationships/hyperlink" Target="https://youtu.be/p2DbVFfrah0" TargetMode="External"/><Relationship Id="rId3114" Type="http://schemas.openxmlformats.org/officeDocument/2006/relationships/hyperlink" Target="https://youtu.be/kzPkRz9Eqow" TargetMode="External"/><Relationship Id="rId3113" Type="http://schemas.openxmlformats.org/officeDocument/2006/relationships/hyperlink" Target="https://youtu.be/DSeYC90k2eo" TargetMode="External"/><Relationship Id="rId3112" Type="http://schemas.openxmlformats.org/officeDocument/2006/relationships/hyperlink" Target="https://youtu.be/7Qw0ykbOt6I" TargetMode="External"/><Relationship Id="rId3111" Type="http://schemas.openxmlformats.org/officeDocument/2006/relationships/hyperlink" Target="https://youtu.be/MM16W6w_GX8" TargetMode="External"/><Relationship Id="rId3110" Type="http://schemas.openxmlformats.org/officeDocument/2006/relationships/hyperlink" Target="https://youtu.be/y3cO_eOQCAA" TargetMode="External"/><Relationship Id="rId311" Type="http://schemas.openxmlformats.org/officeDocument/2006/relationships/hyperlink" Target="https://youtu.be/cpbKsFutOCI" TargetMode="External"/><Relationship Id="rId3109" Type="http://schemas.openxmlformats.org/officeDocument/2006/relationships/hyperlink" Target="https://youtu.be/zZUKApJIysM" TargetMode="External"/><Relationship Id="rId3108" Type="http://schemas.openxmlformats.org/officeDocument/2006/relationships/hyperlink" Target="https://youtu.be/rwMc_7cFtU8" TargetMode="External"/><Relationship Id="rId3107" Type="http://schemas.openxmlformats.org/officeDocument/2006/relationships/hyperlink" Target="https://youtu.be/mUs3nfsTWAE" TargetMode="External"/><Relationship Id="rId3106" Type="http://schemas.openxmlformats.org/officeDocument/2006/relationships/hyperlink" Target="https://youtu.be/CO-piXii00A" TargetMode="External"/><Relationship Id="rId3105" Type="http://schemas.openxmlformats.org/officeDocument/2006/relationships/hyperlink" Target="https://youtu.be/O8e1JPphXc0" TargetMode="External"/><Relationship Id="rId3104" Type="http://schemas.openxmlformats.org/officeDocument/2006/relationships/hyperlink" Target="https://youtu.be/cIqSY82HHos" TargetMode="External"/><Relationship Id="rId3103" Type="http://schemas.openxmlformats.org/officeDocument/2006/relationships/hyperlink" Target="https://youtu.be/Pw49znaIiPg" TargetMode="External"/><Relationship Id="rId3102" Type="http://schemas.openxmlformats.org/officeDocument/2006/relationships/hyperlink" Target="https://youtu.be/t4YvGQfrMKo" TargetMode="External"/><Relationship Id="rId3101" Type="http://schemas.openxmlformats.org/officeDocument/2006/relationships/hyperlink" Target="https://youtu.be/tiyjGjScWDc" TargetMode="External"/><Relationship Id="rId3100" Type="http://schemas.openxmlformats.org/officeDocument/2006/relationships/hyperlink" Target="https://youtu.be/f1ro4zkw-LA" TargetMode="External"/><Relationship Id="rId310" Type="http://schemas.openxmlformats.org/officeDocument/2006/relationships/hyperlink" Target="https://youtu.be/4RRCD07Jips" TargetMode="External"/><Relationship Id="rId31" Type="http://schemas.openxmlformats.org/officeDocument/2006/relationships/hyperlink" Target="https://youtu.be/pQX5AhWOXg4" TargetMode="External"/><Relationship Id="rId3099" Type="http://schemas.openxmlformats.org/officeDocument/2006/relationships/hyperlink" Target="https://youtu.be/sUgdO29pwHQ" TargetMode="External"/><Relationship Id="rId3098" Type="http://schemas.openxmlformats.org/officeDocument/2006/relationships/hyperlink" Target="https://youtu.be/H8wBOdo2tQc" TargetMode="External"/><Relationship Id="rId3097" Type="http://schemas.openxmlformats.org/officeDocument/2006/relationships/hyperlink" Target="https://youtu.be/M3DyFchi-cg" TargetMode="External"/><Relationship Id="rId3096" Type="http://schemas.openxmlformats.org/officeDocument/2006/relationships/hyperlink" Target="https://youtu.be/_hnVq8_DXvE" TargetMode="External"/><Relationship Id="rId3095" Type="http://schemas.openxmlformats.org/officeDocument/2006/relationships/hyperlink" Target="https://youtu.be/kJabvxnnBd8" TargetMode="External"/><Relationship Id="rId3094" Type="http://schemas.openxmlformats.org/officeDocument/2006/relationships/hyperlink" Target="https://youtu.be/eFYUTKyzyIc" TargetMode="External"/><Relationship Id="rId3093" Type="http://schemas.openxmlformats.org/officeDocument/2006/relationships/hyperlink" Target="https://youtu.be/e0ZyD9iVDDA" TargetMode="External"/><Relationship Id="rId3092" Type="http://schemas.openxmlformats.org/officeDocument/2006/relationships/hyperlink" Target="https://youtu.be/751UAtAEBeM" TargetMode="External"/><Relationship Id="rId3091" Type="http://schemas.openxmlformats.org/officeDocument/2006/relationships/hyperlink" Target="https://youtu.be/2Ks677VRSWA" TargetMode="External"/><Relationship Id="rId3090" Type="http://schemas.openxmlformats.org/officeDocument/2006/relationships/hyperlink" Target="https://youtu.be/CL2sWaRv3no" TargetMode="External"/><Relationship Id="rId309" Type="http://schemas.openxmlformats.org/officeDocument/2006/relationships/hyperlink" Target="https://youtu.be/mplLzUMYKuM" TargetMode="External"/><Relationship Id="rId3089" Type="http://schemas.openxmlformats.org/officeDocument/2006/relationships/hyperlink" Target="https://youtu.be/kWLUmUko5FM" TargetMode="External"/><Relationship Id="rId3088" Type="http://schemas.openxmlformats.org/officeDocument/2006/relationships/hyperlink" Target="https://youtu.be/637YTNlZskY" TargetMode="External"/><Relationship Id="rId3087" Type="http://schemas.openxmlformats.org/officeDocument/2006/relationships/hyperlink" Target="https://youtu.be/Oo85GbjNjlw" TargetMode="External"/><Relationship Id="rId3086" Type="http://schemas.openxmlformats.org/officeDocument/2006/relationships/hyperlink" Target="https://youtu.be/tMsefyiCT3g" TargetMode="External"/><Relationship Id="rId3085" Type="http://schemas.openxmlformats.org/officeDocument/2006/relationships/hyperlink" Target="https://youtu.be/bFZ7sKI4XoE" TargetMode="External"/><Relationship Id="rId3084" Type="http://schemas.openxmlformats.org/officeDocument/2006/relationships/hyperlink" Target="https://youtu.be/G9tjdkp-vZs" TargetMode="External"/><Relationship Id="rId3083" Type="http://schemas.openxmlformats.org/officeDocument/2006/relationships/hyperlink" Target="https://youtu.be/HIARFZseD6Y" TargetMode="External"/><Relationship Id="rId3082" Type="http://schemas.openxmlformats.org/officeDocument/2006/relationships/hyperlink" Target="https://youtu.be/uqkESB7w82E" TargetMode="External"/><Relationship Id="rId3081" Type="http://schemas.openxmlformats.org/officeDocument/2006/relationships/hyperlink" Target="https://youtu.be/Ap6j9ez3A18" TargetMode="External"/><Relationship Id="rId3080" Type="http://schemas.openxmlformats.org/officeDocument/2006/relationships/hyperlink" Target="https://youtu.be/pVspDvwMytM" TargetMode="External"/><Relationship Id="rId308" Type="http://schemas.openxmlformats.org/officeDocument/2006/relationships/hyperlink" Target="https://youtu.be/TibXxwEZ4gY" TargetMode="External"/><Relationship Id="rId3079" Type="http://schemas.openxmlformats.org/officeDocument/2006/relationships/hyperlink" Target="https://youtu.be/Jqa-clI1evQ" TargetMode="External"/><Relationship Id="rId3078" Type="http://schemas.openxmlformats.org/officeDocument/2006/relationships/hyperlink" Target="https://youtu.be/eyFAGnhnsM0" TargetMode="External"/><Relationship Id="rId3077" Type="http://schemas.openxmlformats.org/officeDocument/2006/relationships/hyperlink" Target="https://youtu.be/HBWBui3B_MQ" TargetMode="External"/><Relationship Id="rId3076" Type="http://schemas.openxmlformats.org/officeDocument/2006/relationships/hyperlink" Target="https://youtu.be/teAraTjKLWs" TargetMode="External"/><Relationship Id="rId3075" Type="http://schemas.openxmlformats.org/officeDocument/2006/relationships/hyperlink" Target="https://youtu.be/LeRKRgUudlY" TargetMode="External"/><Relationship Id="rId3074" Type="http://schemas.openxmlformats.org/officeDocument/2006/relationships/hyperlink" Target="https://youtu.be/cT70DZIIvyU" TargetMode="External"/><Relationship Id="rId3073" Type="http://schemas.openxmlformats.org/officeDocument/2006/relationships/hyperlink" Target="https://youtu.be/srPs_l8lx-4" TargetMode="External"/><Relationship Id="rId3072" Type="http://schemas.openxmlformats.org/officeDocument/2006/relationships/hyperlink" Target="https://youtu.be/5PhlMmPjCco" TargetMode="External"/><Relationship Id="rId3071" Type="http://schemas.openxmlformats.org/officeDocument/2006/relationships/hyperlink" Target="https://youtu.be/stCOdAc1e24" TargetMode="External"/><Relationship Id="rId3070" Type="http://schemas.openxmlformats.org/officeDocument/2006/relationships/hyperlink" Target="https://youtu.be/Epdz2ySd3hE" TargetMode="External"/><Relationship Id="rId307" Type="http://schemas.openxmlformats.org/officeDocument/2006/relationships/hyperlink" Target="https://youtu.be/tuDPzaiD6qQ" TargetMode="External"/><Relationship Id="rId3069" Type="http://schemas.openxmlformats.org/officeDocument/2006/relationships/hyperlink" Target="https://youtu.be/pFne0sTeJjk" TargetMode="External"/><Relationship Id="rId3068" Type="http://schemas.openxmlformats.org/officeDocument/2006/relationships/hyperlink" Target="https://youtu.be/UGy-2G__ccg" TargetMode="External"/><Relationship Id="rId3067" Type="http://schemas.openxmlformats.org/officeDocument/2006/relationships/hyperlink" Target="https://youtu.be/fUPNKoCROVQ" TargetMode="External"/><Relationship Id="rId3066" Type="http://schemas.openxmlformats.org/officeDocument/2006/relationships/hyperlink" Target="https://youtu.be/axJ1dpjGVbQ" TargetMode="External"/><Relationship Id="rId3065" Type="http://schemas.openxmlformats.org/officeDocument/2006/relationships/hyperlink" Target="https://youtu.be/9IbmpGC9cSk" TargetMode="External"/><Relationship Id="rId3064" Type="http://schemas.openxmlformats.org/officeDocument/2006/relationships/hyperlink" Target="https://youtu.be/ciOsFEj7yNI" TargetMode="External"/><Relationship Id="rId3063" Type="http://schemas.openxmlformats.org/officeDocument/2006/relationships/hyperlink" Target="https://youtu.be/Rc4Xs6ho9JM" TargetMode="External"/><Relationship Id="rId3062" Type="http://schemas.openxmlformats.org/officeDocument/2006/relationships/hyperlink" Target="https://youtu.be/r-N35tZOnAE" TargetMode="External"/><Relationship Id="rId3061" Type="http://schemas.openxmlformats.org/officeDocument/2006/relationships/hyperlink" Target="https://youtu.be/grEeiWxlCKk" TargetMode="External"/><Relationship Id="rId3060" Type="http://schemas.openxmlformats.org/officeDocument/2006/relationships/hyperlink" Target="https://youtu.be/aeuNiE8TD8w" TargetMode="External"/><Relationship Id="rId306" Type="http://schemas.openxmlformats.org/officeDocument/2006/relationships/hyperlink" Target="https://youtu.be/coFE7-E6LRg" TargetMode="External"/><Relationship Id="rId3059" Type="http://schemas.openxmlformats.org/officeDocument/2006/relationships/hyperlink" Target="https://youtu.be/xNkjkDrdSOw" TargetMode="External"/><Relationship Id="rId3058" Type="http://schemas.openxmlformats.org/officeDocument/2006/relationships/hyperlink" Target="https://youtu.be/usRYa_dpPFU" TargetMode="External"/><Relationship Id="rId3057" Type="http://schemas.openxmlformats.org/officeDocument/2006/relationships/hyperlink" Target="https://youtu.be/8-YA77ojW4k" TargetMode="External"/><Relationship Id="rId3056" Type="http://schemas.openxmlformats.org/officeDocument/2006/relationships/hyperlink" Target="https://youtu.be/o0xpbWJRUs4" TargetMode="External"/><Relationship Id="rId3055" Type="http://schemas.openxmlformats.org/officeDocument/2006/relationships/hyperlink" Target="https://youtu.be/pkKrBzss9bM" TargetMode="External"/><Relationship Id="rId3054" Type="http://schemas.openxmlformats.org/officeDocument/2006/relationships/hyperlink" Target="https://youtu.be/boOBNJybczs" TargetMode="External"/><Relationship Id="rId3053" Type="http://schemas.openxmlformats.org/officeDocument/2006/relationships/hyperlink" Target="https://youtu.be/dux2ofFHs90" TargetMode="External"/><Relationship Id="rId3052" Type="http://schemas.openxmlformats.org/officeDocument/2006/relationships/hyperlink" Target="https://youtu.be/qffK7NBrXdE" TargetMode="External"/><Relationship Id="rId3051" Type="http://schemas.openxmlformats.org/officeDocument/2006/relationships/hyperlink" Target="https://youtu.be/XRByKL88elI" TargetMode="External"/><Relationship Id="rId3050" Type="http://schemas.openxmlformats.org/officeDocument/2006/relationships/hyperlink" Target="https://youtu.be/rizSKd0ByTQ" TargetMode="External"/><Relationship Id="rId305" Type="http://schemas.openxmlformats.org/officeDocument/2006/relationships/hyperlink" Target="https://youtu.be/85tvmSV8DsE" TargetMode="External"/><Relationship Id="rId3049" Type="http://schemas.openxmlformats.org/officeDocument/2006/relationships/hyperlink" Target="https://youtu.be/dw1FMSRN0KA" TargetMode="External"/><Relationship Id="rId3048" Type="http://schemas.openxmlformats.org/officeDocument/2006/relationships/hyperlink" Target="https://youtu.be/WMGxUPshOco" TargetMode="External"/><Relationship Id="rId3047" Type="http://schemas.openxmlformats.org/officeDocument/2006/relationships/hyperlink" Target="https://youtu.be/MQUCUU0QHas" TargetMode="External"/><Relationship Id="rId3046" Type="http://schemas.openxmlformats.org/officeDocument/2006/relationships/hyperlink" Target="https://youtu.be/_A8pdUb07Ns" TargetMode="External"/><Relationship Id="rId3045" Type="http://schemas.openxmlformats.org/officeDocument/2006/relationships/hyperlink" Target="https://youtu.be/0Y9E-rVu1eo" TargetMode="External"/><Relationship Id="rId3044" Type="http://schemas.openxmlformats.org/officeDocument/2006/relationships/hyperlink" Target="https://youtu.be/ffvH85Lm8dM" TargetMode="External"/><Relationship Id="rId3043" Type="http://schemas.openxmlformats.org/officeDocument/2006/relationships/hyperlink" Target="https://youtu.be/vhQA5SUnyU0" TargetMode="External"/><Relationship Id="rId3042" Type="http://schemas.openxmlformats.org/officeDocument/2006/relationships/hyperlink" Target="https://youtu.be/Gkq7DumRLUs" TargetMode="External"/><Relationship Id="rId3041" Type="http://schemas.openxmlformats.org/officeDocument/2006/relationships/hyperlink" Target="https://youtu.be/3T9FOf60krM" TargetMode="External"/><Relationship Id="rId3040" Type="http://schemas.openxmlformats.org/officeDocument/2006/relationships/hyperlink" Target="https://youtu.be/ziv-9WkoxBY" TargetMode="External"/><Relationship Id="rId304" Type="http://schemas.openxmlformats.org/officeDocument/2006/relationships/hyperlink" Target="https://youtu.be/TgbxbIfdFug" TargetMode="External"/><Relationship Id="rId3039" Type="http://schemas.openxmlformats.org/officeDocument/2006/relationships/hyperlink" Target="https://youtu.be/tTi2I3byJ9A" TargetMode="External"/><Relationship Id="rId3038" Type="http://schemas.openxmlformats.org/officeDocument/2006/relationships/hyperlink" Target="https://youtu.be/5qBDq4baYSo" TargetMode="External"/><Relationship Id="rId3037" Type="http://schemas.openxmlformats.org/officeDocument/2006/relationships/hyperlink" Target="https://youtu.be/gPAxf0an-hM" TargetMode="External"/><Relationship Id="rId3036" Type="http://schemas.openxmlformats.org/officeDocument/2006/relationships/hyperlink" Target="https://youtu.be/Hd4_9oK4h8c" TargetMode="External"/><Relationship Id="rId3035" Type="http://schemas.openxmlformats.org/officeDocument/2006/relationships/hyperlink" Target="https://youtu.be/fvCfOVGHWCc" TargetMode="External"/><Relationship Id="rId3034" Type="http://schemas.openxmlformats.org/officeDocument/2006/relationships/hyperlink" Target="https://youtu.be/dWX9awdzYjw" TargetMode="External"/><Relationship Id="rId3033" Type="http://schemas.openxmlformats.org/officeDocument/2006/relationships/hyperlink" Target="https://youtu.be/6doDMbpi6zU" TargetMode="External"/><Relationship Id="rId3032" Type="http://schemas.openxmlformats.org/officeDocument/2006/relationships/hyperlink" Target="https://youtu.be/_4ZvM0Cd9UE" TargetMode="External"/><Relationship Id="rId3031" Type="http://schemas.openxmlformats.org/officeDocument/2006/relationships/hyperlink" Target="https://youtu.be/ywsmDCc9UxI" TargetMode="External"/><Relationship Id="rId3030" Type="http://schemas.openxmlformats.org/officeDocument/2006/relationships/hyperlink" Target="https://youtu.be/65Xr4AdAY2A" TargetMode="External"/><Relationship Id="rId303" Type="http://schemas.openxmlformats.org/officeDocument/2006/relationships/hyperlink" Target="https://youtu.be/Rf-nOV9LCRM" TargetMode="External"/><Relationship Id="rId3029" Type="http://schemas.openxmlformats.org/officeDocument/2006/relationships/hyperlink" Target="https://youtu.be/XHrt3ZxzOyo" TargetMode="External"/><Relationship Id="rId3028" Type="http://schemas.openxmlformats.org/officeDocument/2006/relationships/hyperlink" Target="https://youtu.be/qKA4NtqsuOk" TargetMode="External"/><Relationship Id="rId3027" Type="http://schemas.openxmlformats.org/officeDocument/2006/relationships/hyperlink" Target="https://youtu.be/K3RZGLV5YJQ" TargetMode="External"/><Relationship Id="rId3026" Type="http://schemas.openxmlformats.org/officeDocument/2006/relationships/hyperlink" Target="https://youtu.be/PCCgQARwIxQ" TargetMode="External"/><Relationship Id="rId3025" Type="http://schemas.openxmlformats.org/officeDocument/2006/relationships/hyperlink" Target="https://youtu.be/xpvQzb-6agg" TargetMode="External"/><Relationship Id="rId3024" Type="http://schemas.openxmlformats.org/officeDocument/2006/relationships/hyperlink" Target="https://youtu.be/yn7fEAoZx2c" TargetMode="External"/><Relationship Id="rId3023" Type="http://schemas.openxmlformats.org/officeDocument/2006/relationships/hyperlink" Target="https://youtu.be/enthWllmoYI" TargetMode="External"/><Relationship Id="rId3022" Type="http://schemas.openxmlformats.org/officeDocument/2006/relationships/hyperlink" Target="https://youtu.be/CdCaCnbB7io" TargetMode="External"/><Relationship Id="rId3021" Type="http://schemas.openxmlformats.org/officeDocument/2006/relationships/hyperlink" Target="https://youtu.be/WzJLohMCw1g" TargetMode="External"/><Relationship Id="rId3020" Type="http://schemas.openxmlformats.org/officeDocument/2006/relationships/hyperlink" Target="https://youtu.be/2K2-iDOd85o" TargetMode="External"/><Relationship Id="rId302" Type="http://schemas.openxmlformats.org/officeDocument/2006/relationships/hyperlink" Target="https://youtu.be/a_veIjIazqY" TargetMode="External"/><Relationship Id="rId3019" Type="http://schemas.openxmlformats.org/officeDocument/2006/relationships/hyperlink" Target="https://youtu.be/84ZOskT5wQQ" TargetMode="External"/><Relationship Id="rId3018" Type="http://schemas.openxmlformats.org/officeDocument/2006/relationships/hyperlink" Target="https://youtu.be/NztVmrkr95c" TargetMode="External"/><Relationship Id="rId3017" Type="http://schemas.openxmlformats.org/officeDocument/2006/relationships/hyperlink" Target="https://youtu.be/yR9p8rkMTLE" TargetMode="External"/><Relationship Id="rId3016" Type="http://schemas.openxmlformats.org/officeDocument/2006/relationships/hyperlink" Target="https://youtu.be/cE8TX5GQvMI" TargetMode="External"/><Relationship Id="rId3015" Type="http://schemas.openxmlformats.org/officeDocument/2006/relationships/hyperlink" Target="https://youtu.be/V1_PG32JaNs" TargetMode="External"/><Relationship Id="rId3014" Type="http://schemas.openxmlformats.org/officeDocument/2006/relationships/hyperlink" Target="https://youtu.be/ZsvSsxe89G8" TargetMode="External"/><Relationship Id="rId3013" Type="http://schemas.openxmlformats.org/officeDocument/2006/relationships/hyperlink" Target="https://youtu.be/A4pG5lI7qKk" TargetMode="External"/><Relationship Id="rId3012" Type="http://schemas.openxmlformats.org/officeDocument/2006/relationships/hyperlink" Target="https://youtu.be/ujBZGoxmsQg" TargetMode="External"/><Relationship Id="rId3011" Type="http://schemas.openxmlformats.org/officeDocument/2006/relationships/hyperlink" Target="https://youtu.be/t84Ih8bJo6s" TargetMode="External"/><Relationship Id="rId3010" Type="http://schemas.openxmlformats.org/officeDocument/2006/relationships/hyperlink" Target="https://youtu.be/N_A9LKXBxPI" TargetMode="External"/><Relationship Id="rId301" Type="http://schemas.openxmlformats.org/officeDocument/2006/relationships/hyperlink" Target="https://youtu.be/FUq5d7dqlVY" TargetMode="External"/><Relationship Id="rId3009" Type="http://schemas.openxmlformats.org/officeDocument/2006/relationships/hyperlink" Target="https://youtu.be/SEwuQUMDSNg" TargetMode="External"/><Relationship Id="rId3008" Type="http://schemas.openxmlformats.org/officeDocument/2006/relationships/hyperlink" Target="https://youtu.be/1RzBsKUXvlY" TargetMode="External"/><Relationship Id="rId3007" Type="http://schemas.openxmlformats.org/officeDocument/2006/relationships/hyperlink" Target="https://youtu.be/E6V7ajkFDfg" TargetMode="External"/><Relationship Id="rId3006" Type="http://schemas.openxmlformats.org/officeDocument/2006/relationships/hyperlink" Target="https://youtu.be/0rO7EF5IOEY" TargetMode="External"/><Relationship Id="rId3005" Type="http://schemas.openxmlformats.org/officeDocument/2006/relationships/hyperlink" Target="https://youtu.be/LC4ZkycbivQ" TargetMode="External"/><Relationship Id="rId3004" Type="http://schemas.openxmlformats.org/officeDocument/2006/relationships/hyperlink" Target="https://youtu.be/CPUmI1WO-R8" TargetMode="External"/><Relationship Id="rId3003" Type="http://schemas.openxmlformats.org/officeDocument/2006/relationships/hyperlink" Target="https://youtu.be/9sGP2XS5r6k" TargetMode="External"/><Relationship Id="rId3002" Type="http://schemas.openxmlformats.org/officeDocument/2006/relationships/hyperlink" Target="https://youtu.be/kAPNk4DQ09o" TargetMode="External"/><Relationship Id="rId3001" Type="http://schemas.openxmlformats.org/officeDocument/2006/relationships/hyperlink" Target="https://youtu.be/8zxoFJPPDvI" TargetMode="External"/><Relationship Id="rId3000" Type="http://schemas.openxmlformats.org/officeDocument/2006/relationships/hyperlink" Target="https://youtu.be/r5US4SAViaU" TargetMode="External"/><Relationship Id="rId300" Type="http://schemas.openxmlformats.org/officeDocument/2006/relationships/hyperlink" Target="https://youtu.be/xvN3ZqS0cdg" TargetMode="External"/><Relationship Id="rId30" Type="http://schemas.openxmlformats.org/officeDocument/2006/relationships/hyperlink" Target="https://youtu.be/PFbNDSttnPQ" TargetMode="External"/><Relationship Id="rId3" Type="http://schemas.openxmlformats.org/officeDocument/2006/relationships/hyperlink" Target="https://youtu.be/s3bffub-9UM" TargetMode="External"/><Relationship Id="rId2999" Type="http://schemas.openxmlformats.org/officeDocument/2006/relationships/hyperlink" Target="https://youtu.be/2H18S3JoMOA" TargetMode="External"/><Relationship Id="rId2998" Type="http://schemas.openxmlformats.org/officeDocument/2006/relationships/hyperlink" Target="https://youtu.be/bFxzaxf8SZk" TargetMode="External"/><Relationship Id="rId2997" Type="http://schemas.openxmlformats.org/officeDocument/2006/relationships/hyperlink" Target="https://youtu.be/gUNDmFQohO4" TargetMode="External"/><Relationship Id="rId2996" Type="http://schemas.openxmlformats.org/officeDocument/2006/relationships/hyperlink" Target="https://youtu.be/1k5DOOR9zTg" TargetMode="External"/><Relationship Id="rId2995" Type="http://schemas.openxmlformats.org/officeDocument/2006/relationships/hyperlink" Target="https://youtu.be/WcfEX-MZH8s" TargetMode="External"/><Relationship Id="rId2994" Type="http://schemas.openxmlformats.org/officeDocument/2006/relationships/hyperlink" Target="https://youtu.be/8qhJDSw1odE" TargetMode="External"/><Relationship Id="rId2993" Type="http://schemas.openxmlformats.org/officeDocument/2006/relationships/hyperlink" Target="https://youtu.be/k0j3IDXRaSg" TargetMode="External"/><Relationship Id="rId2992" Type="http://schemas.openxmlformats.org/officeDocument/2006/relationships/hyperlink" Target="https://youtu.be/mD8mxlkYiGI" TargetMode="External"/><Relationship Id="rId2991" Type="http://schemas.openxmlformats.org/officeDocument/2006/relationships/hyperlink" Target="https://youtu.be/lJSn2hxzbnU" TargetMode="External"/><Relationship Id="rId2990" Type="http://schemas.openxmlformats.org/officeDocument/2006/relationships/hyperlink" Target="https://youtu.be/9LgcdcV7jeA" TargetMode="External"/><Relationship Id="rId299" Type="http://schemas.openxmlformats.org/officeDocument/2006/relationships/hyperlink" Target="https://youtu.be/HUZYnvpElk8" TargetMode="External"/><Relationship Id="rId2989" Type="http://schemas.openxmlformats.org/officeDocument/2006/relationships/hyperlink" Target="https://youtu.be/RigHK2GAr3I" TargetMode="External"/><Relationship Id="rId2988" Type="http://schemas.openxmlformats.org/officeDocument/2006/relationships/hyperlink" Target="https://youtu.be/X2c8Ozis-mo" TargetMode="External"/><Relationship Id="rId2987" Type="http://schemas.openxmlformats.org/officeDocument/2006/relationships/hyperlink" Target="https://youtu.be/Y0Q0Hene1LY" TargetMode="External"/><Relationship Id="rId2986" Type="http://schemas.openxmlformats.org/officeDocument/2006/relationships/hyperlink" Target="https://youtu.be/nQvVYb5MTT0" TargetMode="External"/><Relationship Id="rId2985" Type="http://schemas.openxmlformats.org/officeDocument/2006/relationships/hyperlink" Target="https://youtu.be/RZ01EyQDtfA" TargetMode="External"/><Relationship Id="rId2984" Type="http://schemas.openxmlformats.org/officeDocument/2006/relationships/hyperlink" Target="https://youtu.be/ejIXRFzXgsg" TargetMode="External"/><Relationship Id="rId2983" Type="http://schemas.openxmlformats.org/officeDocument/2006/relationships/hyperlink" Target="https://youtu.be/iXxfmuX13cw" TargetMode="External"/><Relationship Id="rId2982" Type="http://schemas.openxmlformats.org/officeDocument/2006/relationships/hyperlink" Target="https://youtu.be/ntdFUFkis3k" TargetMode="External"/><Relationship Id="rId2981" Type="http://schemas.openxmlformats.org/officeDocument/2006/relationships/hyperlink" Target="https://youtu.be/A2ufhBlHMt8" TargetMode="External"/><Relationship Id="rId2980" Type="http://schemas.openxmlformats.org/officeDocument/2006/relationships/hyperlink" Target="https://youtu.be/ozE7cGXfiMc" TargetMode="External"/><Relationship Id="rId298" Type="http://schemas.openxmlformats.org/officeDocument/2006/relationships/hyperlink" Target="https://youtu.be/vxD_iE0Uko8" TargetMode="External"/><Relationship Id="rId2979" Type="http://schemas.openxmlformats.org/officeDocument/2006/relationships/hyperlink" Target="https://youtu.be/STzJ4WDk_tY" TargetMode="External"/><Relationship Id="rId2978" Type="http://schemas.openxmlformats.org/officeDocument/2006/relationships/hyperlink" Target="https://youtu.be/0CSDlf_EBeI" TargetMode="External"/><Relationship Id="rId2977" Type="http://schemas.openxmlformats.org/officeDocument/2006/relationships/hyperlink" Target="https://youtu.be/zUIa685ETgo" TargetMode="External"/><Relationship Id="rId2976" Type="http://schemas.openxmlformats.org/officeDocument/2006/relationships/hyperlink" Target="https://youtu.be/pHQFpYHmbOE" TargetMode="External"/><Relationship Id="rId2975" Type="http://schemas.openxmlformats.org/officeDocument/2006/relationships/hyperlink" Target="https://youtu.be/2RXmxLGS-jA" TargetMode="External"/><Relationship Id="rId2974" Type="http://schemas.openxmlformats.org/officeDocument/2006/relationships/hyperlink" Target="https://youtu.be/LgVDQUnGwrc" TargetMode="External"/><Relationship Id="rId2973" Type="http://schemas.openxmlformats.org/officeDocument/2006/relationships/hyperlink" Target="https://youtu.be/GxpN0sErp4g" TargetMode="External"/><Relationship Id="rId2972" Type="http://schemas.openxmlformats.org/officeDocument/2006/relationships/hyperlink" Target="https://youtu.be/HSdsBjDHVeI" TargetMode="External"/><Relationship Id="rId2971" Type="http://schemas.openxmlformats.org/officeDocument/2006/relationships/hyperlink" Target="https://youtu.be/GQVlDqOchSA" TargetMode="External"/><Relationship Id="rId2970" Type="http://schemas.openxmlformats.org/officeDocument/2006/relationships/hyperlink" Target="https://youtu.be/xNZ103i6suQ" TargetMode="External"/><Relationship Id="rId297" Type="http://schemas.openxmlformats.org/officeDocument/2006/relationships/hyperlink" Target="https://youtu.be/8xs98fr0M6M" TargetMode="External"/><Relationship Id="rId2969" Type="http://schemas.openxmlformats.org/officeDocument/2006/relationships/hyperlink" Target="https://youtu.be/fQEbRlFQM48" TargetMode="External"/><Relationship Id="rId2968" Type="http://schemas.openxmlformats.org/officeDocument/2006/relationships/hyperlink" Target="https://youtu.be/DD_hxU3Iq7M" TargetMode="External"/><Relationship Id="rId2967" Type="http://schemas.openxmlformats.org/officeDocument/2006/relationships/hyperlink" Target="https://youtu.be/V3L7crGudVU" TargetMode="External"/><Relationship Id="rId2966" Type="http://schemas.openxmlformats.org/officeDocument/2006/relationships/hyperlink" Target="https://youtu.be/Mx2BG_5cSas" TargetMode="External"/><Relationship Id="rId2965" Type="http://schemas.openxmlformats.org/officeDocument/2006/relationships/hyperlink" Target="https://youtu.be/gq5xtekptEo" TargetMode="External"/><Relationship Id="rId2964" Type="http://schemas.openxmlformats.org/officeDocument/2006/relationships/hyperlink" Target="https://youtu.be/OEIQ73WfjP8" TargetMode="External"/><Relationship Id="rId2963" Type="http://schemas.openxmlformats.org/officeDocument/2006/relationships/hyperlink" Target="https://youtu.be/tdAOJthwehM" TargetMode="External"/><Relationship Id="rId2962" Type="http://schemas.openxmlformats.org/officeDocument/2006/relationships/hyperlink" Target="https://youtu.be/41xuAow-UJU" TargetMode="External"/><Relationship Id="rId2961" Type="http://schemas.openxmlformats.org/officeDocument/2006/relationships/hyperlink" Target="https://youtu.be/9o_3xvW7si8" TargetMode="External"/><Relationship Id="rId2960" Type="http://schemas.openxmlformats.org/officeDocument/2006/relationships/hyperlink" Target="https://youtu.be/MV6ErX2mYJo" TargetMode="External"/><Relationship Id="rId296" Type="http://schemas.openxmlformats.org/officeDocument/2006/relationships/hyperlink" Target="https://youtu.be/4wKrqzfrRs8" TargetMode="External"/><Relationship Id="rId2959" Type="http://schemas.openxmlformats.org/officeDocument/2006/relationships/hyperlink" Target="https://youtu.be/D4OipNT_joo" TargetMode="External"/><Relationship Id="rId2958" Type="http://schemas.openxmlformats.org/officeDocument/2006/relationships/hyperlink" Target="https://youtu.be/YXdQsJuAwGA" TargetMode="External"/><Relationship Id="rId2957" Type="http://schemas.openxmlformats.org/officeDocument/2006/relationships/hyperlink" Target="https://youtu.be/rl8jEj6T9WM" TargetMode="External"/><Relationship Id="rId2956" Type="http://schemas.openxmlformats.org/officeDocument/2006/relationships/hyperlink" Target="https://youtu.be/Jt4BZalMbqs" TargetMode="External"/><Relationship Id="rId2955" Type="http://schemas.openxmlformats.org/officeDocument/2006/relationships/hyperlink" Target="https://youtu.be/Mr0g_xD20mA" TargetMode="External"/><Relationship Id="rId2954" Type="http://schemas.openxmlformats.org/officeDocument/2006/relationships/hyperlink" Target="https://youtu.be/oVj57Mg7yms" TargetMode="External"/><Relationship Id="rId2953" Type="http://schemas.openxmlformats.org/officeDocument/2006/relationships/hyperlink" Target="https://youtu.be/PvsmA_c2bxs" TargetMode="External"/><Relationship Id="rId2952" Type="http://schemas.openxmlformats.org/officeDocument/2006/relationships/hyperlink" Target="https://youtu.be/sk30ZcLrII8" TargetMode="External"/><Relationship Id="rId2951" Type="http://schemas.openxmlformats.org/officeDocument/2006/relationships/hyperlink" Target="https://youtu.be/GGIGflN3xWQ" TargetMode="External"/><Relationship Id="rId2950" Type="http://schemas.openxmlformats.org/officeDocument/2006/relationships/hyperlink" Target="https://youtu.be/oxbnDFFA0nk" TargetMode="External"/><Relationship Id="rId295" Type="http://schemas.openxmlformats.org/officeDocument/2006/relationships/hyperlink" Target="https://youtu.be/NJAtLrRhkfg" TargetMode="External"/><Relationship Id="rId2949" Type="http://schemas.openxmlformats.org/officeDocument/2006/relationships/hyperlink" Target="https://youtu.be/DHaE6MWP2z8" TargetMode="External"/><Relationship Id="rId2948" Type="http://schemas.openxmlformats.org/officeDocument/2006/relationships/hyperlink" Target="https://youtu.be/asRVahOUI6s" TargetMode="External"/><Relationship Id="rId2947" Type="http://schemas.openxmlformats.org/officeDocument/2006/relationships/hyperlink" Target="https://youtu.be/ZHxw8Hk_l4w" TargetMode="External"/><Relationship Id="rId2946" Type="http://schemas.openxmlformats.org/officeDocument/2006/relationships/hyperlink" Target="https://youtu.be/W5J6qmcnnp0" TargetMode="External"/><Relationship Id="rId2945" Type="http://schemas.openxmlformats.org/officeDocument/2006/relationships/hyperlink" Target="https://youtu.be/aFv4ojLtc1s" TargetMode="External"/><Relationship Id="rId2944" Type="http://schemas.openxmlformats.org/officeDocument/2006/relationships/hyperlink" Target="https://youtu.be/uBhnFzSRats" TargetMode="External"/><Relationship Id="rId2943" Type="http://schemas.openxmlformats.org/officeDocument/2006/relationships/hyperlink" Target="https://youtu.be/wM7XerPy2kY" TargetMode="External"/><Relationship Id="rId2942" Type="http://schemas.openxmlformats.org/officeDocument/2006/relationships/hyperlink" Target="https://youtu.be/rgyngI6Wx7A" TargetMode="External"/><Relationship Id="rId2941" Type="http://schemas.openxmlformats.org/officeDocument/2006/relationships/hyperlink" Target="https://youtu.be/m4uxtqdGoC8" TargetMode="External"/><Relationship Id="rId2940" Type="http://schemas.openxmlformats.org/officeDocument/2006/relationships/hyperlink" Target="https://youtu.be/-DlCeZw9RFw" TargetMode="External"/><Relationship Id="rId294" Type="http://schemas.openxmlformats.org/officeDocument/2006/relationships/hyperlink" Target="https://youtu.be/wJESXw7SaYU" TargetMode="External"/><Relationship Id="rId2939" Type="http://schemas.openxmlformats.org/officeDocument/2006/relationships/hyperlink" Target="https://youtu.be/YKWvHBbcZYI" TargetMode="External"/><Relationship Id="rId2938" Type="http://schemas.openxmlformats.org/officeDocument/2006/relationships/hyperlink" Target="https://youtu.be/h35IHz6qdWY" TargetMode="External"/><Relationship Id="rId2937" Type="http://schemas.openxmlformats.org/officeDocument/2006/relationships/hyperlink" Target="https://youtu.be/Y9b-yu8L0rc" TargetMode="External"/><Relationship Id="rId2936" Type="http://schemas.openxmlformats.org/officeDocument/2006/relationships/hyperlink" Target="https://youtu.be/S9B5G_3F37o" TargetMode="External"/><Relationship Id="rId2935" Type="http://schemas.openxmlformats.org/officeDocument/2006/relationships/hyperlink" Target="https://youtu.be/7fQXaLcY5Zc" TargetMode="External"/><Relationship Id="rId2934" Type="http://schemas.openxmlformats.org/officeDocument/2006/relationships/hyperlink" Target="https://youtu.be/kLkBYdnct2c" TargetMode="External"/><Relationship Id="rId2933" Type="http://schemas.openxmlformats.org/officeDocument/2006/relationships/hyperlink" Target="https://youtu.be/39BjPoKaSH4" TargetMode="External"/><Relationship Id="rId2932" Type="http://schemas.openxmlformats.org/officeDocument/2006/relationships/hyperlink" Target="https://youtu.be/BqWtS7Y95ys" TargetMode="External"/><Relationship Id="rId2931" Type="http://schemas.openxmlformats.org/officeDocument/2006/relationships/hyperlink" Target="https://youtu.be/m2WIBkPtFoM" TargetMode="External"/><Relationship Id="rId2930" Type="http://schemas.openxmlformats.org/officeDocument/2006/relationships/hyperlink" Target="https://youtu.be/WJVfe6do-C0" TargetMode="External"/><Relationship Id="rId293" Type="http://schemas.openxmlformats.org/officeDocument/2006/relationships/hyperlink" Target="https://youtu.be/8P5i9hSqHBI" TargetMode="External"/><Relationship Id="rId2929" Type="http://schemas.openxmlformats.org/officeDocument/2006/relationships/hyperlink" Target="https://youtu.be/JZNKVnDvQY4" TargetMode="External"/><Relationship Id="rId2928" Type="http://schemas.openxmlformats.org/officeDocument/2006/relationships/hyperlink" Target="https://youtu.be/HnPjBQ4Silw" TargetMode="External"/><Relationship Id="rId2927" Type="http://schemas.openxmlformats.org/officeDocument/2006/relationships/hyperlink" Target="https://youtu.be/1LQMpJJPZJg" TargetMode="External"/><Relationship Id="rId2926" Type="http://schemas.openxmlformats.org/officeDocument/2006/relationships/hyperlink" Target="https://youtu.be/VFPg4f8Vn1E" TargetMode="External"/><Relationship Id="rId2925" Type="http://schemas.openxmlformats.org/officeDocument/2006/relationships/hyperlink" Target="https://youtu.be/d-LQprVtKv4" TargetMode="External"/><Relationship Id="rId2924" Type="http://schemas.openxmlformats.org/officeDocument/2006/relationships/hyperlink" Target="https://youtu.be/BxewkRwY_uY" TargetMode="External"/><Relationship Id="rId2923" Type="http://schemas.openxmlformats.org/officeDocument/2006/relationships/hyperlink" Target="https://youtu.be/x-GYo0BbJiI" TargetMode="External"/><Relationship Id="rId2922" Type="http://schemas.openxmlformats.org/officeDocument/2006/relationships/hyperlink" Target="https://youtu.be/4T8X1GksQaY" TargetMode="External"/><Relationship Id="rId2921" Type="http://schemas.openxmlformats.org/officeDocument/2006/relationships/hyperlink" Target="https://youtu.be/G-0_zTwT-_o" TargetMode="External"/><Relationship Id="rId2920" Type="http://schemas.openxmlformats.org/officeDocument/2006/relationships/hyperlink" Target="https://youtu.be/jMcPrFXP0cQ" TargetMode="External"/><Relationship Id="rId292" Type="http://schemas.openxmlformats.org/officeDocument/2006/relationships/hyperlink" Target="https://youtu.be/wJw_aBRKHFo" TargetMode="External"/><Relationship Id="rId2919" Type="http://schemas.openxmlformats.org/officeDocument/2006/relationships/hyperlink" Target="https://youtu.be/j7iOnMBgQDo" TargetMode="External"/><Relationship Id="rId2918" Type="http://schemas.openxmlformats.org/officeDocument/2006/relationships/hyperlink" Target="https://youtu.be/lVkHhxumqUA" TargetMode="External"/><Relationship Id="rId2917" Type="http://schemas.openxmlformats.org/officeDocument/2006/relationships/hyperlink" Target="https://youtu.be/fHWJlxPMj7I" TargetMode="External"/><Relationship Id="rId2916" Type="http://schemas.openxmlformats.org/officeDocument/2006/relationships/hyperlink" Target="https://youtu.be/rqUv2xw78Q0" TargetMode="External"/><Relationship Id="rId2915" Type="http://schemas.openxmlformats.org/officeDocument/2006/relationships/hyperlink" Target="https://youtu.be/ObufI4GKFUA" TargetMode="External"/><Relationship Id="rId2914" Type="http://schemas.openxmlformats.org/officeDocument/2006/relationships/hyperlink" Target="https://youtu.be/AOE7mLDF-qU" TargetMode="External"/><Relationship Id="rId2913" Type="http://schemas.openxmlformats.org/officeDocument/2006/relationships/hyperlink" Target="https://youtu.be/GTktRY6J-0k" TargetMode="External"/><Relationship Id="rId2912" Type="http://schemas.openxmlformats.org/officeDocument/2006/relationships/hyperlink" Target="https://youtu.be/BXXnU-woHBo" TargetMode="External"/><Relationship Id="rId2911" Type="http://schemas.openxmlformats.org/officeDocument/2006/relationships/hyperlink" Target="https://youtu.be/vzRiFnHS-Fk" TargetMode="External"/><Relationship Id="rId2910" Type="http://schemas.openxmlformats.org/officeDocument/2006/relationships/hyperlink" Target="https://youtu.be/wUNb81RoAuM" TargetMode="External"/><Relationship Id="rId291" Type="http://schemas.openxmlformats.org/officeDocument/2006/relationships/hyperlink" Target="https://youtu.be/hQrm-akse7I" TargetMode="External"/><Relationship Id="rId2909" Type="http://schemas.openxmlformats.org/officeDocument/2006/relationships/hyperlink" Target="https://youtu.be/uFREb5Us4dg" TargetMode="External"/><Relationship Id="rId2908" Type="http://schemas.openxmlformats.org/officeDocument/2006/relationships/hyperlink" Target="https://youtu.be/6JM4q97lIlE" TargetMode="External"/><Relationship Id="rId2907" Type="http://schemas.openxmlformats.org/officeDocument/2006/relationships/hyperlink" Target="https://youtu.be/XVPg1w5PTEg" TargetMode="External"/><Relationship Id="rId2906" Type="http://schemas.openxmlformats.org/officeDocument/2006/relationships/hyperlink" Target="https://youtu.be/VtVTkvqcA_8" TargetMode="External"/><Relationship Id="rId2905" Type="http://schemas.openxmlformats.org/officeDocument/2006/relationships/hyperlink" Target="https://youtu.be/XhSqeVsbqsI" TargetMode="External"/><Relationship Id="rId2904" Type="http://schemas.openxmlformats.org/officeDocument/2006/relationships/hyperlink" Target="https://youtu.be/Dby-85KuB58" TargetMode="External"/><Relationship Id="rId2903" Type="http://schemas.openxmlformats.org/officeDocument/2006/relationships/hyperlink" Target="https://youtu.be/Kt_bJDaZQrM" TargetMode="External"/><Relationship Id="rId2902" Type="http://schemas.openxmlformats.org/officeDocument/2006/relationships/hyperlink" Target="https://youtu.be/ESr9anxT_Bs" TargetMode="External"/><Relationship Id="rId2901" Type="http://schemas.openxmlformats.org/officeDocument/2006/relationships/hyperlink" Target="https://youtu.be/9KxN447nKCY" TargetMode="External"/><Relationship Id="rId2900" Type="http://schemas.openxmlformats.org/officeDocument/2006/relationships/hyperlink" Target="https://youtu.be/fshNptg_BxY" TargetMode="External"/><Relationship Id="rId290" Type="http://schemas.openxmlformats.org/officeDocument/2006/relationships/hyperlink" Target="https://youtu.be/qn09Ohs_kOw" TargetMode="External"/><Relationship Id="rId29" Type="http://schemas.openxmlformats.org/officeDocument/2006/relationships/hyperlink" Target="https://youtu.be/yae96AxH7V0" TargetMode="External"/><Relationship Id="rId2899" Type="http://schemas.openxmlformats.org/officeDocument/2006/relationships/hyperlink" Target="https://youtu.be/mhVSAvY51Kw" TargetMode="External"/><Relationship Id="rId2898" Type="http://schemas.openxmlformats.org/officeDocument/2006/relationships/hyperlink" Target="https://youtu.be/o-vPMsArqm0" TargetMode="External"/><Relationship Id="rId2897" Type="http://schemas.openxmlformats.org/officeDocument/2006/relationships/hyperlink" Target="https://youtu.be/b_dx5G89DzY" TargetMode="External"/><Relationship Id="rId2896" Type="http://schemas.openxmlformats.org/officeDocument/2006/relationships/hyperlink" Target="https://youtu.be/MW_NsN0Ilro" TargetMode="External"/><Relationship Id="rId2895" Type="http://schemas.openxmlformats.org/officeDocument/2006/relationships/hyperlink" Target="https://youtu.be/SL_1DGv2XxQ" TargetMode="External"/><Relationship Id="rId2894" Type="http://schemas.openxmlformats.org/officeDocument/2006/relationships/hyperlink" Target="https://youtu.be/mgBhgKBxhus" TargetMode="External"/><Relationship Id="rId2893" Type="http://schemas.openxmlformats.org/officeDocument/2006/relationships/hyperlink" Target="https://youtu.be/HCg3MkL93rY" TargetMode="External"/><Relationship Id="rId2892" Type="http://schemas.openxmlformats.org/officeDocument/2006/relationships/hyperlink" Target="https://youtu.be/ZnN0vJj5Z9U" TargetMode="External"/><Relationship Id="rId2891" Type="http://schemas.openxmlformats.org/officeDocument/2006/relationships/hyperlink" Target="https://youtu.be/z5_0hfU6b1s" TargetMode="External"/><Relationship Id="rId2890" Type="http://schemas.openxmlformats.org/officeDocument/2006/relationships/hyperlink" Target="https://youtu.be/XRXD52L_EAE" TargetMode="External"/><Relationship Id="rId289" Type="http://schemas.openxmlformats.org/officeDocument/2006/relationships/hyperlink" Target="https://youtu.be/uxVc2VEPff0" TargetMode="External"/><Relationship Id="rId2889" Type="http://schemas.openxmlformats.org/officeDocument/2006/relationships/hyperlink" Target="https://youtu.be/o7c3dEuKc18" TargetMode="External"/><Relationship Id="rId2888" Type="http://schemas.openxmlformats.org/officeDocument/2006/relationships/hyperlink" Target="https://youtu.be/QysRsOuwyAo" TargetMode="External"/><Relationship Id="rId2887" Type="http://schemas.openxmlformats.org/officeDocument/2006/relationships/hyperlink" Target="https://youtu.be/5EhsIN6BMyk" TargetMode="External"/><Relationship Id="rId2886" Type="http://schemas.openxmlformats.org/officeDocument/2006/relationships/hyperlink" Target="https://youtu.be/qm9ZeWjYfu8" TargetMode="External"/><Relationship Id="rId2885" Type="http://schemas.openxmlformats.org/officeDocument/2006/relationships/hyperlink" Target="https://youtu.be/4AdaREcAJxc" TargetMode="External"/><Relationship Id="rId2884" Type="http://schemas.openxmlformats.org/officeDocument/2006/relationships/hyperlink" Target="https://youtu.be/mTUay3cqIAo" TargetMode="External"/><Relationship Id="rId2883" Type="http://schemas.openxmlformats.org/officeDocument/2006/relationships/hyperlink" Target="https://youtu.be/68BQxfKc8-Q" TargetMode="External"/><Relationship Id="rId2882" Type="http://schemas.openxmlformats.org/officeDocument/2006/relationships/hyperlink" Target="https://youtu.be/MJ5ltPwk5vc" TargetMode="External"/><Relationship Id="rId2881" Type="http://schemas.openxmlformats.org/officeDocument/2006/relationships/hyperlink" Target="https://youtu.be/q87Xc7Z-agU" TargetMode="External"/><Relationship Id="rId2880" Type="http://schemas.openxmlformats.org/officeDocument/2006/relationships/hyperlink" Target="https://youtu.be/swmajJIZxtc" TargetMode="External"/><Relationship Id="rId288" Type="http://schemas.openxmlformats.org/officeDocument/2006/relationships/hyperlink" Target="https://youtu.be/COZ5E_MsgwA" TargetMode="External"/><Relationship Id="rId2879" Type="http://schemas.openxmlformats.org/officeDocument/2006/relationships/hyperlink" Target="https://youtu.be/4xjm0D9mYYE" TargetMode="External"/><Relationship Id="rId2878" Type="http://schemas.openxmlformats.org/officeDocument/2006/relationships/hyperlink" Target="https://youtu.be/OxXi1xfdhr4" TargetMode="External"/><Relationship Id="rId2877" Type="http://schemas.openxmlformats.org/officeDocument/2006/relationships/hyperlink" Target="https://youtu.be/OXRF95iuLvg" TargetMode="External"/><Relationship Id="rId2876" Type="http://schemas.openxmlformats.org/officeDocument/2006/relationships/hyperlink" Target="https://youtu.be/szMpTiCMh98" TargetMode="External"/><Relationship Id="rId2875" Type="http://schemas.openxmlformats.org/officeDocument/2006/relationships/hyperlink" Target="https://youtu.be/SHgfmzhtrE0" TargetMode="External"/><Relationship Id="rId2874" Type="http://schemas.openxmlformats.org/officeDocument/2006/relationships/hyperlink" Target="https://youtu.be/f5rsJwsyni4" TargetMode="External"/><Relationship Id="rId2873" Type="http://schemas.openxmlformats.org/officeDocument/2006/relationships/hyperlink" Target="https://youtu.be/-QYqTe__3TU" TargetMode="External"/><Relationship Id="rId2872" Type="http://schemas.openxmlformats.org/officeDocument/2006/relationships/hyperlink" Target="https://youtu.be/10dqCcZJ95Q" TargetMode="External"/><Relationship Id="rId2871" Type="http://schemas.openxmlformats.org/officeDocument/2006/relationships/hyperlink" Target="https://youtu.be/Ke9Ms7Ob6vc" TargetMode="External"/><Relationship Id="rId2870" Type="http://schemas.openxmlformats.org/officeDocument/2006/relationships/hyperlink" Target="https://youtu.be/ABougk7p6gI" TargetMode="External"/><Relationship Id="rId287" Type="http://schemas.openxmlformats.org/officeDocument/2006/relationships/hyperlink" Target="https://youtu.be/NOOz2U5TVgE" TargetMode="External"/><Relationship Id="rId2869" Type="http://schemas.openxmlformats.org/officeDocument/2006/relationships/hyperlink" Target="https://youtu.be/37CNj6zy7w4" TargetMode="External"/><Relationship Id="rId2868" Type="http://schemas.openxmlformats.org/officeDocument/2006/relationships/hyperlink" Target="https://youtu.be/NsPxjFDqHOQ" TargetMode="External"/><Relationship Id="rId2867" Type="http://schemas.openxmlformats.org/officeDocument/2006/relationships/hyperlink" Target="https://youtu.be/e4C08j5FP-E" TargetMode="External"/><Relationship Id="rId2866" Type="http://schemas.openxmlformats.org/officeDocument/2006/relationships/hyperlink" Target="https://youtu.be/G3kQbvDD9jY" TargetMode="External"/><Relationship Id="rId2865" Type="http://schemas.openxmlformats.org/officeDocument/2006/relationships/hyperlink" Target="https://youtu.be/x2Yxwg15gz8" TargetMode="External"/><Relationship Id="rId2864" Type="http://schemas.openxmlformats.org/officeDocument/2006/relationships/hyperlink" Target="https://youtu.be/wRn_8bGvvMM" TargetMode="External"/><Relationship Id="rId2863" Type="http://schemas.openxmlformats.org/officeDocument/2006/relationships/hyperlink" Target="https://youtu.be/G5MmTI3Qr8o" TargetMode="External"/><Relationship Id="rId2862" Type="http://schemas.openxmlformats.org/officeDocument/2006/relationships/hyperlink" Target="https://youtu.be/xhP6AeBm2rg" TargetMode="External"/><Relationship Id="rId2861" Type="http://schemas.openxmlformats.org/officeDocument/2006/relationships/hyperlink" Target="https://youtu.be/FdKWe9_OPTs" TargetMode="External"/><Relationship Id="rId2860" Type="http://schemas.openxmlformats.org/officeDocument/2006/relationships/hyperlink" Target="https://youtu.be/R74jUezvfAI" TargetMode="External"/><Relationship Id="rId286" Type="http://schemas.openxmlformats.org/officeDocument/2006/relationships/hyperlink" Target="https://youtu.be/7_SNFrTr_oo" TargetMode="External"/><Relationship Id="rId2859" Type="http://schemas.openxmlformats.org/officeDocument/2006/relationships/hyperlink" Target="https://youtu.be/S2xIo9CVzg4" TargetMode="External"/><Relationship Id="rId2858" Type="http://schemas.openxmlformats.org/officeDocument/2006/relationships/hyperlink" Target="https://youtu.be/k6XjtPs1SX8" TargetMode="External"/><Relationship Id="rId2857" Type="http://schemas.openxmlformats.org/officeDocument/2006/relationships/hyperlink" Target="https://youtu.be/MMwe7P05_DE" TargetMode="External"/><Relationship Id="rId2856" Type="http://schemas.openxmlformats.org/officeDocument/2006/relationships/hyperlink" Target="https://youtu.be/t9Q4E1oILqs" TargetMode="External"/><Relationship Id="rId2855" Type="http://schemas.openxmlformats.org/officeDocument/2006/relationships/hyperlink" Target="https://youtu.be/lozXsrvgfTY" TargetMode="External"/><Relationship Id="rId2854" Type="http://schemas.openxmlformats.org/officeDocument/2006/relationships/hyperlink" Target="https://youtu.be/spKVThL6pRg" TargetMode="External"/><Relationship Id="rId2853" Type="http://schemas.openxmlformats.org/officeDocument/2006/relationships/hyperlink" Target="https://youtu.be/LWMoaT0nRXM" TargetMode="External"/><Relationship Id="rId2852" Type="http://schemas.openxmlformats.org/officeDocument/2006/relationships/hyperlink" Target="https://youtu.be/ataNExfunPw" TargetMode="External"/><Relationship Id="rId2851" Type="http://schemas.openxmlformats.org/officeDocument/2006/relationships/hyperlink" Target="https://youtu.be/_LbX8wRTWvc" TargetMode="External"/><Relationship Id="rId2850" Type="http://schemas.openxmlformats.org/officeDocument/2006/relationships/hyperlink" Target="https://youtu.be/QJfTjoR_22g" TargetMode="External"/><Relationship Id="rId285" Type="http://schemas.openxmlformats.org/officeDocument/2006/relationships/hyperlink" Target="https://youtu.be/IDeMqkdT6pA" TargetMode="External"/><Relationship Id="rId2849" Type="http://schemas.openxmlformats.org/officeDocument/2006/relationships/hyperlink" Target="https://youtu.be/7YpCXpkn4Vo" TargetMode="External"/><Relationship Id="rId2848" Type="http://schemas.openxmlformats.org/officeDocument/2006/relationships/hyperlink" Target="https://youtu.be/cl1l76SSK90" TargetMode="External"/><Relationship Id="rId2847" Type="http://schemas.openxmlformats.org/officeDocument/2006/relationships/hyperlink" Target="https://youtu.be/K735zeXfd2U" TargetMode="External"/><Relationship Id="rId2846" Type="http://schemas.openxmlformats.org/officeDocument/2006/relationships/hyperlink" Target="https://youtu.be/wMEGXAvO4kw" TargetMode="External"/><Relationship Id="rId2845" Type="http://schemas.openxmlformats.org/officeDocument/2006/relationships/hyperlink" Target="https://youtu.be/o9nVJqD0rHM" TargetMode="External"/><Relationship Id="rId2844" Type="http://schemas.openxmlformats.org/officeDocument/2006/relationships/hyperlink" Target="https://youtu.be/MJwzpfbS5OU" TargetMode="External"/><Relationship Id="rId2843" Type="http://schemas.openxmlformats.org/officeDocument/2006/relationships/hyperlink" Target="https://youtu.be/NY6gn-RCtA0" TargetMode="External"/><Relationship Id="rId2842" Type="http://schemas.openxmlformats.org/officeDocument/2006/relationships/hyperlink" Target="https://youtu.be/0aAvVZKSGr8" TargetMode="External"/><Relationship Id="rId2841" Type="http://schemas.openxmlformats.org/officeDocument/2006/relationships/hyperlink" Target="https://youtu.be/JPM0hAxlR5s" TargetMode="External"/><Relationship Id="rId2840" Type="http://schemas.openxmlformats.org/officeDocument/2006/relationships/hyperlink" Target="https://youtu.be/BQ2E_cUvoIo" TargetMode="External"/><Relationship Id="rId284" Type="http://schemas.openxmlformats.org/officeDocument/2006/relationships/hyperlink" Target="https://youtu.be/l6j1Q6AYRS0" TargetMode="External"/><Relationship Id="rId2839" Type="http://schemas.openxmlformats.org/officeDocument/2006/relationships/hyperlink" Target="https://youtu.be/dT26heNtCL8" TargetMode="External"/><Relationship Id="rId2838" Type="http://schemas.openxmlformats.org/officeDocument/2006/relationships/hyperlink" Target="https://youtu.be/RaBeeZJI6c8" TargetMode="External"/><Relationship Id="rId2837" Type="http://schemas.openxmlformats.org/officeDocument/2006/relationships/hyperlink" Target="https://youtu.be/lOtuK7qTGrg" TargetMode="External"/><Relationship Id="rId2836" Type="http://schemas.openxmlformats.org/officeDocument/2006/relationships/hyperlink" Target="https://youtu.be/eC9gfgB6Ft4" TargetMode="External"/><Relationship Id="rId2835" Type="http://schemas.openxmlformats.org/officeDocument/2006/relationships/hyperlink" Target="https://youtu.be/LX9mspttL-c" TargetMode="External"/><Relationship Id="rId2834" Type="http://schemas.openxmlformats.org/officeDocument/2006/relationships/hyperlink" Target="https://youtu.be/yxpfBqp0fKw" TargetMode="External"/><Relationship Id="rId2833" Type="http://schemas.openxmlformats.org/officeDocument/2006/relationships/hyperlink" Target="https://youtu.be/vyeL_Yx-zcM" TargetMode="External"/><Relationship Id="rId2832" Type="http://schemas.openxmlformats.org/officeDocument/2006/relationships/hyperlink" Target="https://youtu.be/Z85H-vnvh0o" TargetMode="External"/><Relationship Id="rId2831" Type="http://schemas.openxmlformats.org/officeDocument/2006/relationships/hyperlink" Target="https://youtu.be/IXZccFhshZs" TargetMode="External"/><Relationship Id="rId2830" Type="http://schemas.openxmlformats.org/officeDocument/2006/relationships/hyperlink" Target="https://youtu.be/VP7izZhhE9A" TargetMode="External"/><Relationship Id="rId283" Type="http://schemas.openxmlformats.org/officeDocument/2006/relationships/hyperlink" Target="https://youtu.be/FbaFJD5X32o" TargetMode="External"/><Relationship Id="rId2829" Type="http://schemas.openxmlformats.org/officeDocument/2006/relationships/hyperlink" Target="https://youtu.be/QqwtV9k3zOc" TargetMode="External"/><Relationship Id="rId2828" Type="http://schemas.openxmlformats.org/officeDocument/2006/relationships/hyperlink" Target="https://youtu.be/3_MjqizDNec" TargetMode="External"/><Relationship Id="rId2827" Type="http://schemas.openxmlformats.org/officeDocument/2006/relationships/hyperlink" Target="https://youtu.be/CP3cud3QIaM" TargetMode="External"/><Relationship Id="rId2826" Type="http://schemas.openxmlformats.org/officeDocument/2006/relationships/hyperlink" Target="https://youtu.be/dOG1O-XqA9A" TargetMode="External"/><Relationship Id="rId2825" Type="http://schemas.openxmlformats.org/officeDocument/2006/relationships/hyperlink" Target="https://youtu.be/yLapSXvNbI8" TargetMode="External"/><Relationship Id="rId2824" Type="http://schemas.openxmlformats.org/officeDocument/2006/relationships/hyperlink" Target="https://youtu.be/bAWo0HjUyOc" TargetMode="External"/><Relationship Id="rId2823" Type="http://schemas.openxmlformats.org/officeDocument/2006/relationships/hyperlink" Target="https://youtu.be/b02_UAo6nGw" TargetMode="External"/><Relationship Id="rId2822" Type="http://schemas.openxmlformats.org/officeDocument/2006/relationships/hyperlink" Target="https://youtu.be/VrCeKTPQqts" TargetMode="External"/><Relationship Id="rId2821" Type="http://schemas.openxmlformats.org/officeDocument/2006/relationships/hyperlink" Target="https://youtu.be/hyImXg9iqZU" TargetMode="External"/><Relationship Id="rId2820" Type="http://schemas.openxmlformats.org/officeDocument/2006/relationships/hyperlink" Target="https://youtu.be/4NGyP5j2AJs" TargetMode="External"/><Relationship Id="rId282" Type="http://schemas.openxmlformats.org/officeDocument/2006/relationships/hyperlink" Target="https://youtu.be/CC7OJ7gFLvE" TargetMode="External"/><Relationship Id="rId2819" Type="http://schemas.openxmlformats.org/officeDocument/2006/relationships/hyperlink" Target="https://youtu.be/eIp0zNAXJOY" TargetMode="External"/><Relationship Id="rId2818" Type="http://schemas.openxmlformats.org/officeDocument/2006/relationships/hyperlink" Target="https://youtu.be/i2mqGBDQPSQ" TargetMode="External"/><Relationship Id="rId2817" Type="http://schemas.openxmlformats.org/officeDocument/2006/relationships/hyperlink" Target="https://youtu.be/yuJJbx-KcQg" TargetMode="External"/><Relationship Id="rId2816" Type="http://schemas.openxmlformats.org/officeDocument/2006/relationships/hyperlink" Target="https://youtu.be/K9o888As61E" TargetMode="External"/><Relationship Id="rId2815" Type="http://schemas.openxmlformats.org/officeDocument/2006/relationships/hyperlink" Target="https://youtu.be/-geMqibg1bI" TargetMode="External"/><Relationship Id="rId2814" Type="http://schemas.openxmlformats.org/officeDocument/2006/relationships/hyperlink" Target="https://youtu.be/hTzo0Lq1-T4" TargetMode="External"/><Relationship Id="rId2813" Type="http://schemas.openxmlformats.org/officeDocument/2006/relationships/hyperlink" Target="https://youtu.be/GS32pRTURdI" TargetMode="External"/><Relationship Id="rId2812" Type="http://schemas.openxmlformats.org/officeDocument/2006/relationships/hyperlink" Target="https://youtu.be/RKAxPD9cuQA" TargetMode="External"/><Relationship Id="rId2811" Type="http://schemas.openxmlformats.org/officeDocument/2006/relationships/hyperlink" Target="https://youtu.be/0bjmVGiPlls" TargetMode="External"/><Relationship Id="rId2810" Type="http://schemas.openxmlformats.org/officeDocument/2006/relationships/hyperlink" Target="https://youtu.be/gl8xj_CosKA" TargetMode="External"/><Relationship Id="rId281" Type="http://schemas.openxmlformats.org/officeDocument/2006/relationships/hyperlink" Target="https://youtu.be/DR4JZ3yTpo0" TargetMode="External"/><Relationship Id="rId2809" Type="http://schemas.openxmlformats.org/officeDocument/2006/relationships/hyperlink" Target="https://youtu.be/pQO7CscbpyI" TargetMode="External"/><Relationship Id="rId2808" Type="http://schemas.openxmlformats.org/officeDocument/2006/relationships/hyperlink" Target="https://youtu.be/png7yuYjBRQ" TargetMode="External"/><Relationship Id="rId2807" Type="http://schemas.openxmlformats.org/officeDocument/2006/relationships/hyperlink" Target="https://youtu.be/lYflPJbrys8" TargetMode="External"/><Relationship Id="rId2806" Type="http://schemas.openxmlformats.org/officeDocument/2006/relationships/hyperlink" Target="https://youtu.be/hIbIKDWQjjw" TargetMode="External"/><Relationship Id="rId2805" Type="http://schemas.openxmlformats.org/officeDocument/2006/relationships/hyperlink" Target="https://youtu.be/UKXZlcnUY7A" TargetMode="External"/><Relationship Id="rId2804" Type="http://schemas.openxmlformats.org/officeDocument/2006/relationships/hyperlink" Target="https://youtu.be/7TwyPoa18Do" TargetMode="External"/><Relationship Id="rId2803" Type="http://schemas.openxmlformats.org/officeDocument/2006/relationships/hyperlink" Target="https://youtu.be/9dXheNicK4s" TargetMode="External"/><Relationship Id="rId2802" Type="http://schemas.openxmlformats.org/officeDocument/2006/relationships/hyperlink" Target="https://youtu.be/wpTCa85V22U" TargetMode="External"/><Relationship Id="rId2801" Type="http://schemas.openxmlformats.org/officeDocument/2006/relationships/hyperlink" Target="https://youtu.be/j0b9DxMSQxw" TargetMode="External"/><Relationship Id="rId2800" Type="http://schemas.openxmlformats.org/officeDocument/2006/relationships/hyperlink" Target="https://youtu.be/AEOFoZibesM" TargetMode="External"/><Relationship Id="rId280" Type="http://schemas.openxmlformats.org/officeDocument/2006/relationships/hyperlink" Target="https://youtu.be/i2Socj4Nvhw" TargetMode="External"/><Relationship Id="rId28" Type="http://schemas.openxmlformats.org/officeDocument/2006/relationships/hyperlink" Target="https://youtu.be/oQTtuzU_eT8" TargetMode="External"/><Relationship Id="rId2799" Type="http://schemas.openxmlformats.org/officeDocument/2006/relationships/hyperlink" Target="https://youtu.be/vrM9rdQyKfw" TargetMode="External"/><Relationship Id="rId2798" Type="http://schemas.openxmlformats.org/officeDocument/2006/relationships/hyperlink" Target="https://youtu.be/hf0SIRxXvRo" TargetMode="External"/><Relationship Id="rId2797" Type="http://schemas.openxmlformats.org/officeDocument/2006/relationships/hyperlink" Target="https://youtu.be/WpLLVxfmpOQ" TargetMode="External"/><Relationship Id="rId2796" Type="http://schemas.openxmlformats.org/officeDocument/2006/relationships/hyperlink" Target="https://youtu.be/jhdf5XNfYGs" TargetMode="External"/><Relationship Id="rId2795" Type="http://schemas.openxmlformats.org/officeDocument/2006/relationships/hyperlink" Target="https://youtu.be/iZE_YzBj2a4" TargetMode="External"/><Relationship Id="rId2794" Type="http://schemas.openxmlformats.org/officeDocument/2006/relationships/hyperlink" Target="https://youtu.be/m-MXhNJN9pw" TargetMode="External"/><Relationship Id="rId2793" Type="http://schemas.openxmlformats.org/officeDocument/2006/relationships/hyperlink" Target="https://youtu.be/4we7eUdxoUs" TargetMode="External"/><Relationship Id="rId2792" Type="http://schemas.openxmlformats.org/officeDocument/2006/relationships/hyperlink" Target="https://youtu.be/5yRb0XS3BU4" TargetMode="External"/><Relationship Id="rId2791" Type="http://schemas.openxmlformats.org/officeDocument/2006/relationships/hyperlink" Target="https://youtu.be/OqXOUycHQ08" TargetMode="External"/><Relationship Id="rId2790" Type="http://schemas.openxmlformats.org/officeDocument/2006/relationships/hyperlink" Target="https://youtu.be/8Ddt8xnnGGA" TargetMode="External"/><Relationship Id="rId279" Type="http://schemas.openxmlformats.org/officeDocument/2006/relationships/hyperlink" Target="https://youtu.be/8QlPNKGO-m4" TargetMode="External"/><Relationship Id="rId2789" Type="http://schemas.openxmlformats.org/officeDocument/2006/relationships/hyperlink" Target="https://youtu.be/Lbfjb49skQA" TargetMode="External"/><Relationship Id="rId2788" Type="http://schemas.openxmlformats.org/officeDocument/2006/relationships/hyperlink" Target="https://youtu.be/prYDgWDXmlQ" TargetMode="External"/><Relationship Id="rId2787" Type="http://schemas.openxmlformats.org/officeDocument/2006/relationships/hyperlink" Target="https://youtu.be/vtJ9PYkAbII" TargetMode="External"/><Relationship Id="rId2786" Type="http://schemas.openxmlformats.org/officeDocument/2006/relationships/hyperlink" Target="https://youtu.be/-s9jXCnL1ig" TargetMode="External"/><Relationship Id="rId2785" Type="http://schemas.openxmlformats.org/officeDocument/2006/relationships/hyperlink" Target="https://youtu.be/ZFhL1T5noDc" TargetMode="External"/><Relationship Id="rId2784" Type="http://schemas.openxmlformats.org/officeDocument/2006/relationships/hyperlink" Target="https://youtu.be/KbGa9nuE0-0" TargetMode="External"/><Relationship Id="rId2783" Type="http://schemas.openxmlformats.org/officeDocument/2006/relationships/hyperlink" Target="https://youtu.be/8BkaVdSWbHI" TargetMode="External"/><Relationship Id="rId2782" Type="http://schemas.openxmlformats.org/officeDocument/2006/relationships/hyperlink" Target="https://youtu.be/uLM-SrSu2jI" TargetMode="External"/><Relationship Id="rId2781" Type="http://schemas.openxmlformats.org/officeDocument/2006/relationships/hyperlink" Target="https://youtu.be/-A9lNVCgb3w" TargetMode="External"/><Relationship Id="rId2780" Type="http://schemas.openxmlformats.org/officeDocument/2006/relationships/hyperlink" Target="https://youtu.be/B85Zmo5ql-Q" TargetMode="External"/><Relationship Id="rId278" Type="http://schemas.openxmlformats.org/officeDocument/2006/relationships/hyperlink" Target="https://youtu.be/HskXf74S5xg" TargetMode="External"/><Relationship Id="rId2779" Type="http://schemas.openxmlformats.org/officeDocument/2006/relationships/hyperlink" Target="https://youtu.be/lrU_za2T1UI" TargetMode="External"/><Relationship Id="rId2778" Type="http://schemas.openxmlformats.org/officeDocument/2006/relationships/hyperlink" Target="https://youtu.be/o3tOFSHmjVo" TargetMode="External"/><Relationship Id="rId2777" Type="http://schemas.openxmlformats.org/officeDocument/2006/relationships/hyperlink" Target="https://youtu.be/_Co-YKi5PdY" TargetMode="External"/><Relationship Id="rId2776" Type="http://schemas.openxmlformats.org/officeDocument/2006/relationships/hyperlink" Target="https://youtu.be/lCwuqloOpgM" TargetMode="External"/><Relationship Id="rId2775" Type="http://schemas.openxmlformats.org/officeDocument/2006/relationships/hyperlink" Target="https://youtu.be/AyQMOm1uBVQ" TargetMode="External"/><Relationship Id="rId2774" Type="http://schemas.openxmlformats.org/officeDocument/2006/relationships/hyperlink" Target="https://youtu.be/83hBchXALZo" TargetMode="External"/><Relationship Id="rId2773" Type="http://schemas.openxmlformats.org/officeDocument/2006/relationships/hyperlink" Target="https://youtu.be/1Bi8-lrg0j4" TargetMode="External"/><Relationship Id="rId2772" Type="http://schemas.openxmlformats.org/officeDocument/2006/relationships/hyperlink" Target="https://youtu.be/5Bj8EedBEXQ" TargetMode="External"/><Relationship Id="rId2771" Type="http://schemas.openxmlformats.org/officeDocument/2006/relationships/hyperlink" Target="https://youtu.be/89tYp7O38zs" TargetMode="External"/><Relationship Id="rId2770" Type="http://schemas.openxmlformats.org/officeDocument/2006/relationships/hyperlink" Target="https://youtu.be/-DWVgJA7DHs" TargetMode="External"/><Relationship Id="rId277" Type="http://schemas.openxmlformats.org/officeDocument/2006/relationships/hyperlink" Target="https://youtu.be/oZXkXsRtj24" TargetMode="External"/><Relationship Id="rId2769" Type="http://schemas.openxmlformats.org/officeDocument/2006/relationships/hyperlink" Target="https://youtu.be/E8RMkEmRNlg" TargetMode="External"/><Relationship Id="rId2768" Type="http://schemas.openxmlformats.org/officeDocument/2006/relationships/hyperlink" Target="https://youtu.be/rZSlwW4eKaA" TargetMode="External"/><Relationship Id="rId2767" Type="http://schemas.openxmlformats.org/officeDocument/2006/relationships/hyperlink" Target="https://youtu.be/bn3z0MBEUd4" TargetMode="External"/><Relationship Id="rId2766" Type="http://schemas.openxmlformats.org/officeDocument/2006/relationships/hyperlink" Target="https://youtu.be/Hslr5jkR568" TargetMode="External"/><Relationship Id="rId2765" Type="http://schemas.openxmlformats.org/officeDocument/2006/relationships/hyperlink" Target="https://youtu.be/UJRJyljzwTA" TargetMode="External"/><Relationship Id="rId2764" Type="http://schemas.openxmlformats.org/officeDocument/2006/relationships/hyperlink" Target="https://youtu.be/INBt1iLJk_Q" TargetMode="External"/><Relationship Id="rId2763" Type="http://schemas.openxmlformats.org/officeDocument/2006/relationships/hyperlink" Target="https://youtu.be/tGhXcGztpI8" TargetMode="External"/><Relationship Id="rId2762" Type="http://schemas.openxmlformats.org/officeDocument/2006/relationships/hyperlink" Target="https://youtu.be/Xoqesv4Cm68" TargetMode="External"/><Relationship Id="rId2761" Type="http://schemas.openxmlformats.org/officeDocument/2006/relationships/hyperlink" Target="https://youtu.be/_40duqRlVko" TargetMode="External"/><Relationship Id="rId2760" Type="http://schemas.openxmlformats.org/officeDocument/2006/relationships/hyperlink" Target="https://youtu.be/dNhzcMM6j3E" TargetMode="External"/><Relationship Id="rId276" Type="http://schemas.openxmlformats.org/officeDocument/2006/relationships/hyperlink" Target="https://youtu.be/R-jc-dTdK5g" TargetMode="External"/><Relationship Id="rId2759" Type="http://schemas.openxmlformats.org/officeDocument/2006/relationships/hyperlink" Target="https://youtu.be/Qy1Ru9bJHI8" TargetMode="External"/><Relationship Id="rId2758" Type="http://schemas.openxmlformats.org/officeDocument/2006/relationships/hyperlink" Target="https://youtu.be/zeyakanQGYA" TargetMode="External"/><Relationship Id="rId2757" Type="http://schemas.openxmlformats.org/officeDocument/2006/relationships/hyperlink" Target="https://youtu.be/6ZSQIFMQTKY" TargetMode="External"/><Relationship Id="rId2756" Type="http://schemas.openxmlformats.org/officeDocument/2006/relationships/hyperlink" Target="https://youtu.be/eCNevvKevd8" TargetMode="External"/><Relationship Id="rId2755" Type="http://schemas.openxmlformats.org/officeDocument/2006/relationships/hyperlink" Target="https://youtu.be/ZANWCwAWY_0" TargetMode="External"/><Relationship Id="rId2754" Type="http://schemas.openxmlformats.org/officeDocument/2006/relationships/hyperlink" Target="https://youtu.be/mr08NzICcwU" TargetMode="External"/><Relationship Id="rId2753" Type="http://schemas.openxmlformats.org/officeDocument/2006/relationships/hyperlink" Target="https://youtu.be/4uuju628wyw" TargetMode="External"/><Relationship Id="rId2752" Type="http://schemas.openxmlformats.org/officeDocument/2006/relationships/hyperlink" Target="https://youtu.be/eCUXk9WsUAY" TargetMode="External"/><Relationship Id="rId2751" Type="http://schemas.openxmlformats.org/officeDocument/2006/relationships/hyperlink" Target="https://youtu.be/NP8wP-QwbrI" TargetMode="External"/><Relationship Id="rId2750" Type="http://schemas.openxmlformats.org/officeDocument/2006/relationships/hyperlink" Target="https://youtu.be/GnYJhz0GigU" TargetMode="External"/><Relationship Id="rId275" Type="http://schemas.openxmlformats.org/officeDocument/2006/relationships/hyperlink" Target="https://youtu.be/1Mqsd0ru_pc" TargetMode="External"/><Relationship Id="rId2749" Type="http://schemas.openxmlformats.org/officeDocument/2006/relationships/hyperlink" Target="https://youtu.be/cBWLWL5-x9E" TargetMode="External"/><Relationship Id="rId2748" Type="http://schemas.openxmlformats.org/officeDocument/2006/relationships/hyperlink" Target="https://youtu.be/o5bi32hZ7bw" TargetMode="External"/><Relationship Id="rId2747" Type="http://schemas.openxmlformats.org/officeDocument/2006/relationships/hyperlink" Target="https://youtu.be/ZNiC-cpXd-8" TargetMode="External"/><Relationship Id="rId2746" Type="http://schemas.openxmlformats.org/officeDocument/2006/relationships/hyperlink" Target="https://youtu.be/FuUBDtN3v_0" TargetMode="External"/><Relationship Id="rId2745" Type="http://schemas.openxmlformats.org/officeDocument/2006/relationships/hyperlink" Target="https://youtu.be/LTflOstC1Ec" TargetMode="External"/><Relationship Id="rId2744" Type="http://schemas.openxmlformats.org/officeDocument/2006/relationships/hyperlink" Target="https://youtu.be/DmgIBhvDcrg" TargetMode="External"/><Relationship Id="rId2743" Type="http://schemas.openxmlformats.org/officeDocument/2006/relationships/hyperlink" Target="https://youtu.be/8Hgw084eUHc" TargetMode="External"/><Relationship Id="rId2742" Type="http://schemas.openxmlformats.org/officeDocument/2006/relationships/hyperlink" Target="https://youtu.be/EYuvXxOVB1s" TargetMode="External"/><Relationship Id="rId2741" Type="http://schemas.openxmlformats.org/officeDocument/2006/relationships/hyperlink" Target="https://youtu.be/MGGHwTQ-c9U" TargetMode="External"/><Relationship Id="rId2740" Type="http://schemas.openxmlformats.org/officeDocument/2006/relationships/hyperlink" Target="https://youtu.be/dkdj7T3Cxvk" TargetMode="External"/><Relationship Id="rId274" Type="http://schemas.openxmlformats.org/officeDocument/2006/relationships/hyperlink" Target="https://youtu.be/HpeEIyfQXCc" TargetMode="External"/><Relationship Id="rId2739" Type="http://schemas.openxmlformats.org/officeDocument/2006/relationships/hyperlink" Target="https://youtu.be/r2iRGBSMvsg" TargetMode="External"/><Relationship Id="rId2738" Type="http://schemas.openxmlformats.org/officeDocument/2006/relationships/hyperlink" Target="https://youtu.be/EFeoYHZcUpw" TargetMode="External"/><Relationship Id="rId2737" Type="http://schemas.openxmlformats.org/officeDocument/2006/relationships/hyperlink" Target="https://youtu.be/WMC6UPNyDp0" TargetMode="External"/><Relationship Id="rId2736" Type="http://schemas.openxmlformats.org/officeDocument/2006/relationships/hyperlink" Target="https://youtu.be/lFPblwNe11M" TargetMode="External"/><Relationship Id="rId2735" Type="http://schemas.openxmlformats.org/officeDocument/2006/relationships/hyperlink" Target="https://youtu.be/9_frC79kTC0" TargetMode="External"/><Relationship Id="rId2734" Type="http://schemas.openxmlformats.org/officeDocument/2006/relationships/hyperlink" Target="https://youtu.be/BbiGqW07ER8" TargetMode="External"/><Relationship Id="rId2733" Type="http://schemas.openxmlformats.org/officeDocument/2006/relationships/hyperlink" Target="https://youtu.be/Qy_1DfQpB4A" TargetMode="External"/><Relationship Id="rId2732" Type="http://schemas.openxmlformats.org/officeDocument/2006/relationships/hyperlink" Target="https://youtu.be/4MrnqEf3i-U" TargetMode="External"/><Relationship Id="rId2731" Type="http://schemas.openxmlformats.org/officeDocument/2006/relationships/hyperlink" Target="https://youtu.be/tQmRlXyV3Fw" TargetMode="External"/><Relationship Id="rId2730" Type="http://schemas.openxmlformats.org/officeDocument/2006/relationships/hyperlink" Target="https://youtu.be/UZonoIlKQKg" TargetMode="External"/><Relationship Id="rId273" Type="http://schemas.openxmlformats.org/officeDocument/2006/relationships/hyperlink" Target="https://youtu.be/7r_LULyrhbM" TargetMode="External"/><Relationship Id="rId2729" Type="http://schemas.openxmlformats.org/officeDocument/2006/relationships/hyperlink" Target="https://youtu.be/0nKwj_B5Qb4" TargetMode="External"/><Relationship Id="rId2728" Type="http://schemas.openxmlformats.org/officeDocument/2006/relationships/hyperlink" Target="https://youtu.be/7kNKjUtwpYI" TargetMode="External"/><Relationship Id="rId2727" Type="http://schemas.openxmlformats.org/officeDocument/2006/relationships/hyperlink" Target="https://youtu.be/14d1HxNMyCQ" TargetMode="External"/><Relationship Id="rId2726" Type="http://schemas.openxmlformats.org/officeDocument/2006/relationships/hyperlink" Target="https://youtu.be/WkkC8X29vBE" TargetMode="External"/><Relationship Id="rId2725" Type="http://schemas.openxmlformats.org/officeDocument/2006/relationships/hyperlink" Target="https://youtu.be/Un1AbTvUbQs" TargetMode="External"/><Relationship Id="rId2724" Type="http://schemas.openxmlformats.org/officeDocument/2006/relationships/hyperlink" Target="https://youtu.be/w6p9KbVK97w" TargetMode="External"/><Relationship Id="rId2723" Type="http://schemas.openxmlformats.org/officeDocument/2006/relationships/hyperlink" Target="https://youtu.be/yafvBBH44nU" TargetMode="External"/><Relationship Id="rId2722" Type="http://schemas.openxmlformats.org/officeDocument/2006/relationships/hyperlink" Target="https://youtu.be/OjpIv4B1W-g" TargetMode="External"/><Relationship Id="rId2721" Type="http://schemas.openxmlformats.org/officeDocument/2006/relationships/hyperlink" Target="https://youtu.be/0g3UEfen4ew" TargetMode="External"/><Relationship Id="rId2720" Type="http://schemas.openxmlformats.org/officeDocument/2006/relationships/hyperlink" Target="https://youtu.be/ijAO0FFExx0" TargetMode="External"/><Relationship Id="rId272" Type="http://schemas.openxmlformats.org/officeDocument/2006/relationships/hyperlink" Target="https://youtu.be/ZlPpHILyEl4" TargetMode="External"/><Relationship Id="rId2719" Type="http://schemas.openxmlformats.org/officeDocument/2006/relationships/hyperlink" Target="https://youtu.be/FLKmu9gzjZM" TargetMode="External"/><Relationship Id="rId2718" Type="http://schemas.openxmlformats.org/officeDocument/2006/relationships/hyperlink" Target="https://youtu.be/R5gCDTBE0IQ" TargetMode="External"/><Relationship Id="rId2717" Type="http://schemas.openxmlformats.org/officeDocument/2006/relationships/hyperlink" Target="https://youtu.be/77QWPT6iRyg" TargetMode="External"/><Relationship Id="rId2716" Type="http://schemas.openxmlformats.org/officeDocument/2006/relationships/hyperlink" Target="https://youtu.be/wxIqYjI1Xhg" TargetMode="External"/><Relationship Id="rId2715" Type="http://schemas.openxmlformats.org/officeDocument/2006/relationships/hyperlink" Target="https://youtu.be/bLKaHh0KP3M" TargetMode="External"/><Relationship Id="rId2714" Type="http://schemas.openxmlformats.org/officeDocument/2006/relationships/hyperlink" Target="https://youtu.be/0F8ndihXCO4" TargetMode="External"/><Relationship Id="rId2713" Type="http://schemas.openxmlformats.org/officeDocument/2006/relationships/hyperlink" Target="https://youtu.be/fxGGc-mCwYg" TargetMode="External"/><Relationship Id="rId2712" Type="http://schemas.openxmlformats.org/officeDocument/2006/relationships/hyperlink" Target="https://youtu.be/C9j_btv6Mv0" TargetMode="External"/><Relationship Id="rId2711" Type="http://schemas.openxmlformats.org/officeDocument/2006/relationships/hyperlink" Target="https://youtu.be/JzmlsAietqA" TargetMode="External"/><Relationship Id="rId2710" Type="http://schemas.openxmlformats.org/officeDocument/2006/relationships/hyperlink" Target="https://youtu.be/bYzzY9HbBmo" TargetMode="External"/><Relationship Id="rId271" Type="http://schemas.openxmlformats.org/officeDocument/2006/relationships/hyperlink" Target="https://youtu.be/_R3z_01FTG8" TargetMode="External"/><Relationship Id="rId2709" Type="http://schemas.openxmlformats.org/officeDocument/2006/relationships/hyperlink" Target="https://youtu.be/bYETLtk5BrM" TargetMode="External"/><Relationship Id="rId2708" Type="http://schemas.openxmlformats.org/officeDocument/2006/relationships/hyperlink" Target="https://youtu.be/aWq_nPuLZig" TargetMode="External"/><Relationship Id="rId2707" Type="http://schemas.openxmlformats.org/officeDocument/2006/relationships/hyperlink" Target="https://youtu.be/X3I5f5ibBUU" TargetMode="External"/><Relationship Id="rId2706" Type="http://schemas.openxmlformats.org/officeDocument/2006/relationships/hyperlink" Target="https://youtu.be/AoyPwadQXqw" TargetMode="External"/><Relationship Id="rId2705" Type="http://schemas.openxmlformats.org/officeDocument/2006/relationships/hyperlink" Target="https://youtu.be/ZSIcnXVzowE" TargetMode="External"/><Relationship Id="rId2704" Type="http://schemas.openxmlformats.org/officeDocument/2006/relationships/hyperlink" Target="https://youtu.be/GV2ehDT_Tgg" TargetMode="External"/><Relationship Id="rId2703" Type="http://schemas.openxmlformats.org/officeDocument/2006/relationships/hyperlink" Target="https://youtu.be/BNkS1uHUbq8" TargetMode="External"/><Relationship Id="rId2702" Type="http://schemas.openxmlformats.org/officeDocument/2006/relationships/hyperlink" Target="https://youtu.be/dgN7lTw6blw" TargetMode="External"/><Relationship Id="rId2701" Type="http://schemas.openxmlformats.org/officeDocument/2006/relationships/hyperlink" Target="https://youtu.be/fbrE_vBTeXo" TargetMode="External"/><Relationship Id="rId2700" Type="http://schemas.openxmlformats.org/officeDocument/2006/relationships/hyperlink" Target="https://youtu.be/hSrAB9a3TTA" TargetMode="External"/><Relationship Id="rId270" Type="http://schemas.openxmlformats.org/officeDocument/2006/relationships/hyperlink" Target="https://youtu.be/DU5cGnkHjPU" TargetMode="External"/><Relationship Id="rId27" Type="http://schemas.openxmlformats.org/officeDocument/2006/relationships/hyperlink" Target="https://youtu.be/lPyl6d2FJGw" TargetMode="External"/><Relationship Id="rId2699" Type="http://schemas.openxmlformats.org/officeDocument/2006/relationships/hyperlink" Target="https://youtu.be/J_oY7yqr0s0" TargetMode="External"/><Relationship Id="rId2698" Type="http://schemas.openxmlformats.org/officeDocument/2006/relationships/hyperlink" Target="https://youtu.be/6np0bwQyWog" TargetMode="External"/><Relationship Id="rId2697" Type="http://schemas.openxmlformats.org/officeDocument/2006/relationships/hyperlink" Target="https://youtu.be/oVu316zwyUs" TargetMode="External"/><Relationship Id="rId2696" Type="http://schemas.openxmlformats.org/officeDocument/2006/relationships/hyperlink" Target="https://youtu.be/kBNnoJbR98I" TargetMode="External"/><Relationship Id="rId2695" Type="http://schemas.openxmlformats.org/officeDocument/2006/relationships/hyperlink" Target="https://youtu.be/h4j8b_ru8pg" TargetMode="External"/><Relationship Id="rId2694" Type="http://schemas.openxmlformats.org/officeDocument/2006/relationships/hyperlink" Target="https://youtu.be/LMlPcuI0Uaw" TargetMode="External"/><Relationship Id="rId2693" Type="http://schemas.openxmlformats.org/officeDocument/2006/relationships/hyperlink" Target="https://youtu.be/3Vojbd4Lhc4" TargetMode="External"/><Relationship Id="rId2692" Type="http://schemas.openxmlformats.org/officeDocument/2006/relationships/hyperlink" Target="https://youtu.be/3NB3j1SqG-I" TargetMode="External"/><Relationship Id="rId2691" Type="http://schemas.openxmlformats.org/officeDocument/2006/relationships/hyperlink" Target="https://youtu.be/0JK_PJxcTiM" TargetMode="External"/><Relationship Id="rId2690" Type="http://schemas.openxmlformats.org/officeDocument/2006/relationships/hyperlink" Target="https://youtu.be/y-GswRJV1Bg" TargetMode="External"/><Relationship Id="rId269" Type="http://schemas.openxmlformats.org/officeDocument/2006/relationships/hyperlink" Target="https://youtu.be/KtjhHoSigVA" TargetMode="External"/><Relationship Id="rId2689" Type="http://schemas.openxmlformats.org/officeDocument/2006/relationships/hyperlink" Target="https://youtu.be/I1H3ZYq6v3s" TargetMode="External"/><Relationship Id="rId2688" Type="http://schemas.openxmlformats.org/officeDocument/2006/relationships/hyperlink" Target="https://youtu.be/u9VR0iZBkaU" TargetMode="External"/><Relationship Id="rId2687" Type="http://schemas.openxmlformats.org/officeDocument/2006/relationships/hyperlink" Target="https://youtu.be/gaQs08VhF1Q" TargetMode="External"/><Relationship Id="rId2686" Type="http://schemas.openxmlformats.org/officeDocument/2006/relationships/hyperlink" Target="https://youtu.be/a0CWMpysAgM" TargetMode="External"/><Relationship Id="rId2685" Type="http://schemas.openxmlformats.org/officeDocument/2006/relationships/hyperlink" Target="https://youtu.be/-o-8hReJGV8" TargetMode="External"/><Relationship Id="rId2684" Type="http://schemas.openxmlformats.org/officeDocument/2006/relationships/hyperlink" Target="https://youtu.be/vF8dIH2Jg_0" TargetMode="External"/><Relationship Id="rId2683" Type="http://schemas.openxmlformats.org/officeDocument/2006/relationships/hyperlink" Target="https://youtu.be/uKPfcHhvAzI" TargetMode="External"/><Relationship Id="rId2682" Type="http://schemas.openxmlformats.org/officeDocument/2006/relationships/hyperlink" Target="https://youtu.be/Fzxcx_kB_nI" TargetMode="External"/><Relationship Id="rId2681" Type="http://schemas.openxmlformats.org/officeDocument/2006/relationships/hyperlink" Target="https://youtu.be/U7laeQu99Uo" TargetMode="External"/><Relationship Id="rId2680" Type="http://schemas.openxmlformats.org/officeDocument/2006/relationships/hyperlink" Target="https://youtu.be/nl6laW4FqQQ" TargetMode="External"/><Relationship Id="rId268" Type="http://schemas.openxmlformats.org/officeDocument/2006/relationships/hyperlink" Target="https://youtu.be/2-3MTPMBLDw" TargetMode="External"/><Relationship Id="rId2679" Type="http://schemas.openxmlformats.org/officeDocument/2006/relationships/hyperlink" Target="https://youtu.be/CB0ylKvVnNw" TargetMode="External"/><Relationship Id="rId2678" Type="http://schemas.openxmlformats.org/officeDocument/2006/relationships/hyperlink" Target="https://youtu.be/hOCEHhGHcvo" TargetMode="External"/><Relationship Id="rId2677" Type="http://schemas.openxmlformats.org/officeDocument/2006/relationships/hyperlink" Target="https://youtu.be/s76r-LwIqgY" TargetMode="External"/><Relationship Id="rId2676" Type="http://schemas.openxmlformats.org/officeDocument/2006/relationships/hyperlink" Target="https://youtu.be/auiQTn9qZwo" TargetMode="External"/><Relationship Id="rId2675" Type="http://schemas.openxmlformats.org/officeDocument/2006/relationships/hyperlink" Target="https://youtu.be/Asurzyiz3GY" TargetMode="External"/><Relationship Id="rId2674" Type="http://schemas.openxmlformats.org/officeDocument/2006/relationships/hyperlink" Target="https://youtu.be/8nmJ-yuUfco" TargetMode="External"/><Relationship Id="rId2673" Type="http://schemas.openxmlformats.org/officeDocument/2006/relationships/hyperlink" Target="https://youtu.be/NdpuSuJZ4eg" TargetMode="External"/><Relationship Id="rId2672" Type="http://schemas.openxmlformats.org/officeDocument/2006/relationships/hyperlink" Target="https://youtu.be/Qx2WDr-lmJc" TargetMode="External"/><Relationship Id="rId2671" Type="http://schemas.openxmlformats.org/officeDocument/2006/relationships/hyperlink" Target="https://youtu.be/GYfwY1HzQF8" TargetMode="External"/><Relationship Id="rId2670" Type="http://schemas.openxmlformats.org/officeDocument/2006/relationships/hyperlink" Target="https://youtu.be/BiRJBLT44-o" TargetMode="External"/><Relationship Id="rId267" Type="http://schemas.openxmlformats.org/officeDocument/2006/relationships/hyperlink" Target="https://youtu.be/uxn3LruBDIM" TargetMode="External"/><Relationship Id="rId2669" Type="http://schemas.openxmlformats.org/officeDocument/2006/relationships/hyperlink" Target="https://youtu.be/rOrzKtEW0xg" TargetMode="External"/><Relationship Id="rId2668" Type="http://schemas.openxmlformats.org/officeDocument/2006/relationships/hyperlink" Target="https://youtu.be/lRGSG6qaLqk" TargetMode="External"/><Relationship Id="rId2667" Type="http://schemas.openxmlformats.org/officeDocument/2006/relationships/hyperlink" Target="https://youtu.be/ieb_i7WjH9A" TargetMode="External"/><Relationship Id="rId2666" Type="http://schemas.openxmlformats.org/officeDocument/2006/relationships/hyperlink" Target="https://youtu.be/JkbT6hBhWKE" TargetMode="External"/><Relationship Id="rId2665" Type="http://schemas.openxmlformats.org/officeDocument/2006/relationships/hyperlink" Target="https://youtu.be/x4s4X15qIUQ" TargetMode="External"/><Relationship Id="rId2664" Type="http://schemas.openxmlformats.org/officeDocument/2006/relationships/hyperlink" Target="https://youtu.be/Ir8HLCGc2X8" TargetMode="External"/><Relationship Id="rId2663" Type="http://schemas.openxmlformats.org/officeDocument/2006/relationships/hyperlink" Target="https://youtu.be/bjCo9fAVVCE" TargetMode="External"/><Relationship Id="rId2662" Type="http://schemas.openxmlformats.org/officeDocument/2006/relationships/hyperlink" Target="https://youtu.be/BQTKORP84MM" TargetMode="External"/><Relationship Id="rId2661" Type="http://schemas.openxmlformats.org/officeDocument/2006/relationships/hyperlink" Target="https://youtu.be/IMl7Q0KHcQ4" TargetMode="External"/><Relationship Id="rId2660" Type="http://schemas.openxmlformats.org/officeDocument/2006/relationships/hyperlink" Target="https://youtu.be/js-AfIbeuW4" TargetMode="External"/><Relationship Id="rId266" Type="http://schemas.openxmlformats.org/officeDocument/2006/relationships/hyperlink" Target="https://youtu.be/bmC-FwibsZg" TargetMode="External"/><Relationship Id="rId2659" Type="http://schemas.openxmlformats.org/officeDocument/2006/relationships/hyperlink" Target="https://youtu.be/yrjhGxU8W5Y" TargetMode="External"/><Relationship Id="rId2658" Type="http://schemas.openxmlformats.org/officeDocument/2006/relationships/hyperlink" Target="https://youtu.be/GVkJWSHGlAg" TargetMode="External"/><Relationship Id="rId2657" Type="http://schemas.openxmlformats.org/officeDocument/2006/relationships/hyperlink" Target="https://youtu.be/_ksLbFhO-jc" TargetMode="External"/><Relationship Id="rId2656" Type="http://schemas.openxmlformats.org/officeDocument/2006/relationships/hyperlink" Target="https://youtu.be/m7yjUYy8pws" TargetMode="External"/><Relationship Id="rId2655" Type="http://schemas.openxmlformats.org/officeDocument/2006/relationships/hyperlink" Target="https://youtu.be/pbbUwqX0Aus" TargetMode="External"/><Relationship Id="rId2654" Type="http://schemas.openxmlformats.org/officeDocument/2006/relationships/hyperlink" Target="https://youtu.be/jMCvyN_hSv4" TargetMode="External"/><Relationship Id="rId2653" Type="http://schemas.openxmlformats.org/officeDocument/2006/relationships/hyperlink" Target="https://youtu.be/4zSxDgu9Uv0" TargetMode="External"/><Relationship Id="rId2652" Type="http://schemas.openxmlformats.org/officeDocument/2006/relationships/hyperlink" Target="https://youtu.be/PumF6V7GesY" TargetMode="External"/><Relationship Id="rId2651" Type="http://schemas.openxmlformats.org/officeDocument/2006/relationships/hyperlink" Target="https://youtu.be/YdNYQfc6A28" TargetMode="External"/><Relationship Id="rId2650" Type="http://schemas.openxmlformats.org/officeDocument/2006/relationships/hyperlink" Target="https://youtu.be/Ki72_p17EnA" TargetMode="External"/><Relationship Id="rId265" Type="http://schemas.openxmlformats.org/officeDocument/2006/relationships/hyperlink" Target="https://youtu.be/cBG1KYa95JY" TargetMode="External"/><Relationship Id="rId2649" Type="http://schemas.openxmlformats.org/officeDocument/2006/relationships/hyperlink" Target="https://youtu.be/zzNleViGirY" TargetMode="External"/><Relationship Id="rId2648" Type="http://schemas.openxmlformats.org/officeDocument/2006/relationships/hyperlink" Target="https://youtu.be/qzN7cyKRNDc" TargetMode="External"/><Relationship Id="rId2647" Type="http://schemas.openxmlformats.org/officeDocument/2006/relationships/hyperlink" Target="https://youtu.be/DBjU8ZiuqCc" TargetMode="External"/><Relationship Id="rId2646" Type="http://schemas.openxmlformats.org/officeDocument/2006/relationships/hyperlink" Target="https://youtu.be/DeazFK2ayzA" TargetMode="External"/><Relationship Id="rId2645" Type="http://schemas.openxmlformats.org/officeDocument/2006/relationships/hyperlink" Target="https://youtu.be/CpS919WF--8" TargetMode="External"/><Relationship Id="rId2644" Type="http://schemas.openxmlformats.org/officeDocument/2006/relationships/hyperlink" Target="https://youtu.be/mHeL2Ng1WYM" TargetMode="External"/><Relationship Id="rId2643" Type="http://schemas.openxmlformats.org/officeDocument/2006/relationships/hyperlink" Target="https://youtu.be/8JpxTZrog64" TargetMode="External"/><Relationship Id="rId2642" Type="http://schemas.openxmlformats.org/officeDocument/2006/relationships/hyperlink" Target="https://youtu.be/KJ0uE5ozt0U" TargetMode="External"/><Relationship Id="rId2641" Type="http://schemas.openxmlformats.org/officeDocument/2006/relationships/hyperlink" Target="https://youtu.be/KQNe6NoFYp4" TargetMode="External"/><Relationship Id="rId2640" Type="http://schemas.openxmlformats.org/officeDocument/2006/relationships/hyperlink" Target="https://youtu.be/r8T00NbNqTs" TargetMode="External"/><Relationship Id="rId264" Type="http://schemas.openxmlformats.org/officeDocument/2006/relationships/hyperlink" Target="https://youtu.be/ixwuJfZliiY" TargetMode="External"/><Relationship Id="rId2639" Type="http://schemas.openxmlformats.org/officeDocument/2006/relationships/hyperlink" Target="https://youtu.be/MvjloNdraDc" TargetMode="External"/><Relationship Id="rId2638" Type="http://schemas.openxmlformats.org/officeDocument/2006/relationships/hyperlink" Target="https://youtu.be/hiTyKTHt4GY" TargetMode="External"/><Relationship Id="rId2637" Type="http://schemas.openxmlformats.org/officeDocument/2006/relationships/hyperlink" Target="https://youtu.be/zcT3rhGOjU0" TargetMode="External"/><Relationship Id="rId2636" Type="http://schemas.openxmlformats.org/officeDocument/2006/relationships/hyperlink" Target="https://youtu.be/txveqTAtmN8" TargetMode="External"/><Relationship Id="rId2635" Type="http://schemas.openxmlformats.org/officeDocument/2006/relationships/hyperlink" Target="https://youtu.be/7-iCm9S53Jo" TargetMode="External"/><Relationship Id="rId2634" Type="http://schemas.openxmlformats.org/officeDocument/2006/relationships/hyperlink" Target="https://youtu.be/VcIl_XZxPPk" TargetMode="External"/><Relationship Id="rId2633" Type="http://schemas.openxmlformats.org/officeDocument/2006/relationships/hyperlink" Target="https://youtu.be/GXv91UY4qJc" TargetMode="External"/><Relationship Id="rId2632" Type="http://schemas.openxmlformats.org/officeDocument/2006/relationships/hyperlink" Target="https://youtu.be/7ZeHTkNjIxk" TargetMode="External"/><Relationship Id="rId2631" Type="http://schemas.openxmlformats.org/officeDocument/2006/relationships/hyperlink" Target="https://youtu.be/3qxIg88qx_Y" TargetMode="External"/><Relationship Id="rId2630" Type="http://schemas.openxmlformats.org/officeDocument/2006/relationships/hyperlink" Target="https://youtu.be/k6ve3E7O1Dk" TargetMode="External"/><Relationship Id="rId263" Type="http://schemas.openxmlformats.org/officeDocument/2006/relationships/hyperlink" Target="https://youtu.be/AG1y2Zdb8_c" TargetMode="External"/><Relationship Id="rId2629" Type="http://schemas.openxmlformats.org/officeDocument/2006/relationships/hyperlink" Target="https://youtu.be/7ZYKsNs8KvY" TargetMode="External"/><Relationship Id="rId2628" Type="http://schemas.openxmlformats.org/officeDocument/2006/relationships/hyperlink" Target="https://youtu.be/bDpeOnxstyI" TargetMode="External"/><Relationship Id="rId2627" Type="http://schemas.openxmlformats.org/officeDocument/2006/relationships/hyperlink" Target="https://youtu.be/I7yLavo8vWk" TargetMode="External"/><Relationship Id="rId2626" Type="http://schemas.openxmlformats.org/officeDocument/2006/relationships/hyperlink" Target="https://youtu.be/o1ict2T43Kw" TargetMode="External"/><Relationship Id="rId2625" Type="http://schemas.openxmlformats.org/officeDocument/2006/relationships/hyperlink" Target="https://youtu.be/lvjFxU0ncgo" TargetMode="External"/><Relationship Id="rId2624" Type="http://schemas.openxmlformats.org/officeDocument/2006/relationships/hyperlink" Target="https://youtu.be/JCRv34_hNUs" TargetMode="External"/><Relationship Id="rId2623" Type="http://schemas.openxmlformats.org/officeDocument/2006/relationships/hyperlink" Target="https://youtu.be/tSe_OmdCGLI" TargetMode="External"/><Relationship Id="rId2622" Type="http://schemas.openxmlformats.org/officeDocument/2006/relationships/hyperlink" Target="https://youtu.be/bGjfvtVQFSs" TargetMode="External"/><Relationship Id="rId2621" Type="http://schemas.openxmlformats.org/officeDocument/2006/relationships/hyperlink" Target="https://youtu.be/Y-Z0iqR-yQQ" TargetMode="External"/><Relationship Id="rId2620" Type="http://schemas.openxmlformats.org/officeDocument/2006/relationships/hyperlink" Target="https://youtu.be/vSa_zRCxfnA" TargetMode="External"/><Relationship Id="rId262" Type="http://schemas.openxmlformats.org/officeDocument/2006/relationships/hyperlink" Target="https://youtu.be/b6r5m-IeAwQ" TargetMode="External"/><Relationship Id="rId2619" Type="http://schemas.openxmlformats.org/officeDocument/2006/relationships/hyperlink" Target="https://youtu.be/YqTDc_aNfII" TargetMode="External"/><Relationship Id="rId2618" Type="http://schemas.openxmlformats.org/officeDocument/2006/relationships/hyperlink" Target="https://youtu.be/eiTgn5f7-CY" TargetMode="External"/><Relationship Id="rId2617" Type="http://schemas.openxmlformats.org/officeDocument/2006/relationships/hyperlink" Target="https://youtu.be/ju1JWM0O2sY" TargetMode="External"/><Relationship Id="rId2616" Type="http://schemas.openxmlformats.org/officeDocument/2006/relationships/hyperlink" Target="https://youtu.be/JFWKe-7XNL4" TargetMode="External"/><Relationship Id="rId2615" Type="http://schemas.openxmlformats.org/officeDocument/2006/relationships/hyperlink" Target="https://youtu.be/bm5OrnXQk4U" TargetMode="External"/><Relationship Id="rId2614" Type="http://schemas.openxmlformats.org/officeDocument/2006/relationships/hyperlink" Target="https://youtu.be/4z1waG80X8E" TargetMode="External"/><Relationship Id="rId2613" Type="http://schemas.openxmlformats.org/officeDocument/2006/relationships/hyperlink" Target="https://youtu.be/wqTTjOw2Ba0" TargetMode="External"/><Relationship Id="rId2612" Type="http://schemas.openxmlformats.org/officeDocument/2006/relationships/hyperlink" Target="https://youtu.be/20Ic-f4ab6k" TargetMode="External"/><Relationship Id="rId2611" Type="http://schemas.openxmlformats.org/officeDocument/2006/relationships/hyperlink" Target="https://youtu.be/d2KP767-Reo" TargetMode="External"/><Relationship Id="rId2610" Type="http://schemas.openxmlformats.org/officeDocument/2006/relationships/hyperlink" Target="https://youtu.be/WtoReFMPAfU" TargetMode="External"/><Relationship Id="rId261" Type="http://schemas.openxmlformats.org/officeDocument/2006/relationships/hyperlink" Target="https://youtu.be/yegahZGsixU" TargetMode="External"/><Relationship Id="rId2609" Type="http://schemas.openxmlformats.org/officeDocument/2006/relationships/hyperlink" Target="https://youtu.be/520rGlmh2X4" TargetMode="External"/><Relationship Id="rId2608" Type="http://schemas.openxmlformats.org/officeDocument/2006/relationships/hyperlink" Target="https://youtu.be/T59o2XbNr0A" TargetMode="External"/><Relationship Id="rId2607" Type="http://schemas.openxmlformats.org/officeDocument/2006/relationships/hyperlink" Target="https://youtu.be/VxcCDaJV_Bw" TargetMode="External"/><Relationship Id="rId2606" Type="http://schemas.openxmlformats.org/officeDocument/2006/relationships/hyperlink" Target="https://youtu.be/0owqQm_LqXQ" TargetMode="External"/><Relationship Id="rId2605" Type="http://schemas.openxmlformats.org/officeDocument/2006/relationships/hyperlink" Target="https://youtu.be/ZG17eAAUwDQ" TargetMode="External"/><Relationship Id="rId2604" Type="http://schemas.openxmlformats.org/officeDocument/2006/relationships/hyperlink" Target="https://youtu.be/wIHmBqNgLWE" TargetMode="External"/><Relationship Id="rId2603" Type="http://schemas.openxmlformats.org/officeDocument/2006/relationships/hyperlink" Target="https://youtu.be/i9LIV5vHRqM" TargetMode="External"/><Relationship Id="rId2602" Type="http://schemas.openxmlformats.org/officeDocument/2006/relationships/hyperlink" Target="https://youtu.be/rxOZUBDBo3I" TargetMode="External"/><Relationship Id="rId2601" Type="http://schemas.openxmlformats.org/officeDocument/2006/relationships/hyperlink" Target="https://youtu.be/_3ZhJP8q-Ts" TargetMode="External"/><Relationship Id="rId2600" Type="http://schemas.openxmlformats.org/officeDocument/2006/relationships/hyperlink" Target="https://youtu.be/gJhGUHli3BE" TargetMode="External"/><Relationship Id="rId260" Type="http://schemas.openxmlformats.org/officeDocument/2006/relationships/hyperlink" Target="https://youtu.be/yFPWjQca9bY" TargetMode="External"/><Relationship Id="rId26" Type="http://schemas.openxmlformats.org/officeDocument/2006/relationships/hyperlink" Target="https://youtu.be/7XzhtWcepos" TargetMode="External"/><Relationship Id="rId2599" Type="http://schemas.openxmlformats.org/officeDocument/2006/relationships/hyperlink" Target="https://youtu.be/kqdV0Td6M8A" TargetMode="External"/><Relationship Id="rId2598" Type="http://schemas.openxmlformats.org/officeDocument/2006/relationships/hyperlink" Target="https://youtu.be/M0dZysIsEsA" TargetMode="External"/><Relationship Id="rId2597" Type="http://schemas.openxmlformats.org/officeDocument/2006/relationships/hyperlink" Target="https://youtu.be/F9Z8sPmduI4" TargetMode="External"/><Relationship Id="rId2596" Type="http://schemas.openxmlformats.org/officeDocument/2006/relationships/hyperlink" Target="https://youtu.be/AI0FDcsK5Qs" TargetMode="External"/><Relationship Id="rId2595" Type="http://schemas.openxmlformats.org/officeDocument/2006/relationships/hyperlink" Target="https://youtu.be/kumP_g_zfyI" TargetMode="External"/><Relationship Id="rId2594" Type="http://schemas.openxmlformats.org/officeDocument/2006/relationships/hyperlink" Target="https://youtu.be/tAVw16kfS5Y" TargetMode="External"/><Relationship Id="rId2593" Type="http://schemas.openxmlformats.org/officeDocument/2006/relationships/hyperlink" Target="https://youtu.be/ZtxIWh-N9mM" TargetMode="External"/><Relationship Id="rId2592" Type="http://schemas.openxmlformats.org/officeDocument/2006/relationships/hyperlink" Target="https://youtu.be/tJBY2OBqIWM" TargetMode="External"/><Relationship Id="rId2591" Type="http://schemas.openxmlformats.org/officeDocument/2006/relationships/hyperlink" Target="https://youtu.be/oIZH-HVJnUg" TargetMode="External"/><Relationship Id="rId2590" Type="http://schemas.openxmlformats.org/officeDocument/2006/relationships/hyperlink" Target="https://youtu.be/qNENSsfKvMo" TargetMode="External"/><Relationship Id="rId259" Type="http://schemas.openxmlformats.org/officeDocument/2006/relationships/hyperlink" Target="https://youtu.be/TgVorJfM8BM" TargetMode="External"/><Relationship Id="rId2589" Type="http://schemas.openxmlformats.org/officeDocument/2006/relationships/hyperlink" Target="https://youtu.be/8TTGTQZzk_s" TargetMode="External"/><Relationship Id="rId2588" Type="http://schemas.openxmlformats.org/officeDocument/2006/relationships/hyperlink" Target="https://youtu.be/yAD0TEzQ5Hk" TargetMode="External"/><Relationship Id="rId2587" Type="http://schemas.openxmlformats.org/officeDocument/2006/relationships/hyperlink" Target="https://youtu.be/nP8skIEd8M8" TargetMode="External"/><Relationship Id="rId2586" Type="http://schemas.openxmlformats.org/officeDocument/2006/relationships/hyperlink" Target="https://youtu.be/M6XcbnITouM" TargetMode="External"/><Relationship Id="rId2585" Type="http://schemas.openxmlformats.org/officeDocument/2006/relationships/hyperlink" Target="https://youtu.be/u-ceOd3mwuc" TargetMode="External"/><Relationship Id="rId2584" Type="http://schemas.openxmlformats.org/officeDocument/2006/relationships/hyperlink" Target="https://youtu.be/llpvsJXeXZo" TargetMode="External"/><Relationship Id="rId2583" Type="http://schemas.openxmlformats.org/officeDocument/2006/relationships/hyperlink" Target="https://youtu.be/C_DNw2OWOBI" TargetMode="External"/><Relationship Id="rId2582" Type="http://schemas.openxmlformats.org/officeDocument/2006/relationships/hyperlink" Target="https://youtu.be/24qcEdhHYd0" TargetMode="External"/><Relationship Id="rId2581" Type="http://schemas.openxmlformats.org/officeDocument/2006/relationships/hyperlink" Target="https://youtu.be/uqSQPoaw3mk" TargetMode="External"/><Relationship Id="rId2580" Type="http://schemas.openxmlformats.org/officeDocument/2006/relationships/hyperlink" Target="https://youtu.be/xHJ1uO2bJEY" TargetMode="External"/><Relationship Id="rId258" Type="http://schemas.openxmlformats.org/officeDocument/2006/relationships/hyperlink" Target="https://youtu.be/iWrTGAReUdE" TargetMode="External"/><Relationship Id="rId2579" Type="http://schemas.openxmlformats.org/officeDocument/2006/relationships/hyperlink" Target="https://youtu.be/sg5l-L3n0lg" TargetMode="External"/><Relationship Id="rId2578" Type="http://schemas.openxmlformats.org/officeDocument/2006/relationships/hyperlink" Target="https://youtu.be/g6CEykcz3FE" TargetMode="External"/><Relationship Id="rId2577" Type="http://schemas.openxmlformats.org/officeDocument/2006/relationships/hyperlink" Target="https://youtu.be/nLgdMtutuec" TargetMode="External"/><Relationship Id="rId2576" Type="http://schemas.openxmlformats.org/officeDocument/2006/relationships/hyperlink" Target="https://youtu.be/yYWBWSTkV6I" TargetMode="External"/><Relationship Id="rId2575" Type="http://schemas.openxmlformats.org/officeDocument/2006/relationships/hyperlink" Target="https://youtu.be/pNwgKReXTWo" TargetMode="External"/><Relationship Id="rId2574" Type="http://schemas.openxmlformats.org/officeDocument/2006/relationships/hyperlink" Target="https://youtu.be/z9u_qafj3UQ" TargetMode="External"/><Relationship Id="rId2573" Type="http://schemas.openxmlformats.org/officeDocument/2006/relationships/hyperlink" Target="https://youtu.be/zSNRqQ4IDWA" TargetMode="External"/><Relationship Id="rId2572" Type="http://schemas.openxmlformats.org/officeDocument/2006/relationships/hyperlink" Target="https://youtu.be/amD4qm8ndRI" TargetMode="External"/><Relationship Id="rId2571" Type="http://schemas.openxmlformats.org/officeDocument/2006/relationships/hyperlink" Target="https://youtu.be/j2901CMGOhg" TargetMode="External"/><Relationship Id="rId2570" Type="http://schemas.openxmlformats.org/officeDocument/2006/relationships/hyperlink" Target="https://youtu.be/6Nsi3H3bHK0" TargetMode="External"/><Relationship Id="rId257" Type="http://schemas.openxmlformats.org/officeDocument/2006/relationships/hyperlink" Target="https://youtu.be/EQEPrJjk1pM" TargetMode="External"/><Relationship Id="rId2569" Type="http://schemas.openxmlformats.org/officeDocument/2006/relationships/hyperlink" Target="https://youtu.be/EsWepKXJsNc" TargetMode="External"/><Relationship Id="rId2568" Type="http://schemas.openxmlformats.org/officeDocument/2006/relationships/hyperlink" Target="https://youtu.be/dOGL9H1ELN4" TargetMode="External"/><Relationship Id="rId2567" Type="http://schemas.openxmlformats.org/officeDocument/2006/relationships/hyperlink" Target="https://youtu.be/BMNLsQCy-Nc" TargetMode="External"/><Relationship Id="rId2566" Type="http://schemas.openxmlformats.org/officeDocument/2006/relationships/hyperlink" Target="https://youtu.be/rZvpZBC3n_8" TargetMode="External"/><Relationship Id="rId2565" Type="http://schemas.openxmlformats.org/officeDocument/2006/relationships/hyperlink" Target="https://youtu.be/-g7dw2xUG0k" TargetMode="External"/><Relationship Id="rId2564" Type="http://schemas.openxmlformats.org/officeDocument/2006/relationships/hyperlink" Target="https://youtu.be/8Vf8PVtbCpg" TargetMode="External"/><Relationship Id="rId2563" Type="http://schemas.openxmlformats.org/officeDocument/2006/relationships/hyperlink" Target="https://youtu.be/kKTfE03Z49Q" TargetMode="External"/><Relationship Id="rId2562" Type="http://schemas.openxmlformats.org/officeDocument/2006/relationships/hyperlink" Target="https://youtu.be/g5e0T3iM21U" TargetMode="External"/><Relationship Id="rId2561" Type="http://schemas.openxmlformats.org/officeDocument/2006/relationships/hyperlink" Target="https://youtu.be/1hpIinRaUNc" TargetMode="External"/><Relationship Id="rId2560" Type="http://schemas.openxmlformats.org/officeDocument/2006/relationships/hyperlink" Target="https://youtu.be/gGojMYgLukQ" TargetMode="External"/><Relationship Id="rId256" Type="http://schemas.openxmlformats.org/officeDocument/2006/relationships/hyperlink" Target="https://youtu.be/2MQuQB5w07w" TargetMode="External"/><Relationship Id="rId2559" Type="http://schemas.openxmlformats.org/officeDocument/2006/relationships/hyperlink" Target="https://youtu.be/ndy5cS-aoHU" TargetMode="External"/><Relationship Id="rId2558" Type="http://schemas.openxmlformats.org/officeDocument/2006/relationships/hyperlink" Target="https://youtu.be/nY4cXYabvRA" TargetMode="External"/><Relationship Id="rId2557" Type="http://schemas.openxmlformats.org/officeDocument/2006/relationships/hyperlink" Target="https://youtu.be/uV6cgw9ZT7A" TargetMode="External"/><Relationship Id="rId2556" Type="http://schemas.openxmlformats.org/officeDocument/2006/relationships/hyperlink" Target="https://youtu.be/uCZMkoK_jCQ" TargetMode="External"/><Relationship Id="rId2555" Type="http://schemas.openxmlformats.org/officeDocument/2006/relationships/hyperlink" Target="https://youtu.be/Kar-f74bGko" TargetMode="External"/><Relationship Id="rId2554" Type="http://schemas.openxmlformats.org/officeDocument/2006/relationships/hyperlink" Target="https://youtu.be/1nXS4TgYHxU" TargetMode="External"/><Relationship Id="rId2553" Type="http://schemas.openxmlformats.org/officeDocument/2006/relationships/hyperlink" Target="https://youtu.be/Enm-14rQTwY" TargetMode="External"/><Relationship Id="rId2552" Type="http://schemas.openxmlformats.org/officeDocument/2006/relationships/hyperlink" Target="https://youtu.be/-iBJF4Ayss4" TargetMode="External"/><Relationship Id="rId2551" Type="http://schemas.openxmlformats.org/officeDocument/2006/relationships/hyperlink" Target="https://youtu.be/GJMt3Y2224Y" TargetMode="External"/><Relationship Id="rId2550" Type="http://schemas.openxmlformats.org/officeDocument/2006/relationships/hyperlink" Target="https://youtu.be/1Vf5P317x0c" TargetMode="External"/><Relationship Id="rId255" Type="http://schemas.openxmlformats.org/officeDocument/2006/relationships/hyperlink" Target="https://youtu.be/DyA5PJCrxoM" TargetMode="External"/><Relationship Id="rId2549" Type="http://schemas.openxmlformats.org/officeDocument/2006/relationships/hyperlink" Target="https://youtu.be/RjSQ_Ynhgtk" TargetMode="External"/><Relationship Id="rId2548" Type="http://schemas.openxmlformats.org/officeDocument/2006/relationships/hyperlink" Target="https://youtu.be/NAsYbYRPan8" TargetMode="External"/><Relationship Id="rId2547" Type="http://schemas.openxmlformats.org/officeDocument/2006/relationships/hyperlink" Target="https://youtu.be/8G2pRVQ1JhA" TargetMode="External"/><Relationship Id="rId2546" Type="http://schemas.openxmlformats.org/officeDocument/2006/relationships/hyperlink" Target="https://youtu.be/Lnf0GArEDsI" TargetMode="External"/><Relationship Id="rId2545" Type="http://schemas.openxmlformats.org/officeDocument/2006/relationships/hyperlink" Target="https://youtu.be/onD4n1-jIYc" TargetMode="External"/><Relationship Id="rId2544" Type="http://schemas.openxmlformats.org/officeDocument/2006/relationships/hyperlink" Target="https://youtu.be/7zZitiBxAD8" TargetMode="External"/><Relationship Id="rId2543" Type="http://schemas.openxmlformats.org/officeDocument/2006/relationships/hyperlink" Target="https://youtu.be/U-Rt0ohhXsI" TargetMode="External"/><Relationship Id="rId2542" Type="http://schemas.openxmlformats.org/officeDocument/2006/relationships/hyperlink" Target="https://youtu.be/Q3wW_2D9by8" TargetMode="External"/><Relationship Id="rId2541" Type="http://schemas.openxmlformats.org/officeDocument/2006/relationships/hyperlink" Target="https://youtu.be/iMBsiRzwpIc" TargetMode="External"/><Relationship Id="rId2540" Type="http://schemas.openxmlformats.org/officeDocument/2006/relationships/hyperlink" Target="https://youtu.be/YppP_KdFXus" TargetMode="External"/><Relationship Id="rId254" Type="http://schemas.openxmlformats.org/officeDocument/2006/relationships/hyperlink" Target="https://youtu.be/8cbPBle1ME0" TargetMode="External"/><Relationship Id="rId2539" Type="http://schemas.openxmlformats.org/officeDocument/2006/relationships/hyperlink" Target="https://youtu.be/LgXgL7re2B8" TargetMode="External"/><Relationship Id="rId2538" Type="http://schemas.openxmlformats.org/officeDocument/2006/relationships/hyperlink" Target="https://youtu.be/sVrwp4sMK_c" TargetMode="External"/><Relationship Id="rId2537" Type="http://schemas.openxmlformats.org/officeDocument/2006/relationships/hyperlink" Target="https://youtu.be/xs7dPj9AIXU" TargetMode="External"/><Relationship Id="rId2536" Type="http://schemas.openxmlformats.org/officeDocument/2006/relationships/hyperlink" Target="https://youtu.be/noEod29Tr6c" TargetMode="External"/><Relationship Id="rId2535" Type="http://schemas.openxmlformats.org/officeDocument/2006/relationships/hyperlink" Target="https://youtu.be/yHe4R-kcBMQ" TargetMode="External"/><Relationship Id="rId2534" Type="http://schemas.openxmlformats.org/officeDocument/2006/relationships/hyperlink" Target="https://youtu.be/14t5I5wvvQc" TargetMode="External"/><Relationship Id="rId2533" Type="http://schemas.openxmlformats.org/officeDocument/2006/relationships/hyperlink" Target="https://youtu.be/rMkN8j7pv8s" TargetMode="External"/><Relationship Id="rId2532" Type="http://schemas.openxmlformats.org/officeDocument/2006/relationships/hyperlink" Target="https://youtu.be/inQswWJJ9us" TargetMode="External"/><Relationship Id="rId2531" Type="http://schemas.openxmlformats.org/officeDocument/2006/relationships/hyperlink" Target="https://youtu.be/jvESKWJYCJg" TargetMode="External"/><Relationship Id="rId2530" Type="http://schemas.openxmlformats.org/officeDocument/2006/relationships/hyperlink" Target="https://youtu.be/NYIBya7JnpM" TargetMode="External"/><Relationship Id="rId253" Type="http://schemas.openxmlformats.org/officeDocument/2006/relationships/hyperlink" Target="https://youtu.be/KVnYKu4_2TQ" TargetMode="External"/><Relationship Id="rId2529" Type="http://schemas.openxmlformats.org/officeDocument/2006/relationships/hyperlink" Target="https://youtu.be/dq9Jwk99VHs" TargetMode="External"/><Relationship Id="rId2528" Type="http://schemas.openxmlformats.org/officeDocument/2006/relationships/hyperlink" Target="https://youtu.be/ZoWS1Km8arg" TargetMode="External"/><Relationship Id="rId2527" Type="http://schemas.openxmlformats.org/officeDocument/2006/relationships/hyperlink" Target="https://youtu.be/yWPkRRjlsyo" TargetMode="External"/><Relationship Id="rId2526" Type="http://schemas.openxmlformats.org/officeDocument/2006/relationships/hyperlink" Target="https://youtu.be/nael3k1LWSc" TargetMode="External"/><Relationship Id="rId2525" Type="http://schemas.openxmlformats.org/officeDocument/2006/relationships/hyperlink" Target="https://youtu.be/xRvsHLkn_10" TargetMode="External"/><Relationship Id="rId2524" Type="http://schemas.openxmlformats.org/officeDocument/2006/relationships/hyperlink" Target="https://youtu.be/OV3iyBwWEls" TargetMode="External"/><Relationship Id="rId2523" Type="http://schemas.openxmlformats.org/officeDocument/2006/relationships/hyperlink" Target="https://youtu.be/BnAvALcLwMg" TargetMode="External"/><Relationship Id="rId2522" Type="http://schemas.openxmlformats.org/officeDocument/2006/relationships/hyperlink" Target="https://youtu.be/55flHFC6BKQ" TargetMode="External"/><Relationship Id="rId2521" Type="http://schemas.openxmlformats.org/officeDocument/2006/relationships/hyperlink" Target="https://youtu.be/rBZMxtxcBWw" TargetMode="External"/><Relationship Id="rId2520" Type="http://schemas.openxmlformats.org/officeDocument/2006/relationships/hyperlink" Target="https://youtu.be/5vuTfRkiRJU" TargetMode="External"/><Relationship Id="rId252" Type="http://schemas.openxmlformats.org/officeDocument/2006/relationships/hyperlink" Target="https://youtu.be/n1viNk1eNnM" TargetMode="External"/><Relationship Id="rId2519" Type="http://schemas.openxmlformats.org/officeDocument/2006/relationships/hyperlink" Target="https://youtu.be/h7SEl0zt0bM" TargetMode="External"/><Relationship Id="rId2518" Type="http://schemas.openxmlformats.org/officeDocument/2006/relationships/hyperlink" Target="https://youtu.be/ZoGoZRc-YNY" TargetMode="External"/><Relationship Id="rId2517" Type="http://schemas.openxmlformats.org/officeDocument/2006/relationships/hyperlink" Target="https://youtu.be/WdJA1F2ScuQ" TargetMode="External"/><Relationship Id="rId2516" Type="http://schemas.openxmlformats.org/officeDocument/2006/relationships/hyperlink" Target="https://youtu.be/yywJHU4gwZg" TargetMode="External"/><Relationship Id="rId2515" Type="http://schemas.openxmlformats.org/officeDocument/2006/relationships/hyperlink" Target="https://youtu.be/IeYt3wJN4cY" TargetMode="External"/><Relationship Id="rId2514" Type="http://schemas.openxmlformats.org/officeDocument/2006/relationships/hyperlink" Target="https://youtu.be/ldyLReHn8PY" TargetMode="External"/><Relationship Id="rId2513" Type="http://schemas.openxmlformats.org/officeDocument/2006/relationships/hyperlink" Target="https://youtu.be/XjrgGblM_bk" TargetMode="External"/><Relationship Id="rId2512" Type="http://schemas.openxmlformats.org/officeDocument/2006/relationships/hyperlink" Target="https://youtu.be/TlxS4vFTRYI" TargetMode="External"/><Relationship Id="rId2511" Type="http://schemas.openxmlformats.org/officeDocument/2006/relationships/hyperlink" Target="https://youtu.be/qo6zeE4TJSw" TargetMode="External"/><Relationship Id="rId2510" Type="http://schemas.openxmlformats.org/officeDocument/2006/relationships/hyperlink" Target="https://youtu.be/Ep9j4NgcMD0" TargetMode="External"/><Relationship Id="rId251" Type="http://schemas.openxmlformats.org/officeDocument/2006/relationships/hyperlink" Target="https://youtu.be/IZtP1vGafsM" TargetMode="External"/><Relationship Id="rId2509" Type="http://schemas.openxmlformats.org/officeDocument/2006/relationships/hyperlink" Target="https://youtu.be/T8xnts7v3o8" TargetMode="External"/><Relationship Id="rId2508" Type="http://schemas.openxmlformats.org/officeDocument/2006/relationships/hyperlink" Target="https://youtu.be/Uc4cKiGahu0" TargetMode="External"/><Relationship Id="rId2507" Type="http://schemas.openxmlformats.org/officeDocument/2006/relationships/hyperlink" Target="https://youtu.be/QLzRqhlmJ-g" TargetMode="External"/><Relationship Id="rId2506" Type="http://schemas.openxmlformats.org/officeDocument/2006/relationships/hyperlink" Target="https://youtu.be/gFXDSw58udU" TargetMode="External"/><Relationship Id="rId2505" Type="http://schemas.openxmlformats.org/officeDocument/2006/relationships/hyperlink" Target="https://youtu.be/XbjPcofbLnY" TargetMode="External"/><Relationship Id="rId2504" Type="http://schemas.openxmlformats.org/officeDocument/2006/relationships/hyperlink" Target="https://youtu.be/plOUjapKUxI" TargetMode="External"/><Relationship Id="rId2503" Type="http://schemas.openxmlformats.org/officeDocument/2006/relationships/hyperlink" Target="https://youtu.be/Q-BNa_0hbYM" TargetMode="External"/><Relationship Id="rId2502" Type="http://schemas.openxmlformats.org/officeDocument/2006/relationships/hyperlink" Target="https://youtu.be/n1_TVGT5H7k" TargetMode="External"/><Relationship Id="rId2501" Type="http://schemas.openxmlformats.org/officeDocument/2006/relationships/hyperlink" Target="https://youtu.be/XLVP8Zi8faw" TargetMode="External"/><Relationship Id="rId2500" Type="http://schemas.openxmlformats.org/officeDocument/2006/relationships/hyperlink" Target="https://youtu.be/PPEQhB_EvLs" TargetMode="External"/><Relationship Id="rId250" Type="http://schemas.openxmlformats.org/officeDocument/2006/relationships/hyperlink" Target="https://youtu.be/9UFpXW018JQ" TargetMode="External"/><Relationship Id="rId25" Type="http://schemas.openxmlformats.org/officeDocument/2006/relationships/hyperlink" Target="https://youtu.be/vu-qFyWnrZY" TargetMode="External"/><Relationship Id="rId2499" Type="http://schemas.openxmlformats.org/officeDocument/2006/relationships/hyperlink" Target="https://youtu.be/qASh_0OlXkA" TargetMode="External"/><Relationship Id="rId2498" Type="http://schemas.openxmlformats.org/officeDocument/2006/relationships/hyperlink" Target="https://youtu.be/nckw-Mh7ZuQ" TargetMode="External"/><Relationship Id="rId2497" Type="http://schemas.openxmlformats.org/officeDocument/2006/relationships/hyperlink" Target="https://youtu.be/wAUwcLug5ws" TargetMode="External"/><Relationship Id="rId2496" Type="http://schemas.openxmlformats.org/officeDocument/2006/relationships/hyperlink" Target="https://youtu.be/G8zE7jnv8R4" TargetMode="External"/><Relationship Id="rId2495" Type="http://schemas.openxmlformats.org/officeDocument/2006/relationships/hyperlink" Target="https://youtu.be/gKpr8tQAscg" TargetMode="External"/><Relationship Id="rId2494" Type="http://schemas.openxmlformats.org/officeDocument/2006/relationships/hyperlink" Target="https://youtu.be/9MKBgBJZeag" TargetMode="External"/><Relationship Id="rId2493" Type="http://schemas.openxmlformats.org/officeDocument/2006/relationships/hyperlink" Target="https://youtu.be/9heXliD4qcs" TargetMode="External"/><Relationship Id="rId2492" Type="http://schemas.openxmlformats.org/officeDocument/2006/relationships/hyperlink" Target="https://youtu.be/U1Hrq3L0DxY" TargetMode="External"/><Relationship Id="rId2491" Type="http://schemas.openxmlformats.org/officeDocument/2006/relationships/hyperlink" Target="https://youtu.be/fPPP22j4Hm4" TargetMode="External"/><Relationship Id="rId2490" Type="http://schemas.openxmlformats.org/officeDocument/2006/relationships/hyperlink" Target="https://youtu.be/tbk7UG21rEg" TargetMode="External"/><Relationship Id="rId249" Type="http://schemas.openxmlformats.org/officeDocument/2006/relationships/hyperlink" Target="https://youtu.be/CFY_hDUWm80" TargetMode="External"/><Relationship Id="rId2489" Type="http://schemas.openxmlformats.org/officeDocument/2006/relationships/hyperlink" Target="https://youtu.be/j18M3eizNWg" TargetMode="External"/><Relationship Id="rId2488" Type="http://schemas.openxmlformats.org/officeDocument/2006/relationships/hyperlink" Target="https://youtu.be/-bj9jo-En6I" TargetMode="External"/><Relationship Id="rId2487" Type="http://schemas.openxmlformats.org/officeDocument/2006/relationships/hyperlink" Target="https://youtu.be/XV4wGW0vzps" TargetMode="External"/><Relationship Id="rId2486" Type="http://schemas.openxmlformats.org/officeDocument/2006/relationships/hyperlink" Target="https://youtu.be/X1m68NSaTYs" TargetMode="External"/><Relationship Id="rId2485" Type="http://schemas.openxmlformats.org/officeDocument/2006/relationships/hyperlink" Target="https://youtu.be/ScorM78_4UA" TargetMode="External"/><Relationship Id="rId2484" Type="http://schemas.openxmlformats.org/officeDocument/2006/relationships/hyperlink" Target="https://youtu.be/PYVV7fr4ZdQ" TargetMode="External"/><Relationship Id="rId2483" Type="http://schemas.openxmlformats.org/officeDocument/2006/relationships/hyperlink" Target="https://youtu.be/AyIgmfYoNDE" TargetMode="External"/><Relationship Id="rId2482" Type="http://schemas.openxmlformats.org/officeDocument/2006/relationships/hyperlink" Target="https://youtu.be/moCatlSZxGM" TargetMode="External"/><Relationship Id="rId2481" Type="http://schemas.openxmlformats.org/officeDocument/2006/relationships/hyperlink" Target="https://youtu.be/2k-N3CD31H8" TargetMode="External"/><Relationship Id="rId2480" Type="http://schemas.openxmlformats.org/officeDocument/2006/relationships/hyperlink" Target="https://youtu.be/YIZNmxXRUlg" TargetMode="External"/><Relationship Id="rId248" Type="http://schemas.openxmlformats.org/officeDocument/2006/relationships/hyperlink" Target="https://youtu.be/y_pmDf8jKns" TargetMode="External"/><Relationship Id="rId2479" Type="http://schemas.openxmlformats.org/officeDocument/2006/relationships/hyperlink" Target="https://youtu.be/6jLXXzH1rIk" TargetMode="External"/><Relationship Id="rId2478" Type="http://schemas.openxmlformats.org/officeDocument/2006/relationships/hyperlink" Target="https://youtu.be/O1e--Iuo_dM" TargetMode="External"/><Relationship Id="rId2477" Type="http://schemas.openxmlformats.org/officeDocument/2006/relationships/hyperlink" Target="https://youtu.be/HziXy66W344" TargetMode="External"/><Relationship Id="rId2476" Type="http://schemas.openxmlformats.org/officeDocument/2006/relationships/hyperlink" Target="https://youtu.be/TQLPwbcc6XY" TargetMode="External"/><Relationship Id="rId2475" Type="http://schemas.openxmlformats.org/officeDocument/2006/relationships/hyperlink" Target="https://youtu.be/Bcqvt8SzPUc" TargetMode="External"/><Relationship Id="rId2474" Type="http://schemas.openxmlformats.org/officeDocument/2006/relationships/hyperlink" Target="https://youtu.be/55QJoKHkRmY" TargetMode="External"/><Relationship Id="rId2473" Type="http://schemas.openxmlformats.org/officeDocument/2006/relationships/hyperlink" Target="https://youtu.be/p2zUpaIff8M" TargetMode="External"/><Relationship Id="rId2472" Type="http://schemas.openxmlformats.org/officeDocument/2006/relationships/hyperlink" Target="https://youtu.be/uZ20sOS4sNQ" TargetMode="External"/><Relationship Id="rId2471" Type="http://schemas.openxmlformats.org/officeDocument/2006/relationships/hyperlink" Target="https://youtu.be/pzX-ZhCDbrw" TargetMode="External"/><Relationship Id="rId2470" Type="http://schemas.openxmlformats.org/officeDocument/2006/relationships/hyperlink" Target="https://youtu.be/kPxEMT-sSX0" TargetMode="External"/><Relationship Id="rId247" Type="http://schemas.openxmlformats.org/officeDocument/2006/relationships/hyperlink" Target="https://youtu.be/fTVN19h4nMg" TargetMode="External"/><Relationship Id="rId2469" Type="http://schemas.openxmlformats.org/officeDocument/2006/relationships/hyperlink" Target="https://youtu.be/3lntugxjOe0" TargetMode="External"/><Relationship Id="rId2468" Type="http://schemas.openxmlformats.org/officeDocument/2006/relationships/hyperlink" Target="https://youtu.be/8VH2Z6dLRu8" TargetMode="External"/><Relationship Id="rId2467" Type="http://schemas.openxmlformats.org/officeDocument/2006/relationships/hyperlink" Target="https://youtu.be/8zrP96LQFZI" TargetMode="External"/><Relationship Id="rId2466" Type="http://schemas.openxmlformats.org/officeDocument/2006/relationships/hyperlink" Target="https://youtu.be/o3s_uhEr1Cs" TargetMode="External"/><Relationship Id="rId2465" Type="http://schemas.openxmlformats.org/officeDocument/2006/relationships/hyperlink" Target="https://youtu.be/RqQ3yFyrIM0" TargetMode="External"/><Relationship Id="rId2464" Type="http://schemas.openxmlformats.org/officeDocument/2006/relationships/hyperlink" Target="https://youtu.be/x8Tt7qlLfIM" TargetMode="External"/><Relationship Id="rId2463" Type="http://schemas.openxmlformats.org/officeDocument/2006/relationships/hyperlink" Target="https://youtu.be/8QoIKhK1VQI" TargetMode="External"/><Relationship Id="rId2462" Type="http://schemas.openxmlformats.org/officeDocument/2006/relationships/hyperlink" Target="https://youtu.be/xpWvo2X55n4" TargetMode="External"/><Relationship Id="rId2461" Type="http://schemas.openxmlformats.org/officeDocument/2006/relationships/hyperlink" Target="https://youtu.be/gLyj8s6CQC0" TargetMode="External"/><Relationship Id="rId2460" Type="http://schemas.openxmlformats.org/officeDocument/2006/relationships/hyperlink" Target="https://youtu.be/Qxu0PXUelM0" TargetMode="External"/><Relationship Id="rId246" Type="http://schemas.openxmlformats.org/officeDocument/2006/relationships/hyperlink" Target="https://youtu.be/Wlxq4S-4CCY" TargetMode="External"/><Relationship Id="rId2459" Type="http://schemas.openxmlformats.org/officeDocument/2006/relationships/hyperlink" Target="https://youtu.be/XeIzRqtjYOQ" TargetMode="External"/><Relationship Id="rId2458" Type="http://schemas.openxmlformats.org/officeDocument/2006/relationships/hyperlink" Target="https://youtu.be/UPl6hAMokZM" TargetMode="External"/><Relationship Id="rId2457" Type="http://schemas.openxmlformats.org/officeDocument/2006/relationships/hyperlink" Target="https://youtu.be/2G7_AWAc0AE" TargetMode="External"/><Relationship Id="rId2456" Type="http://schemas.openxmlformats.org/officeDocument/2006/relationships/hyperlink" Target="https://youtu.be/qAbni7TDJ_U" TargetMode="External"/><Relationship Id="rId2455" Type="http://schemas.openxmlformats.org/officeDocument/2006/relationships/hyperlink" Target="https://youtu.be/BlVQs_wcYzA" TargetMode="External"/><Relationship Id="rId2454" Type="http://schemas.openxmlformats.org/officeDocument/2006/relationships/hyperlink" Target="https://youtu.be/p4WJEOnxnXM" TargetMode="External"/><Relationship Id="rId2453" Type="http://schemas.openxmlformats.org/officeDocument/2006/relationships/hyperlink" Target="https://youtu.be/oBDhn0aPuqk" TargetMode="External"/><Relationship Id="rId2452" Type="http://schemas.openxmlformats.org/officeDocument/2006/relationships/hyperlink" Target="https://youtu.be/KA3RhUsbf20" TargetMode="External"/><Relationship Id="rId2451" Type="http://schemas.openxmlformats.org/officeDocument/2006/relationships/hyperlink" Target="https://youtu.be/zg4DWPGjxTc" TargetMode="External"/><Relationship Id="rId2450" Type="http://schemas.openxmlformats.org/officeDocument/2006/relationships/hyperlink" Target="https://youtu.be/HKz757B7yY8" TargetMode="External"/><Relationship Id="rId245" Type="http://schemas.openxmlformats.org/officeDocument/2006/relationships/hyperlink" Target="https://youtu.be/wFsQvxSzsA8" TargetMode="External"/><Relationship Id="rId2449" Type="http://schemas.openxmlformats.org/officeDocument/2006/relationships/hyperlink" Target="https://youtu.be/102ZxBw2-4M" TargetMode="External"/><Relationship Id="rId2448" Type="http://schemas.openxmlformats.org/officeDocument/2006/relationships/hyperlink" Target="https://youtu.be/GNjuz6MO0eU" TargetMode="External"/><Relationship Id="rId2447" Type="http://schemas.openxmlformats.org/officeDocument/2006/relationships/hyperlink" Target="https://youtu.be/oCh5HLyOufw" TargetMode="External"/><Relationship Id="rId2446" Type="http://schemas.openxmlformats.org/officeDocument/2006/relationships/hyperlink" Target="https://youtu.be/fFRBJ13Zx6I" TargetMode="External"/><Relationship Id="rId2445" Type="http://schemas.openxmlformats.org/officeDocument/2006/relationships/hyperlink" Target="https://youtu.be/SMA0zbFK5jE" TargetMode="External"/><Relationship Id="rId2444" Type="http://schemas.openxmlformats.org/officeDocument/2006/relationships/hyperlink" Target="https://youtu.be/qUe5IpDBcsM" TargetMode="External"/><Relationship Id="rId2443" Type="http://schemas.openxmlformats.org/officeDocument/2006/relationships/hyperlink" Target="https://youtu.be/HxgoV9IMgCg" TargetMode="External"/><Relationship Id="rId2442" Type="http://schemas.openxmlformats.org/officeDocument/2006/relationships/hyperlink" Target="https://youtu.be/GNJpoP642wc" TargetMode="External"/><Relationship Id="rId2441" Type="http://schemas.openxmlformats.org/officeDocument/2006/relationships/hyperlink" Target="https://youtu.be/KXfxH4FRObY" TargetMode="External"/><Relationship Id="rId2440" Type="http://schemas.openxmlformats.org/officeDocument/2006/relationships/hyperlink" Target="https://youtu.be/DwybgxL0Yag" TargetMode="External"/><Relationship Id="rId244" Type="http://schemas.openxmlformats.org/officeDocument/2006/relationships/hyperlink" Target="https://youtu.be/35ANRDXESqw" TargetMode="External"/><Relationship Id="rId2439" Type="http://schemas.openxmlformats.org/officeDocument/2006/relationships/hyperlink" Target="https://youtu.be/S9HdPi9Ikhk" TargetMode="External"/><Relationship Id="rId2438" Type="http://schemas.openxmlformats.org/officeDocument/2006/relationships/hyperlink" Target="https://youtu.be/Z5YQ8azP_Zs" TargetMode="External"/><Relationship Id="rId2437" Type="http://schemas.openxmlformats.org/officeDocument/2006/relationships/hyperlink" Target="https://youtu.be/hbgxzA2VQC0" TargetMode="External"/><Relationship Id="rId2436" Type="http://schemas.openxmlformats.org/officeDocument/2006/relationships/hyperlink" Target="https://youtu.be/3kH3WfpDKW0" TargetMode="External"/><Relationship Id="rId2435" Type="http://schemas.openxmlformats.org/officeDocument/2006/relationships/hyperlink" Target="https://youtu.be/QjmjfM7LV0Q" TargetMode="External"/><Relationship Id="rId2434" Type="http://schemas.openxmlformats.org/officeDocument/2006/relationships/hyperlink" Target="https://youtu.be/lXYYuz2oFvQ" TargetMode="External"/><Relationship Id="rId2433" Type="http://schemas.openxmlformats.org/officeDocument/2006/relationships/hyperlink" Target="https://youtu.be/foJGr-Re1RM" TargetMode="External"/><Relationship Id="rId2432" Type="http://schemas.openxmlformats.org/officeDocument/2006/relationships/hyperlink" Target="https://youtu.be/evSZKd037BM" TargetMode="External"/><Relationship Id="rId2431" Type="http://schemas.openxmlformats.org/officeDocument/2006/relationships/hyperlink" Target="https://youtu.be/DejhGSEu8wk" TargetMode="External"/><Relationship Id="rId2430" Type="http://schemas.openxmlformats.org/officeDocument/2006/relationships/hyperlink" Target="https://youtu.be/keZZ5444sK0" TargetMode="External"/><Relationship Id="rId243" Type="http://schemas.openxmlformats.org/officeDocument/2006/relationships/hyperlink" Target="https://youtu.be/3tOP7olHDmU" TargetMode="External"/><Relationship Id="rId2429" Type="http://schemas.openxmlformats.org/officeDocument/2006/relationships/hyperlink" Target="https://youtu.be/_WXyZLVXcKg" TargetMode="External"/><Relationship Id="rId2428" Type="http://schemas.openxmlformats.org/officeDocument/2006/relationships/hyperlink" Target="https://youtu.be/p7oOPjwnDow" TargetMode="External"/><Relationship Id="rId2427" Type="http://schemas.openxmlformats.org/officeDocument/2006/relationships/hyperlink" Target="https://youtu.be/ywNx2-u1HMM" TargetMode="External"/><Relationship Id="rId2426" Type="http://schemas.openxmlformats.org/officeDocument/2006/relationships/hyperlink" Target="https://youtu.be/fCp0SDEJsp8" TargetMode="External"/><Relationship Id="rId2425" Type="http://schemas.openxmlformats.org/officeDocument/2006/relationships/hyperlink" Target="https://youtu.be/fktWJ0M80QE" TargetMode="External"/><Relationship Id="rId2424" Type="http://schemas.openxmlformats.org/officeDocument/2006/relationships/hyperlink" Target="https://youtu.be/TZuOBSgTJGs" TargetMode="External"/><Relationship Id="rId2423" Type="http://schemas.openxmlformats.org/officeDocument/2006/relationships/hyperlink" Target="https://youtu.be/6MAVU9EkMWE" TargetMode="External"/><Relationship Id="rId2422" Type="http://schemas.openxmlformats.org/officeDocument/2006/relationships/hyperlink" Target="https://youtu.be/UMFolzWdnWw" TargetMode="External"/><Relationship Id="rId2421" Type="http://schemas.openxmlformats.org/officeDocument/2006/relationships/hyperlink" Target="https://youtu.be/mS0Ykvj4P1I" TargetMode="External"/><Relationship Id="rId2420" Type="http://schemas.openxmlformats.org/officeDocument/2006/relationships/hyperlink" Target="https://youtu.be/xwhnXJdJEk8" TargetMode="External"/><Relationship Id="rId242" Type="http://schemas.openxmlformats.org/officeDocument/2006/relationships/hyperlink" Target="https://youtu.be/RKLGK8Co0Xo" TargetMode="External"/><Relationship Id="rId2419" Type="http://schemas.openxmlformats.org/officeDocument/2006/relationships/hyperlink" Target="https://youtu.be/SVYGhsBter8" TargetMode="External"/><Relationship Id="rId2418" Type="http://schemas.openxmlformats.org/officeDocument/2006/relationships/hyperlink" Target="https://youtu.be/esPBHUIw91Q" TargetMode="External"/><Relationship Id="rId2417" Type="http://schemas.openxmlformats.org/officeDocument/2006/relationships/hyperlink" Target="https://youtu.be/KtbLnLsNeTU" TargetMode="External"/><Relationship Id="rId2416" Type="http://schemas.openxmlformats.org/officeDocument/2006/relationships/hyperlink" Target="https://youtu.be/iZDoZnyPwNs" TargetMode="External"/><Relationship Id="rId2415" Type="http://schemas.openxmlformats.org/officeDocument/2006/relationships/hyperlink" Target="https://youtu.be/WD7GVvkDjy0" TargetMode="External"/><Relationship Id="rId2414" Type="http://schemas.openxmlformats.org/officeDocument/2006/relationships/hyperlink" Target="https://youtu.be/1cRhU6bMLis" TargetMode="External"/><Relationship Id="rId2413" Type="http://schemas.openxmlformats.org/officeDocument/2006/relationships/hyperlink" Target="https://youtu.be/aKwjcS37Wvw" TargetMode="External"/><Relationship Id="rId2412" Type="http://schemas.openxmlformats.org/officeDocument/2006/relationships/hyperlink" Target="https://youtu.be/znjNu8Ui7Ls" TargetMode="External"/><Relationship Id="rId2411" Type="http://schemas.openxmlformats.org/officeDocument/2006/relationships/hyperlink" Target="https://youtu.be/zXjj32yknWg" TargetMode="External"/><Relationship Id="rId2410" Type="http://schemas.openxmlformats.org/officeDocument/2006/relationships/hyperlink" Target="https://youtu.be/iNonPahJlK8" TargetMode="External"/><Relationship Id="rId241" Type="http://schemas.openxmlformats.org/officeDocument/2006/relationships/hyperlink" Target="https://youtu.be/n_aI22YkGVU" TargetMode="External"/><Relationship Id="rId2409" Type="http://schemas.openxmlformats.org/officeDocument/2006/relationships/hyperlink" Target="https://youtu.be/bLzYYbB64Vc" TargetMode="External"/><Relationship Id="rId2408" Type="http://schemas.openxmlformats.org/officeDocument/2006/relationships/hyperlink" Target="https://youtu.be/d3TxllHkNWk" TargetMode="External"/><Relationship Id="rId2407" Type="http://schemas.openxmlformats.org/officeDocument/2006/relationships/hyperlink" Target="https://youtu.be/dZ95-pE5XvY" TargetMode="External"/><Relationship Id="rId2406" Type="http://schemas.openxmlformats.org/officeDocument/2006/relationships/hyperlink" Target="https://youtu.be/D0pjgbjTJ8o" TargetMode="External"/><Relationship Id="rId2405" Type="http://schemas.openxmlformats.org/officeDocument/2006/relationships/hyperlink" Target="https://youtu.be/aYy_I3gNm6c" TargetMode="External"/><Relationship Id="rId2404" Type="http://schemas.openxmlformats.org/officeDocument/2006/relationships/hyperlink" Target="https://youtu.be/zvafM0N-zXE" TargetMode="External"/><Relationship Id="rId2403" Type="http://schemas.openxmlformats.org/officeDocument/2006/relationships/hyperlink" Target="https://youtu.be/JZRrvEJqSM8" TargetMode="External"/><Relationship Id="rId2402" Type="http://schemas.openxmlformats.org/officeDocument/2006/relationships/hyperlink" Target="https://youtu.be/ntZgIBLkGWA" TargetMode="External"/><Relationship Id="rId2401" Type="http://schemas.openxmlformats.org/officeDocument/2006/relationships/hyperlink" Target="https://youtu.be/jwvj9SUUVlo" TargetMode="External"/><Relationship Id="rId2400" Type="http://schemas.openxmlformats.org/officeDocument/2006/relationships/hyperlink" Target="https://youtu.be/ohEouaSMm5g" TargetMode="External"/><Relationship Id="rId240" Type="http://schemas.openxmlformats.org/officeDocument/2006/relationships/hyperlink" Target="https://youtu.be/NwSISlnoy9w" TargetMode="External"/><Relationship Id="rId24" Type="http://schemas.openxmlformats.org/officeDocument/2006/relationships/hyperlink" Target="https://youtu.be/ugwa3g9jCiA" TargetMode="External"/><Relationship Id="rId2399" Type="http://schemas.openxmlformats.org/officeDocument/2006/relationships/hyperlink" Target="https://youtu.be/GmcPePyFUsc" TargetMode="External"/><Relationship Id="rId2398" Type="http://schemas.openxmlformats.org/officeDocument/2006/relationships/hyperlink" Target="https://youtu.be/KuZpBHT-nxo" TargetMode="External"/><Relationship Id="rId2397" Type="http://schemas.openxmlformats.org/officeDocument/2006/relationships/hyperlink" Target="https://youtu.be/z3ekr2CXlK0" TargetMode="External"/><Relationship Id="rId2396" Type="http://schemas.openxmlformats.org/officeDocument/2006/relationships/hyperlink" Target="https://youtu.be/DaUhaVUN3Yc" TargetMode="External"/><Relationship Id="rId2395" Type="http://schemas.openxmlformats.org/officeDocument/2006/relationships/hyperlink" Target="https://youtu.be/pCXstv8R1rc" TargetMode="External"/><Relationship Id="rId2394" Type="http://schemas.openxmlformats.org/officeDocument/2006/relationships/hyperlink" Target="https://youtu.be/0o37HWuVJvM" TargetMode="External"/><Relationship Id="rId2393" Type="http://schemas.openxmlformats.org/officeDocument/2006/relationships/hyperlink" Target="https://youtu.be/V4J822SfkSI" TargetMode="External"/><Relationship Id="rId2392" Type="http://schemas.openxmlformats.org/officeDocument/2006/relationships/hyperlink" Target="https://youtu.be/7fubA64JzlM" TargetMode="External"/><Relationship Id="rId2391" Type="http://schemas.openxmlformats.org/officeDocument/2006/relationships/hyperlink" Target="https://youtu.be/4AV6ju3IyEQ" TargetMode="External"/><Relationship Id="rId2390" Type="http://schemas.openxmlformats.org/officeDocument/2006/relationships/hyperlink" Target="https://youtu.be/Ys9ciDf2WXU" TargetMode="External"/><Relationship Id="rId239" Type="http://schemas.openxmlformats.org/officeDocument/2006/relationships/hyperlink" Target="https://youtu.be/ug-FHsOYP5Y" TargetMode="External"/><Relationship Id="rId2389" Type="http://schemas.openxmlformats.org/officeDocument/2006/relationships/hyperlink" Target="https://youtu.be/eOzbd1DO5pw" TargetMode="External"/><Relationship Id="rId2388" Type="http://schemas.openxmlformats.org/officeDocument/2006/relationships/hyperlink" Target="https://youtu.be/na-jdsUWAGE" TargetMode="External"/><Relationship Id="rId2387" Type="http://schemas.openxmlformats.org/officeDocument/2006/relationships/hyperlink" Target="https://youtu.be/-WgKSmKiLyI" TargetMode="External"/><Relationship Id="rId2386" Type="http://schemas.openxmlformats.org/officeDocument/2006/relationships/hyperlink" Target="https://youtu.be/AOFmungRM4s" TargetMode="External"/><Relationship Id="rId2385" Type="http://schemas.openxmlformats.org/officeDocument/2006/relationships/hyperlink" Target="https://youtu.be/PZil9FxJE98" TargetMode="External"/><Relationship Id="rId2384" Type="http://schemas.openxmlformats.org/officeDocument/2006/relationships/hyperlink" Target="https://youtu.be/bkePmysM-AI" TargetMode="External"/><Relationship Id="rId2383" Type="http://schemas.openxmlformats.org/officeDocument/2006/relationships/hyperlink" Target="https://youtu.be/YrdQuXSUG60" TargetMode="External"/><Relationship Id="rId2382" Type="http://schemas.openxmlformats.org/officeDocument/2006/relationships/hyperlink" Target="https://youtu.be/rsshvou0zok" TargetMode="External"/><Relationship Id="rId2381" Type="http://schemas.openxmlformats.org/officeDocument/2006/relationships/hyperlink" Target="https://youtu.be/ab3WDxn1_0o" TargetMode="External"/><Relationship Id="rId2380" Type="http://schemas.openxmlformats.org/officeDocument/2006/relationships/hyperlink" Target="https://youtu.be/7W1HpkqSysM" TargetMode="External"/><Relationship Id="rId238" Type="http://schemas.openxmlformats.org/officeDocument/2006/relationships/hyperlink" Target="https://youtu.be/dP4KkSEdvjM" TargetMode="External"/><Relationship Id="rId2379" Type="http://schemas.openxmlformats.org/officeDocument/2006/relationships/hyperlink" Target="https://youtu.be/kECY85DM2I8" TargetMode="External"/><Relationship Id="rId2378" Type="http://schemas.openxmlformats.org/officeDocument/2006/relationships/hyperlink" Target="https://youtu.be/Oq0DqAyh_NA" TargetMode="External"/><Relationship Id="rId2377" Type="http://schemas.openxmlformats.org/officeDocument/2006/relationships/hyperlink" Target="https://youtu.be/MJQBTWKhSgo" TargetMode="External"/><Relationship Id="rId2376" Type="http://schemas.openxmlformats.org/officeDocument/2006/relationships/hyperlink" Target="https://youtu.be/R2pRE1TX4Y0" TargetMode="External"/><Relationship Id="rId2375" Type="http://schemas.openxmlformats.org/officeDocument/2006/relationships/hyperlink" Target="https://youtu.be/5Y7ufkhlHKI" TargetMode="External"/><Relationship Id="rId2374" Type="http://schemas.openxmlformats.org/officeDocument/2006/relationships/hyperlink" Target="https://youtu.be/4x_yvE_M11w" TargetMode="External"/><Relationship Id="rId2373" Type="http://schemas.openxmlformats.org/officeDocument/2006/relationships/hyperlink" Target="https://youtu.be/nuyVedH-I0o" TargetMode="External"/><Relationship Id="rId2372" Type="http://schemas.openxmlformats.org/officeDocument/2006/relationships/hyperlink" Target="https://youtu.be/laPX7h9W9To" TargetMode="External"/><Relationship Id="rId2371" Type="http://schemas.openxmlformats.org/officeDocument/2006/relationships/hyperlink" Target="https://youtu.be/mb29WucJwoA" TargetMode="External"/><Relationship Id="rId2370" Type="http://schemas.openxmlformats.org/officeDocument/2006/relationships/hyperlink" Target="https://youtu.be/I8Xou0VU4LA" TargetMode="External"/><Relationship Id="rId237" Type="http://schemas.openxmlformats.org/officeDocument/2006/relationships/hyperlink" Target="https://youtu.be/OnrP1FTixOw" TargetMode="External"/><Relationship Id="rId2369" Type="http://schemas.openxmlformats.org/officeDocument/2006/relationships/hyperlink" Target="https://youtu.be/9TUQ52907ew" TargetMode="External"/><Relationship Id="rId2368" Type="http://schemas.openxmlformats.org/officeDocument/2006/relationships/hyperlink" Target="https://youtu.be/kbivNwbD9to" TargetMode="External"/><Relationship Id="rId2367" Type="http://schemas.openxmlformats.org/officeDocument/2006/relationships/hyperlink" Target="https://youtu.be/GmMOM2uJdKk" TargetMode="External"/><Relationship Id="rId2366" Type="http://schemas.openxmlformats.org/officeDocument/2006/relationships/hyperlink" Target="https://youtu.be/tILvsZ0j4Ac" TargetMode="External"/><Relationship Id="rId2365" Type="http://schemas.openxmlformats.org/officeDocument/2006/relationships/hyperlink" Target="https://youtu.be/FJPl70WZtJ0" TargetMode="External"/><Relationship Id="rId2364" Type="http://schemas.openxmlformats.org/officeDocument/2006/relationships/hyperlink" Target="https://youtu.be/RajMklyfGpQ" TargetMode="External"/><Relationship Id="rId2363" Type="http://schemas.openxmlformats.org/officeDocument/2006/relationships/hyperlink" Target="https://youtu.be/DxeGTQX5mRg" TargetMode="External"/><Relationship Id="rId2362" Type="http://schemas.openxmlformats.org/officeDocument/2006/relationships/hyperlink" Target="https://youtu.be/ENDpURNxDr4" TargetMode="External"/><Relationship Id="rId2361" Type="http://schemas.openxmlformats.org/officeDocument/2006/relationships/hyperlink" Target="https://youtu.be/HROoSDMd4Ag" TargetMode="External"/><Relationship Id="rId2360" Type="http://schemas.openxmlformats.org/officeDocument/2006/relationships/hyperlink" Target="https://youtu.be/qPD647b3HXg" TargetMode="External"/><Relationship Id="rId236" Type="http://schemas.openxmlformats.org/officeDocument/2006/relationships/hyperlink" Target="https://youtu.be/g7zdeQ-Uw8k" TargetMode="External"/><Relationship Id="rId2359" Type="http://schemas.openxmlformats.org/officeDocument/2006/relationships/hyperlink" Target="https://youtu.be/-riwCepog-o" TargetMode="External"/><Relationship Id="rId2358" Type="http://schemas.openxmlformats.org/officeDocument/2006/relationships/hyperlink" Target="https://youtu.be/-I6JPWJKTbg" TargetMode="External"/><Relationship Id="rId2357" Type="http://schemas.openxmlformats.org/officeDocument/2006/relationships/hyperlink" Target="https://youtu.be/O99lOZOfCK4" TargetMode="External"/><Relationship Id="rId2356" Type="http://schemas.openxmlformats.org/officeDocument/2006/relationships/hyperlink" Target="https://youtu.be/k8Uihe3ggfI" TargetMode="External"/><Relationship Id="rId2355" Type="http://schemas.openxmlformats.org/officeDocument/2006/relationships/hyperlink" Target="https://youtu.be/BEtPwTzQGk8" TargetMode="External"/><Relationship Id="rId2354" Type="http://schemas.openxmlformats.org/officeDocument/2006/relationships/hyperlink" Target="https://youtu.be/RkO4orNOcmY" TargetMode="External"/><Relationship Id="rId2353" Type="http://schemas.openxmlformats.org/officeDocument/2006/relationships/hyperlink" Target="https://youtu.be/BZnykzJXIbo" TargetMode="External"/><Relationship Id="rId2352" Type="http://schemas.openxmlformats.org/officeDocument/2006/relationships/hyperlink" Target="https://youtu.be/NWwRALI55kY" TargetMode="External"/><Relationship Id="rId2351" Type="http://schemas.openxmlformats.org/officeDocument/2006/relationships/hyperlink" Target="https://youtu.be/mZtORUPr9jQ" TargetMode="External"/><Relationship Id="rId2350" Type="http://schemas.openxmlformats.org/officeDocument/2006/relationships/hyperlink" Target="https://youtu.be/nymxP4q0yTo" TargetMode="External"/><Relationship Id="rId235" Type="http://schemas.openxmlformats.org/officeDocument/2006/relationships/hyperlink" Target="https://youtu.be/WDWbemWdbAI" TargetMode="External"/><Relationship Id="rId2349" Type="http://schemas.openxmlformats.org/officeDocument/2006/relationships/hyperlink" Target="https://youtu.be/dkfW1Q1T72c" TargetMode="External"/><Relationship Id="rId2348" Type="http://schemas.openxmlformats.org/officeDocument/2006/relationships/hyperlink" Target="https://youtu.be/w2kSeINalHg" TargetMode="External"/><Relationship Id="rId2347" Type="http://schemas.openxmlformats.org/officeDocument/2006/relationships/hyperlink" Target="https://youtu.be/yICO-Fy3RQ0" TargetMode="External"/><Relationship Id="rId2346" Type="http://schemas.openxmlformats.org/officeDocument/2006/relationships/hyperlink" Target="https://youtu.be/urXuyEpkiTw" TargetMode="External"/><Relationship Id="rId2345" Type="http://schemas.openxmlformats.org/officeDocument/2006/relationships/hyperlink" Target="https://youtu.be/EyJHo50UNsk" TargetMode="External"/><Relationship Id="rId2344" Type="http://schemas.openxmlformats.org/officeDocument/2006/relationships/hyperlink" Target="https://youtu.be/DcouM-KGoR4" TargetMode="External"/><Relationship Id="rId2343" Type="http://schemas.openxmlformats.org/officeDocument/2006/relationships/hyperlink" Target="https://youtu.be/cOhkcXf416g" TargetMode="External"/><Relationship Id="rId2342" Type="http://schemas.openxmlformats.org/officeDocument/2006/relationships/hyperlink" Target="https://youtu.be/oGwYFO0csdM" TargetMode="External"/><Relationship Id="rId2341" Type="http://schemas.openxmlformats.org/officeDocument/2006/relationships/hyperlink" Target="https://youtu.be/cOGNsTd4cb4" TargetMode="External"/><Relationship Id="rId2340" Type="http://schemas.openxmlformats.org/officeDocument/2006/relationships/hyperlink" Target="https://youtu.be/STUyjTO8gQw" TargetMode="External"/><Relationship Id="rId234" Type="http://schemas.openxmlformats.org/officeDocument/2006/relationships/hyperlink" Target="https://youtu.be/T0fHMWFMKWo" TargetMode="External"/><Relationship Id="rId2339" Type="http://schemas.openxmlformats.org/officeDocument/2006/relationships/hyperlink" Target="https://youtu.be/L-nELgBjsaY" TargetMode="External"/><Relationship Id="rId2338" Type="http://schemas.openxmlformats.org/officeDocument/2006/relationships/hyperlink" Target="https://youtu.be/sMaUUwci1YA" TargetMode="External"/><Relationship Id="rId2337" Type="http://schemas.openxmlformats.org/officeDocument/2006/relationships/hyperlink" Target="https://youtu.be/8Vcrq6PX8Pk" TargetMode="External"/><Relationship Id="rId2336" Type="http://schemas.openxmlformats.org/officeDocument/2006/relationships/hyperlink" Target="https://youtu.be/gVd0F5WnNf0" TargetMode="External"/><Relationship Id="rId2335" Type="http://schemas.openxmlformats.org/officeDocument/2006/relationships/hyperlink" Target="https://youtu.be/r-A52OhSvw8" TargetMode="External"/><Relationship Id="rId2334" Type="http://schemas.openxmlformats.org/officeDocument/2006/relationships/hyperlink" Target="https://youtu.be/VH09j8CqfKc" TargetMode="External"/><Relationship Id="rId2333" Type="http://schemas.openxmlformats.org/officeDocument/2006/relationships/hyperlink" Target="https://youtu.be/3cO_tzZ2nNI" TargetMode="External"/><Relationship Id="rId2332" Type="http://schemas.openxmlformats.org/officeDocument/2006/relationships/hyperlink" Target="https://youtu.be/aqtWOk7Y0NE" TargetMode="External"/><Relationship Id="rId2331" Type="http://schemas.openxmlformats.org/officeDocument/2006/relationships/hyperlink" Target="https://youtu.be/3frrRHEOEVU" TargetMode="External"/><Relationship Id="rId2330" Type="http://schemas.openxmlformats.org/officeDocument/2006/relationships/hyperlink" Target="https://youtu.be/38UaR2zNM9w" TargetMode="External"/><Relationship Id="rId233" Type="http://schemas.openxmlformats.org/officeDocument/2006/relationships/hyperlink" Target="https://youtu.be/LADoWKci4hs" TargetMode="External"/><Relationship Id="rId2329" Type="http://schemas.openxmlformats.org/officeDocument/2006/relationships/hyperlink" Target="https://youtu.be/nSUWvG2OA3I" TargetMode="External"/><Relationship Id="rId2328" Type="http://schemas.openxmlformats.org/officeDocument/2006/relationships/hyperlink" Target="https://youtu.be/6mqhqojL26c" TargetMode="External"/><Relationship Id="rId2327" Type="http://schemas.openxmlformats.org/officeDocument/2006/relationships/hyperlink" Target="https://youtu.be/nM9x7TYcxBU" TargetMode="External"/><Relationship Id="rId2326" Type="http://schemas.openxmlformats.org/officeDocument/2006/relationships/hyperlink" Target="https://youtu.be/y5HaD5zZjeE" TargetMode="External"/><Relationship Id="rId2325" Type="http://schemas.openxmlformats.org/officeDocument/2006/relationships/hyperlink" Target="https://youtu.be/CGgp4DsRyCM" TargetMode="External"/><Relationship Id="rId2324" Type="http://schemas.openxmlformats.org/officeDocument/2006/relationships/hyperlink" Target="https://youtu.be/LqwgLz6N83s" TargetMode="External"/><Relationship Id="rId2323" Type="http://schemas.openxmlformats.org/officeDocument/2006/relationships/hyperlink" Target="https://youtu.be/AE98uJB-_zU" TargetMode="External"/><Relationship Id="rId2322" Type="http://schemas.openxmlformats.org/officeDocument/2006/relationships/hyperlink" Target="https://youtu.be/Yu_wwVEqR-E" TargetMode="External"/><Relationship Id="rId2321" Type="http://schemas.openxmlformats.org/officeDocument/2006/relationships/hyperlink" Target="https://youtu.be/maSAdw4tPQo" TargetMode="External"/><Relationship Id="rId2320" Type="http://schemas.openxmlformats.org/officeDocument/2006/relationships/hyperlink" Target="https://youtu.be/msnQUTLIJB4" TargetMode="External"/><Relationship Id="rId232" Type="http://schemas.openxmlformats.org/officeDocument/2006/relationships/hyperlink" Target="https://youtu.be/pm02i3uALXo" TargetMode="External"/><Relationship Id="rId2319" Type="http://schemas.openxmlformats.org/officeDocument/2006/relationships/hyperlink" Target="https://youtu.be/bvqfkNoQunE" TargetMode="External"/><Relationship Id="rId2318" Type="http://schemas.openxmlformats.org/officeDocument/2006/relationships/hyperlink" Target="https://youtu.be/mu98Eq-goT4" TargetMode="External"/><Relationship Id="rId2317" Type="http://schemas.openxmlformats.org/officeDocument/2006/relationships/hyperlink" Target="https://youtu.be/X7Akd7rCKmI" TargetMode="External"/><Relationship Id="rId2316" Type="http://schemas.openxmlformats.org/officeDocument/2006/relationships/hyperlink" Target="https://youtu.be/PIbGuKQS_F8" TargetMode="External"/><Relationship Id="rId2315" Type="http://schemas.openxmlformats.org/officeDocument/2006/relationships/hyperlink" Target="https://youtu.be/gI8Dk9CeeZA" TargetMode="External"/><Relationship Id="rId2314" Type="http://schemas.openxmlformats.org/officeDocument/2006/relationships/hyperlink" Target="https://youtu.be/o9vsHSE8i4E" TargetMode="External"/><Relationship Id="rId2313" Type="http://schemas.openxmlformats.org/officeDocument/2006/relationships/hyperlink" Target="https://youtu.be/Hne7jqoF0Sk" TargetMode="External"/><Relationship Id="rId2312" Type="http://schemas.openxmlformats.org/officeDocument/2006/relationships/hyperlink" Target="https://youtu.be/RPkMWIzvgJA" TargetMode="External"/><Relationship Id="rId2311" Type="http://schemas.openxmlformats.org/officeDocument/2006/relationships/hyperlink" Target="https://youtu.be/uhsb7EWLzuo" TargetMode="External"/><Relationship Id="rId2310" Type="http://schemas.openxmlformats.org/officeDocument/2006/relationships/hyperlink" Target="https://youtu.be/zbUNeyGRErQ" TargetMode="External"/><Relationship Id="rId231" Type="http://schemas.openxmlformats.org/officeDocument/2006/relationships/hyperlink" Target="https://youtu.be/Lvet4-oHR7U" TargetMode="External"/><Relationship Id="rId2309" Type="http://schemas.openxmlformats.org/officeDocument/2006/relationships/hyperlink" Target="https://youtu.be/aHRuyNXuLxg" TargetMode="External"/><Relationship Id="rId2308" Type="http://schemas.openxmlformats.org/officeDocument/2006/relationships/hyperlink" Target="https://youtu.be/v8PVrn6lyx0" TargetMode="External"/><Relationship Id="rId2307" Type="http://schemas.openxmlformats.org/officeDocument/2006/relationships/hyperlink" Target="https://youtu.be/8jsRs6HYlLo" TargetMode="External"/><Relationship Id="rId2306" Type="http://schemas.openxmlformats.org/officeDocument/2006/relationships/hyperlink" Target="https://youtu.be/oZ5ydKUzkds" TargetMode="External"/><Relationship Id="rId2305" Type="http://schemas.openxmlformats.org/officeDocument/2006/relationships/hyperlink" Target="https://youtu.be/lZ310kCDVJg" TargetMode="External"/><Relationship Id="rId2304" Type="http://schemas.openxmlformats.org/officeDocument/2006/relationships/hyperlink" Target="https://youtu.be/BrP3vKO3oP8" TargetMode="External"/><Relationship Id="rId2303" Type="http://schemas.openxmlformats.org/officeDocument/2006/relationships/hyperlink" Target="https://youtu.be/OJsBU1jYpoo" TargetMode="External"/><Relationship Id="rId2302" Type="http://schemas.openxmlformats.org/officeDocument/2006/relationships/hyperlink" Target="https://youtu.be/fBhQRD_eA3s" TargetMode="External"/><Relationship Id="rId2301" Type="http://schemas.openxmlformats.org/officeDocument/2006/relationships/hyperlink" Target="https://youtu.be/GaI88NgH9dw" TargetMode="External"/><Relationship Id="rId2300" Type="http://schemas.openxmlformats.org/officeDocument/2006/relationships/hyperlink" Target="https://youtu.be/vNR1pWZ42oI" TargetMode="External"/><Relationship Id="rId230" Type="http://schemas.openxmlformats.org/officeDocument/2006/relationships/hyperlink" Target="https://youtu.be/larBkDpbgx0" TargetMode="External"/><Relationship Id="rId23" Type="http://schemas.openxmlformats.org/officeDocument/2006/relationships/hyperlink" Target="https://youtu.be/dak8uzKba4k" TargetMode="External"/><Relationship Id="rId2299" Type="http://schemas.openxmlformats.org/officeDocument/2006/relationships/hyperlink" Target="https://youtu.be/yG8EdmkLXdk" TargetMode="External"/><Relationship Id="rId2298" Type="http://schemas.openxmlformats.org/officeDocument/2006/relationships/hyperlink" Target="https://youtu.be/3PNRy8XymFo" TargetMode="External"/><Relationship Id="rId2297" Type="http://schemas.openxmlformats.org/officeDocument/2006/relationships/hyperlink" Target="https://youtu.be/un1QjgeVWk8" TargetMode="External"/><Relationship Id="rId2296" Type="http://schemas.openxmlformats.org/officeDocument/2006/relationships/hyperlink" Target="https://youtu.be/h3V_vR5IJ_I" TargetMode="External"/><Relationship Id="rId2295" Type="http://schemas.openxmlformats.org/officeDocument/2006/relationships/hyperlink" Target="https://youtu.be/GyJGuZnUKoc" TargetMode="External"/><Relationship Id="rId2294" Type="http://schemas.openxmlformats.org/officeDocument/2006/relationships/hyperlink" Target="https://youtu.be/VcI9tTUDFTQ" TargetMode="External"/><Relationship Id="rId2293" Type="http://schemas.openxmlformats.org/officeDocument/2006/relationships/hyperlink" Target="https://youtu.be/tLmQW-4yO1k" TargetMode="External"/><Relationship Id="rId2292" Type="http://schemas.openxmlformats.org/officeDocument/2006/relationships/hyperlink" Target="https://youtu.be/-Qx6cbXWD0Y" TargetMode="External"/><Relationship Id="rId2291" Type="http://schemas.openxmlformats.org/officeDocument/2006/relationships/hyperlink" Target="https://youtu.be/5lTSXDufSPk" TargetMode="External"/><Relationship Id="rId2290" Type="http://schemas.openxmlformats.org/officeDocument/2006/relationships/hyperlink" Target="https://youtu.be/cKGc3iFighE" TargetMode="External"/><Relationship Id="rId229" Type="http://schemas.openxmlformats.org/officeDocument/2006/relationships/hyperlink" Target="https://youtu.be/AtjR-gHufxg" TargetMode="External"/><Relationship Id="rId2289" Type="http://schemas.openxmlformats.org/officeDocument/2006/relationships/hyperlink" Target="https://youtu.be/zBoj-1m-qLU" TargetMode="External"/><Relationship Id="rId2288" Type="http://schemas.openxmlformats.org/officeDocument/2006/relationships/hyperlink" Target="https://youtu.be/-jNzvLOHLJw" TargetMode="External"/><Relationship Id="rId2287" Type="http://schemas.openxmlformats.org/officeDocument/2006/relationships/hyperlink" Target="https://youtu.be/u71bRf54xDw" TargetMode="External"/><Relationship Id="rId2286" Type="http://schemas.openxmlformats.org/officeDocument/2006/relationships/hyperlink" Target="https://youtu.be/nopcLTKMVU8" TargetMode="External"/><Relationship Id="rId2285" Type="http://schemas.openxmlformats.org/officeDocument/2006/relationships/hyperlink" Target="https://youtu.be/O9Tm4N5S4s4" TargetMode="External"/><Relationship Id="rId2284" Type="http://schemas.openxmlformats.org/officeDocument/2006/relationships/hyperlink" Target="https://youtu.be/LlnSgHdF9WE" TargetMode="External"/><Relationship Id="rId2283" Type="http://schemas.openxmlformats.org/officeDocument/2006/relationships/hyperlink" Target="https://youtu.be/SXHcRy73dS0" TargetMode="External"/><Relationship Id="rId2282" Type="http://schemas.openxmlformats.org/officeDocument/2006/relationships/hyperlink" Target="https://youtu.be/eunS46Yfb2Q" TargetMode="External"/><Relationship Id="rId2281" Type="http://schemas.openxmlformats.org/officeDocument/2006/relationships/hyperlink" Target="https://youtu.be/gjglwMPvzVo" TargetMode="External"/><Relationship Id="rId2280" Type="http://schemas.openxmlformats.org/officeDocument/2006/relationships/hyperlink" Target="https://youtu.be/ib4djfbik40" TargetMode="External"/><Relationship Id="rId228" Type="http://schemas.openxmlformats.org/officeDocument/2006/relationships/hyperlink" Target="https://youtu.be/yxoua8dWoIE" TargetMode="External"/><Relationship Id="rId2279" Type="http://schemas.openxmlformats.org/officeDocument/2006/relationships/hyperlink" Target="https://youtu.be/Ca1gp-rjbe4" TargetMode="External"/><Relationship Id="rId2278" Type="http://schemas.openxmlformats.org/officeDocument/2006/relationships/hyperlink" Target="https://youtu.be/SaoMxjldSDQ" TargetMode="External"/><Relationship Id="rId2277" Type="http://schemas.openxmlformats.org/officeDocument/2006/relationships/hyperlink" Target="https://youtu.be/k0qgrEtoGeY" TargetMode="External"/><Relationship Id="rId2276" Type="http://schemas.openxmlformats.org/officeDocument/2006/relationships/hyperlink" Target="https://youtu.be/hWzSZkWN9H4" TargetMode="External"/><Relationship Id="rId2275" Type="http://schemas.openxmlformats.org/officeDocument/2006/relationships/hyperlink" Target="https://youtu.be/GXm2uZii-_c" TargetMode="External"/><Relationship Id="rId2274" Type="http://schemas.openxmlformats.org/officeDocument/2006/relationships/hyperlink" Target="https://youtu.be/UEuOpxOrA_0" TargetMode="External"/><Relationship Id="rId2273" Type="http://schemas.openxmlformats.org/officeDocument/2006/relationships/hyperlink" Target="https://youtu.be/ThVdnyokBME" TargetMode="External"/><Relationship Id="rId2272" Type="http://schemas.openxmlformats.org/officeDocument/2006/relationships/hyperlink" Target="https://youtu.be/ZWEa_uil9bM" TargetMode="External"/><Relationship Id="rId2271" Type="http://schemas.openxmlformats.org/officeDocument/2006/relationships/hyperlink" Target="https://youtu.be/DiFBOyTdX9I" TargetMode="External"/><Relationship Id="rId2270" Type="http://schemas.openxmlformats.org/officeDocument/2006/relationships/hyperlink" Target="https://youtu.be/Qa5fQ0dkOW0" TargetMode="External"/><Relationship Id="rId227" Type="http://schemas.openxmlformats.org/officeDocument/2006/relationships/hyperlink" Target="https://youtu.be/_tNQUKRmbCk" TargetMode="External"/><Relationship Id="rId2269" Type="http://schemas.openxmlformats.org/officeDocument/2006/relationships/hyperlink" Target="https://youtu.be/6RbgegMSQL0" TargetMode="External"/><Relationship Id="rId2268" Type="http://schemas.openxmlformats.org/officeDocument/2006/relationships/hyperlink" Target="https://youtu.be/tocdRA-_lLs" TargetMode="External"/><Relationship Id="rId2267" Type="http://schemas.openxmlformats.org/officeDocument/2006/relationships/hyperlink" Target="https://youtu.be/wXU0dseMe0s" TargetMode="External"/><Relationship Id="rId2266" Type="http://schemas.openxmlformats.org/officeDocument/2006/relationships/hyperlink" Target="https://youtu.be/MuSnkk2SEN0" TargetMode="External"/><Relationship Id="rId2265" Type="http://schemas.openxmlformats.org/officeDocument/2006/relationships/hyperlink" Target="https://youtu.be/tuAN3I2KSEk" TargetMode="External"/><Relationship Id="rId2264" Type="http://schemas.openxmlformats.org/officeDocument/2006/relationships/hyperlink" Target="https://youtu.be/omnWO_t_zyM" TargetMode="External"/><Relationship Id="rId2263" Type="http://schemas.openxmlformats.org/officeDocument/2006/relationships/hyperlink" Target="https://youtu.be/bm3r3Q2lULo" TargetMode="External"/><Relationship Id="rId2262" Type="http://schemas.openxmlformats.org/officeDocument/2006/relationships/hyperlink" Target="https://youtu.be/jQmRxStVXkk" TargetMode="External"/><Relationship Id="rId2261" Type="http://schemas.openxmlformats.org/officeDocument/2006/relationships/hyperlink" Target="https://youtu.be/C8ZWjdP74aA" TargetMode="External"/><Relationship Id="rId2260" Type="http://schemas.openxmlformats.org/officeDocument/2006/relationships/hyperlink" Target="https://youtu.be/8NwZhQ_S3qM" TargetMode="External"/><Relationship Id="rId226" Type="http://schemas.openxmlformats.org/officeDocument/2006/relationships/hyperlink" Target="https://youtu.be/eON997EWVWA" TargetMode="External"/><Relationship Id="rId2259" Type="http://schemas.openxmlformats.org/officeDocument/2006/relationships/hyperlink" Target="https://youtu.be/-qDtz55LezY" TargetMode="External"/><Relationship Id="rId2258" Type="http://schemas.openxmlformats.org/officeDocument/2006/relationships/hyperlink" Target="https://youtu.be/ibtsgAig3Yk" TargetMode="External"/><Relationship Id="rId2257" Type="http://schemas.openxmlformats.org/officeDocument/2006/relationships/hyperlink" Target="https://youtu.be/un7MKRoPQ6o" TargetMode="External"/><Relationship Id="rId2256" Type="http://schemas.openxmlformats.org/officeDocument/2006/relationships/hyperlink" Target="https://youtu.be/LveV4vtThOE" TargetMode="External"/><Relationship Id="rId2255" Type="http://schemas.openxmlformats.org/officeDocument/2006/relationships/hyperlink" Target="https://youtu.be/HrUtJHYWPkY" TargetMode="External"/><Relationship Id="rId2254" Type="http://schemas.openxmlformats.org/officeDocument/2006/relationships/hyperlink" Target="https://youtu.be/WRIVMXdTVA0" TargetMode="External"/><Relationship Id="rId2253" Type="http://schemas.openxmlformats.org/officeDocument/2006/relationships/hyperlink" Target="https://youtu.be/rxS5PW1faVA" TargetMode="External"/><Relationship Id="rId2252" Type="http://schemas.openxmlformats.org/officeDocument/2006/relationships/hyperlink" Target="https://youtu.be/JCxjGNECtOw" TargetMode="External"/><Relationship Id="rId2251" Type="http://schemas.openxmlformats.org/officeDocument/2006/relationships/hyperlink" Target="https://youtu.be/V22b4Bk7Yd4" TargetMode="External"/><Relationship Id="rId2250" Type="http://schemas.openxmlformats.org/officeDocument/2006/relationships/hyperlink" Target="https://youtu.be/UStYetO2icA" TargetMode="External"/><Relationship Id="rId225" Type="http://schemas.openxmlformats.org/officeDocument/2006/relationships/hyperlink" Target="https://youtu.be/s2rt73vr5Dk" TargetMode="External"/><Relationship Id="rId2249" Type="http://schemas.openxmlformats.org/officeDocument/2006/relationships/hyperlink" Target="https://youtu.be/VXvYcIbFVzs" TargetMode="External"/><Relationship Id="rId2248" Type="http://schemas.openxmlformats.org/officeDocument/2006/relationships/hyperlink" Target="https://youtu.be/_odLfGD8WVY" TargetMode="External"/><Relationship Id="rId2247" Type="http://schemas.openxmlformats.org/officeDocument/2006/relationships/hyperlink" Target="https://youtu.be/VLKLC58nTJY" TargetMode="External"/><Relationship Id="rId2246" Type="http://schemas.openxmlformats.org/officeDocument/2006/relationships/hyperlink" Target="https://youtu.be/We7UG63heo4" TargetMode="External"/><Relationship Id="rId2245" Type="http://schemas.openxmlformats.org/officeDocument/2006/relationships/hyperlink" Target="https://youtu.be/Xe5MX-PFc0U" TargetMode="External"/><Relationship Id="rId2244" Type="http://schemas.openxmlformats.org/officeDocument/2006/relationships/hyperlink" Target="https://youtu.be/3lx7AOzzBdw" TargetMode="External"/><Relationship Id="rId2243" Type="http://schemas.openxmlformats.org/officeDocument/2006/relationships/hyperlink" Target="https://youtu.be/lYNBxr_GvYc" TargetMode="External"/><Relationship Id="rId2242" Type="http://schemas.openxmlformats.org/officeDocument/2006/relationships/hyperlink" Target="https://youtu.be/IPFKXtTi1cg" TargetMode="External"/><Relationship Id="rId2241" Type="http://schemas.openxmlformats.org/officeDocument/2006/relationships/hyperlink" Target="https://youtu.be/6PWHWZ8l1hQ" TargetMode="External"/><Relationship Id="rId2240" Type="http://schemas.openxmlformats.org/officeDocument/2006/relationships/hyperlink" Target="https://youtu.be/GPG2IjLxSqM" TargetMode="External"/><Relationship Id="rId224" Type="http://schemas.openxmlformats.org/officeDocument/2006/relationships/hyperlink" Target="https://youtu.be/2CnpeAkuxOQ" TargetMode="External"/><Relationship Id="rId2239" Type="http://schemas.openxmlformats.org/officeDocument/2006/relationships/hyperlink" Target="https://youtu.be/cehHygZhh-Q" TargetMode="External"/><Relationship Id="rId2238" Type="http://schemas.openxmlformats.org/officeDocument/2006/relationships/hyperlink" Target="https://youtu.be/C7LDBvPTC20" TargetMode="External"/><Relationship Id="rId2237" Type="http://schemas.openxmlformats.org/officeDocument/2006/relationships/hyperlink" Target="https://youtu.be/x-ZgybF-UZ4" TargetMode="External"/><Relationship Id="rId2236" Type="http://schemas.openxmlformats.org/officeDocument/2006/relationships/hyperlink" Target="https://youtu.be/fVfToIq4IEc" TargetMode="External"/><Relationship Id="rId2235" Type="http://schemas.openxmlformats.org/officeDocument/2006/relationships/hyperlink" Target="https://youtu.be/xhyVEbZls54" TargetMode="External"/><Relationship Id="rId2234" Type="http://schemas.openxmlformats.org/officeDocument/2006/relationships/hyperlink" Target="https://youtu.be/JlYt-widyIc" TargetMode="External"/><Relationship Id="rId2233" Type="http://schemas.openxmlformats.org/officeDocument/2006/relationships/hyperlink" Target="https://youtu.be/oWCWwEv_LcI" TargetMode="External"/><Relationship Id="rId2232" Type="http://schemas.openxmlformats.org/officeDocument/2006/relationships/hyperlink" Target="https://youtu.be/i7HahmSgrjI" TargetMode="External"/><Relationship Id="rId2231" Type="http://schemas.openxmlformats.org/officeDocument/2006/relationships/hyperlink" Target="https://youtu.be/zRNIHGTsK8c" TargetMode="External"/><Relationship Id="rId2230" Type="http://schemas.openxmlformats.org/officeDocument/2006/relationships/hyperlink" Target="https://youtu.be/l561tAwY3xo" TargetMode="External"/><Relationship Id="rId223" Type="http://schemas.openxmlformats.org/officeDocument/2006/relationships/hyperlink" Target="https://youtu.be/wFHce6TXVTQ" TargetMode="External"/><Relationship Id="rId2229" Type="http://schemas.openxmlformats.org/officeDocument/2006/relationships/hyperlink" Target="https://youtu.be/TtQGyBGJpTA" TargetMode="External"/><Relationship Id="rId2228" Type="http://schemas.openxmlformats.org/officeDocument/2006/relationships/hyperlink" Target="https://youtu.be/ihAlsdZgtZE" TargetMode="External"/><Relationship Id="rId2227" Type="http://schemas.openxmlformats.org/officeDocument/2006/relationships/hyperlink" Target="https://youtu.be/owgZeGVup-Q" TargetMode="External"/><Relationship Id="rId2226" Type="http://schemas.openxmlformats.org/officeDocument/2006/relationships/hyperlink" Target="https://youtu.be/aemhBiIqlwA" TargetMode="External"/><Relationship Id="rId2225" Type="http://schemas.openxmlformats.org/officeDocument/2006/relationships/hyperlink" Target="https://youtu.be/xiIKYo58_O0" TargetMode="External"/><Relationship Id="rId2224" Type="http://schemas.openxmlformats.org/officeDocument/2006/relationships/hyperlink" Target="https://youtu.be/N-tQNXgwGaU" TargetMode="External"/><Relationship Id="rId2223" Type="http://schemas.openxmlformats.org/officeDocument/2006/relationships/hyperlink" Target="https://youtu.be/yD-qmnidyH0" TargetMode="External"/><Relationship Id="rId2222" Type="http://schemas.openxmlformats.org/officeDocument/2006/relationships/hyperlink" Target="https://youtu.be/fp40jVjYNsI" TargetMode="External"/><Relationship Id="rId2221" Type="http://schemas.openxmlformats.org/officeDocument/2006/relationships/hyperlink" Target="https://youtu.be/snghE_hWMhY" TargetMode="External"/><Relationship Id="rId2220" Type="http://schemas.openxmlformats.org/officeDocument/2006/relationships/hyperlink" Target="https://youtu.be/bp_G-AMT0Rw" TargetMode="External"/><Relationship Id="rId222" Type="http://schemas.openxmlformats.org/officeDocument/2006/relationships/hyperlink" Target="https://youtu.be/_Urv5OySYWE" TargetMode="External"/><Relationship Id="rId2219" Type="http://schemas.openxmlformats.org/officeDocument/2006/relationships/hyperlink" Target="https://youtu.be/ZPb4B_srj_Y" TargetMode="External"/><Relationship Id="rId2218" Type="http://schemas.openxmlformats.org/officeDocument/2006/relationships/hyperlink" Target="https://youtu.be/d5j_gqd7Uq8" TargetMode="External"/><Relationship Id="rId2217" Type="http://schemas.openxmlformats.org/officeDocument/2006/relationships/hyperlink" Target="https://youtu.be/F2qkdSvV_Ng" TargetMode="External"/><Relationship Id="rId2216" Type="http://schemas.openxmlformats.org/officeDocument/2006/relationships/hyperlink" Target="https://youtu.be/axUGLKFodxY" TargetMode="External"/><Relationship Id="rId2215" Type="http://schemas.openxmlformats.org/officeDocument/2006/relationships/hyperlink" Target="https://youtu.be/QgQrTRNZbaQ" TargetMode="External"/><Relationship Id="rId2214" Type="http://schemas.openxmlformats.org/officeDocument/2006/relationships/hyperlink" Target="https://youtu.be/TOSLdVOGAIc" TargetMode="External"/><Relationship Id="rId2213" Type="http://schemas.openxmlformats.org/officeDocument/2006/relationships/hyperlink" Target="https://youtu.be/wTFras1r2uc" TargetMode="External"/><Relationship Id="rId2212" Type="http://schemas.openxmlformats.org/officeDocument/2006/relationships/hyperlink" Target="https://youtu.be/38bzKH4jfpA" TargetMode="External"/><Relationship Id="rId2211" Type="http://schemas.openxmlformats.org/officeDocument/2006/relationships/hyperlink" Target="https://youtu.be/CtvHTh-cABg" TargetMode="External"/><Relationship Id="rId2210" Type="http://schemas.openxmlformats.org/officeDocument/2006/relationships/hyperlink" Target="https://youtu.be/U3d1OgMkqyw" TargetMode="External"/><Relationship Id="rId221" Type="http://schemas.openxmlformats.org/officeDocument/2006/relationships/hyperlink" Target="https://youtu.be/quBrcCaJvr0" TargetMode="External"/><Relationship Id="rId2209" Type="http://schemas.openxmlformats.org/officeDocument/2006/relationships/hyperlink" Target="https://youtu.be/GuzDsPgVrPs" TargetMode="External"/><Relationship Id="rId2208" Type="http://schemas.openxmlformats.org/officeDocument/2006/relationships/hyperlink" Target="https://youtu.be/BqakNPlbsvA" TargetMode="External"/><Relationship Id="rId2207" Type="http://schemas.openxmlformats.org/officeDocument/2006/relationships/hyperlink" Target="https://youtu.be/EQjVa8wR8xE" TargetMode="External"/><Relationship Id="rId2206" Type="http://schemas.openxmlformats.org/officeDocument/2006/relationships/hyperlink" Target="https://youtu.be/u4cimKKa_vg" TargetMode="External"/><Relationship Id="rId2205" Type="http://schemas.openxmlformats.org/officeDocument/2006/relationships/hyperlink" Target="https://youtu.be/8LfQfbxuZv4" TargetMode="External"/><Relationship Id="rId2204" Type="http://schemas.openxmlformats.org/officeDocument/2006/relationships/hyperlink" Target="https://youtu.be/QsHL_kkmPtU" TargetMode="External"/><Relationship Id="rId2203" Type="http://schemas.openxmlformats.org/officeDocument/2006/relationships/hyperlink" Target="https://youtu.be/swYbsuchLeo" TargetMode="External"/><Relationship Id="rId2202" Type="http://schemas.openxmlformats.org/officeDocument/2006/relationships/hyperlink" Target="https://youtu.be/aznqRz54DiY" TargetMode="External"/><Relationship Id="rId2201" Type="http://schemas.openxmlformats.org/officeDocument/2006/relationships/hyperlink" Target="https://youtu.be/MiIZOn8npT0" TargetMode="External"/><Relationship Id="rId2200" Type="http://schemas.openxmlformats.org/officeDocument/2006/relationships/hyperlink" Target="https://youtu.be/7rWkZk5SSR4" TargetMode="External"/><Relationship Id="rId220" Type="http://schemas.openxmlformats.org/officeDocument/2006/relationships/hyperlink" Target="https://youtu.be/vhpzke-2tGU" TargetMode="External"/><Relationship Id="rId22" Type="http://schemas.openxmlformats.org/officeDocument/2006/relationships/hyperlink" Target="https://youtu.be/uFfFsOu7yqY" TargetMode="External"/><Relationship Id="rId2199" Type="http://schemas.openxmlformats.org/officeDocument/2006/relationships/hyperlink" Target="https://youtu.be/5Mj0PhVU2-s" TargetMode="External"/><Relationship Id="rId2198" Type="http://schemas.openxmlformats.org/officeDocument/2006/relationships/hyperlink" Target="https://youtu.be/-zHmrklu0p4" TargetMode="External"/><Relationship Id="rId2197" Type="http://schemas.openxmlformats.org/officeDocument/2006/relationships/hyperlink" Target="https://youtu.be/52bNS_RixgU" TargetMode="External"/><Relationship Id="rId2196" Type="http://schemas.openxmlformats.org/officeDocument/2006/relationships/hyperlink" Target="https://youtu.be/CINnHXIfkDk" TargetMode="External"/><Relationship Id="rId2195" Type="http://schemas.openxmlformats.org/officeDocument/2006/relationships/hyperlink" Target="https://youtu.be/qgvg6TUEJJk" TargetMode="External"/><Relationship Id="rId2194" Type="http://schemas.openxmlformats.org/officeDocument/2006/relationships/hyperlink" Target="https://youtu.be/7UcYOAp_Bxw" TargetMode="External"/><Relationship Id="rId2193" Type="http://schemas.openxmlformats.org/officeDocument/2006/relationships/hyperlink" Target="https://youtu.be/zczwVH4jcDQ" TargetMode="External"/><Relationship Id="rId2192" Type="http://schemas.openxmlformats.org/officeDocument/2006/relationships/hyperlink" Target="https://youtu.be/2n0WETnaPaY" TargetMode="External"/><Relationship Id="rId2191" Type="http://schemas.openxmlformats.org/officeDocument/2006/relationships/hyperlink" Target="https://youtu.be/xziYRjfqFMw" TargetMode="External"/><Relationship Id="rId2190" Type="http://schemas.openxmlformats.org/officeDocument/2006/relationships/hyperlink" Target="https://youtu.be/npohVRqCYsU" TargetMode="External"/><Relationship Id="rId219" Type="http://schemas.openxmlformats.org/officeDocument/2006/relationships/hyperlink" Target="https://youtu.be/w85djkEERUM" TargetMode="External"/><Relationship Id="rId2189" Type="http://schemas.openxmlformats.org/officeDocument/2006/relationships/hyperlink" Target="https://youtu.be/LlXyhmBZtMs" TargetMode="External"/><Relationship Id="rId2188" Type="http://schemas.openxmlformats.org/officeDocument/2006/relationships/hyperlink" Target="https://youtu.be/qv7jQxzO-ZU" TargetMode="External"/><Relationship Id="rId2187" Type="http://schemas.openxmlformats.org/officeDocument/2006/relationships/hyperlink" Target="https://youtu.be/IIRc_aIGEWc" TargetMode="External"/><Relationship Id="rId2186" Type="http://schemas.openxmlformats.org/officeDocument/2006/relationships/hyperlink" Target="https://youtu.be/RDcXcswjf3w" TargetMode="External"/><Relationship Id="rId2185" Type="http://schemas.openxmlformats.org/officeDocument/2006/relationships/hyperlink" Target="https://youtu.be/E7EyUoFhunY" TargetMode="External"/><Relationship Id="rId2184" Type="http://schemas.openxmlformats.org/officeDocument/2006/relationships/hyperlink" Target="https://youtu.be/7-29DCljgZ0" TargetMode="External"/><Relationship Id="rId2183" Type="http://schemas.openxmlformats.org/officeDocument/2006/relationships/hyperlink" Target="https://youtu.be/t5OWyJdDrGA" TargetMode="External"/><Relationship Id="rId2182" Type="http://schemas.openxmlformats.org/officeDocument/2006/relationships/hyperlink" Target="https://youtu.be/RM8wu3v78ZY" TargetMode="External"/><Relationship Id="rId2181" Type="http://schemas.openxmlformats.org/officeDocument/2006/relationships/hyperlink" Target="https://youtu.be/8-4lcqXi1go" TargetMode="External"/><Relationship Id="rId2180" Type="http://schemas.openxmlformats.org/officeDocument/2006/relationships/hyperlink" Target="https://youtu.be/Lqei3f4z9N4" TargetMode="External"/><Relationship Id="rId218" Type="http://schemas.openxmlformats.org/officeDocument/2006/relationships/hyperlink" Target="https://youtu.be/LBvgyXhLaWM" TargetMode="External"/><Relationship Id="rId2179" Type="http://schemas.openxmlformats.org/officeDocument/2006/relationships/hyperlink" Target="https://youtu.be/LKdIX1LmQ_E" TargetMode="External"/><Relationship Id="rId2178" Type="http://schemas.openxmlformats.org/officeDocument/2006/relationships/hyperlink" Target="https://youtu.be/bsd3oOKIBLM" TargetMode="External"/><Relationship Id="rId2177" Type="http://schemas.openxmlformats.org/officeDocument/2006/relationships/hyperlink" Target="https://youtu.be/JNTtZ7adgX8" TargetMode="External"/><Relationship Id="rId2176" Type="http://schemas.openxmlformats.org/officeDocument/2006/relationships/hyperlink" Target="https://youtu.be/Cca82UEW2oE" TargetMode="External"/><Relationship Id="rId2175" Type="http://schemas.openxmlformats.org/officeDocument/2006/relationships/hyperlink" Target="https://youtu.be/_Cwb6lqxItE" TargetMode="External"/><Relationship Id="rId2174" Type="http://schemas.openxmlformats.org/officeDocument/2006/relationships/hyperlink" Target="https://youtu.be/Ts9sFtUSeQE" TargetMode="External"/><Relationship Id="rId2173" Type="http://schemas.openxmlformats.org/officeDocument/2006/relationships/hyperlink" Target="https://youtu.be/jATkV8HE2sQ" TargetMode="External"/><Relationship Id="rId2172" Type="http://schemas.openxmlformats.org/officeDocument/2006/relationships/hyperlink" Target="https://youtu.be/5XhG4dRWI14" TargetMode="External"/><Relationship Id="rId2171" Type="http://schemas.openxmlformats.org/officeDocument/2006/relationships/hyperlink" Target="https://youtu.be/fBZIhkvTyFg" TargetMode="External"/><Relationship Id="rId2170" Type="http://schemas.openxmlformats.org/officeDocument/2006/relationships/hyperlink" Target="https://youtu.be/ki4AU2rsGFg" TargetMode="External"/><Relationship Id="rId217" Type="http://schemas.openxmlformats.org/officeDocument/2006/relationships/hyperlink" Target="https://youtu.be/_f3xzT-JPaY" TargetMode="External"/><Relationship Id="rId2169" Type="http://schemas.openxmlformats.org/officeDocument/2006/relationships/hyperlink" Target="https://youtu.be/EVMBJ0Ft28A" TargetMode="External"/><Relationship Id="rId2168" Type="http://schemas.openxmlformats.org/officeDocument/2006/relationships/hyperlink" Target="https://youtu.be/KCVpLtq8tjY" TargetMode="External"/><Relationship Id="rId2167" Type="http://schemas.openxmlformats.org/officeDocument/2006/relationships/hyperlink" Target="https://youtu.be/0nxqSu6FVu4" TargetMode="External"/><Relationship Id="rId2166" Type="http://schemas.openxmlformats.org/officeDocument/2006/relationships/hyperlink" Target="https://youtu.be/Z4P_JNLAmLQ" TargetMode="External"/><Relationship Id="rId2165" Type="http://schemas.openxmlformats.org/officeDocument/2006/relationships/hyperlink" Target="https://youtu.be/3gJ0DfULLGU" TargetMode="External"/><Relationship Id="rId2164" Type="http://schemas.openxmlformats.org/officeDocument/2006/relationships/hyperlink" Target="https://youtu.be/gK8peG1P508" TargetMode="External"/><Relationship Id="rId2163" Type="http://schemas.openxmlformats.org/officeDocument/2006/relationships/hyperlink" Target="https://youtu.be/3ezHnT-_F_E" TargetMode="External"/><Relationship Id="rId2162" Type="http://schemas.openxmlformats.org/officeDocument/2006/relationships/hyperlink" Target="https://youtu.be/YgX8Kx_yE3Y" TargetMode="External"/><Relationship Id="rId2161" Type="http://schemas.openxmlformats.org/officeDocument/2006/relationships/hyperlink" Target="https://youtu.be/HnREkhEOKBE" TargetMode="External"/><Relationship Id="rId2160" Type="http://schemas.openxmlformats.org/officeDocument/2006/relationships/hyperlink" Target="https://youtu.be/H16W7mJ4KZ4" TargetMode="External"/><Relationship Id="rId216" Type="http://schemas.openxmlformats.org/officeDocument/2006/relationships/hyperlink" Target="https://youtu.be/eIufkTTj7Gs" TargetMode="External"/><Relationship Id="rId2159" Type="http://schemas.openxmlformats.org/officeDocument/2006/relationships/hyperlink" Target="https://youtu.be/hH48UO4_5tc" TargetMode="External"/><Relationship Id="rId2158" Type="http://schemas.openxmlformats.org/officeDocument/2006/relationships/hyperlink" Target="https://youtu.be/BqBgDsa9yUk" TargetMode="External"/><Relationship Id="rId2157" Type="http://schemas.openxmlformats.org/officeDocument/2006/relationships/hyperlink" Target="https://youtu.be/hk-_7EFywpc" TargetMode="External"/><Relationship Id="rId2156" Type="http://schemas.openxmlformats.org/officeDocument/2006/relationships/hyperlink" Target="https://youtu.be/faTvQ68BRN4" TargetMode="External"/><Relationship Id="rId2155" Type="http://schemas.openxmlformats.org/officeDocument/2006/relationships/hyperlink" Target="https://youtu.be/pAGnc8LUuR4" TargetMode="External"/><Relationship Id="rId2154" Type="http://schemas.openxmlformats.org/officeDocument/2006/relationships/hyperlink" Target="https://youtu.be/CD7N07Y7ckA" TargetMode="External"/><Relationship Id="rId2153" Type="http://schemas.openxmlformats.org/officeDocument/2006/relationships/hyperlink" Target="https://youtu.be/BRHegGqeXME" TargetMode="External"/><Relationship Id="rId2152" Type="http://schemas.openxmlformats.org/officeDocument/2006/relationships/hyperlink" Target="https://youtu.be/I4UOra7yG8c" TargetMode="External"/><Relationship Id="rId2151" Type="http://schemas.openxmlformats.org/officeDocument/2006/relationships/hyperlink" Target="https://youtu.be/O5UJZx8s9i4" TargetMode="External"/><Relationship Id="rId2150" Type="http://schemas.openxmlformats.org/officeDocument/2006/relationships/hyperlink" Target="https://youtu.be/LvhesKohxg4" TargetMode="External"/><Relationship Id="rId215" Type="http://schemas.openxmlformats.org/officeDocument/2006/relationships/hyperlink" Target="https://youtu.be/x2V1YAlD8U0" TargetMode="External"/><Relationship Id="rId2149" Type="http://schemas.openxmlformats.org/officeDocument/2006/relationships/hyperlink" Target="https://youtu.be/ULuKc7fVWtY" TargetMode="External"/><Relationship Id="rId2148" Type="http://schemas.openxmlformats.org/officeDocument/2006/relationships/hyperlink" Target="https://youtu.be/X-HdGYjFHr0" TargetMode="External"/><Relationship Id="rId2147" Type="http://schemas.openxmlformats.org/officeDocument/2006/relationships/hyperlink" Target="https://youtu.be/YwR1SnpcYCo" TargetMode="External"/><Relationship Id="rId2146" Type="http://schemas.openxmlformats.org/officeDocument/2006/relationships/hyperlink" Target="https://youtu.be/6kt2mPchQWU" TargetMode="External"/><Relationship Id="rId2145" Type="http://schemas.openxmlformats.org/officeDocument/2006/relationships/hyperlink" Target="https://youtu.be/m34WYszUt7g" TargetMode="External"/><Relationship Id="rId2144" Type="http://schemas.openxmlformats.org/officeDocument/2006/relationships/hyperlink" Target="https://youtu.be/dsQf4ySBwM4" TargetMode="External"/><Relationship Id="rId2143" Type="http://schemas.openxmlformats.org/officeDocument/2006/relationships/hyperlink" Target="https://youtu.be/f3gAaG7zH_8" TargetMode="External"/><Relationship Id="rId2142" Type="http://schemas.openxmlformats.org/officeDocument/2006/relationships/hyperlink" Target="https://youtu.be/3H6WPNLeVPQ" TargetMode="External"/><Relationship Id="rId2141" Type="http://schemas.openxmlformats.org/officeDocument/2006/relationships/hyperlink" Target="https://youtu.be/jnzoK-QE_P4" TargetMode="External"/><Relationship Id="rId2140" Type="http://schemas.openxmlformats.org/officeDocument/2006/relationships/hyperlink" Target="https://youtu.be/VESUEB0VzxQ" TargetMode="External"/><Relationship Id="rId214" Type="http://schemas.openxmlformats.org/officeDocument/2006/relationships/hyperlink" Target="https://youtu.be/Bj2GDeHocUA" TargetMode="External"/><Relationship Id="rId2139" Type="http://schemas.openxmlformats.org/officeDocument/2006/relationships/hyperlink" Target="https://youtu.be/Je4CfrNNJ1A" TargetMode="External"/><Relationship Id="rId2138" Type="http://schemas.openxmlformats.org/officeDocument/2006/relationships/hyperlink" Target="https://youtu.be/QV7MO29BnME" TargetMode="External"/><Relationship Id="rId2137" Type="http://schemas.openxmlformats.org/officeDocument/2006/relationships/hyperlink" Target="https://youtu.be/xH7ZDQFGbus" TargetMode="External"/><Relationship Id="rId2136" Type="http://schemas.openxmlformats.org/officeDocument/2006/relationships/hyperlink" Target="https://youtu.be/tEqLHFpfkRY" TargetMode="External"/><Relationship Id="rId2135" Type="http://schemas.openxmlformats.org/officeDocument/2006/relationships/hyperlink" Target="https://youtu.be/UqjkbJR3kEc" TargetMode="External"/><Relationship Id="rId2134" Type="http://schemas.openxmlformats.org/officeDocument/2006/relationships/hyperlink" Target="https://youtu.be/KCOR2FFXf4I" TargetMode="External"/><Relationship Id="rId2133" Type="http://schemas.openxmlformats.org/officeDocument/2006/relationships/hyperlink" Target="https://youtu.be/-fFDZyjMiTA" TargetMode="External"/><Relationship Id="rId2132" Type="http://schemas.openxmlformats.org/officeDocument/2006/relationships/hyperlink" Target="https://youtu.be/IeVxBM8Avo4" TargetMode="External"/><Relationship Id="rId2131" Type="http://schemas.openxmlformats.org/officeDocument/2006/relationships/hyperlink" Target="https://youtu.be/eiAT41aHaH4" TargetMode="External"/><Relationship Id="rId2130" Type="http://schemas.openxmlformats.org/officeDocument/2006/relationships/hyperlink" Target="https://youtu.be/KiJg-GDzcNw" TargetMode="External"/><Relationship Id="rId213" Type="http://schemas.openxmlformats.org/officeDocument/2006/relationships/hyperlink" Target="https://youtu.be/KATEY1-dDh4" TargetMode="External"/><Relationship Id="rId2129" Type="http://schemas.openxmlformats.org/officeDocument/2006/relationships/hyperlink" Target="https://youtu.be/LoEcLekZ-fw" TargetMode="External"/><Relationship Id="rId2128" Type="http://schemas.openxmlformats.org/officeDocument/2006/relationships/hyperlink" Target="https://youtu.be/h9h0k02OsXw" TargetMode="External"/><Relationship Id="rId2127" Type="http://schemas.openxmlformats.org/officeDocument/2006/relationships/hyperlink" Target="https://youtu.be/MuTWWuBytv0" TargetMode="External"/><Relationship Id="rId2126" Type="http://schemas.openxmlformats.org/officeDocument/2006/relationships/hyperlink" Target="https://youtu.be/wbb_2uhQuUs" TargetMode="External"/><Relationship Id="rId2125" Type="http://schemas.openxmlformats.org/officeDocument/2006/relationships/hyperlink" Target="https://youtu.be/Ej3HUvLw_sA" TargetMode="External"/><Relationship Id="rId2124" Type="http://schemas.openxmlformats.org/officeDocument/2006/relationships/hyperlink" Target="https://youtu.be/OOx7Oi7go3E" TargetMode="External"/><Relationship Id="rId2123" Type="http://schemas.openxmlformats.org/officeDocument/2006/relationships/hyperlink" Target="https://youtu.be/E_s_ZxVsCvQ" TargetMode="External"/><Relationship Id="rId2122" Type="http://schemas.openxmlformats.org/officeDocument/2006/relationships/hyperlink" Target="https://youtu.be/L30v3D4DZCg" TargetMode="External"/><Relationship Id="rId2121" Type="http://schemas.openxmlformats.org/officeDocument/2006/relationships/hyperlink" Target="https://youtu.be/DrSm-qMnhBg" TargetMode="External"/><Relationship Id="rId2120" Type="http://schemas.openxmlformats.org/officeDocument/2006/relationships/hyperlink" Target="https://youtu.be/ZCclu4c9Yk4" TargetMode="External"/><Relationship Id="rId212" Type="http://schemas.openxmlformats.org/officeDocument/2006/relationships/hyperlink" Target="https://youtu.be/_pzt9c0yKco" TargetMode="External"/><Relationship Id="rId2119" Type="http://schemas.openxmlformats.org/officeDocument/2006/relationships/hyperlink" Target="https://youtu.be/em2seQyBSjE" TargetMode="External"/><Relationship Id="rId2118" Type="http://schemas.openxmlformats.org/officeDocument/2006/relationships/hyperlink" Target="https://youtu.be/j7b8AV_wg7E" TargetMode="External"/><Relationship Id="rId2117" Type="http://schemas.openxmlformats.org/officeDocument/2006/relationships/hyperlink" Target="https://youtu.be/n9XPbAYgkh8" TargetMode="External"/><Relationship Id="rId2116" Type="http://schemas.openxmlformats.org/officeDocument/2006/relationships/hyperlink" Target="https://youtu.be/ULfPxf9Osg0" TargetMode="External"/><Relationship Id="rId2115" Type="http://schemas.openxmlformats.org/officeDocument/2006/relationships/hyperlink" Target="https://youtu.be/t2oiaa1tdRE" TargetMode="External"/><Relationship Id="rId2114" Type="http://schemas.openxmlformats.org/officeDocument/2006/relationships/hyperlink" Target="https://youtu.be/FLKCMdSCQyA" TargetMode="External"/><Relationship Id="rId2113" Type="http://schemas.openxmlformats.org/officeDocument/2006/relationships/hyperlink" Target="https://youtu.be/bTaKUdtD0E0" TargetMode="External"/><Relationship Id="rId2112" Type="http://schemas.openxmlformats.org/officeDocument/2006/relationships/hyperlink" Target="https://youtu.be/VbB1p9wm0XA" TargetMode="External"/><Relationship Id="rId2111" Type="http://schemas.openxmlformats.org/officeDocument/2006/relationships/hyperlink" Target="https://youtu.be/O89oUoaj0zo" TargetMode="External"/><Relationship Id="rId2110" Type="http://schemas.openxmlformats.org/officeDocument/2006/relationships/hyperlink" Target="https://youtu.be/64jzZ7AY5W8" TargetMode="External"/><Relationship Id="rId211" Type="http://schemas.openxmlformats.org/officeDocument/2006/relationships/hyperlink" Target="https://youtu.be/5wPMlKG16QY" TargetMode="External"/><Relationship Id="rId2109" Type="http://schemas.openxmlformats.org/officeDocument/2006/relationships/hyperlink" Target="https://youtu.be/4Gifym6jXLw" TargetMode="External"/><Relationship Id="rId2108" Type="http://schemas.openxmlformats.org/officeDocument/2006/relationships/hyperlink" Target="https://youtu.be/uOVXCdZHApI" TargetMode="External"/><Relationship Id="rId2107" Type="http://schemas.openxmlformats.org/officeDocument/2006/relationships/hyperlink" Target="https://youtu.be/2FPB7dsgfJ0" TargetMode="External"/><Relationship Id="rId2106" Type="http://schemas.openxmlformats.org/officeDocument/2006/relationships/hyperlink" Target="https://youtu.be/n7kslRWlwzU" TargetMode="External"/><Relationship Id="rId2105" Type="http://schemas.openxmlformats.org/officeDocument/2006/relationships/hyperlink" Target="https://youtu.be/UZI23PBOv5o" TargetMode="External"/><Relationship Id="rId2104" Type="http://schemas.openxmlformats.org/officeDocument/2006/relationships/hyperlink" Target="https://youtu.be/1aHZ_KP4SSI" TargetMode="External"/><Relationship Id="rId2103" Type="http://schemas.openxmlformats.org/officeDocument/2006/relationships/hyperlink" Target="https://youtu.be/X63aofXj9ZM" TargetMode="External"/><Relationship Id="rId2102" Type="http://schemas.openxmlformats.org/officeDocument/2006/relationships/hyperlink" Target="https://youtu.be/7r9zq6pMP00" TargetMode="External"/><Relationship Id="rId2101" Type="http://schemas.openxmlformats.org/officeDocument/2006/relationships/hyperlink" Target="https://youtu.be/veMnIIrUTBI" TargetMode="External"/><Relationship Id="rId2100" Type="http://schemas.openxmlformats.org/officeDocument/2006/relationships/hyperlink" Target="https://youtu.be/4CAfk0n9D0k" TargetMode="External"/><Relationship Id="rId210" Type="http://schemas.openxmlformats.org/officeDocument/2006/relationships/hyperlink" Target="https://youtu.be/J-9rLkJfhPI" TargetMode="External"/><Relationship Id="rId21" Type="http://schemas.openxmlformats.org/officeDocument/2006/relationships/hyperlink" Target="https://youtu.be/_r1aWHWJCUU" TargetMode="External"/><Relationship Id="rId2099" Type="http://schemas.openxmlformats.org/officeDocument/2006/relationships/hyperlink" Target="https://youtu.be/zs8ayL6EDzM" TargetMode="External"/><Relationship Id="rId2098" Type="http://schemas.openxmlformats.org/officeDocument/2006/relationships/hyperlink" Target="https://youtu.be/FbfEUwfRalc" TargetMode="External"/><Relationship Id="rId2097" Type="http://schemas.openxmlformats.org/officeDocument/2006/relationships/hyperlink" Target="https://youtu.be/McjiEjec0E8" TargetMode="External"/><Relationship Id="rId2096" Type="http://schemas.openxmlformats.org/officeDocument/2006/relationships/hyperlink" Target="https://youtu.be/BD1q7ILnIMw" TargetMode="External"/><Relationship Id="rId2095" Type="http://schemas.openxmlformats.org/officeDocument/2006/relationships/hyperlink" Target="https://youtu.be/4uoeGtM_AVA" TargetMode="External"/><Relationship Id="rId2094" Type="http://schemas.openxmlformats.org/officeDocument/2006/relationships/hyperlink" Target="https://youtu.be/TSiGW70kusI" TargetMode="External"/><Relationship Id="rId2093" Type="http://schemas.openxmlformats.org/officeDocument/2006/relationships/hyperlink" Target="https://youtu.be/e2yvyHhvkwM" TargetMode="External"/><Relationship Id="rId2092" Type="http://schemas.openxmlformats.org/officeDocument/2006/relationships/hyperlink" Target="https://youtu.be/cY6BWalV39o" TargetMode="External"/><Relationship Id="rId2091" Type="http://schemas.openxmlformats.org/officeDocument/2006/relationships/hyperlink" Target="https://youtu.be/XbIf7FrfKHA" TargetMode="External"/><Relationship Id="rId2090" Type="http://schemas.openxmlformats.org/officeDocument/2006/relationships/hyperlink" Target="https://youtu.be/5bhW2h08zhY" TargetMode="External"/><Relationship Id="rId209" Type="http://schemas.openxmlformats.org/officeDocument/2006/relationships/hyperlink" Target="https://youtu.be/tBbdtV53OSc" TargetMode="External"/><Relationship Id="rId2089" Type="http://schemas.openxmlformats.org/officeDocument/2006/relationships/hyperlink" Target="https://youtu.be/urY1AEVGyIY" TargetMode="External"/><Relationship Id="rId2088" Type="http://schemas.openxmlformats.org/officeDocument/2006/relationships/hyperlink" Target="https://youtu.be/DA_b1XPYxkc" TargetMode="External"/><Relationship Id="rId2087" Type="http://schemas.openxmlformats.org/officeDocument/2006/relationships/hyperlink" Target="https://youtu.be/Zb5uU1DcT_c" TargetMode="External"/><Relationship Id="rId2086" Type="http://schemas.openxmlformats.org/officeDocument/2006/relationships/hyperlink" Target="https://youtu.be/t0j4vW0UJYU" TargetMode="External"/><Relationship Id="rId2085" Type="http://schemas.openxmlformats.org/officeDocument/2006/relationships/hyperlink" Target="https://youtu.be/_7ZHzjXZ_nw" TargetMode="External"/><Relationship Id="rId2084" Type="http://schemas.openxmlformats.org/officeDocument/2006/relationships/hyperlink" Target="https://youtu.be/P1M6gxvuPrM" TargetMode="External"/><Relationship Id="rId2083" Type="http://schemas.openxmlformats.org/officeDocument/2006/relationships/hyperlink" Target="https://youtu.be/ULU7ha1GTjs" TargetMode="External"/><Relationship Id="rId2082" Type="http://schemas.openxmlformats.org/officeDocument/2006/relationships/hyperlink" Target="https://youtu.be/PDVkBV-dnkU" TargetMode="External"/><Relationship Id="rId2081" Type="http://schemas.openxmlformats.org/officeDocument/2006/relationships/hyperlink" Target="https://youtu.be/6ZzxU8qAnn8" TargetMode="External"/><Relationship Id="rId2080" Type="http://schemas.openxmlformats.org/officeDocument/2006/relationships/hyperlink" Target="https://youtu.be/bGJXj6tei2k" TargetMode="External"/><Relationship Id="rId208" Type="http://schemas.openxmlformats.org/officeDocument/2006/relationships/hyperlink" Target="https://youtu.be/1p-SmukIL-M" TargetMode="External"/><Relationship Id="rId2079" Type="http://schemas.openxmlformats.org/officeDocument/2006/relationships/hyperlink" Target="https://youtu.be/sd4LrHfqa-Y" TargetMode="External"/><Relationship Id="rId2078" Type="http://schemas.openxmlformats.org/officeDocument/2006/relationships/hyperlink" Target="https://youtu.be/2ti1LBk119E" TargetMode="External"/><Relationship Id="rId2077" Type="http://schemas.openxmlformats.org/officeDocument/2006/relationships/hyperlink" Target="https://youtu.be/k6Seub90tGQ" TargetMode="External"/><Relationship Id="rId2076" Type="http://schemas.openxmlformats.org/officeDocument/2006/relationships/hyperlink" Target="https://youtu.be/q08YgivkPdI" TargetMode="External"/><Relationship Id="rId2075" Type="http://schemas.openxmlformats.org/officeDocument/2006/relationships/hyperlink" Target="https://youtu.be/g5GFPEEsJGQ" TargetMode="External"/><Relationship Id="rId2074" Type="http://schemas.openxmlformats.org/officeDocument/2006/relationships/hyperlink" Target="https://youtu.be/J1QuGKpFnlg" TargetMode="External"/><Relationship Id="rId2073" Type="http://schemas.openxmlformats.org/officeDocument/2006/relationships/hyperlink" Target="https://youtu.be/lIOgeONyOos" TargetMode="External"/><Relationship Id="rId2072" Type="http://schemas.openxmlformats.org/officeDocument/2006/relationships/hyperlink" Target="https://youtu.be/F9hrKGOpW_I" TargetMode="External"/><Relationship Id="rId2071" Type="http://schemas.openxmlformats.org/officeDocument/2006/relationships/hyperlink" Target="https://youtu.be/Rxhv5lzXUgc" TargetMode="External"/><Relationship Id="rId2070" Type="http://schemas.openxmlformats.org/officeDocument/2006/relationships/hyperlink" Target="https://youtu.be/tbIt8m9cnFA" TargetMode="External"/><Relationship Id="rId207" Type="http://schemas.openxmlformats.org/officeDocument/2006/relationships/hyperlink" Target="https://youtu.be/3xbRfU_kAlM" TargetMode="External"/><Relationship Id="rId2069" Type="http://schemas.openxmlformats.org/officeDocument/2006/relationships/hyperlink" Target="https://youtu.be/Z62z64-AyH0" TargetMode="External"/><Relationship Id="rId2068" Type="http://schemas.openxmlformats.org/officeDocument/2006/relationships/hyperlink" Target="https://youtu.be/_D0DxtKj0mc" TargetMode="External"/><Relationship Id="rId2067" Type="http://schemas.openxmlformats.org/officeDocument/2006/relationships/hyperlink" Target="https://youtu.be/3c0hfqHRwro" TargetMode="External"/><Relationship Id="rId2066" Type="http://schemas.openxmlformats.org/officeDocument/2006/relationships/hyperlink" Target="https://youtu.be/L0AiXuPy9Dg" TargetMode="External"/><Relationship Id="rId2065" Type="http://schemas.openxmlformats.org/officeDocument/2006/relationships/hyperlink" Target="https://youtu.be/pMMwLi6UGrs" TargetMode="External"/><Relationship Id="rId2064" Type="http://schemas.openxmlformats.org/officeDocument/2006/relationships/hyperlink" Target="https://youtu.be/pKwLR93tf4k" TargetMode="External"/><Relationship Id="rId2063" Type="http://schemas.openxmlformats.org/officeDocument/2006/relationships/hyperlink" Target="https://youtu.be/WbuProXpilE" TargetMode="External"/><Relationship Id="rId2062" Type="http://schemas.openxmlformats.org/officeDocument/2006/relationships/hyperlink" Target="https://youtu.be/RMbSPnC-RIM" TargetMode="External"/><Relationship Id="rId2061" Type="http://schemas.openxmlformats.org/officeDocument/2006/relationships/hyperlink" Target="https://youtu.be/tlNjniFCXMg" TargetMode="External"/><Relationship Id="rId2060" Type="http://schemas.openxmlformats.org/officeDocument/2006/relationships/hyperlink" Target="https://youtu.be/7ksgMkDeLoM" TargetMode="External"/><Relationship Id="rId206" Type="http://schemas.openxmlformats.org/officeDocument/2006/relationships/hyperlink" Target="https://youtu.be/UPOQD6Pz79k" TargetMode="External"/><Relationship Id="rId2059" Type="http://schemas.openxmlformats.org/officeDocument/2006/relationships/hyperlink" Target="https://youtu.be/5P_SYRk30k0" TargetMode="External"/><Relationship Id="rId2058" Type="http://schemas.openxmlformats.org/officeDocument/2006/relationships/hyperlink" Target="https://youtu.be/zpHhxAg8pog" TargetMode="External"/><Relationship Id="rId2057" Type="http://schemas.openxmlformats.org/officeDocument/2006/relationships/hyperlink" Target="https://youtu.be/zdXjwiopT9Y" TargetMode="External"/><Relationship Id="rId2056" Type="http://schemas.openxmlformats.org/officeDocument/2006/relationships/hyperlink" Target="https://youtu.be/yrRE7rKEc_4" TargetMode="External"/><Relationship Id="rId2055" Type="http://schemas.openxmlformats.org/officeDocument/2006/relationships/hyperlink" Target="https://youtu.be/QA8-RLLO9EI" TargetMode="External"/><Relationship Id="rId2054" Type="http://schemas.openxmlformats.org/officeDocument/2006/relationships/hyperlink" Target="https://youtu.be/cAb4BHFYotY" TargetMode="External"/><Relationship Id="rId2053" Type="http://schemas.openxmlformats.org/officeDocument/2006/relationships/hyperlink" Target="https://youtu.be/DFmi3itKRT0" TargetMode="External"/><Relationship Id="rId2052" Type="http://schemas.openxmlformats.org/officeDocument/2006/relationships/hyperlink" Target="https://youtu.be/XyMzPnoUmBk" TargetMode="External"/><Relationship Id="rId2051" Type="http://schemas.openxmlformats.org/officeDocument/2006/relationships/hyperlink" Target="https://youtu.be/EJxwWpaGoJs" TargetMode="External"/><Relationship Id="rId2050" Type="http://schemas.openxmlformats.org/officeDocument/2006/relationships/hyperlink" Target="https://youtu.be/PtyDxLMvozs" TargetMode="External"/><Relationship Id="rId205" Type="http://schemas.openxmlformats.org/officeDocument/2006/relationships/hyperlink" Target="https://youtu.be/gRG80Wr1ETo" TargetMode="External"/><Relationship Id="rId2049" Type="http://schemas.openxmlformats.org/officeDocument/2006/relationships/hyperlink" Target="https://youtu.be/xv4ON7nvFO8" TargetMode="External"/><Relationship Id="rId2048" Type="http://schemas.openxmlformats.org/officeDocument/2006/relationships/hyperlink" Target="https://youtu.be/Bb1a0dbcni8" TargetMode="External"/><Relationship Id="rId2047" Type="http://schemas.openxmlformats.org/officeDocument/2006/relationships/hyperlink" Target="https://youtu.be/ecq8QwKqLuY" TargetMode="External"/><Relationship Id="rId2046" Type="http://schemas.openxmlformats.org/officeDocument/2006/relationships/hyperlink" Target="https://youtu.be/yXuUJgkKd_Y" TargetMode="External"/><Relationship Id="rId2045" Type="http://schemas.openxmlformats.org/officeDocument/2006/relationships/hyperlink" Target="https://youtu.be/d4hPWdRIgHQ" TargetMode="External"/><Relationship Id="rId2044" Type="http://schemas.openxmlformats.org/officeDocument/2006/relationships/hyperlink" Target="https://youtu.be/wVtO-8XKhVE" TargetMode="External"/><Relationship Id="rId2043" Type="http://schemas.openxmlformats.org/officeDocument/2006/relationships/hyperlink" Target="https://youtu.be/hMZw19F0lek" TargetMode="External"/><Relationship Id="rId2042" Type="http://schemas.openxmlformats.org/officeDocument/2006/relationships/hyperlink" Target="https://youtu.be/hGO1F6Qdwfk" TargetMode="External"/><Relationship Id="rId2041" Type="http://schemas.openxmlformats.org/officeDocument/2006/relationships/hyperlink" Target="https://youtu.be/2NWldRsZvUw" TargetMode="External"/><Relationship Id="rId2040" Type="http://schemas.openxmlformats.org/officeDocument/2006/relationships/hyperlink" Target="https://youtu.be/f8b_BhUHlNw" TargetMode="External"/><Relationship Id="rId204" Type="http://schemas.openxmlformats.org/officeDocument/2006/relationships/hyperlink" Target="https://youtu.be/vidNfbTDgoE" TargetMode="External"/><Relationship Id="rId2039" Type="http://schemas.openxmlformats.org/officeDocument/2006/relationships/hyperlink" Target="https://youtu.be/LaMVihIWJps" TargetMode="External"/><Relationship Id="rId2038" Type="http://schemas.openxmlformats.org/officeDocument/2006/relationships/hyperlink" Target="https://youtu.be/kqq-4QqZPi0" TargetMode="External"/><Relationship Id="rId2037" Type="http://schemas.openxmlformats.org/officeDocument/2006/relationships/hyperlink" Target="https://youtu.be/DQX1kajzy0M" TargetMode="External"/><Relationship Id="rId2036" Type="http://schemas.openxmlformats.org/officeDocument/2006/relationships/hyperlink" Target="https://youtu.be/ZJt6AA2lFRs" TargetMode="External"/><Relationship Id="rId2035" Type="http://schemas.openxmlformats.org/officeDocument/2006/relationships/hyperlink" Target="https://youtu.be/l6GmuRY5bHA" TargetMode="External"/><Relationship Id="rId2034" Type="http://schemas.openxmlformats.org/officeDocument/2006/relationships/hyperlink" Target="https://youtu.be/LxqZOb68mrA" TargetMode="External"/><Relationship Id="rId2033" Type="http://schemas.openxmlformats.org/officeDocument/2006/relationships/hyperlink" Target="https://youtu.be/EHjWfarVyZc" TargetMode="External"/><Relationship Id="rId2032" Type="http://schemas.openxmlformats.org/officeDocument/2006/relationships/hyperlink" Target="https://youtu.be/2uP-0oqmyiA" TargetMode="External"/><Relationship Id="rId2031" Type="http://schemas.openxmlformats.org/officeDocument/2006/relationships/hyperlink" Target="https://youtu.be/hCWqNy6tVOM" TargetMode="External"/><Relationship Id="rId2030" Type="http://schemas.openxmlformats.org/officeDocument/2006/relationships/hyperlink" Target="https://youtu.be/ijig1A2ViRo" TargetMode="External"/><Relationship Id="rId203" Type="http://schemas.openxmlformats.org/officeDocument/2006/relationships/hyperlink" Target="https://youtu.be/NVvDAbTfDaw" TargetMode="External"/><Relationship Id="rId2029" Type="http://schemas.openxmlformats.org/officeDocument/2006/relationships/hyperlink" Target="https://youtu.be/K5ZBdhCLb-I" TargetMode="External"/><Relationship Id="rId2028" Type="http://schemas.openxmlformats.org/officeDocument/2006/relationships/hyperlink" Target="https://youtu.be/t5OxLeajz6I" TargetMode="External"/><Relationship Id="rId2027" Type="http://schemas.openxmlformats.org/officeDocument/2006/relationships/hyperlink" Target="https://youtu.be/HdE2xs4ccF0" TargetMode="External"/><Relationship Id="rId2026" Type="http://schemas.openxmlformats.org/officeDocument/2006/relationships/hyperlink" Target="https://youtu.be/h8SRnSTXe_k" TargetMode="External"/><Relationship Id="rId2025" Type="http://schemas.openxmlformats.org/officeDocument/2006/relationships/hyperlink" Target="https://youtu.be/vdQ5rFSH7c4" TargetMode="External"/><Relationship Id="rId2024" Type="http://schemas.openxmlformats.org/officeDocument/2006/relationships/hyperlink" Target="https://youtu.be/xaWSAEZ6Pkw" TargetMode="External"/><Relationship Id="rId2023" Type="http://schemas.openxmlformats.org/officeDocument/2006/relationships/hyperlink" Target="https://youtu.be/UFzz5fp2fCg" TargetMode="External"/><Relationship Id="rId2022" Type="http://schemas.openxmlformats.org/officeDocument/2006/relationships/hyperlink" Target="https://youtu.be/yAySSOI_QLo" TargetMode="External"/><Relationship Id="rId2021" Type="http://schemas.openxmlformats.org/officeDocument/2006/relationships/hyperlink" Target="https://youtu.be/H3zbyzuFA6I" TargetMode="External"/><Relationship Id="rId2020" Type="http://schemas.openxmlformats.org/officeDocument/2006/relationships/hyperlink" Target="https://youtu.be/wNwLmrxoXDU" TargetMode="External"/><Relationship Id="rId202" Type="http://schemas.openxmlformats.org/officeDocument/2006/relationships/hyperlink" Target="https://youtu.be/69uT90tEJdE" TargetMode="External"/><Relationship Id="rId2019" Type="http://schemas.openxmlformats.org/officeDocument/2006/relationships/hyperlink" Target="https://youtu.be/qalaQrZRm2M" TargetMode="External"/><Relationship Id="rId2018" Type="http://schemas.openxmlformats.org/officeDocument/2006/relationships/hyperlink" Target="https://youtu.be/Epe1nRh7jWE" TargetMode="External"/><Relationship Id="rId2017" Type="http://schemas.openxmlformats.org/officeDocument/2006/relationships/hyperlink" Target="https://youtu.be/mj9aPD4wvxE" TargetMode="External"/><Relationship Id="rId2016" Type="http://schemas.openxmlformats.org/officeDocument/2006/relationships/hyperlink" Target="https://youtu.be/seQapSJupaM" TargetMode="External"/><Relationship Id="rId2015" Type="http://schemas.openxmlformats.org/officeDocument/2006/relationships/hyperlink" Target="https://youtu.be/MUsHccM00eU" TargetMode="External"/><Relationship Id="rId2014" Type="http://schemas.openxmlformats.org/officeDocument/2006/relationships/hyperlink" Target="https://youtu.be/i_IWCj_Htko" TargetMode="External"/><Relationship Id="rId2013" Type="http://schemas.openxmlformats.org/officeDocument/2006/relationships/hyperlink" Target="https://youtu.be/IztSuNo7z0s" TargetMode="External"/><Relationship Id="rId2012" Type="http://schemas.openxmlformats.org/officeDocument/2006/relationships/hyperlink" Target="https://youtu.be/wjkzIKpthqk" TargetMode="External"/><Relationship Id="rId2011" Type="http://schemas.openxmlformats.org/officeDocument/2006/relationships/hyperlink" Target="https://youtu.be/oywH-z6nTTQ" TargetMode="External"/><Relationship Id="rId2010" Type="http://schemas.openxmlformats.org/officeDocument/2006/relationships/hyperlink" Target="https://youtu.be/DaElspuqbUA" TargetMode="External"/><Relationship Id="rId201" Type="http://schemas.openxmlformats.org/officeDocument/2006/relationships/hyperlink" Target="https://youtu.be/bw79tvdiARI" TargetMode="External"/><Relationship Id="rId2009" Type="http://schemas.openxmlformats.org/officeDocument/2006/relationships/hyperlink" Target="https://youtu.be/hM25uYAQWeo" TargetMode="External"/><Relationship Id="rId2008" Type="http://schemas.openxmlformats.org/officeDocument/2006/relationships/hyperlink" Target="https://youtu.be/aNSGTbS3xuQ" TargetMode="External"/><Relationship Id="rId2007" Type="http://schemas.openxmlformats.org/officeDocument/2006/relationships/hyperlink" Target="https://youtu.be/wSfU2uxoFUw" TargetMode="External"/><Relationship Id="rId2006" Type="http://schemas.openxmlformats.org/officeDocument/2006/relationships/hyperlink" Target="https://youtu.be/4BmybiFW6_8" TargetMode="External"/><Relationship Id="rId2005" Type="http://schemas.openxmlformats.org/officeDocument/2006/relationships/hyperlink" Target="https://youtu.be/-PCXw6zxXnk" TargetMode="External"/><Relationship Id="rId2004" Type="http://schemas.openxmlformats.org/officeDocument/2006/relationships/hyperlink" Target="https://youtu.be/9jlYzc_Ketg" TargetMode="External"/><Relationship Id="rId2003" Type="http://schemas.openxmlformats.org/officeDocument/2006/relationships/hyperlink" Target="https://youtu.be/8s0XVv6jffk" TargetMode="External"/><Relationship Id="rId2002" Type="http://schemas.openxmlformats.org/officeDocument/2006/relationships/hyperlink" Target="https://youtu.be/pwgPTin9pnM" TargetMode="External"/><Relationship Id="rId2001" Type="http://schemas.openxmlformats.org/officeDocument/2006/relationships/hyperlink" Target="https://youtu.be/Qgs7c8NJVIg" TargetMode="External"/><Relationship Id="rId2000" Type="http://schemas.openxmlformats.org/officeDocument/2006/relationships/hyperlink" Target="https://youtu.be/Z3pvlI0WFi0" TargetMode="External"/><Relationship Id="rId200" Type="http://schemas.openxmlformats.org/officeDocument/2006/relationships/hyperlink" Target="https://youtu.be/WLhlRUnzbTM" TargetMode="External"/><Relationship Id="rId20" Type="http://schemas.openxmlformats.org/officeDocument/2006/relationships/hyperlink" Target="https://youtu.be/dH_VIeB8jvU" TargetMode="External"/><Relationship Id="rId2" Type="http://schemas.openxmlformats.org/officeDocument/2006/relationships/hyperlink" Target="https://files.afu.se/Downloads/Transcripts/0%20-%20Government/USA%20-%20NASA/" TargetMode="External"/><Relationship Id="rId1999" Type="http://schemas.openxmlformats.org/officeDocument/2006/relationships/hyperlink" Target="https://youtu.be/vSvPFrBjuHc" TargetMode="External"/><Relationship Id="rId1998" Type="http://schemas.openxmlformats.org/officeDocument/2006/relationships/hyperlink" Target="https://youtu.be/0jTdaOhG9wE" TargetMode="External"/><Relationship Id="rId1997" Type="http://schemas.openxmlformats.org/officeDocument/2006/relationships/hyperlink" Target="https://youtu.be/v64H35RDtR8" TargetMode="External"/><Relationship Id="rId1996" Type="http://schemas.openxmlformats.org/officeDocument/2006/relationships/hyperlink" Target="https://youtu.be/xAGwxl7FZWw" TargetMode="External"/><Relationship Id="rId1995" Type="http://schemas.openxmlformats.org/officeDocument/2006/relationships/hyperlink" Target="https://youtu.be/qWPZTjd7Kk8" TargetMode="External"/><Relationship Id="rId1994" Type="http://schemas.openxmlformats.org/officeDocument/2006/relationships/hyperlink" Target="https://youtu.be/TgqwjUGJ9eE" TargetMode="External"/><Relationship Id="rId1993" Type="http://schemas.openxmlformats.org/officeDocument/2006/relationships/hyperlink" Target="https://youtu.be/NRGjVDsrkA0" TargetMode="External"/><Relationship Id="rId1992" Type="http://schemas.openxmlformats.org/officeDocument/2006/relationships/hyperlink" Target="https://youtu.be/_IdKkLO-W_Q" TargetMode="External"/><Relationship Id="rId1991" Type="http://schemas.openxmlformats.org/officeDocument/2006/relationships/hyperlink" Target="https://youtu.be/IeYmvOx8x38" TargetMode="External"/><Relationship Id="rId1990" Type="http://schemas.openxmlformats.org/officeDocument/2006/relationships/hyperlink" Target="https://youtu.be/1N7ybMx_F-4" TargetMode="External"/><Relationship Id="rId199" Type="http://schemas.openxmlformats.org/officeDocument/2006/relationships/hyperlink" Target="https://youtu.be/w_eKC0bM6-M" TargetMode="External"/><Relationship Id="rId1989" Type="http://schemas.openxmlformats.org/officeDocument/2006/relationships/hyperlink" Target="https://youtu.be/lJJExh5U77c" TargetMode="External"/><Relationship Id="rId1988" Type="http://schemas.openxmlformats.org/officeDocument/2006/relationships/hyperlink" Target="https://youtu.be/PvOF5anPAwo" TargetMode="External"/><Relationship Id="rId1987" Type="http://schemas.openxmlformats.org/officeDocument/2006/relationships/hyperlink" Target="https://youtu.be/-8kGByu_EZk" TargetMode="External"/><Relationship Id="rId1986" Type="http://schemas.openxmlformats.org/officeDocument/2006/relationships/hyperlink" Target="https://youtu.be/Emaa0gbyJWo" TargetMode="External"/><Relationship Id="rId1985" Type="http://schemas.openxmlformats.org/officeDocument/2006/relationships/hyperlink" Target="https://youtu.be/dWr29KIs2Ns" TargetMode="External"/><Relationship Id="rId1984" Type="http://schemas.openxmlformats.org/officeDocument/2006/relationships/hyperlink" Target="https://youtu.be/8kz4_00l6m0" TargetMode="External"/><Relationship Id="rId1983" Type="http://schemas.openxmlformats.org/officeDocument/2006/relationships/hyperlink" Target="https://youtu.be/g4JXRH-2OIQ" TargetMode="External"/><Relationship Id="rId1982" Type="http://schemas.openxmlformats.org/officeDocument/2006/relationships/hyperlink" Target="https://youtu.be/D5w74zXnbTU" TargetMode="External"/><Relationship Id="rId1981" Type="http://schemas.openxmlformats.org/officeDocument/2006/relationships/hyperlink" Target="https://youtu.be/8cA0tiWPO_c" TargetMode="External"/><Relationship Id="rId1980" Type="http://schemas.openxmlformats.org/officeDocument/2006/relationships/hyperlink" Target="https://youtu.be/aPtFpKQaLSU" TargetMode="External"/><Relationship Id="rId198" Type="http://schemas.openxmlformats.org/officeDocument/2006/relationships/hyperlink" Target="https://youtu.be/el7RFWBlFDU" TargetMode="External"/><Relationship Id="rId1979" Type="http://schemas.openxmlformats.org/officeDocument/2006/relationships/hyperlink" Target="https://youtu.be/cFrTVYMHM44" TargetMode="External"/><Relationship Id="rId1978" Type="http://schemas.openxmlformats.org/officeDocument/2006/relationships/hyperlink" Target="https://youtu.be/uWfBj8VhnQQ" TargetMode="External"/><Relationship Id="rId1977" Type="http://schemas.openxmlformats.org/officeDocument/2006/relationships/hyperlink" Target="https://youtu.be/eFDVn2R3Edk" TargetMode="External"/><Relationship Id="rId1976" Type="http://schemas.openxmlformats.org/officeDocument/2006/relationships/hyperlink" Target="https://youtu.be/yCBzeIiYnmY" TargetMode="External"/><Relationship Id="rId1975" Type="http://schemas.openxmlformats.org/officeDocument/2006/relationships/hyperlink" Target="https://youtu.be/bcWJG54KCUI" TargetMode="External"/><Relationship Id="rId1974" Type="http://schemas.openxmlformats.org/officeDocument/2006/relationships/hyperlink" Target="https://youtu.be/zHxRPEaARBI" TargetMode="External"/><Relationship Id="rId1973" Type="http://schemas.openxmlformats.org/officeDocument/2006/relationships/hyperlink" Target="https://youtu.be/DIvVLyltJe8" TargetMode="External"/><Relationship Id="rId1972" Type="http://schemas.openxmlformats.org/officeDocument/2006/relationships/hyperlink" Target="https://youtu.be/-GTYaancYC8" TargetMode="External"/><Relationship Id="rId1971" Type="http://schemas.openxmlformats.org/officeDocument/2006/relationships/hyperlink" Target="https://youtu.be/pDWIu0YpHI0" TargetMode="External"/><Relationship Id="rId1970" Type="http://schemas.openxmlformats.org/officeDocument/2006/relationships/hyperlink" Target="https://youtu.be/fKCI7K2-NEE" TargetMode="External"/><Relationship Id="rId197" Type="http://schemas.openxmlformats.org/officeDocument/2006/relationships/hyperlink" Target="https://youtu.be/IDahq6brsSU" TargetMode="External"/><Relationship Id="rId1969" Type="http://schemas.openxmlformats.org/officeDocument/2006/relationships/hyperlink" Target="https://youtu.be/KsItO5AwOK8" TargetMode="External"/><Relationship Id="rId1968" Type="http://schemas.openxmlformats.org/officeDocument/2006/relationships/hyperlink" Target="https://youtu.be/TJ5e9O6yKlU" TargetMode="External"/><Relationship Id="rId1967" Type="http://schemas.openxmlformats.org/officeDocument/2006/relationships/hyperlink" Target="https://youtu.be/30jRZe9Ss6M" TargetMode="External"/><Relationship Id="rId1966" Type="http://schemas.openxmlformats.org/officeDocument/2006/relationships/hyperlink" Target="https://youtu.be/i2LsMaEub2M" TargetMode="External"/><Relationship Id="rId1965" Type="http://schemas.openxmlformats.org/officeDocument/2006/relationships/hyperlink" Target="https://youtu.be/2oxlEUf0uD4" TargetMode="External"/><Relationship Id="rId1964" Type="http://schemas.openxmlformats.org/officeDocument/2006/relationships/hyperlink" Target="https://youtu.be/zU8kz5fqrHA" TargetMode="External"/><Relationship Id="rId1963" Type="http://schemas.openxmlformats.org/officeDocument/2006/relationships/hyperlink" Target="https://youtu.be/nDQQUnyMtFM" TargetMode="External"/><Relationship Id="rId1962" Type="http://schemas.openxmlformats.org/officeDocument/2006/relationships/hyperlink" Target="https://youtu.be/7PoaG0yjIJM" TargetMode="External"/><Relationship Id="rId1961" Type="http://schemas.openxmlformats.org/officeDocument/2006/relationships/hyperlink" Target="https://youtu.be/dLDU0Ow9M_U" TargetMode="External"/><Relationship Id="rId1960" Type="http://schemas.openxmlformats.org/officeDocument/2006/relationships/hyperlink" Target="https://youtu.be/CRpUzeNWtIA" TargetMode="External"/><Relationship Id="rId196" Type="http://schemas.openxmlformats.org/officeDocument/2006/relationships/hyperlink" Target="https://youtu.be/aUGD9YcV5qo" TargetMode="External"/><Relationship Id="rId1959" Type="http://schemas.openxmlformats.org/officeDocument/2006/relationships/hyperlink" Target="https://youtu.be/m2bkJQah_dE" TargetMode="External"/><Relationship Id="rId1958" Type="http://schemas.openxmlformats.org/officeDocument/2006/relationships/hyperlink" Target="https://youtu.be/yEh4INCjeGQ" TargetMode="External"/><Relationship Id="rId1957" Type="http://schemas.openxmlformats.org/officeDocument/2006/relationships/hyperlink" Target="https://youtu.be/9wuPx1O6HQk" TargetMode="External"/><Relationship Id="rId1956" Type="http://schemas.openxmlformats.org/officeDocument/2006/relationships/hyperlink" Target="https://youtu.be/a6LnPFtKeoE" TargetMode="External"/><Relationship Id="rId1955" Type="http://schemas.openxmlformats.org/officeDocument/2006/relationships/hyperlink" Target="https://youtu.be/hwQtcJjaB3o" TargetMode="External"/><Relationship Id="rId1954" Type="http://schemas.openxmlformats.org/officeDocument/2006/relationships/hyperlink" Target="https://youtu.be/nBsYpLMeP1E" TargetMode="External"/><Relationship Id="rId1953" Type="http://schemas.openxmlformats.org/officeDocument/2006/relationships/hyperlink" Target="https://youtu.be/Na1pwRW4ZYc" TargetMode="External"/><Relationship Id="rId1952" Type="http://schemas.openxmlformats.org/officeDocument/2006/relationships/hyperlink" Target="https://youtu.be/CmohPIrfITw" TargetMode="External"/><Relationship Id="rId1951" Type="http://schemas.openxmlformats.org/officeDocument/2006/relationships/hyperlink" Target="https://youtu.be/dDE5XgVvJxE" TargetMode="External"/><Relationship Id="rId1950" Type="http://schemas.openxmlformats.org/officeDocument/2006/relationships/hyperlink" Target="https://youtu.be/ec15AZ1-Q1I" TargetMode="External"/><Relationship Id="rId195" Type="http://schemas.openxmlformats.org/officeDocument/2006/relationships/hyperlink" Target="https://youtu.be/a-flzdifn54" TargetMode="External"/><Relationship Id="rId1949" Type="http://schemas.openxmlformats.org/officeDocument/2006/relationships/hyperlink" Target="https://youtu.be/i-VNc1cSSPk" TargetMode="External"/><Relationship Id="rId1948" Type="http://schemas.openxmlformats.org/officeDocument/2006/relationships/hyperlink" Target="https://youtu.be/4RyP8O_NO2c" TargetMode="External"/><Relationship Id="rId1947" Type="http://schemas.openxmlformats.org/officeDocument/2006/relationships/hyperlink" Target="https://youtu.be/cBUxxH-hoKM" TargetMode="External"/><Relationship Id="rId1946" Type="http://schemas.openxmlformats.org/officeDocument/2006/relationships/hyperlink" Target="https://youtu.be/gHHVyXlkE1g" TargetMode="External"/><Relationship Id="rId1945" Type="http://schemas.openxmlformats.org/officeDocument/2006/relationships/hyperlink" Target="https://youtu.be/r2s1ZJjeQGI" TargetMode="External"/><Relationship Id="rId1944" Type="http://schemas.openxmlformats.org/officeDocument/2006/relationships/hyperlink" Target="https://youtu.be/ukcZodM9j8E" TargetMode="External"/><Relationship Id="rId1943" Type="http://schemas.openxmlformats.org/officeDocument/2006/relationships/hyperlink" Target="https://youtu.be/MiSkRYg_3wI" TargetMode="External"/><Relationship Id="rId1942" Type="http://schemas.openxmlformats.org/officeDocument/2006/relationships/hyperlink" Target="https://youtu.be/m1pno_CKpAw" TargetMode="External"/><Relationship Id="rId1941" Type="http://schemas.openxmlformats.org/officeDocument/2006/relationships/hyperlink" Target="https://youtu.be/oj164sgu72Y" TargetMode="External"/><Relationship Id="rId1940" Type="http://schemas.openxmlformats.org/officeDocument/2006/relationships/hyperlink" Target="https://youtu.be/ytHXbXNBTBk" TargetMode="External"/><Relationship Id="rId194" Type="http://schemas.openxmlformats.org/officeDocument/2006/relationships/hyperlink" Target="https://youtu.be/PR7FzjwFAVY" TargetMode="External"/><Relationship Id="rId1939" Type="http://schemas.openxmlformats.org/officeDocument/2006/relationships/hyperlink" Target="https://youtu.be/Dt6PRjH0T2A" TargetMode="External"/><Relationship Id="rId1938" Type="http://schemas.openxmlformats.org/officeDocument/2006/relationships/hyperlink" Target="https://youtu.be/Vy9IzhbHxBY" TargetMode="External"/><Relationship Id="rId1937" Type="http://schemas.openxmlformats.org/officeDocument/2006/relationships/hyperlink" Target="https://youtu.be/vzNmGRPVoCo" TargetMode="External"/><Relationship Id="rId1936" Type="http://schemas.openxmlformats.org/officeDocument/2006/relationships/hyperlink" Target="https://youtu.be/o1oKkLiJa4U" TargetMode="External"/><Relationship Id="rId1935" Type="http://schemas.openxmlformats.org/officeDocument/2006/relationships/hyperlink" Target="https://youtu.be/wSlDQPys4CM" TargetMode="External"/><Relationship Id="rId1934" Type="http://schemas.openxmlformats.org/officeDocument/2006/relationships/hyperlink" Target="https://youtu.be/DeoQ4il7LQk" TargetMode="External"/><Relationship Id="rId1933" Type="http://schemas.openxmlformats.org/officeDocument/2006/relationships/hyperlink" Target="https://youtu.be/kXY-rvHxcd0" TargetMode="External"/><Relationship Id="rId1932" Type="http://schemas.openxmlformats.org/officeDocument/2006/relationships/hyperlink" Target="https://youtu.be/t3Gw9uZc4IE" TargetMode="External"/><Relationship Id="rId1931" Type="http://schemas.openxmlformats.org/officeDocument/2006/relationships/hyperlink" Target="https://youtu.be/5dv0gYjVw2k" TargetMode="External"/><Relationship Id="rId1930" Type="http://schemas.openxmlformats.org/officeDocument/2006/relationships/hyperlink" Target="https://youtu.be/gymAPmChPMM" TargetMode="External"/><Relationship Id="rId193" Type="http://schemas.openxmlformats.org/officeDocument/2006/relationships/hyperlink" Target="https://youtu.be/S_hjXtzrhW8" TargetMode="External"/><Relationship Id="rId1929" Type="http://schemas.openxmlformats.org/officeDocument/2006/relationships/hyperlink" Target="https://youtu.be/AQV6Za0kgfA" TargetMode="External"/><Relationship Id="rId1928" Type="http://schemas.openxmlformats.org/officeDocument/2006/relationships/hyperlink" Target="https://youtu.be/hhpBUJ1ft_o" TargetMode="External"/><Relationship Id="rId1927" Type="http://schemas.openxmlformats.org/officeDocument/2006/relationships/hyperlink" Target="https://youtu.be/nTAhl1Ud5QY" TargetMode="External"/><Relationship Id="rId1926" Type="http://schemas.openxmlformats.org/officeDocument/2006/relationships/hyperlink" Target="https://youtu.be/GwfPDuW6G5U" TargetMode="External"/><Relationship Id="rId1925" Type="http://schemas.openxmlformats.org/officeDocument/2006/relationships/hyperlink" Target="https://youtu.be/HTh8tHpN-po" TargetMode="External"/><Relationship Id="rId1924" Type="http://schemas.openxmlformats.org/officeDocument/2006/relationships/hyperlink" Target="https://youtu.be/edUI6xqFTMM" TargetMode="External"/><Relationship Id="rId1923" Type="http://schemas.openxmlformats.org/officeDocument/2006/relationships/hyperlink" Target="https://youtu.be/hD4WX-X0hBc" TargetMode="External"/><Relationship Id="rId1922" Type="http://schemas.openxmlformats.org/officeDocument/2006/relationships/hyperlink" Target="https://youtu.be/oUhyF5r19ZE" TargetMode="External"/><Relationship Id="rId1921" Type="http://schemas.openxmlformats.org/officeDocument/2006/relationships/hyperlink" Target="https://youtu.be/pHtdzWZoNfY" TargetMode="External"/><Relationship Id="rId1920" Type="http://schemas.openxmlformats.org/officeDocument/2006/relationships/hyperlink" Target="https://youtu.be/SdJbkZMhWpE" TargetMode="External"/><Relationship Id="rId192" Type="http://schemas.openxmlformats.org/officeDocument/2006/relationships/hyperlink" Target="https://youtu.be/NWxmJfXa304" TargetMode="External"/><Relationship Id="rId1919" Type="http://schemas.openxmlformats.org/officeDocument/2006/relationships/hyperlink" Target="https://youtu.be/gg72loB2DAU" TargetMode="External"/><Relationship Id="rId1918" Type="http://schemas.openxmlformats.org/officeDocument/2006/relationships/hyperlink" Target="https://youtu.be/ofq1v_eCbcg" TargetMode="External"/><Relationship Id="rId1917" Type="http://schemas.openxmlformats.org/officeDocument/2006/relationships/hyperlink" Target="https://youtu.be/2jOq1EsfZu8" TargetMode="External"/><Relationship Id="rId1916" Type="http://schemas.openxmlformats.org/officeDocument/2006/relationships/hyperlink" Target="https://youtu.be/LJaKlAGPWjk" TargetMode="External"/><Relationship Id="rId1915" Type="http://schemas.openxmlformats.org/officeDocument/2006/relationships/hyperlink" Target="https://youtu.be/jTbVCgAsmks" TargetMode="External"/><Relationship Id="rId1914" Type="http://schemas.openxmlformats.org/officeDocument/2006/relationships/hyperlink" Target="https://youtu.be/8GLpUbTHEMI" TargetMode="External"/><Relationship Id="rId1913" Type="http://schemas.openxmlformats.org/officeDocument/2006/relationships/hyperlink" Target="https://youtu.be/695jneVQrlY" TargetMode="External"/><Relationship Id="rId1912" Type="http://schemas.openxmlformats.org/officeDocument/2006/relationships/hyperlink" Target="https://youtu.be/Qr5lpydoYF8" TargetMode="External"/><Relationship Id="rId1911" Type="http://schemas.openxmlformats.org/officeDocument/2006/relationships/hyperlink" Target="https://youtu.be/ud2YwBnuu18" TargetMode="External"/><Relationship Id="rId1910" Type="http://schemas.openxmlformats.org/officeDocument/2006/relationships/hyperlink" Target="https://youtu.be/VvW0LrmTuj0" TargetMode="External"/><Relationship Id="rId191" Type="http://schemas.openxmlformats.org/officeDocument/2006/relationships/hyperlink" Target="https://youtu.be/je64UK6Bo8M" TargetMode="External"/><Relationship Id="rId1909" Type="http://schemas.openxmlformats.org/officeDocument/2006/relationships/hyperlink" Target="https://youtu.be/I26FFbTnvM8" TargetMode="External"/><Relationship Id="rId1908" Type="http://schemas.openxmlformats.org/officeDocument/2006/relationships/hyperlink" Target="https://youtu.be/_ssL65V-QME" TargetMode="External"/><Relationship Id="rId1907" Type="http://schemas.openxmlformats.org/officeDocument/2006/relationships/hyperlink" Target="https://youtu.be/rYYfcFdI6SU" TargetMode="External"/><Relationship Id="rId1906" Type="http://schemas.openxmlformats.org/officeDocument/2006/relationships/hyperlink" Target="https://youtu.be/4uP4pV-0fjA" TargetMode="External"/><Relationship Id="rId1905" Type="http://schemas.openxmlformats.org/officeDocument/2006/relationships/hyperlink" Target="https://youtu.be/-mykqdwInMg" TargetMode="External"/><Relationship Id="rId1904" Type="http://schemas.openxmlformats.org/officeDocument/2006/relationships/hyperlink" Target="https://youtu.be/fSVlc1sKdw0" TargetMode="External"/><Relationship Id="rId1903" Type="http://schemas.openxmlformats.org/officeDocument/2006/relationships/hyperlink" Target="https://youtu.be/QjLkOZMUjOs" TargetMode="External"/><Relationship Id="rId1902" Type="http://schemas.openxmlformats.org/officeDocument/2006/relationships/hyperlink" Target="https://youtu.be/_qZMHSbYNFY" TargetMode="External"/><Relationship Id="rId1901" Type="http://schemas.openxmlformats.org/officeDocument/2006/relationships/hyperlink" Target="https://youtu.be/9tIZfLDUWfc" TargetMode="External"/><Relationship Id="rId1900" Type="http://schemas.openxmlformats.org/officeDocument/2006/relationships/hyperlink" Target="https://youtu.be/HemD0zQ_jFY" TargetMode="External"/><Relationship Id="rId190" Type="http://schemas.openxmlformats.org/officeDocument/2006/relationships/hyperlink" Target="https://youtu.be/4DMYmoBI6k8" TargetMode="External"/><Relationship Id="rId19" Type="http://schemas.openxmlformats.org/officeDocument/2006/relationships/hyperlink" Target="https://youtu.be/jrDv0OdMt5s" TargetMode="External"/><Relationship Id="rId1899" Type="http://schemas.openxmlformats.org/officeDocument/2006/relationships/hyperlink" Target="https://youtu.be/9UtpbPY5kwo" TargetMode="External"/><Relationship Id="rId1898" Type="http://schemas.openxmlformats.org/officeDocument/2006/relationships/hyperlink" Target="https://youtu.be/E3tYOINjIsA" TargetMode="External"/><Relationship Id="rId1897" Type="http://schemas.openxmlformats.org/officeDocument/2006/relationships/hyperlink" Target="https://youtu.be/tEJwLvTtULE" TargetMode="External"/><Relationship Id="rId1896" Type="http://schemas.openxmlformats.org/officeDocument/2006/relationships/hyperlink" Target="https://youtu.be/Pl3P51HNXeg" TargetMode="External"/><Relationship Id="rId1895" Type="http://schemas.openxmlformats.org/officeDocument/2006/relationships/hyperlink" Target="https://youtu.be/M04J1_HYNgM" TargetMode="External"/><Relationship Id="rId1894" Type="http://schemas.openxmlformats.org/officeDocument/2006/relationships/hyperlink" Target="https://youtu.be/RBxQuxYvaXk" TargetMode="External"/><Relationship Id="rId1893" Type="http://schemas.openxmlformats.org/officeDocument/2006/relationships/hyperlink" Target="https://youtu.be/fbAinSTa37k" TargetMode="External"/><Relationship Id="rId1892" Type="http://schemas.openxmlformats.org/officeDocument/2006/relationships/hyperlink" Target="https://youtu.be/MRQ5B_ik2dU" TargetMode="External"/><Relationship Id="rId1891" Type="http://schemas.openxmlformats.org/officeDocument/2006/relationships/hyperlink" Target="https://youtu.be/P_5PUbFhFN4" TargetMode="External"/><Relationship Id="rId1890" Type="http://schemas.openxmlformats.org/officeDocument/2006/relationships/hyperlink" Target="https://youtu.be/flzGF6dkir0" TargetMode="External"/><Relationship Id="rId189" Type="http://schemas.openxmlformats.org/officeDocument/2006/relationships/hyperlink" Target="https://youtu.be/ttqTPtC0UGM" TargetMode="External"/><Relationship Id="rId1889" Type="http://schemas.openxmlformats.org/officeDocument/2006/relationships/hyperlink" Target="https://youtu.be/saDz7gZfF_0" TargetMode="External"/><Relationship Id="rId1888" Type="http://schemas.openxmlformats.org/officeDocument/2006/relationships/hyperlink" Target="https://youtu.be/XOFug-P5LXw" TargetMode="External"/><Relationship Id="rId1887" Type="http://schemas.openxmlformats.org/officeDocument/2006/relationships/hyperlink" Target="https://youtu.be/0liQYolMJAc" TargetMode="External"/><Relationship Id="rId1886" Type="http://schemas.openxmlformats.org/officeDocument/2006/relationships/hyperlink" Target="https://youtu.be/F2sR8_Kku3o" TargetMode="External"/><Relationship Id="rId1885" Type="http://schemas.openxmlformats.org/officeDocument/2006/relationships/hyperlink" Target="https://youtu.be/ZkeSAlRV4a4" TargetMode="External"/><Relationship Id="rId1884" Type="http://schemas.openxmlformats.org/officeDocument/2006/relationships/hyperlink" Target="https://youtu.be/Jivcn4_ccMQ" TargetMode="External"/><Relationship Id="rId1883" Type="http://schemas.openxmlformats.org/officeDocument/2006/relationships/hyperlink" Target="https://youtu.be/QuTBkWRyiCI" TargetMode="External"/><Relationship Id="rId1882" Type="http://schemas.openxmlformats.org/officeDocument/2006/relationships/hyperlink" Target="https://youtu.be/I3fsdHEOPes" TargetMode="External"/><Relationship Id="rId1881" Type="http://schemas.openxmlformats.org/officeDocument/2006/relationships/hyperlink" Target="https://youtu.be/ekXCaUwfSg0" TargetMode="External"/><Relationship Id="rId1880" Type="http://schemas.openxmlformats.org/officeDocument/2006/relationships/hyperlink" Target="https://youtu.be/XQ-S-7SVqqQ" TargetMode="External"/><Relationship Id="rId188" Type="http://schemas.openxmlformats.org/officeDocument/2006/relationships/hyperlink" Target="https://youtu.be/ntkpK9gwEU4" TargetMode="External"/><Relationship Id="rId1879" Type="http://schemas.openxmlformats.org/officeDocument/2006/relationships/hyperlink" Target="https://youtu.be/fQTOx7fpsCM" TargetMode="External"/><Relationship Id="rId1878" Type="http://schemas.openxmlformats.org/officeDocument/2006/relationships/hyperlink" Target="https://youtu.be/Q28LzAhEz9k" TargetMode="External"/><Relationship Id="rId1877" Type="http://schemas.openxmlformats.org/officeDocument/2006/relationships/hyperlink" Target="https://youtu.be/zof3HiB-_x8" TargetMode="External"/><Relationship Id="rId1876" Type="http://schemas.openxmlformats.org/officeDocument/2006/relationships/hyperlink" Target="https://youtu.be/H4kmBX0J3K8" TargetMode="External"/><Relationship Id="rId1875" Type="http://schemas.openxmlformats.org/officeDocument/2006/relationships/hyperlink" Target="https://youtu.be/ZLu4zEd9vpE" TargetMode="External"/><Relationship Id="rId1874" Type="http://schemas.openxmlformats.org/officeDocument/2006/relationships/hyperlink" Target="https://youtu.be/bEzxBZL7clc" TargetMode="External"/><Relationship Id="rId1873" Type="http://schemas.openxmlformats.org/officeDocument/2006/relationships/hyperlink" Target="https://youtu.be/wkyTzL3DZgI" TargetMode="External"/><Relationship Id="rId1872" Type="http://schemas.openxmlformats.org/officeDocument/2006/relationships/hyperlink" Target="https://youtu.be/8PnKBILf_4I" TargetMode="External"/><Relationship Id="rId1871" Type="http://schemas.openxmlformats.org/officeDocument/2006/relationships/hyperlink" Target="https://youtu.be/WYhQ70Bl8U4" TargetMode="External"/><Relationship Id="rId1870" Type="http://schemas.openxmlformats.org/officeDocument/2006/relationships/hyperlink" Target="https://youtu.be/5HfIxhkFFBg" TargetMode="External"/><Relationship Id="rId187" Type="http://schemas.openxmlformats.org/officeDocument/2006/relationships/hyperlink" Target="https://youtu.be/4ELrOBFe_ZE" TargetMode="External"/><Relationship Id="rId1869" Type="http://schemas.openxmlformats.org/officeDocument/2006/relationships/hyperlink" Target="https://youtu.be/iOdJ8-my7ls" TargetMode="External"/><Relationship Id="rId1868" Type="http://schemas.openxmlformats.org/officeDocument/2006/relationships/hyperlink" Target="https://youtu.be/b6duPV3BwcY" TargetMode="External"/><Relationship Id="rId1867" Type="http://schemas.openxmlformats.org/officeDocument/2006/relationships/hyperlink" Target="https://youtu.be/kR0US6JEGRU" TargetMode="External"/><Relationship Id="rId1866" Type="http://schemas.openxmlformats.org/officeDocument/2006/relationships/hyperlink" Target="https://youtu.be/WTMXkpL59Nw" TargetMode="External"/><Relationship Id="rId1865" Type="http://schemas.openxmlformats.org/officeDocument/2006/relationships/hyperlink" Target="https://youtu.be/c2MOF0tobOo" TargetMode="External"/><Relationship Id="rId1864" Type="http://schemas.openxmlformats.org/officeDocument/2006/relationships/hyperlink" Target="https://youtu.be/b-0WOnjPndM" TargetMode="External"/><Relationship Id="rId1863" Type="http://schemas.openxmlformats.org/officeDocument/2006/relationships/hyperlink" Target="https://youtu.be/oNufd4QWdjY" TargetMode="External"/><Relationship Id="rId1862" Type="http://schemas.openxmlformats.org/officeDocument/2006/relationships/hyperlink" Target="https://youtu.be/vGr8FH92cXc" TargetMode="External"/><Relationship Id="rId1861" Type="http://schemas.openxmlformats.org/officeDocument/2006/relationships/hyperlink" Target="https://youtu.be/8uHgmYKVpGQ" TargetMode="External"/><Relationship Id="rId1860" Type="http://schemas.openxmlformats.org/officeDocument/2006/relationships/hyperlink" Target="https://youtu.be/3mL6C3SxaPw" TargetMode="External"/><Relationship Id="rId186" Type="http://schemas.openxmlformats.org/officeDocument/2006/relationships/hyperlink" Target="https://youtu.be/KYNlp3AFZhw" TargetMode="External"/><Relationship Id="rId1859" Type="http://schemas.openxmlformats.org/officeDocument/2006/relationships/hyperlink" Target="https://youtu.be/gByLBHIsD6E" TargetMode="External"/><Relationship Id="rId1858" Type="http://schemas.openxmlformats.org/officeDocument/2006/relationships/hyperlink" Target="https://youtu.be/tWOiU2oJMSA" TargetMode="External"/><Relationship Id="rId1857" Type="http://schemas.openxmlformats.org/officeDocument/2006/relationships/hyperlink" Target="https://youtu.be/QMs7sWGm9q0" TargetMode="External"/><Relationship Id="rId1856" Type="http://schemas.openxmlformats.org/officeDocument/2006/relationships/hyperlink" Target="https://youtu.be/idA4Pq5Tchk" TargetMode="External"/><Relationship Id="rId1855" Type="http://schemas.openxmlformats.org/officeDocument/2006/relationships/hyperlink" Target="https://youtu.be/a7iflFfHQLw" TargetMode="External"/><Relationship Id="rId1854" Type="http://schemas.openxmlformats.org/officeDocument/2006/relationships/hyperlink" Target="https://youtu.be/tG_SbgWe1to" TargetMode="External"/><Relationship Id="rId1853" Type="http://schemas.openxmlformats.org/officeDocument/2006/relationships/hyperlink" Target="https://youtu.be/i0NeYaRZwos" TargetMode="External"/><Relationship Id="rId1852" Type="http://schemas.openxmlformats.org/officeDocument/2006/relationships/hyperlink" Target="https://youtu.be/pmzHbrv_fJ0" TargetMode="External"/><Relationship Id="rId1851" Type="http://schemas.openxmlformats.org/officeDocument/2006/relationships/hyperlink" Target="https://youtu.be/HBzUyuAXr_U" TargetMode="External"/><Relationship Id="rId1850" Type="http://schemas.openxmlformats.org/officeDocument/2006/relationships/hyperlink" Target="https://youtu.be/WOXFg61hfbA" TargetMode="External"/><Relationship Id="rId185" Type="http://schemas.openxmlformats.org/officeDocument/2006/relationships/hyperlink" Target="https://youtu.be/EslP8R8hK88" TargetMode="External"/><Relationship Id="rId1849" Type="http://schemas.openxmlformats.org/officeDocument/2006/relationships/hyperlink" Target="https://youtu.be/4DvyHJq9j-c" TargetMode="External"/><Relationship Id="rId1848" Type="http://schemas.openxmlformats.org/officeDocument/2006/relationships/hyperlink" Target="https://youtu.be/BOZC6Y9h0V4" TargetMode="External"/><Relationship Id="rId1847" Type="http://schemas.openxmlformats.org/officeDocument/2006/relationships/hyperlink" Target="https://youtu.be/1L4Ag603fiU" TargetMode="External"/><Relationship Id="rId1846" Type="http://schemas.openxmlformats.org/officeDocument/2006/relationships/hyperlink" Target="https://youtu.be/cUTiS_L3bXQ" TargetMode="External"/><Relationship Id="rId1845" Type="http://schemas.openxmlformats.org/officeDocument/2006/relationships/hyperlink" Target="https://youtu.be/OlugY_yg1HE" TargetMode="External"/><Relationship Id="rId1844" Type="http://schemas.openxmlformats.org/officeDocument/2006/relationships/hyperlink" Target="https://youtu.be/-Hmq3PEuvhI" TargetMode="External"/><Relationship Id="rId1843" Type="http://schemas.openxmlformats.org/officeDocument/2006/relationships/hyperlink" Target="https://youtu.be/vyq7wZrRCHo" TargetMode="External"/><Relationship Id="rId1842" Type="http://schemas.openxmlformats.org/officeDocument/2006/relationships/hyperlink" Target="https://youtu.be/bAw6Ajt-jpY" TargetMode="External"/><Relationship Id="rId1841" Type="http://schemas.openxmlformats.org/officeDocument/2006/relationships/hyperlink" Target="https://youtu.be/55dZyCBGEu4" TargetMode="External"/><Relationship Id="rId1840" Type="http://schemas.openxmlformats.org/officeDocument/2006/relationships/hyperlink" Target="https://youtu.be/VustKdXRG6w" TargetMode="External"/><Relationship Id="rId184" Type="http://schemas.openxmlformats.org/officeDocument/2006/relationships/hyperlink" Target="https://youtu.be/7Ns64uz0-AQ" TargetMode="External"/><Relationship Id="rId1839" Type="http://schemas.openxmlformats.org/officeDocument/2006/relationships/hyperlink" Target="https://youtu.be/hghjwQXdNco" TargetMode="External"/><Relationship Id="rId1838" Type="http://schemas.openxmlformats.org/officeDocument/2006/relationships/hyperlink" Target="https://youtu.be/ySMLYiJZBHc" TargetMode="External"/><Relationship Id="rId1837" Type="http://schemas.openxmlformats.org/officeDocument/2006/relationships/hyperlink" Target="https://youtu.be/jl0hZmvS35c" TargetMode="External"/><Relationship Id="rId1836" Type="http://schemas.openxmlformats.org/officeDocument/2006/relationships/hyperlink" Target="https://youtu.be/nEJ0TVgRbC8" TargetMode="External"/><Relationship Id="rId1835" Type="http://schemas.openxmlformats.org/officeDocument/2006/relationships/hyperlink" Target="https://youtu.be/z0y52W3TyQg" TargetMode="External"/><Relationship Id="rId1834" Type="http://schemas.openxmlformats.org/officeDocument/2006/relationships/hyperlink" Target="https://youtu.be/rpHLa2njn98" TargetMode="External"/><Relationship Id="rId1833" Type="http://schemas.openxmlformats.org/officeDocument/2006/relationships/hyperlink" Target="https://youtu.be/LOhMLodA3AI" TargetMode="External"/><Relationship Id="rId1832" Type="http://schemas.openxmlformats.org/officeDocument/2006/relationships/hyperlink" Target="https://youtu.be/PGy8vt3o5Oo" TargetMode="External"/><Relationship Id="rId1831" Type="http://schemas.openxmlformats.org/officeDocument/2006/relationships/hyperlink" Target="https://youtu.be/MPWzw-oTnm4" TargetMode="External"/><Relationship Id="rId1830" Type="http://schemas.openxmlformats.org/officeDocument/2006/relationships/hyperlink" Target="https://youtu.be/KycR4kguSII" TargetMode="External"/><Relationship Id="rId183" Type="http://schemas.openxmlformats.org/officeDocument/2006/relationships/hyperlink" Target="https://youtu.be/CI-_QT_u8mE" TargetMode="External"/><Relationship Id="rId1829" Type="http://schemas.openxmlformats.org/officeDocument/2006/relationships/hyperlink" Target="https://youtu.be/HpV9uNUztvI" TargetMode="External"/><Relationship Id="rId1828" Type="http://schemas.openxmlformats.org/officeDocument/2006/relationships/hyperlink" Target="https://youtu.be/-s8Ovg04xL8" TargetMode="External"/><Relationship Id="rId1827" Type="http://schemas.openxmlformats.org/officeDocument/2006/relationships/hyperlink" Target="https://youtu.be/jqwqLTDhVXk" TargetMode="External"/><Relationship Id="rId1826" Type="http://schemas.openxmlformats.org/officeDocument/2006/relationships/hyperlink" Target="https://youtu.be/y3vnhqOFMmI" TargetMode="External"/><Relationship Id="rId1825" Type="http://schemas.openxmlformats.org/officeDocument/2006/relationships/hyperlink" Target="https://youtu.be/At3CwMW2flg" TargetMode="External"/><Relationship Id="rId1824" Type="http://schemas.openxmlformats.org/officeDocument/2006/relationships/hyperlink" Target="https://youtu.be/_a9og3pAqxY" TargetMode="External"/><Relationship Id="rId1823" Type="http://schemas.openxmlformats.org/officeDocument/2006/relationships/hyperlink" Target="https://youtu.be/hlILijzVbLc" TargetMode="External"/><Relationship Id="rId1822" Type="http://schemas.openxmlformats.org/officeDocument/2006/relationships/hyperlink" Target="https://youtu.be/jSPrEuDVf6U" TargetMode="External"/><Relationship Id="rId1821" Type="http://schemas.openxmlformats.org/officeDocument/2006/relationships/hyperlink" Target="https://youtu.be/UCO-lwho1oU" TargetMode="External"/><Relationship Id="rId1820" Type="http://schemas.openxmlformats.org/officeDocument/2006/relationships/hyperlink" Target="https://youtu.be/QjECZVitU00" TargetMode="External"/><Relationship Id="rId182" Type="http://schemas.openxmlformats.org/officeDocument/2006/relationships/hyperlink" Target="https://youtu.be/_yUXG-Fk-X0" TargetMode="External"/><Relationship Id="rId1819" Type="http://schemas.openxmlformats.org/officeDocument/2006/relationships/hyperlink" Target="https://youtu.be/GpwvOnC-Sl8" TargetMode="External"/><Relationship Id="rId1818" Type="http://schemas.openxmlformats.org/officeDocument/2006/relationships/hyperlink" Target="https://youtu.be/NPLPmdFx2yw" TargetMode="External"/><Relationship Id="rId1817" Type="http://schemas.openxmlformats.org/officeDocument/2006/relationships/hyperlink" Target="https://youtu.be/FBboATdhxww" TargetMode="External"/><Relationship Id="rId1816" Type="http://schemas.openxmlformats.org/officeDocument/2006/relationships/hyperlink" Target="https://youtu.be/knN06v6UGUE" TargetMode="External"/><Relationship Id="rId1815" Type="http://schemas.openxmlformats.org/officeDocument/2006/relationships/hyperlink" Target="https://youtu.be/nq08YGDFu0w" TargetMode="External"/><Relationship Id="rId1814" Type="http://schemas.openxmlformats.org/officeDocument/2006/relationships/hyperlink" Target="https://youtu.be/4JDZQrnKkGo" TargetMode="External"/><Relationship Id="rId1813" Type="http://schemas.openxmlformats.org/officeDocument/2006/relationships/hyperlink" Target="https://youtu.be/4iaScOqvI64" TargetMode="External"/><Relationship Id="rId1812" Type="http://schemas.openxmlformats.org/officeDocument/2006/relationships/hyperlink" Target="https://youtu.be/M9WsTr29hNE" TargetMode="External"/><Relationship Id="rId1811" Type="http://schemas.openxmlformats.org/officeDocument/2006/relationships/hyperlink" Target="https://youtu.be/i4sMFq2CNGE" TargetMode="External"/><Relationship Id="rId1810" Type="http://schemas.openxmlformats.org/officeDocument/2006/relationships/hyperlink" Target="https://youtu.be/K351HVQwpr8" TargetMode="External"/><Relationship Id="rId181" Type="http://schemas.openxmlformats.org/officeDocument/2006/relationships/hyperlink" Target="https://youtu.be/3pq8El88_XI" TargetMode="External"/><Relationship Id="rId1809" Type="http://schemas.openxmlformats.org/officeDocument/2006/relationships/hyperlink" Target="https://youtu.be/NBJfVzvLIQ0" TargetMode="External"/><Relationship Id="rId1808" Type="http://schemas.openxmlformats.org/officeDocument/2006/relationships/hyperlink" Target="https://youtu.be/_4NNAN3ffRU" TargetMode="External"/><Relationship Id="rId1807" Type="http://schemas.openxmlformats.org/officeDocument/2006/relationships/hyperlink" Target="https://youtu.be/t3_5ahJ0-Lw" TargetMode="External"/><Relationship Id="rId1806" Type="http://schemas.openxmlformats.org/officeDocument/2006/relationships/hyperlink" Target="https://youtu.be/HvNbzQu-r80" TargetMode="External"/><Relationship Id="rId1805" Type="http://schemas.openxmlformats.org/officeDocument/2006/relationships/hyperlink" Target="https://youtu.be/Lxyp5IIGO48" TargetMode="External"/><Relationship Id="rId1804" Type="http://schemas.openxmlformats.org/officeDocument/2006/relationships/hyperlink" Target="https://youtu.be/3XQchueaE6k" TargetMode="External"/><Relationship Id="rId1803" Type="http://schemas.openxmlformats.org/officeDocument/2006/relationships/hyperlink" Target="https://youtu.be/2Sdxb-YSTvc" TargetMode="External"/><Relationship Id="rId1802" Type="http://schemas.openxmlformats.org/officeDocument/2006/relationships/hyperlink" Target="https://youtu.be/A5HTJVMOh_g" TargetMode="External"/><Relationship Id="rId1801" Type="http://schemas.openxmlformats.org/officeDocument/2006/relationships/hyperlink" Target="https://youtu.be/RoTJIzeLtGI" TargetMode="External"/><Relationship Id="rId1800" Type="http://schemas.openxmlformats.org/officeDocument/2006/relationships/hyperlink" Target="https://youtu.be/bLgzHutK1wo" TargetMode="External"/><Relationship Id="rId180" Type="http://schemas.openxmlformats.org/officeDocument/2006/relationships/hyperlink" Target="https://youtu.be/51WbSe5Qww4" TargetMode="External"/><Relationship Id="rId18" Type="http://schemas.openxmlformats.org/officeDocument/2006/relationships/hyperlink" Target="https://youtu.be/82GAxDyjUvw" TargetMode="External"/><Relationship Id="rId1799" Type="http://schemas.openxmlformats.org/officeDocument/2006/relationships/hyperlink" Target="https://youtu.be/B_em-FMhqHo" TargetMode="External"/><Relationship Id="rId1798" Type="http://schemas.openxmlformats.org/officeDocument/2006/relationships/hyperlink" Target="https://youtu.be/wSqgaRhgTmc" TargetMode="External"/><Relationship Id="rId1797" Type="http://schemas.openxmlformats.org/officeDocument/2006/relationships/hyperlink" Target="https://youtu.be/hw5ATY1arkM" TargetMode="External"/><Relationship Id="rId1796" Type="http://schemas.openxmlformats.org/officeDocument/2006/relationships/hyperlink" Target="https://youtu.be/PCzJkulsjbE" TargetMode="External"/><Relationship Id="rId1795" Type="http://schemas.openxmlformats.org/officeDocument/2006/relationships/hyperlink" Target="https://youtu.be/e3ypBgB2R3E" TargetMode="External"/><Relationship Id="rId1794" Type="http://schemas.openxmlformats.org/officeDocument/2006/relationships/hyperlink" Target="https://youtu.be/PVuXLBG52F4" TargetMode="External"/><Relationship Id="rId1793" Type="http://schemas.openxmlformats.org/officeDocument/2006/relationships/hyperlink" Target="https://youtu.be/FHbUvQl4EYA" TargetMode="External"/><Relationship Id="rId1792" Type="http://schemas.openxmlformats.org/officeDocument/2006/relationships/hyperlink" Target="https://youtu.be/x5pbUj3Arpg" TargetMode="External"/><Relationship Id="rId1791" Type="http://schemas.openxmlformats.org/officeDocument/2006/relationships/hyperlink" Target="https://youtu.be/2i8AlqomBwo" TargetMode="External"/><Relationship Id="rId1790" Type="http://schemas.openxmlformats.org/officeDocument/2006/relationships/hyperlink" Target="https://youtu.be/hnyOH4Ega2c" TargetMode="External"/><Relationship Id="rId179" Type="http://schemas.openxmlformats.org/officeDocument/2006/relationships/hyperlink" Target="https://youtu.be/mtsWDWCCSG0" TargetMode="External"/><Relationship Id="rId1789" Type="http://schemas.openxmlformats.org/officeDocument/2006/relationships/hyperlink" Target="https://youtu.be/B2HeIfuqZzw" TargetMode="External"/><Relationship Id="rId1788" Type="http://schemas.openxmlformats.org/officeDocument/2006/relationships/hyperlink" Target="https://youtu.be/fBvoIUDGPIM" TargetMode="External"/><Relationship Id="rId1787" Type="http://schemas.openxmlformats.org/officeDocument/2006/relationships/hyperlink" Target="https://youtu.be/Uh5YnXyjT5c" TargetMode="External"/><Relationship Id="rId1786" Type="http://schemas.openxmlformats.org/officeDocument/2006/relationships/hyperlink" Target="https://youtu.be/v_hCIk-zSKs" TargetMode="External"/><Relationship Id="rId1785" Type="http://schemas.openxmlformats.org/officeDocument/2006/relationships/hyperlink" Target="https://youtu.be/CtiPOsC2Vzg" TargetMode="External"/><Relationship Id="rId1784" Type="http://schemas.openxmlformats.org/officeDocument/2006/relationships/hyperlink" Target="https://youtu.be/zbhdq2P7gZo" TargetMode="External"/><Relationship Id="rId1783" Type="http://schemas.openxmlformats.org/officeDocument/2006/relationships/hyperlink" Target="https://youtu.be/3G8x_g__Lbs" TargetMode="External"/><Relationship Id="rId1782" Type="http://schemas.openxmlformats.org/officeDocument/2006/relationships/hyperlink" Target="https://youtu.be/whifN2A2aqE" TargetMode="External"/><Relationship Id="rId1781" Type="http://schemas.openxmlformats.org/officeDocument/2006/relationships/hyperlink" Target="https://youtu.be/Yz2t39XVStA" TargetMode="External"/><Relationship Id="rId1780" Type="http://schemas.openxmlformats.org/officeDocument/2006/relationships/hyperlink" Target="https://youtu.be/m-jx_DAw5uw" TargetMode="External"/><Relationship Id="rId178" Type="http://schemas.openxmlformats.org/officeDocument/2006/relationships/hyperlink" Target="https://youtu.be/WY7POkaxAX8" TargetMode="External"/><Relationship Id="rId1779" Type="http://schemas.openxmlformats.org/officeDocument/2006/relationships/hyperlink" Target="https://youtu.be/wZYa9ZKZeDk" TargetMode="External"/><Relationship Id="rId1778" Type="http://schemas.openxmlformats.org/officeDocument/2006/relationships/hyperlink" Target="https://youtu.be/12QBkuWFtlI" TargetMode="External"/><Relationship Id="rId1777" Type="http://schemas.openxmlformats.org/officeDocument/2006/relationships/hyperlink" Target="https://youtu.be/Q5Tu_5SG-1g" TargetMode="External"/><Relationship Id="rId1776" Type="http://schemas.openxmlformats.org/officeDocument/2006/relationships/hyperlink" Target="https://youtu.be/9U7LAoFEFqg" TargetMode="External"/><Relationship Id="rId1775" Type="http://schemas.openxmlformats.org/officeDocument/2006/relationships/hyperlink" Target="https://youtu.be/9JfsdiGSsrc" TargetMode="External"/><Relationship Id="rId1774" Type="http://schemas.openxmlformats.org/officeDocument/2006/relationships/hyperlink" Target="https://youtu.be/_A5vjE_uNrs" TargetMode="External"/><Relationship Id="rId1773" Type="http://schemas.openxmlformats.org/officeDocument/2006/relationships/hyperlink" Target="https://youtu.be/4tw5uwHD0PE" TargetMode="External"/><Relationship Id="rId1772" Type="http://schemas.openxmlformats.org/officeDocument/2006/relationships/hyperlink" Target="https://youtu.be/Ke1IhvMbqJE" TargetMode="External"/><Relationship Id="rId1771" Type="http://schemas.openxmlformats.org/officeDocument/2006/relationships/hyperlink" Target="https://youtu.be/0kLGyxX8SOM" TargetMode="External"/><Relationship Id="rId1770" Type="http://schemas.openxmlformats.org/officeDocument/2006/relationships/hyperlink" Target="https://youtu.be/dRsiUztBhkc" TargetMode="External"/><Relationship Id="rId177" Type="http://schemas.openxmlformats.org/officeDocument/2006/relationships/hyperlink" Target="https://youtu.be/NDmFz_Qe5A0" TargetMode="External"/><Relationship Id="rId1769" Type="http://schemas.openxmlformats.org/officeDocument/2006/relationships/hyperlink" Target="https://youtu.be/P6iPwysLiCo" TargetMode="External"/><Relationship Id="rId1768" Type="http://schemas.openxmlformats.org/officeDocument/2006/relationships/hyperlink" Target="https://youtu.be/4g93chKghGc" TargetMode="External"/><Relationship Id="rId1767" Type="http://schemas.openxmlformats.org/officeDocument/2006/relationships/hyperlink" Target="https://youtu.be/ORq6dFgf1oQ" TargetMode="External"/><Relationship Id="rId1766" Type="http://schemas.openxmlformats.org/officeDocument/2006/relationships/hyperlink" Target="https://youtu.be/dOw6SF_NKu0" TargetMode="External"/><Relationship Id="rId1765" Type="http://schemas.openxmlformats.org/officeDocument/2006/relationships/hyperlink" Target="https://youtu.be/uYO6lASLKCQ" TargetMode="External"/><Relationship Id="rId1764" Type="http://schemas.openxmlformats.org/officeDocument/2006/relationships/hyperlink" Target="https://youtu.be/y8IFYIADfYw" TargetMode="External"/><Relationship Id="rId1763" Type="http://schemas.openxmlformats.org/officeDocument/2006/relationships/hyperlink" Target="https://youtu.be/tns0FazYcYA" TargetMode="External"/><Relationship Id="rId1762" Type="http://schemas.openxmlformats.org/officeDocument/2006/relationships/hyperlink" Target="https://youtu.be/EsP9ra_t8Bc" TargetMode="External"/><Relationship Id="rId1761" Type="http://schemas.openxmlformats.org/officeDocument/2006/relationships/hyperlink" Target="https://youtu.be/8Nj8C0bdZAI" TargetMode="External"/><Relationship Id="rId1760" Type="http://schemas.openxmlformats.org/officeDocument/2006/relationships/hyperlink" Target="https://youtu.be/ucaiTUWVAW0" TargetMode="External"/><Relationship Id="rId176" Type="http://schemas.openxmlformats.org/officeDocument/2006/relationships/hyperlink" Target="https://youtu.be/yv4DbU1CWAY" TargetMode="External"/><Relationship Id="rId1759" Type="http://schemas.openxmlformats.org/officeDocument/2006/relationships/hyperlink" Target="https://youtu.be/hvYCI6sFmnk" TargetMode="External"/><Relationship Id="rId1758" Type="http://schemas.openxmlformats.org/officeDocument/2006/relationships/hyperlink" Target="https://youtu.be/4nC3FeWiH_8" TargetMode="External"/><Relationship Id="rId1757" Type="http://schemas.openxmlformats.org/officeDocument/2006/relationships/hyperlink" Target="https://youtu.be/tWovUd3WWec" TargetMode="External"/><Relationship Id="rId1756" Type="http://schemas.openxmlformats.org/officeDocument/2006/relationships/hyperlink" Target="https://youtu.be/ZK2TPiNeE3g" TargetMode="External"/><Relationship Id="rId1755" Type="http://schemas.openxmlformats.org/officeDocument/2006/relationships/hyperlink" Target="https://youtu.be/Q_1SvFPeW6U" TargetMode="External"/><Relationship Id="rId1754" Type="http://schemas.openxmlformats.org/officeDocument/2006/relationships/hyperlink" Target="https://youtu.be/91J8gNT8YNI" TargetMode="External"/><Relationship Id="rId1753" Type="http://schemas.openxmlformats.org/officeDocument/2006/relationships/hyperlink" Target="https://youtu.be/RtrxlwCe25k" TargetMode="External"/><Relationship Id="rId1752" Type="http://schemas.openxmlformats.org/officeDocument/2006/relationships/hyperlink" Target="https://youtu.be/HKwysk213wM" TargetMode="External"/><Relationship Id="rId1751" Type="http://schemas.openxmlformats.org/officeDocument/2006/relationships/hyperlink" Target="https://youtu.be/7eej1jq4p28" TargetMode="External"/><Relationship Id="rId1750" Type="http://schemas.openxmlformats.org/officeDocument/2006/relationships/hyperlink" Target="https://youtu.be/NrfUkXlLO9Y" TargetMode="External"/><Relationship Id="rId175" Type="http://schemas.openxmlformats.org/officeDocument/2006/relationships/hyperlink" Target="https://youtu.be/OOwI3nTAHIc" TargetMode="External"/><Relationship Id="rId1749" Type="http://schemas.openxmlformats.org/officeDocument/2006/relationships/hyperlink" Target="https://youtu.be/xQN_2yObED0" TargetMode="External"/><Relationship Id="rId1748" Type="http://schemas.openxmlformats.org/officeDocument/2006/relationships/hyperlink" Target="https://youtu.be/7tNLTszm4f8" TargetMode="External"/><Relationship Id="rId1747" Type="http://schemas.openxmlformats.org/officeDocument/2006/relationships/hyperlink" Target="https://youtu.be/lCgcqSwqInU" TargetMode="External"/><Relationship Id="rId1746" Type="http://schemas.openxmlformats.org/officeDocument/2006/relationships/hyperlink" Target="https://youtu.be/zEF1XeLyXHc" TargetMode="External"/><Relationship Id="rId1745" Type="http://schemas.openxmlformats.org/officeDocument/2006/relationships/hyperlink" Target="https://youtu.be/RnMVOT8piZs" TargetMode="External"/><Relationship Id="rId1744" Type="http://schemas.openxmlformats.org/officeDocument/2006/relationships/hyperlink" Target="https://youtu.be/etUkR3FmDnw" TargetMode="External"/><Relationship Id="rId1743" Type="http://schemas.openxmlformats.org/officeDocument/2006/relationships/hyperlink" Target="https://youtu.be/Ykh-_LpTx0U" TargetMode="External"/><Relationship Id="rId1742" Type="http://schemas.openxmlformats.org/officeDocument/2006/relationships/hyperlink" Target="https://youtu.be/qjf5uL31n-Y" TargetMode="External"/><Relationship Id="rId1741" Type="http://schemas.openxmlformats.org/officeDocument/2006/relationships/hyperlink" Target="https://youtu.be/D0AgqhS6B-U" TargetMode="External"/><Relationship Id="rId1740" Type="http://schemas.openxmlformats.org/officeDocument/2006/relationships/hyperlink" Target="https://youtu.be/DSRhjE0uJ7g" TargetMode="External"/><Relationship Id="rId174" Type="http://schemas.openxmlformats.org/officeDocument/2006/relationships/hyperlink" Target="https://youtu.be/gc0AdfnaveQ" TargetMode="External"/><Relationship Id="rId1739" Type="http://schemas.openxmlformats.org/officeDocument/2006/relationships/hyperlink" Target="https://youtu.be/GliZyspplDs" TargetMode="External"/><Relationship Id="rId1738" Type="http://schemas.openxmlformats.org/officeDocument/2006/relationships/hyperlink" Target="https://youtu.be/ujruGHhHQIk" TargetMode="External"/><Relationship Id="rId1737" Type="http://schemas.openxmlformats.org/officeDocument/2006/relationships/hyperlink" Target="https://youtu.be/Nq7f97dtmR4" TargetMode="External"/><Relationship Id="rId1736" Type="http://schemas.openxmlformats.org/officeDocument/2006/relationships/hyperlink" Target="https://youtu.be/mLW46-qACEY" TargetMode="External"/><Relationship Id="rId1735" Type="http://schemas.openxmlformats.org/officeDocument/2006/relationships/hyperlink" Target="https://youtu.be/tN0dpTUjgGk" TargetMode="External"/><Relationship Id="rId1734" Type="http://schemas.openxmlformats.org/officeDocument/2006/relationships/hyperlink" Target="https://youtu.be/EQCs-j-Fjdc" TargetMode="External"/><Relationship Id="rId1733" Type="http://schemas.openxmlformats.org/officeDocument/2006/relationships/hyperlink" Target="https://youtu.be/8XAGfhS3RK4" TargetMode="External"/><Relationship Id="rId1732" Type="http://schemas.openxmlformats.org/officeDocument/2006/relationships/hyperlink" Target="https://youtu.be/oPIoKXsXsmk" TargetMode="External"/><Relationship Id="rId1731" Type="http://schemas.openxmlformats.org/officeDocument/2006/relationships/hyperlink" Target="https://youtu.be/phQQ5viBCxw" TargetMode="External"/><Relationship Id="rId1730" Type="http://schemas.openxmlformats.org/officeDocument/2006/relationships/hyperlink" Target="https://youtu.be/Yr0aZ7m4QTE" TargetMode="External"/><Relationship Id="rId173" Type="http://schemas.openxmlformats.org/officeDocument/2006/relationships/hyperlink" Target="https://youtu.be/kIFDbuEJXwM" TargetMode="External"/><Relationship Id="rId1729" Type="http://schemas.openxmlformats.org/officeDocument/2006/relationships/hyperlink" Target="https://youtu.be/QU4PbzZao1o" TargetMode="External"/><Relationship Id="rId1728" Type="http://schemas.openxmlformats.org/officeDocument/2006/relationships/hyperlink" Target="https://youtu.be/khcAy1AdQPw" TargetMode="External"/><Relationship Id="rId1727" Type="http://schemas.openxmlformats.org/officeDocument/2006/relationships/hyperlink" Target="https://youtu.be/N11WYjt1uTQ" TargetMode="External"/><Relationship Id="rId1726" Type="http://schemas.openxmlformats.org/officeDocument/2006/relationships/hyperlink" Target="https://youtu.be/fJW3eUyHsZw" TargetMode="External"/><Relationship Id="rId1725" Type="http://schemas.openxmlformats.org/officeDocument/2006/relationships/hyperlink" Target="https://youtu.be/CI9kEvZ6IUo" TargetMode="External"/><Relationship Id="rId1724" Type="http://schemas.openxmlformats.org/officeDocument/2006/relationships/hyperlink" Target="https://youtu.be/F89Qf-KxSY8" TargetMode="External"/><Relationship Id="rId1723" Type="http://schemas.openxmlformats.org/officeDocument/2006/relationships/hyperlink" Target="https://youtu.be/WG8y1_y-kPw" TargetMode="External"/><Relationship Id="rId1722" Type="http://schemas.openxmlformats.org/officeDocument/2006/relationships/hyperlink" Target="https://youtu.be/ej2odhB57ng" TargetMode="External"/><Relationship Id="rId1721" Type="http://schemas.openxmlformats.org/officeDocument/2006/relationships/hyperlink" Target="https://youtu.be/58m5AivtuGI" TargetMode="External"/><Relationship Id="rId1720" Type="http://schemas.openxmlformats.org/officeDocument/2006/relationships/hyperlink" Target="https://youtu.be/sb5wtUh-kkI" TargetMode="External"/><Relationship Id="rId172" Type="http://schemas.openxmlformats.org/officeDocument/2006/relationships/hyperlink" Target="https://youtu.be/wdqapiuJmbQ" TargetMode="External"/><Relationship Id="rId1719" Type="http://schemas.openxmlformats.org/officeDocument/2006/relationships/hyperlink" Target="https://youtu.be/G4oWkfBa294" TargetMode="External"/><Relationship Id="rId1718" Type="http://schemas.openxmlformats.org/officeDocument/2006/relationships/hyperlink" Target="https://youtu.be/c5cC2r_P-hc" TargetMode="External"/><Relationship Id="rId1717" Type="http://schemas.openxmlformats.org/officeDocument/2006/relationships/hyperlink" Target="https://youtu.be/TsXi19JA82k" TargetMode="External"/><Relationship Id="rId1716" Type="http://schemas.openxmlformats.org/officeDocument/2006/relationships/hyperlink" Target="https://youtu.be/8H-rc8jyKUg" TargetMode="External"/><Relationship Id="rId1715" Type="http://schemas.openxmlformats.org/officeDocument/2006/relationships/hyperlink" Target="https://youtu.be/_0H4E5IXEuk" TargetMode="External"/><Relationship Id="rId1714" Type="http://schemas.openxmlformats.org/officeDocument/2006/relationships/hyperlink" Target="https://youtu.be/qSnoGjupLRQ" TargetMode="External"/><Relationship Id="rId1713" Type="http://schemas.openxmlformats.org/officeDocument/2006/relationships/hyperlink" Target="https://youtu.be/pLuY4rDQUyI" TargetMode="External"/><Relationship Id="rId1712" Type="http://schemas.openxmlformats.org/officeDocument/2006/relationships/hyperlink" Target="https://youtu.be/akpih-wx8WM" TargetMode="External"/><Relationship Id="rId1711" Type="http://schemas.openxmlformats.org/officeDocument/2006/relationships/hyperlink" Target="https://youtu.be/G5tye-o3GLE" TargetMode="External"/><Relationship Id="rId1710" Type="http://schemas.openxmlformats.org/officeDocument/2006/relationships/hyperlink" Target="https://youtu.be/DfllMPIL7jY" TargetMode="External"/><Relationship Id="rId171" Type="http://schemas.openxmlformats.org/officeDocument/2006/relationships/hyperlink" Target="https://youtu.be/H47_lOBQ1fQ" TargetMode="External"/><Relationship Id="rId1709" Type="http://schemas.openxmlformats.org/officeDocument/2006/relationships/hyperlink" Target="https://youtu.be/DjFpOyhWalg" TargetMode="External"/><Relationship Id="rId1708" Type="http://schemas.openxmlformats.org/officeDocument/2006/relationships/hyperlink" Target="https://youtu.be/JGvbJg-Cle4" TargetMode="External"/><Relationship Id="rId1707" Type="http://schemas.openxmlformats.org/officeDocument/2006/relationships/hyperlink" Target="https://youtu.be/KDSWoxFbIMA" TargetMode="External"/><Relationship Id="rId1706" Type="http://schemas.openxmlformats.org/officeDocument/2006/relationships/hyperlink" Target="https://youtu.be/-u2xuG6XAXg" TargetMode="External"/><Relationship Id="rId1705" Type="http://schemas.openxmlformats.org/officeDocument/2006/relationships/hyperlink" Target="https://youtu.be/VGAm8qU0BC8" TargetMode="External"/><Relationship Id="rId1704" Type="http://schemas.openxmlformats.org/officeDocument/2006/relationships/hyperlink" Target="https://youtu.be/p-SzZXTKWS0" TargetMode="External"/><Relationship Id="rId1703" Type="http://schemas.openxmlformats.org/officeDocument/2006/relationships/hyperlink" Target="https://youtu.be/saE0JGtIEKE" TargetMode="External"/><Relationship Id="rId1702" Type="http://schemas.openxmlformats.org/officeDocument/2006/relationships/hyperlink" Target="https://youtu.be/RIj1OUJHUnQ" TargetMode="External"/><Relationship Id="rId1701" Type="http://schemas.openxmlformats.org/officeDocument/2006/relationships/hyperlink" Target="https://youtu.be/dWCqzPksYyY" TargetMode="External"/><Relationship Id="rId1700" Type="http://schemas.openxmlformats.org/officeDocument/2006/relationships/hyperlink" Target="https://youtu.be/SdD080GPuys" TargetMode="External"/><Relationship Id="rId170" Type="http://schemas.openxmlformats.org/officeDocument/2006/relationships/hyperlink" Target="https://youtu.be/o4KQZmCyMko" TargetMode="External"/><Relationship Id="rId17" Type="http://schemas.openxmlformats.org/officeDocument/2006/relationships/hyperlink" Target="https://youtu.be/pmocCQnMmNg" TargetMode="External"/><Relationship Id="rId1699" Type="http://schemas.openxmlformats.org/officeDocument/2006/relationships/hyperlink" Target="https://youtu.be/AK-n7m6wrkg" TargetMode="External"/><Relationship Id="rId1698" Type="http://schemas.openxmlformats.org/officeDocument/2006/relationships/hyperlink" Target="https://youtu.be/MWpH8H7N424" TargetMode="External"/><Relationship Id="rId1697" Type="http://schemas.openxmlformats.org/officeDocument/2006/relationships/hyperlink" Target="https://youtu.be/9Ak5-AUZJ14" TargetMode="External"/><Relationship Id="rId1696" Type="http://schemas.openxmlformats.org/officeDocument/2006/relationships/hyperlink" Target="https://youtu.be/mprLebLDXvY" TargetMode="External"/><Relationship Id="rId1695" Type="http://schemas.openxmlformats.org/officeDocument/2006/relationships/hyperlink" Target="https://youtu.be/eZog_ap1Kmg" TargetMode="External"/><Relationship Id="rId1694" Type="http://schemas.openxmlformats.org/officeDocument/2006/relationships/hyperlink" Target="https://youtu.be/KF74q2BIVFI" TargetMode="External"/><Relationship Id="rId1693" Type="http://schemas.openxmlformats.org/officeDocument/2006/relationships/hyperlink" Target="https://youtu.be/7mPyJGF7ayY" TargetMode="External"/><Relationship Id="rId1692" Type="http://schemas.openxmlformats.org/officeDocument/2006/relationships/hyperlink" Target="https://youtu.be/M7pdza9ctRw" TargetMode="External"/><Relationship Id="rId1691" Type="http://schemas.openxmlformats.org/officeDocument/2006/relationships/hyperlink" Target="https://youtu.be/uIfrztZZ1-A" TargetMode="External"/><Relationship Id="rId1690" Type="http://schemas.openxmlformats.org/officeDocument/2006/relationships/hyperlink" Target="https://youtu.be/zT2B-8qgKRk" TargetMode="External"/><Relationship Id="rId169" Type="http://schemas.openxmlformats.org/officeDocument/2006/relationships/hyperlink" Target="https://youtu.be/sTHzcLrHkBU" TargetMode="External"/><Relationship Id="rId1689" Type="http://schemas.openxmlformats.org/officeDocument/2006/relationships/hyperlink" Target="https://youtu.be/DanvV8QTaVY" TargetMode="External"/><Relationship Id="rId1688" Type="http://schemas.openxmlformats.org/officeDocument/2006/relationships/hyperlink" Target="https://youtu.be/6YGBhQTLlps" TargetMode="External"/><Relationship Id="rId1687" Type="http://schemas.openxmlformats.org/officeDocument/2006/relationships/hyperlink" Target="https://youtu.be/YZGxawWgea0" TargetMode="External"/><Relationship Id="rId1686" Type="http://schemas.openxmlformats.org/officeDocument/2006/relationships/hyperlink" Target="https://youtu.be/lit6rQ5RoQE" TargetMode="External"/><Relationship Id="rId1685" Type="http://schemas.openxmlformats.org/officeDocument/2006/relationships/hyperlink" Target="https://youtu.be/dJZ-K-tSj0A" TargetMode="External"/><Relationship Id="rId1684" Type="http://schemas.openxmlformats.org/officeDocument/2006/relationships/hyperlink" Target="https://youtu.be/8hJv2Yh6aUI" TargetMode="External"/><Relationship Id="rId1683" Type="http://schemas.openxmlformats.org/officeDocument/2006/relationships/hyperlink" Target="https://youtu.be/_D8FBLu-m4k" TargetMode="External"/><Relationship Id="rId1682" Type="http://schemas.openxmlformats.org/officeDocument/2006/relationships/hyperlink" Target="https://youtu.be/g3zBBXECLuM" TargetMode="External"/><Relationship Id="rId1681" Type="http://schemas.openxmlformats.org/officeDocument/2006/relationships/hyperlink" Target="https://youtu.be/nk9EtRdX8D0" TargetMode="External"/><Relationship Id="rId1680" Type="http://schemas.openxmlformats.org/officeDocument/2006/relationships/hyperlink" Target="https://youtu.be/VN4yw_6RaUU" TargetMode="External"/><Relationship Id="rId168" Type="http://schemas.openxmlformats.org/officeDocument/2006/relationships/hyperlink" Target="https://youtu.be/dAud2oHQ_2Q" TargetMode="External"/><Relationship Id="rId1679" Type="http://schemas.openxmlformats.org/officeDocument/2006/relationships/hyperlink" Target="https://youtu.be/VEVK5_aMfdQ" TargetMode="External"/><Relationship Id="rId1678" Type="http://schemas.openxmlformats.org/officeDocument/2006/relationships/hyperlink" Target="https://youtu.be/XB3D0uH5PRU" TargetMode="External"/><Relationship Id="rId1677" Type="http://schemas.openxmlformats.org/officeDocument/2006/relationships/hyperlink" Target="https://youtu.be/yQg5fHE9qsQ" TargetMode="External"/><Relationship Id="rId1676" Type="http://schemas.openxmlformats.org/officeDocument/2006/relationships/hyperlink" Target="https://youtu.be/lTUrSs0TU2s" TargetMode="External"/><Relationship Id="rId1675" Type="http://schemas.openxmlformats.org/officeDocument/2006/relationships/hyperlink" Target="https://youtu.be/-1qJ70zfx9g" TargetMode="External"/><Relationship Id="rId1674" Type="http://schemas.openxmlformats.org/officeDocument/2006/relationships/hyperlink" Target="https://youtu.be/6JB_HkVgCAc" TargetMode="External"/><Relationship Id="rId1673" Type="http://schemas.openxmlformats.org/officeDocument/2006/relationships/hyperlink" Target="https://youtu.be/cDCvwvhbqBg" TargetMode="External"/><Relationship Id="rId1672" Type="http://schemas.openxmlformats.org/officeDocument/2006/relationships/hyperlink" Target="https://youtu.be/psXIPEEaskU" TargetMode="External"/><Relationship Id="rId1671" Type="http://schemas.openxmlformats.org/officeDocument/2006/relationships/hyperlink" Target="https://youtu.be/qLFqEwbTDAw" TargetMode="External"/><Relationship Id="rId1670" Type="http://schemas.openxmlformats.org/officeDocument/2006/relationships/hyperlink" Target="https://youtu.be/uwiOrYgTsFs" TargetMode="External"/><Relationship Id="rId167" Type="http://schemas.openxmlformats.org/officeDocument/2006/relationships/hyperlink" Target="https://youtu.be/mr24dCVNiWE" TargetMode="External"/><Relationship Id="rId1669" Type="http://schemas.openxmlformats.org/officeDocument/2006/relationships/hyperlink" Target="https://youtu.be/uNGki2KU_pk" TargetMode="External"/><Relationship Id="rId1668" Type="http://schemas.openxmlformats.org/officeDocument/2006/relationships/hyperlink" Target="https://youtu.be/f35ffIjP3Cg" TargetMode="External"/><Relationship Id="rId1667" Type="http://schemas.openxmlformats.org/officeDocument/2006/relationships/hyperlink" Target="https://youtu.be/CWQencfed-4" TargetMode="External"/><Relationship Id="rId1666" Type="http://schemas.openxmlformats.org/officeDocument/2006/relationships/hyperlink" Target="https://youtu.be/2nFF2JtjtR0" TargetMode="External"/><Relationship Id="rId1665" Type="http://schemas.openxmlformats.org/officeDocument/2006/relationships/hyperlink" Target="https://youtu.be/9BeWu_d2bFI" TargetMode="External"/><Relationship Id="rId1664" Type="http://schemas.openxmlformats.org/officeDocument/2006/relationships/hyperlink" Target="https://youtu.be/H_osR7kX4tg" TargetMode="External"/><Relationship Id="rId1663" Type="http://schemas.openxmlformats.org/officeDocument/2006/relationships/hyperlink" Target="https://youtu.be/OnntQYRHVtM" TargetMode="External"/><Relationship Id="rId1662" Type="http://schemas.openxmlformats.org/officeDocument/2006/relationships/hyperlink" Target="https://youtu.be/CsSG4Eap2HQ" TargetMode="External"/><Relationship Id="rId1661" Type="http://schemas.openxmlformats.org/officeDocument/2006/relationships/hyperlink" Target="https://youtu.be/y56uqOaURXw" TargetMode="External"/><Relationship Id="rId1660" Type="http://schemas.openxmlformats.org/officeDocument/2006/relationships/hyperlink" Target="https://youtu.be/ffG6TZ3MIYM" TargetMode="External"/><Relationship Id="rId166" Type="http://schemas.openxmlformats.org/officeDocument/2006/relationships/hyperlink" Target="https://youtu.be/rahrw5vdj7s" TargetMode="External"/><Relationship Id="rId1659" Type="http://schemas.openxmlformats.org/officeDocument/2006/relationships/hyperlink" Target="https://youtu.be/MIkOwaxkZbc" TargetMode="External"/><Relationship Id="rId1658" Type="http://schemas.openxmlformats.org/officeDocument/2006/relationships/hyperlink" Target="https://youtu.be/c8e-OGgzLww" TargetMode="External"/><Relationship Id="rId1657" Type="http://schemas.openxmlformats.org/officeDocument/2006/relationships/hyperlink" Target="https://youtu.be/1AUnwlGsxbY" TargetMode="External"/><Relationship Id="rId1656" Type="http://schemas.openxmlformats.org/officeDocument/2006/relationships/hyperlink" Target="https://youtu.be/LHrdGA2cCRQ" TargetMode="External"/><Relationship Id="rId1655" Type="http://schemas.openxmlformats.org/officeDocument/2006/relationships/hyperlink" Target="https://youtu.be/eAPWVdag-cQ" TargetMode="External"/><Relationship Id="rId1654" Type="http://schemas.openxmlformats.org/officeDocument/2006/relationships/hyperlink" Target="https://youtu.be/W6uV6tLdekU" TargetMode="External"/><Relationship Id="rId1653" Type="http://schemas.openxmlformats.org/officeDocument/2006/relationships/hyperlink" Target="https://youtu.be/ZTPF80J2IEU" TargetMode="External"/><Relationship Id="rId1652" Type="http://schemas.openxmlformats.org/officeDocument/2006/relationships/hyperlink" Target="https://youtu.be/9WLqke4OiJM" TargetMode="External"/><Relationship Id="rId1651" Type="http://schemas.openxmlformats.org/officeDocument/2006/relationships/hyperlink" Target="https://youtu.be/KKGhyDAnp7Q" TargetMode="External"/><Relationship Id="rId1650" Type="http://schemas.openxmlformats.org/officeDocument/2006/relationships/hyperlink" Target="https://youtu.be/7F7kR5Rqr-Y" TargetMode="External"/><Relationship Id="rId165" Type="http://schemas.openxmlformats.org/officeDocument/2006/relationships/hyperlink" Target="https://youtu.be/HsNe0QoICXg" TargetMode="External"/><Relationship Id="rId1649" Type="http://schemas.openxmlformats.org/officeDocument/2006/relationships/hyperlink" Target="https://youtu.be/QOHAIUvFtwc" TargetMode="External"/><Relationship Id="rId1648" Type="http://schemas.openxmlformats.org/officeDocument/2006/relationships/hyperlink" Target="https://youtu.be/OogSLKH14zs" TargetMode="External"/><Relationship Id="rId1647" Type="http://schemas.openxmlformats.org/officeDocument/2006/relationships/hyperlink" Target="https://youtu.be/cq_Kl0IGHH0" TargetMode="External"/><Relationship Id="rId1646" Type="http://schemas.openxmlformats.org/officeDocument/2006/relationships/hyperlink" Target="https://youtu.be/JJJjv41M4lc" TargetMode="External"/><Relationship Id="rId1645" Type="http://schemas.openxmlformats.org/officeDocument/2006/relationships/hyperlink" Target="https://youtu.be/uFnJefwlg6I" TargetMode="External"/><Relationship Id="rId1644" Type="http://schemas.openxmlformats.org/officeDocument/2006/relationships/hyperlink" Target="https://youtu.be/J2KRKccfojs" TargetMode="External"/><Relationship Id="rId1643" Type="http://schemas.openxmlformats.org/officeDocument/2006/relationships/hyperlink" Target="https://youtu.be/Nz60GcmKOvc" TargetMode="External"/><Relationship Id="rId1642" Type="http://schemas.openxmlformats.org/officeDocument/2006/relationships/hyperlink" Target="https://youtu.be/J26cfA39BW4" TargetMode="External"/><Relationship Id="rId1641" Type="http://schemas.openxmlformats.org/officeDocument/2006/relationships/hyperlink" Target="https://youtu.be/lEYQ4oBxGtA" TargetMode="External"/><Relationship Id="rId1640" Type="http://schemas.openxmlformats.org/officeDocument/2006/relationships/hyperlink" Target="https://youtu.be/gJfeFsDICMc" TargetMode="External"/><Relationship Id="rId164" Type="http://schemas.openxmlformats.org/officeDocument/2006/relationships/hyperlink" Target="https://youtu.be/xO2K51hu8R4" TargetMode="External"/><Relationship Id="rId1639" Type="http://schemas.openxmlformats.org/officeDocument/2006/relationships/hyperlink" Target="https://youtu.be/HVNQxHiyBYk" TargetMode="External"/><Relationship Id="rId1638" Type="http://schemas.openxmlformats.org/officeDocument/2006/relationships/hyperlink" Target="https://youtu.be/ccLZ-_ml6mQ" TargetMode="External"/><Relationship Id="rId1637" Type="http://schemas.openxmlformats.org/officeDocument/2006/relationships/hyperlink" Target="https://youtu.be/5AvzNF27qVY" TargetMode="External"/><Relationship Id="rId1636" Type="http://schemas.openxmlformats.org/officeDocument/2006/relationships/hyperlink" Target="https://youtu.be/IrM96wxldY8" TargetMode="External"/><Relationship Id="rId1635" Type="http://schemas.openxmlformats.org/officeDocument/2006/relationships/hyperlink" Target="https://youtu.be/PBJAR3-UvSQ" TargetMode="External"/><Relationship Id="rId1634" Type="http://schemas.openxmlformats.org/officeDocument/2006/relationships/hyperlink" Target="https://youtu.be/MqMWutoQU7s" TargetMode="External"/><Relationship Id="rId1633" Type="http://schemas.openxmlformats.org/officeDocument/2006/relationships/hyperlink" Target="https://youtu.be/ve8WN_cVMkw" TargetMode="External"/><Relationship Id="rId1632" Type="http://schemas.openxmlformats.org/officeDocument/2006/relationships/hyperlink" Target="https://youtu.be/7peDwDLzpWU" TargetMode="External"/><Relationship Id="rId1631" Type="http://schemas.openxmlformats.org/officeDocument/2006/relationships/hyperlink" Target="https://youtu.be/Mjwt79i4Eu0" TargetMode="External"/><Relationship Id="rId1630" Type="http://schemas.openxmlformats.org/officeDocument/2006/relationships/hyperlink" Target="https://youtu.be/tsw5LtP2wKM" TargetMode="External"/><Relationship Id="rId163" Type="http://schemas.openxmlformats.org/officeDocument/2006/relationships/hyperlink" Target="https://youtu.be/0hu0npYVcg0" TargetMode="External"/><Relationship Id="rId1629" Type="http://schemas.openxmlformats.org/officeDocument/2006/relationships/hyperlink" Target="https://youtu.be/KTelwF805Os" TargetMode="External"/><Relationship Id="rId1628" Type="http://schemas.openxmlformats.org/officeDocument/2006/relationships/hyperlink" Target="https://youtu.be/xtLZxxsbnXc" TargetMode="External"/><Relationship Id="rId1627" Type="http://schemas.openxmlformats.org/officeDocument/2006/relationships/hyperlink" Target="https://youtu.be/2hf5OENWcak" TargetMode="External"/><Relationship Id="rId1626" Type="http://schemas.openxmlformats.org/officeDocument/2006/relationships/hyperlink" Target="https://youtu.be/mhC6Eve9qWY" TargetMode="External"/><Relationship Id="rId1625" Type="http://schemas.openxmlformats.org/officeDocument/2006/relationships/hyperlink" Target="https://youtu.be/rZDTuiIkhwY" TargetMode="External"/><Relationship Id="rId1624" Type="http://schemas.openxmlformats.org/officeDocument/2006/relationships/hyperlink" Target="https://youtu.be/AszEKhN6Ews" TargetMode="External"/><Relationship Id="rId1623" Type="http://schemas.openxmlformats.org/officeDocument/2006/relationships/hyperlink" Target="https://youtu.be/sDXht_JYzFY" TargetMode="External"/><Relationship Id="rId1622" Type="http://schemas.openxmlformats.org/officeDocument/2006/relationships/hyperlink" Target="https://youtu.be/Or8n5KJT2LI" TargetMode="External"/><Relationship Id="rId1621" Type="http://schemas.openxmlformats.org/officeDocument/2006/relationships/hyperlink" Target="https://youtu.be/OXQdJSwfgHA" TargetMode="External"/><Relationship Id="rId1620" Type="http://schemas.openxmlformats.org/officeDocument/2006/relationships/hyperlink" Target="https://youtu.be/KJlHrD8tURI" TargetMode="External"/><Relationship Id="rId162" Type="http://schemas.openxmlformats.org/officeDocument/2006/relationships/hyperlink" Target="https://youtu.be/RMz1AiQOp-Q" TargetMode="External"/><Relationship Id="rId1619" Type="http://schemas.openxmlformats.org/officeDocument/2006/relationships/hyperlink" Target="https://youtu.be/rpnVlzlmBls" TargetMode="External"/><Relationship Id="rId1618" Type="http://schemas.openxmlformats.org/officeDocument/2006/relationships/hyperlink" Target="https://youtu.be/AD-IR3RYYaE" TargetMode="External"/><Relationship Id="rId1617" Type="http://schemas.openxmlformats.org/officeDocument/2006/relationships/hyperlink" Target="https://youtu.be/Yks3zncjQZk" TargetMode="External"/><Relationship Id="rId1616" Type="http://schemas.openxmlformats.org/officeDocument/2006/relationships/hyperlink" Target="https://youtu.be/A4_x02DXXdc" TargetMode="External"/><Relationship Id="rId1615" Type="http://schemas.openxmlformats.org/officeDocument/2006/relationships/hyperlink" Target="https://youtu.be/2V0A7yYdJSQ" TargetMode="External"/><Relationship Id="rId1614" Type="http://schemas.openxmlformats.org/officeDocument/2006/relationships/hyperlink" Target="https://youtu.be/gKC2OFtHtXQ" TargetMode="External"/><Relationship Id="rId1613" Type="http://schemas.openxmlformats.org/officeDocument/2006/relationships/hyperlink" Target="https://youtu.be/7ccuPP1zS60" TargetMode="External"/><Relationship Id="rId1612" Type="http://schemas.openxmlformats.org/officeDocument/2006/relationships/hyperlink" Target="https://youtu.be/rYWoDYknrh8" TargetMode="External"/><Relationship Id="rId1611" Type="http://schemas.openxmlformats.org/officeDocument/2006/relationships/hyperlink" Target="https://youtu.be/FaMsWmoA2ew" TargetMode="External"/><Relationship Id="rId1610" Type="http://schemas.openxmlformats.org/officeDocument/2006/relationships/hyperlink" Target="https://youtu.be/0KZ1OjnzgB8" TargetMode="External"/><Relationship Id="rId161" Type="http://schemas.openxmlformats.org/officeDocument/2006/relationships/hyperlink" Target="https://youtu.be/UJQIMO7Lso0" TargetMode="External"/><Relationship Id="rId1609" Type="http://schemas.openxmlformats.org/officeDocument/2006/relationships/hyperlink" Target="https://youtu.be/Ij0LD7eAJLw" TargetMode="External"/><Relationship Id="rId1608" Type="http://schemas.openxmlformats.org/officeDocument/2006/relationships/hyperlink" Target="https://youtu.be/Y4SE6e74A8c" TargetMode="External"/><Relationship Id="rId1607" Type="http://schemas.openxmlformats.org/officeDocument/2006/relationships/hyperlink" Target="https://youtu.be/PzkwtH5b95s" TargetMode="External"/><Relationship Id="rId1606" Type="http://schemas.openxmlformats.org/officeDocument/2006/relationships/hyperlink" Target="https://youtu.be/62xE6rfUq_o" TargetMode="External"/><Relationship Id="rId1605" Type="http://schemas.openxmlformats.org/officeDocument/2006/relationships/hyperlink" Target="https://youtu.be/8W5RhA5LCvY" TargetMode="External"/><Relationship Id="rId1604" Type="http://schemas.openxmlformats.org/officeDocument/2006/relationships/hyperlink" Target="https://youtu.be/ZIL5x5i8rYc" TargetMode="External"/><Relationship Id="rId1603" Type="http://schemas.openxmlformats.org/officeDocument/2006/relationships/hyperlink" Target="https://youtu.be/jrF0k4uQb3g" TargetMode="External"/><Relationship Id="rId1602" Type="http://schemas.openxmlformats.org/officeDocument/2006/relationships/hyperlink" Target="https://youtu.be/cHed9shjFIg" TargetMode="External"/><Relationship Id="rId1601" Type="http://schemas.openxmlformats.org/officeDocument/2006/relationships/hyperlink" Target="https://youtu.be/pQfN9j9wrKI" TargetMode="External"/><Relationship Id="rId1600" Type="http://schemas.openxmlformats.org/officeDocument/2006/relationships/hyperlink" Target="https://youtu.be/cat2Kdrujfw" TargetMode="External"/><Relationship Id="rId160" Type="http://schemas.openxmlformats.org/officeDocument/2006/relationships/hyperlink" Target="https://youtu.be/tAUbLVS243E" TargetMode="External"/><Relationship Id="rId16" Type="http://schemas.openxmlformats.org/officeDocument/2006/relationships/hyperlink" Target="https://youtu.be/UsGQ-36-Pzc" TargetMode="External"/><Relationship Id="rId1599" Type="http://schemas.openxmlformats.org/officeDocument/2006/relationships/hyperlink" Target="https://youtu.be/Fs4KQQgS_JA" TargetMode="External"/><Relationship Id="rId1598" Type="http://schemas.openxmlformats.org/officeDocument/2006/relationships/hyperlink" Target="https://youtu.be/xe26PQl965I" TargetMode="External"/><Relationship Id="rId1597" Type="http://schemas.openxmlformats.org/officeDocument/2006/relationships/hyperlink" Target="https://youtu.be/SwlN9rgsYwg" TargetMode="External"/><Relationship Id="rId1596" Type="http://schemas.openxmlformats.org/officeDocument/2006/relationships/hyperlink" Target="https://youtu.be/mtehu3BEJfM" TargetMode="External"/><Relationship Id="rId1595" Type="http://schemas.openxmlformats.org/officeDocument/2006/relationships/hyperlink" Target="https://youtu.be/JFxq4WfiKio" TargetMode="External"/><Relationship Id="rId1594" Type="http://schemas.openxmlformats.org/officeDocument/2006/relationships/hyperlink" Target="https://youtu.be/mupWhk2cbT0" TargetMode="External"/><Relationship Id="rId1593" Type="http://schemas.openxmlformats.org/officeDocument/2006/relationships/hyperlink" Target="https://youtu.be/fiuGehQaii0" TargetMode="External"/><Relationship Id="rId1592" Type="http://schemas.openxmlformats.org/officeDocument/2006/relationships/hyperlink" Target="https://youtu.be/GcpHrux-OOQ" TargetMode="External"/><Relationship Id="rId1591" Type="http://schemas.openxmlformats.org/officeDocument/2006/relationships/hyperlink" Target="https://youtu.be/nqXQeBqJo_0" TargetMode="External"/><Relationship Id="rId1590" Type="http://schemas.openxmlformats.org/officeDocument/2006/relationships/hyperlink" Target="https://youtu.be/t-MzHqZlwPY" TargetMode="External"/><Relationship Id="rId159" Type="http://schemas.openxmlformats.org/officeDocument/2006/relationships/hyperlink" Target="https://youtu.be/xhF2sYRr4jo" TargetMode="External"/><Relationship Id="rId1589" Type="http://schemas.openxmlformats.org/officeDocument/2006/relationships/hyperlink" Target="https://youtu.be/LpIeFiLtE78" TargetMode="External"/><Relationship Id="rId1588" Type="http://schemas.openxmlformats.org/officeDocument/2006/relationships/hyperlink" Target="https://youtu.be/6nNM4aWKCdk" TargetMode="External"/><Relationship Id="rId1587" Type="http://schemas.openxmlformats.org/officeDocument/2006/relationships/hyperlink" Target="https://youtu.be/-rmgePdQYrc" TargetMode="External"/><Relationship Id="rId1586" Type="http://schemas.openxmlformats.org/officeDocument/2006/relationships/hyperlink" Target="https://youtu.be/UeLd8aHkZI4" TargetMode="External"/><Relationship Id="rId1585" Type="http://schemas.openxmlformats.org/officeDocument/2006/relationships/hyperlink" Target="https://youtu.be/N38_WrUUw-A" TargetMode="External"/><Relationship Id="rId1584" Type="http://schemas.openxmlformats.org/officeDocument/2006/relationships/hyperlink" Target="https://youtu.be/R3hb7-MaPlQ" TargetMode="External"/><Relationship Id="rId1583" Type="http://schemas.openxmlformats.org/officeDocument/2006/relationships/hyperlink" Target="https://youtu.be/4cCdiTnt4BE" TargetMode="External"/><Relationship Id="rId1582" Type="http://schemas.openxmlformats.org/officeDocument/2006/relationships/hyperlink" Target="https://youtu.be/nrI8U1vIQDg" TargetMode="External"/><Relationship Id="rId1581" Type="http://schemas.openxmlformats.org/officeDocument/2006/relationships/hyperlink" Target="https://youtu.be/5agitRTpjRo" TargetMode="External"/><Relationship Id="rId1580" Type="http://schemas.openxmlformats.org/officeDocument/2006/relationships/hyperlink" Target="https://youtu.be/VnXqBBPyqbc" TargetMode="External"/><Relationship Id="rId158" Type="http://schemas.openxmlformats.org/officeDocument/2006/relationships/hyperlink" Target="https://youtu.be/K4QFiuZcxao" TargetMode="External"/><Relationship Id="rId1579" Type="http://schemas.openxmlformats.org/officeDocument/2006/relationships/hyperlink" Target="https://youtu.be/PlG4ow5GO0w" TargetMode="External"/><Relationship Id="rId1578" Type="http://schemas.openxmlformats.org/officeDocument/2006/relationships/hyperlink" Target="https://youtu.be/QDq_zsHSPng" TargetMode="External"/><Relationship Id="rId1577" Type="http://schemas.openxmlformats.org/officeDocument/2006/relationships/hyperlink" Target="https://youtu.be/p_snvjghMJg" TargetMode="External"/><Relationship Id="rId1576" Type="http://schemas.openxmlformats.org/officeDocument/2006/relationships/hyperlink" Target="https://youtu.be/XJabriUtjl8" TargetMode="External"/><Relationship Id="rId1575" Type="http://schemas.openxmlformats.org/officeDocument/2006/relationships/hyperlink" Target="https://youtu.be/ex-ui7ldnD0" TargetMode="External"/><Relationship Id="rId1574" Type="http://schemas.openxmlformats.org/officeDocument/2006/relationships/hyperlink" Target="https://youtu.be/nOBng-0dEZw" TargetMode="External"/><Relationship Id="rId1573" Type="http://schemas.openxmlformats.org/officeDocument/2006/relationships/hyperlink" Target="https://youtu.be/wzIcKOL1pVc" TargetMode="External"/><Relationship Id="rId1572" Type="http://schemas.openxmlformats.org/officeDocument/2006/relationships/hyperlink" Target="https://youtu.be/nfhwgYHGeAE" TargetMode="External"/><Relationship Id="rId1571" Type="http://schemas.openxmlformats.org/officeDocument/2006/relationships/hyperlink" Target="https://youtu.be/xxiC1i6UJD0" TargetMode="External"/><Relationship Id="rId1570" Type="http://schemas.openxmlformats.org/officeDocument/2006/relationships/hyperlink" Target="https://youtu.be/o4GnRKTw2zc" TargetMode="External"/><Relationship Id="rId157" Type="http://schemas.openxmlformats.org/officeDocument/2006/relationships/hyperlink" Target="https://youtu.be/g7Tos0blK4s" TargetMode="External"/><Relationship Id="rId1569" Type="http://schemas.openxmlformats.org/officeDocument/2006/relationships/hyperlink" Target="https://youtu.be/kUoW7ISFsOI" TargetMode="External"/><Relationship Id="rId1568" Type="http://schemas.openxmlformats.org/officeDocument/2006/relationships/hyperlink" Target="https://youtu.be/SLEZHUH44A8" TargetMode="External"/><Relationship Id="rId1567" Type="http://schemas.openxmlformats.org/officeDocument/2006/relationships/hyperlink" Target="https://youtu.be/uvv2qYS6-5Q" TargetMode="External"/><Relationship Id="rId1566" Type="http://schemas.openxmlformats.org/officeDocument/2006/relationships/hyperlink" Target="https://youtu.be/srUu8batsmc" TargetMode="External"/><Relationship Id="rId1565" Type="http://schemas.openxmlformats.org/officeDocument/2006/relationships/hyperlink" Target="https://youtu.be/MfMOTf0giqM" TargetMode="External"/><Relationship Id="rId1564" Type="http://schemas.openxmlformats.org/officeDocument/2006/relationships/hyperlink" Target="https://youtu.be/SlO6wT3FXv0" TargetMode="External"/><Relationship Id="rId1563" Type="http://schemas.openxmlformats.org/officeDocument/2006/relationships/hyperlink" Target="https://youtu.be/ONbUSTc9VQQ" TargetMode="External"/><Relationship Id="rId1562" Type="http://schemas.openxmlformats.org/officeDocument/2006/relationships/hyperlink" Target="https://youtu.be/XEzgqA0NOvc" TargetMode="External"/><Relationship Id="rId1561" Type="http://schemas.openxmlformats.org/officeDocument/2006/relationships/hyperlink" Target="https://youtu.be/vOs8giC8hGk" TargetMode="External"/><Relationship Id="rId1560" Type="http://schemas.openxmlformats.org/officeDocument/2006/relationships/hyperlink" Target="https://youtu.be/ayYLiSNoiFE" TargetMode="External"/><Relationship Id="rId156" Type="http://schemas.openxmlformats.org/officeDocument/2006/relationships/hyperlink" Target="https://youtu.be/wSwJzy5LXb0" TargetMode="External"/><Relationship Id="rId1559" Type="http://schemas.openxmlformats.org/officeDocument/2006/relationships/hyperlink" Target="https://youtu.be/-dvo9usx6bg" TargetMode="External"/><Relationship Id="rId1558" Type="http://schemas.openxmlformats.org/officeDocument/2006/relationships/hyperlink" Target="https://youtu.be/kMdcTRE8uR8" TargetMode="External"/><Relationship Id="rId1557" Type="http://schemas.openxmlformats.org/officeDocument/2006/relationships/hyperlink" Target="https://youtu.be/ANc3qDTL0TA" TargetMode="External"/><Relationship Id="rId1556" Type="http://schemas.openxmlformats.org/officeDocument/2006/relationships/hyperlink" Target="https://youtu.be/qMjLYra-Kak" TargetMode="External"/><Relationship Id="rId1555" Type="http://schemas.openxmlformats.org/officeDocument/2006/relationships/hyperlink" Target="https://youtu.be/MW0pwiaH3XM" TargetMode="External"/><Relationship Id="rId1554" Type="http://schemas.openxmlformats.org/officeDocument/2006/relationships/hyperlink" Target="https://youtu.be/XGZy6IzsKOg" TargetMode="External"/><Relationship Id="rId1553" Type="http://schemas.openxmlformats.org/officeDocument/2006/relationships/hyperlink" Target="https://youtu.be/XyxCA6tTGQ0" TargetMode="External"/><Relationship Id="rId1552" Type="http://schemas.openxmlformats.org/officeDocument/2006/relationships/hyperlink" Target="https://youtu.be/14ebd3wJauU" TargetMode="External"/><Relationship Id="rId1551" Type="http://schemas.openxmlformats.org/officeDocument/2006/relationships/hyperlink" Target="https://youtu.be/I6uUEYOzipw" TargetMode="External"/><Relationship Id="rId1550" Type="http://schemas.openxmlformats.org/officeDocument/2006/relationships/hyperlink" Target="https://youtu.be/LH_uPWU5V3o" TargetMode="External"/><Relationship Id="rId155" Type="http://schemas.openxmlformats.org/officeDocument/2006/relationships/hyperlink" Target="https://youtu.be/FvUaXmFNqU8" TargetMode="External"/><Relationship Id="rId1549" Type="http://schemas.openxmlformats.org/officeDocument/2006/relationships/hyperlink" Target="https://youtu.be/zfIqnpqPFbI" TargetMode="External"/><Relationship Id="rId1548" Type="http://schemas.openxmlformats.org/officeDocument/2006/relationships/hyperlink" Target="https://youtu.be/io9qgUsXJHM" TargetMode="External"/><Relationship Id="rId1547" Type="http://schemas.openxmlformats.org/officeDocument/2006/relationships/hyperlink" Target="https://youtu.be/Sm17LtoXYP8" TargetMode="External"/><Relationship Id="rId1546" Type="http://schemas.openxmlformats.org/officeDocument/2006/relationships/hyperlink" Target="https://youtu.be/Q_8VF7knp8E" TargetMode="External"/><Relationship Id="rId1545" Type="http://schemas.openxmlformats.org/officeDocument/2006/relationships/hyperlink" Target="https://youtu.be/IvTo4-Ukadw" TargetMode="External"/><Relationship Id="rId1544" Type="http://schemas.openxmlformats.org/officeDocument/2006/relationships/hyperlink" Target="https://youtu.be/q1RH39iAG1w" TargetMode="External"/><Relationship Id="rId1543" Type="http://schemas.openxmlformats.org/officeDocument/2006/relationships/hyperlink" Target="https://youtu.be/WDmjdc9H56M" TargetMode="External"/><Relationship Id="rId1542" Type="http://schemas.openxmlformats.org/officeDocument/2006/relationships/hyperlink" Target="https://youtu.be/SXmiMPmkjX4" TargetMode="External"/><Relationship Id="rId1541" Type="http://schemas.openxmlformats.org/officeDocument/2006/relationships/hyperlink" Target="https://youtu.be/ExGvJOzcxJo" TargetMode="External"/><Relationship Id="rId1540" Type="http://schemas.openxmlformats.org/officeDocument/2006/relationships/hyperlink" Target="https://youtu.be/nNsaQPy4bBY" TargetMode="External"/><Relationship Id="rId154" Type="http://schemas.openxmlformats.org/officeDocument/2006/relationships/hyperlink" Target="https://youtu.be/ZFbkHUq3Duo" TargetMode="External"/><Relationship Id="rId1539" Type="http://schemas.openxmlformats.org/officeDocument/2006/relationships/hyperlink" Target="https://youtu.be/DHapy1OySxA" TargetMode="External"/><Relationship Id="rId1538" Type="http://schemas.openxmlformats.org/officeDocument/2006/relationships/hyperlink" Target="https://youtu.be/ISSaGdg-LEQ" TargetMode="External"/><Relationship Id="rId1537" Type="http://schemas.openxmlformats.org/officeDocument/2006/relationships/hyperlink" Target="https://youtu.be/EYxvPIBmtiQ" TargetMode="External"/><Relationship Id="rId1536" Type="http://schemas.openxmlformats.org/officeDocument/2006/relationships/hyperlink" Target="https://youtu.be/jN9gGW3ovkU" TargetMode="External"/><Relationship Id="rId1535" Type="http://schemas.openxmlformats.org/officeDocument/2006/relationships/hyperlink" Target="https://youtu.be/My8vWpgOTog" TargetMode="External"/><Relationship Id="rId1534" Type="http://schemas.openxmlformats.org/officeDocument/2006/relationships/hyperlink" Target="https://youtu.be/G3uY3ml0uks" TargetMode="External"/><Relationship Id="rId1533" Type="http://schemas.openxmlformats.org/officeDocument/2006/relationships/hyperlink" Target="https://youtu.be/NDtbfCt2Gcw" TargetMode="External"/><Relationship Id="rId1532" Type="http://schemas.openxmlformats.org/officeDocument/2006/relationships/hyperlink" Target="https://youtu.be/EEJ7U6eWKcs" TargetMode="External"/><Relationship Id="rId1531" Type="http://schemas.openxmlformats.org/officeDocument/2006/relationships/hyperlink" Target="https://youtu.be/wsBy_UeYM3E" TargetMode="External"/><Relationship Id="rId1530" Type="http://schemas.openxmlformats.org/officeDocument/2006/relationships/hyperlink" Target="https://youtu.be/I0jTQQGU7ic" TargetMode="External"/><Relationship Id="rId153" Type="http://schemas.openxmlformats.org/officeDocument/2006/relationships/hyperlink" Target="https://youtu.be/fBamDgg4FPE" TargetMode="External"/><Relationship Id="rId1529" Type="http://schemas.openxmlformats.org/officeDocument/2006/relationships/hyperlink" Target="https://youtu.be/fnX_FGKENx8" TargetMode="External"/><Relationship Id="rId1528" Type="http://schemas.openxmlformats.org/officeDocument/2006/relationships/hyperlink" Target="https://youtu.be/KjlUL2sbSSc" TargetMode="External"/><Relationship Id="rId1527" Type="http://schemas.openxmlformats.org/officeDocument/2006/relationships/hyperlink" Target="https://youtu.be/tRmK03-ycJU" TargetMode="External"/><Relationship Id="rId1526" Type="http://schemas.openxmlformats.org/officeDocument/2006/relationships/hyperlink" Target="https://youtu.be/uhpQ670XGaM" TargetMode="External"/><Relationship Id="rId1525" Type="http://schemas.openxmlformats.org/officeDocument/2006/relationships/hyperlink" Target="https://youtu.be/yYjoiMq6UuM" TargetMode="External"/><Relationship Id="rId1524" Type="http://schemas.openxmlformats.org/officeDocument/2006/relationships/hyperlink" Target="https://youtu.be/Fd4I7qqZJYk" TargetMode="External"/><Relationship Id="rId1523" Type="http://schemas.openxmlformats.org/officeDocument/2006/relationships/hyperlink" Target="https://youtu.be/Yr7tMMevqlw" TargetMode="External"/><Relationship Id="rId1522" Type="http://schemas.openxmlformats.org/officeDocument/2006/relationships/hyperlink" Target="https://youtu.be/qrd-ndjoL-k" TargetMode="External"/><Relationship Id="rId1521" Type="http://schemas.openxmlformats.org/officeDocument/2006/relationships/hyperlink" Target="https://youtu.be/v3twhoxbr9M" TargetMode="External"/><Relationship Id="rId1520" Type="http://schemas.openxmlformats.org/officeDocument/2006/relationships/hyperlink" Target="https://youtu.be/dKLOnS7uEYo" TargetMode="External"/><Relationship Id="rId152" Type="http://schemas.openxmlformats.org/officeDocument/2006/relationships/hyperlink" Target="https://youtu.be/H2ZK1yhdOoE" TargetMode="External"/><Relationship Id="rId1519" Type="http://schemas.openxmlformats.org/officeDocument/2006/relationships/hyperlink" Target="https://youtu.be/6USNuCCbS9o" TargetMode="External"/><Relationship Id="rId1518" Type="http://schemas.openxmlformats.org/officeDocument/2006/relationships/hyperlink" Target="https://youtu.be/ls_9R5q6cKg" TargetMode="External"/><Relationship Id="rId1517" Type="http://schemas.openxmlformats.org/officeDocument/2006/relationships/hyperlink" Target="https://youtu.be/1F2nlndFNSA" TargetMode="External"/><Relationship Id="rId1516" Type="http://schemas.openxmlformats.org/officeDocument/2006/relationships/hyperlink" Target="https://youtu.be/NYod7EUKKss" TargetMode="External"/><Relationship Id="rId1515" Type="http://schemas.openxmlformats.org/officeDocument/2006/relationships/hyperlink" Target="https://youtu.be/Ateh4P39aBI" TargetMode="External"/><Relationship Id="rId1514" Type="http://schemas.openxmlformats.org/officeDocument/2006/relationships/hyperlink" Target="https://youtu.be/E-S4NxNYnoU" TargetMode="External"/><Relationship Id="rId1513" Type="http://schemas.openxmlformats.org/officeDocument/2006/relationships/hyperlink" Target="https://youtu.be/kUXhHgnU2xg" TargetMode="External"/><Relationship Id="rId1512" Type="http://schemas.openxmlformats.org/officeDocument/2006/relationships/hyperlink" Target="https://youtu.be/nKI2InhHDcM" TargetMode="External"/><Relationship Id="rId1511" Type="http://schemas.openxmlformats.org/officeDocument/2006/relationships/hyperlink" Target="https://youtu.be/15BRKTsPbR4" TargetMode="External"/><Relationship Id="rId1510" Type="http://schemas.openxmlformats.org/officeDocument/2006/relationships/hyperlink" Target="https://youtu.be/aJDXGHphm5A" TargetMode="External"/><Relationship Id="rId151" Type="http://schemas.openxmlformats.org/officeDocument/2006/relationships/hyperlink" Target="https://youtu.be/qUjZL6W9Bwk" TargetMode="External"/><Relationship Id="rId1509" Type="http://schemas.openxmlformats.org/officeDocument/2006/relationships/hyperlink" Target="https://youtu.be/_eDAb9TVzn0" TargetMode="External"/><Relationship Id="rId1508" Type="http://schemas.openxmlformats.org/officeDocument/2006/relationships/hyperlink" Target="https://youtu.be/6dTjPIwCyNc" TargetMode="External"/><Relationship Id="rId1507" Type="http://schemas.openxmlformats.org/officeDocument/2006/relationships/hyperlink" Target="https://youtu.be/6WSQ5Ga9awI" TargetMode="External"/><Relationship Id="rId1506" Type="http://schemas.openxmlformats.org/officeDocument/2006/relationships/hyperlink" Target="https://youtu.be/rf52LSg4AsA" TargetMode="External"/><Relationship Id="rId1505" Type="http://schemas.openxmlformats.org/officeDocument/2006/relationships/hyperlink" Target="https://youtu.be/RDyshMX_BQw" TargetMode="External"/><Relationship Id="rId1504" Type="http://schemas.openxmlformats.org/officeDocument/2006/relationships/hyperlink" Target="https://youtu.be/oeXlI5ndaCk" TargetMode="External"/><Relationship Id="rId1503" Type="http://schemas.openxmlformats.org/officeDocument/2006/relationships/hyperlink" Target="https://youtu.be/cCxjSjoJw9I" TargetMode="External"/><Relationship Id="rId1502" Type="http://schemas.openxmlformats.org/officeDocument/2006/relationships/hyperlink" Target="https://youtu.be/bJgsdnpjyes" TargetMode="External"/><Relationship Id="rId1501" Type="http://schemas.openxmlformats.org/officeDocument/2006/relationships/hyperlink" Target="https://youtu.be/_SS3UsMDdik" TargetMode="External"/><Relationship Id="rId1500" Type="http://schemas.openxmlformats.org/officeDocument/2006/relationships/hyperlink" Target="https://youtu.be/HFGHwO75aSs" TargetMode="External"/><Relationship Id="rId150" Type="http://schemas.openxmlformats.org/officeDocument/2006/relationships/hyperlink" Target="https://youtu.be/kr8XNrVCFUw" TargetMode="External"/><Relationship Id="rId15" Type="http://schemas.openxmlformats.org/officeDocument/2006/relationships/hyperlink" Target="https://youtu.be/rRAzS1LCQVg" TargetMode="External"/><Relationship Id="rId1499" Type="http://schemas.openxmlformats.org/officeDocument/2006/relationships/hyperlink" Target="https://youtu.be/85JT3yIVXwc" TargetMode="External"/><Relationship Id="rId1498" Type="http://schemas.openxmlformats.org/officeDocument/2006/relationships/hyperlink" Target="https://youtu.be/n9-R9P2cKA0" TargetMode="External"/><Relationship Id="rId1497" Type="http://schemas.openxmlformats.org/officeDocument/2006/relationships/hyperlink" Target="https://youtu.be/ZrfYcs_t93c" TargetMode="External"/><Relationship Id="rId1496" Type="http://schemas.openxmlformats.org/officeDocument/2006/relationships/hyperlink" Target="https://youtu.be/AvXV0m3IBi8" TargetMode="External"/><Relationship Id="rId1495" Type="http://schemas.openxmlformats.org/officeDocument/2006/relationships/hyperlink" Target="https://youtu.be/mPpdlVKN3Ug" TargetMode="External"/><Relationship Id="rId1494" Type="http://schemas.openxmlformats.org/officeDocument/2006/relationships/hyperlink" Target="https://youtu.be/cmDj_MB82OQ" TargetMode="External"/><Relationship Id="rId1493" Type="http://schemas.openxmlformats.org/officeDocument/2006/relationships/hyperlink" Target="https://youtu.be/1MfFCxVpR3k" TargetMode="External"/><Relationship Id="rId1492" Type="http://schemas.openxmlformats.org/officeDocument/2006/relationships/hyperlink" Target="https://youtu.be/-QzicRTR5SI" TargetMode="External"/><Relationship Id="rId1491" Type="http://schemas.openxmlformats.org/officeDocument/2006/relationships/hyperlink" Target="https://youtu.be/tBAR1Ok_Zoc" TargetMode="External"/><Relationship Id="rId1490" Type="http://schemas.openxmlformats.org/officeDocument/2006/relationships/hyperlink" Target="https://youtu.be/sV0pkbG_7Zo" TargetMode="External"/><Relationship Id="rId149" Type="http://schemas.openxmlformats.org/officeDocument/2006/relationships/hyperlink" Target="https://youtu.be/tVZbrBbZ16g" TargetMode="External"/><Relationship Id="rId1489" Type="http://schemas.openxmlformats.org/officeDocument/2006/relationships/hyperlink" Target="https://youtu.be/0NYoJp-AQ-8" TargetMode="External"/><Relationship Id="rId1488" Type="http://schemas.openxmlformats.org/officeDocument/2006/relationships/hyperlink" Target="https://youtu.be/ElaaF2nFKGo" TargetMode="External"/><Relationship Id="rId1487" Type="http://schemas.openxmlformats.org/officeDocument/2006/relationships/hyperlink" Target="https://youtu.be/Pf0VMSpZ1qI" TargetMode="External"/><Relationship Id="rId1486" Type="http://schemas.openxmlformats.org/officeDocument/2006/relationships/hyperlink" Target="https://youtu.be/cyNbyiglDRg" TargetMode="External"/><Relationship Id="rId1485" Type="http://schemas.openxmlformats.org/officeDocument/2006/relationships/hyperlink" Target="https://youtu.be/bJYzUimSaDA" TargetMode="External"/><Relationship Id="rId1484" Type="http://schemas.openxmlformats.org/officeDocument/2006/relationships/hyperlink" Target="https://youtu.be/6Lr3-BkkhkQ" TargetMode="External"/><Relationship Id="rId1483" Type="http://schemas.openxmlformats.org/officeDocument/2006/relationships/hyperlink" Target="https://youtu.be/dt1IDQF8d_4" TargetMode="External"/><Relationship Id="rId1482" Type="http://schemas.openxmlformats.org/officeDocument/2006/relationships/hyperlink" Target="https://youtu.be/wpgNlkqEPfE" TargetMode="External"/><Relationship Id="rId1481" Type="http://schemas.openxmlformats.org/officeDocument/2006/relationships/hyperlink" Target="https://youtu.be/8GONAiytTGM" TargetMode="External"/><Relationship Id="rId1480" Type="http://schemas.openxmlformats.org/officeDocument/2006/relationships/hyperlink" Target="https://youtu.be/za9Drj6rmz8" TargetMode="External"/><Relationship Id="rId148" Type="http://schemas.openxmlformats.org/officeDocument/2006/relationships/hyperlink" Target="https://youtu.be/XPe0EapVicw" TargetMode="External"/><Relationship Id="rId1479" Type="http://schemas.openxmlformats.org/officeDocument/2006/relationships/hyperlink" Target="https://youtu.be/uXXvpwCeEiw" TargetMode="External"/><Relationship Id="rId1478" Type="http://schemas.openxmlformats.org/officeDocument/2006/relationships/hyperlink" Target="https://youtu.be/zl_iZbQbfTY" TargetMode="External"/><Relationship Id="rId1477" Type="http://schemas.openxmlformats.org/officeDocument/2006/relationships/hyperlink" Target="https://youtu.be/Fu2Z5ZC1HBo" TargetMode="External"/><Relationship Id="rId1476" Type="http://schemas.openxmlformats.org/officeDocument/2006/relationships/hyperlink" Target="https://youtu.be/RICr24MoVoE" TargetMode="External"/><Relationship Id="rId1475" Type="http://schemas.openxmlformats.org/officeDocument/2006/relationships/hyperlink" Target="https://youtu.be/Ob_lXMLRSkg" TargetMode="External"/><Relationship Id="rId1474" Type="http://schemas.openxmlformats.org/officeDocument/2006/relationships/hyperlink" Target="https://youtu.be/j2j0U8amSZA" TargetMode="External"/><Relationship Id="rId1473" Type="http://schemas.openxmlformats.org/officeDocument/2006/relationships/hyperlink" Target="https://youtu.be/lil_I_-7aOM" TargetMode="External"/><Relationship Id="rId1472" Type="http://schemas.openxmlformats.org/officeDocument/2006/relationships/hyperlink" Target="https://youtu.be/lAZfx7FQ0F8" TargetMode="External"/><Relationship Id="rId1471" Type="http://schemas.openxmlformats.org/officeDocument/2006/relationships/hyperlink" Target="https://youtu.be/GoxRNewsMGI" TargetMode="External"/><Relationship Id="rId1470" Type="http://schemas.openxmlformats.org/officeDocument/2006/relationships/hyperlink" Target="https://youtu.be/3x5VCvuoCy0" TargetMode="External"/><Relationship Id="rId147" Type="http://schemas.openxmlformats.org/officeDocument/2006/relationships/hyperlink" Target="https://youtu.be/M06575CEHGE" TargetMode="External"/><Relationship Id="rId1469" Type="http://schemas.openxmlformats.org/officeDocument/2006/relationships/hyperlink" Target="https://youtu.be/1dJzX4GmFT8" TargetMode="External"/><Relationship Id="rId1468" Type="http://schemas.openxmlformats.org/officeDocument/2006/relationships/hyperlink" Target="https://youtu.be/FticpVEmE1s" TargetMode="External"/><Relationship Id="rId1467" Type="http://schemas.openxmlformats.org/officeDocument/2006/relationships/hyperlink" Target="https://youtu.be/mfYgqxf8RNs" TargetMode="External"/><Relationship Id="rId1466" Type="http://schemas.openxmlformats.org/officeDocument/2006/relationships/hyperlink" Target="https://youtu.be/eILL1cRnG1o" TargetMode="External"/><Relationship Id="rId1465" Type="http://schemas.openxmlformats.org/officeDocument/2006/relationships/hyperlink" Target="https://youtu.be/z8bKd0JjdGo" TargetMode="External"/><Relationship Id="rId1464" Type="http://schemas.openxmlformats.org/officeDocument/2006/relationships/hyperlink" Target="https://youtu.be/94egWBr6OtA" TargetMode="External"/><Relationship Id="rId1463" Type="http://schemas.openxmlformats.org/officeDocument/2006/relationships/hyperlink" Target="https://youtu.be/6Ogty1C6LYw" TargetMode="External"/><Relationship Id="rId1462" Type="http://schemas.openxmlformats.org/officeDocument/2006/relationships/hyperlink" Target="https://youtu.be/YqwO8lEQOUA" TargetMode="External"/><Relationship Id="rId1461" Type="http://schemas.openxmlformats.org/officeDocument/2006/relationships/hyperlink" Target="https://youtu.be/V1O7XfcXGTI" TargetMode="External"/><Relationship Id="rId1460" Type="http://schemas.openxmlformats.org/officeDocument/2006/relationships/hyperlink" Target="https://youtu.be/GP_ZrENMTuo" TargetMode="External"/><Relationship Id="rId146" Type="http://schemas.openxmlformats.org/officeDocument/2006/relationships/hyperlink" Target="https://youtu.be/oxdn7-FCTFE" TargetMode="External"/><Relationship Id="rId1459" Type="http://schemas.openxmlformats.org/officeDocument/2006/relationships/hyperlink" Target="https://youtu.be/UC5k7xbSQ7c" TargetMode="External"/><Relationship Id="rId1458" Type="http://schemas.openxmlformats.org/officeDocument/2006/relationships/hyperlink" Target="https://youtu.be/QTKGEFtD5-Y" TargetMode="External"/><Relationship Id="rId1457" Type="http://schemas.openxmlformats.org/officeDocument/2006/relationships/hyperlink" Target="https://youtu.be/8sRvS262x0Q" TargetMode="External"/><Relationship Id="rId1456" Type="http://schemas.openxmlformats.org/officeDocument/2006/relationships/hyperlink" Target="https://youtu.be/gEUrPrDUMK0" TargetMode="External"/><Relationship Id="rId1455" Type="http://schemas.openxmlformats.org/officeDocument/2006/relationships/hyperlink" Target="https://youtu.be/2kpVRBbLu_0" TargetMode="External"/><Relationship Id="rId1454" Type="http://schemas.openxmlformats.org/officeDocument/2006/relationships/hyperlink" Target="https://youtu.be/kJ1bdzkexrM" TargetMode="External"/><Relationship Id="rId1453" Type="http://schemas.openxmlformats.org/officeDocument/2006/relationships/hyperlink" Target="https://youtu.be/P03vvRW5EIg" TargetMode="External"/><Relationship Id="rId1452" Type="http://schemas.openxmlformats.org/officeDocument/2006/relationships/hyperlink" Target="https://youtu.be/11HfW94CBpI" TargetMode="External"/><Relationship Id="rId1451" Type="http://schemas.openxmlformats.org/officeDocument/2006/relationships/hyperlink" Target="https://youtu.be/MUa2E_M-b1A" TargetMode="External"/><Relationship Id="rId1450" Type="http://schemas.openxmlformats.org/officeDocument/2006/relationships/hyperlink" Target="https://youtu.be/d3JW5ONf4aQ" TargetMode="External"/><Relationship Id="rId145" Type="http://schemas.openxmlformats.org/officeDocument/2006/relationships/hyperlink" Target="https://youtu.be/-d2J11_3PMQ" TargetMode="External"/><Relationship Id="rId1449" Type="http://schemas.openxmlformats.org/officeDocument/2006/relationships/hyperlink" Target="https://youtu.be/DzgosNgn8-Q" TargetMode="External"/><Relationship Id="rId1448" Type="http://schemas.openxmlformats.org/officeDocument/2006/relationships/hyperlink" Target="https://youtu.be/izMKh_UC7rU" TargetMode="External"/><Relationship Id="rId1447" Type="http://schemas.openxmlformats.org/officeDocument/2006/relationships/hyperlink" Target="https://youtu.be/5cin6vw-kn0" TargetMode="External"/><Relationship Id="rId1446" Type="http://schemas.openxmlformats.org/officeDocument/2006/relationships/hyperlink" Target="https://youtu.be/kxDUcgzvHEI" TargetMode="External"/><Relationship Id="rId1445" Type="http://schemas.openxmlformats.org/officeDocument/2006/relationships/hyperlink" Target="https://youtu.be/5rsyyWQcGMg" TargetMode="External"/><Relationship Id="rId1444" Type="http://schemas.openxmlformats.org/officeDocument/2006/relationships/hyperlink" Target="https://youtu.be/tNB0CUvInU0" TargetMode="External"/><Relationship Id="rId1443" Type="http://schemas.openxmlformats.org/officeDocument/2006/relationships/hyperlink" Target="https://youtu.be/VPy9aGCCv8U" TargetMode="External"/><Relationship Id="rId1442" Type="http://schemas.openxmlformats.org/officeDocument/2006/relationships/hyperlink" Target="https://youtu.be/FMc7CK5jAYk" TargetMode="External"/><Relationship Id="rId1441" Type="http://schemas.openxmlformats.org/officeDocument/2006/relationships/hyperlink" Target="https://youtu.be/tPS3aiyV5Ys" TargetMode="External"/><Relationship Id="rId1440" Type="http://schemas.openxmlformats.org/officeDocument/2006/relationships/hyperlink" Target="https://youtu.be/NETm7i1XgCE" TargetMode="External"/><Relationship Id="rId144" Type="http://schemas.openxmlformats.org/officeDocument/2006/relationships/hyperlink" Target="https://youtu.be/s3gt0mGwke8" TargetMode="External"/><Relationship Id="rId1439" Type="http://schemas.openxmlformats.org/officeDocument/2006/relationships/hyperlink" Target="https://youtu.be/S3BZ7eWqk80" TargetMode="External"/><Relationship Id="rId1438" Type="http://schemas.openxmlformats.org/officeDocument/2006/relationships/hyperlink" Target="https://youtu.be/nB3XTRwZ--k" TargetMode="External"/><Relationship Id="rId1437" Type="http://schemas.openxmlformats.org/officeDocument/2006/relationships/hyperlink" Target="https://youtu.be/7zY5RVAe7mQ" TargetMode="External"/><Relationship Id="rId1436" Type="http://schemas.openxmlformats.org/officeDocument/2006/relationships/hyperlink" Target="https://youtu.be/bpkEOCEgNtg" TargetMode="External"/><Relationship Id="rId1435" Type="http://schemas.openxmlformats.org/officeDocument/2006/relationships/hyperlink" Target="https://youtu.be/9NuosO9PyVo" TargetMode="External"/><Relationship Id="rId1434" Type="http://schemas.openxmlformats.org/officeDocument/2006/relationships/hyperlink" Target="https://youtu.be/lFwiEJaEYck" TargetMode="External"/><Relationship Id="rId1433" Type="http://schemas.openxmlformats.org/officeDocument/2006/relationships/hyperlink" Target="https://youtu.be/AYiO6q8Rs7Q" TargetMode="External"/><Relationship Id="rId1432" Type="http://schemas.openxmlformats.org/officeDocument/2006/relationships/hyperlink" Target="https://youtu.be/Kr3OPNjsx_M" TargetMode="External"/><Relationship Id="rId1431" Type="http://schemas.openxmlformats.org/officeDocument/2006/relationships/hyperlink" Target="https://youtu.be/Wuzu3jhlBaE" TargetMode="External"/><Relationship Id="rId1430" Type="http://schemas.openxmlformats.org/officeDocument/2006/relationships/hyperlink" Target="https://youtu.be/KErMYvcPge4" TargetMode="External"/><Relationship Id="rId143" Type="http://schemas.openxmlformats.org/officeDocument/2006/relationships/hyperlink" Target="https://youtu.be/R3UCTPK1ZGk" TargetMode="External"/><Relationship Id="rId1429" Type="http://schemas.openxmlformats.org/officeDocument/2006/relationships/hyperlink" Target="https://youtu.be/2cp3PKzShzw" TargetMode="External"/><Relationship Id="rId1428" Type="http://schemas.openxmlformats.org/officeDocument/2006/relationships/hyperlink" Target="https://youtu.be/AZ6DSCAbLwA" TargetMode="External"/><Relationship Id="rId1427" Type="http://schemas.openxmlformats.org/officeDocument/2006/relationships/hyperlink" Target="https://youtu.be/fvIT10SLPQU" TargetMode="External"/><Relationship Id="rId1426" Type="http://schemas.openxmlformats.org/officeDocument/2006/relationships/hyperlink" Target="https://youtu.be/_4UHQnB-naE" TargetMode="External"/><Relationship Id="rId1425" Type="http://schemas.openxmlformats.org/officeDocument/2006/relationships/hyperlink" Target="https://youtu.be/p7KhmQIYV8w" TargetMode="External"/><Relationship Id="rId1424" Type="http://schemas.openxmlformats.org/officeDocument/2006/relationships/hyperlink" Target="https://youtu.be/NX31vCePp1o" TargetMode="External"/><Relationship Id="rId1423" Type="http://schemas.openxmlformats.org/officeDocument/2006/relationships/hyperlink" Target="https://youtu.be/WoCMz-ee1Ho" TargetMode="External"/><Relationship Id="rId1422" Type="http://schemas.openxmlformats.org/officeDocument/2006/relationships/hyperlink" Target="https://youtu.be/QYaYMo2XrAY" TargetMode="External"/><Relationship Id="rId1421" Type="http://schemas.openxmlformats.org/officeDocument/2006/relationships/hyperlink" Target="https://youtu.be/1tl2EJj42bI" TargetMode="External"/><Relationship Id="rId1420" Type="http://schemas.openxmlformats.org/officeDocument/2006/relationships/hyperlink" Target="https://youtu.be/--x3JvBx46c" TargetMode="External"/><Relationship Id="rId142" Type="http://schemas.openxmlformats.org/officeDocument/2006/relationships/hyperlink" Target="https://youtu.be/idL-_uWJC00" TargetMode="External"/><Relationship Id="rId1419" Type="http://schemas.openxmlformats.org/officeDocument/2006/relationships/hyperlink" Target="https://youtu.be/5ZkiglD2_Mw" TargetMode="External"/><Relationship Id="rId1418" Type="http://schemas.openxmlformats.org/officeDocument/2006/relationships/hyperlink" Target="https://youtu.be/BE-qwR0jcN0" TargetMode="External"/><Relationship Id="rId1417" Type="http://schemas.openxmlformats.org/officeDocument/2006/relationships/hyperlink" Target="https://youtu.be/fVpRUNIn_oI" TargetMode="External"/><Relationship Id="rId1416" Type="http://schemas.openxmlformats.org/officeDocument/2006/relationships/hyperlink" Target="https://youtu.be/V6Y6IfA26Sg" TargetMode="External"/><Relationship Id="rId1415" Type="http://schemas.openxmlformats.org/officeDocument/2006/relationships/hyperlink" Target="https://youtu.be/81pp0lDaQMQ" TargetMode="External"/><Relationship Id="rId1414" Type="http://schemas.openxmlformats.org/officeDocument/2006/relationships/hyperlink" Target="https://youtu.be/fU0hqYYcTas" TargetMode="External"/><Relationship Id="rId1413" Type="http://schemas.openxmlformats.org/officeDocument/2006/relationships/hyperlink" Target="https://youtu.be/NgzoMmsPOUo" TargetMode="External"/><Relationship Id="rId1412" Type="http://schemas.openxmlformats.org/officeDocument/2006/relationships/hyperlink" Target="https://youtu.be/ETajMu36p_M" TargetMode="External"/><Relationship Id="rId1411" Type="http://schemas.openxmlformats.org/officeDocument/2006/relationships/hyperlink" Target="https://youtu.be/71rTmHwVur8" TargetMode="External"/><Relationship Id="rId1410" Type="http://schemas.openxmlformats.org/officeDocument/2006/relationships/hyperlink" Target="https://youtu.be/QPRzaR03bM4" TargetMode="External"/><Relationship Id="rId141" Type="http://schemas.openxmlformats.org/officeDocument/2006/relationships/hyperlink" Target="https://youtu.be/1C_zuHf6lP4" TargetMode="External"/><Relationship Id="rId1409" Type="http://schemas.openxmlformats.org/officeDocument/2006/relationships/hyperlink" Target="https://youtu.be/IBpT1CIchNQ" TargetMode="External"/><Relationship Id="rId1408" Type="http://schemas.openxmlformats.org/officeDocument/2006/relationships/hyperlink" Target="https://youtu.be/pw7lpAFbCQk" TargetMode="External"/><Relationship Id="rId1407" Type="http://schemas.openxmlformats.org/officeDocument/2006/relationships/hyperlink" Target="https://youtu.be/uDLPD40QI_0" TargetMode="External"/><Relationship Id="rId1406" Type="http://schemas.openxmlformats.org/officeDocument/2006/relationships/hyperlink" Target="https://youtu.be/e50jYM0Wyx4" TargetMode="External"/><Relationship Id="rId1405" Type="http://schemas.openxmlformats.org/officeDocument/2006/relationships/hyperlink" Target="https://youtu.be/Crqn0MV69sI" TargetMode="External"/><Relationship Id="rId1404" Type="http://schemas.openxmlformats.org/officeDocument/2006/relationships/hyperlink" Target="https://youtu.be/DhmdyQdu96M" TargetMode="External"/><Relationship Id="rId1403" Type="http://schemas.openxmlformats.org/officeDocument/2006/relationships/hyperlink" Target="https://youtu.be/Y_TRF-Wtcks" TargetMode="External"/><Relationship Id="rId1402" Type="http://schemas.openxmlformats.org/officeDocument/2006/relationships/hyperlink" Target="https://youtu.be/v1_uVd1PwpA" TargetMode="External"/><Relationship Id="rId1401" Type="http://schemas.openxmlformats.org/officeDocument/2006/relationships/hyperlink" Target="https://youtu.be/ktfJVwkJG2g" TargetMode="External"/><Relationship Id="rId1400" Type="http://schemas.openxmlformats.org/officeDocument/2006/relationships/hyperlink" Target="https://youtu.be/i8KfDyHtm44" TargetMode="External"/><Relationship Id="rId140" Type="http://schemas.openxmlformats.org/officeDocument/2006/relationships/hyperlink" Target="https://youtu.be/yySCJykLNqU" TargetMode="External"/><Relationship Id="rId14" Type="http://schemas.openxmlformats.org/officeDocument/2006/relationships/hyperlink" Target="https://youtu.be/333erymwPu4" TargetMode="External"/><Relationship Id="rId1399" Type="http://schemas.openxmlformats.org/officeDocument/2006/relationships/hyperlink" Target="https://youtu.be/TrZ9hNB47Qs" TargetMode="External"/><Relationship Id="rId1398" Type="http://schemas.openxmlformats.org/officeDocument/2006/relationships/hyperlink" Target="https://youtu.be/fzLSMuvxK28" TargetMode="External"/><Relationship Id="rId1397" Type="http://schemas.openxmlformats.org/officeDocument/2006/relationships/hyperlink" Target="https://youtu.be/wf6hcFn27zk" TargetMode="External"/><Relationship Id="rId1396" Type="http://schemas.openxmlformats.org/officeDocument/2006/relationships/hyperlink" Target="https://youtu.be/TLl7grOPpAo" TargetMode="External"/><Relationship Id="rId1395" Type="http://schemas.openxmlformats.org/officeDocument/2006/relationships/hyperlink" Target="https://youtu.be/ZvWc957a2To" TargetMode="External"/><Relationship Id="rId1394" Type="http://schemas.openxmlformats.org/officeDocument/2006/relationships/hyperlink" Target="https://youtu.be/VWeg88PTg4s" TargetMode="External"/><Relationship Id="rId1393" Type="http://schemas.openxmlformats.org/officeDocument/2006/relationships/hyperlink" Target="https://youtu.be/at35zNUoGU4" TargetMode="External"/><Relationship Id="rId1392" Type="http://schemas.openxmlformats.org/officeDocument/2006/relationships/hyperlink" Target="https://youtu.be/5zR7jtW5vXU" TargetMode="External"/><Relationship Id="rId1391" Type="http://schemas.openxmlformats.org/officeDocument/2006/relationships/hyperlink" Target="https://youtu.be/-ndzgZ6ECrw" TargetMode="External"/><Relationship Id="rId1390" Type="http://schemas.openxmlformats.org/officeDocument/2006/relationships/hyperlink" Target="https://youtu.be/Y1tYRH72ETI" TargetMode="External"/><Relationship Id="rId139" Type="http://schemas.openxmlformats.org/officeDocument/2006/relationships/hyperlink" Target="https://youtu.be/6hHmkInZkMQ" TargetMode="External"/><Relationship Id="rId1389" Type="http://schemas.openxmlformats.org/officeDocument/2006/relationships/hyperlink" Target="https://youtu.be/E0pzYtupOXY" TargetMode="External"/><Relationship Id="rId1388" Type="http://schemas.openxmlformats.org/officeDocument/2006/relationships/hyperlink" Target="https://youtu.be/ao0DKmU3g0w" TargetMode="External"/><Relationship Id="rId1387" Type="http://schemas.openxmlformats.org/officeDocument/2006/relationships/hyperlink" Target="https://youtu.be/Mija9sKPBy8" TargetMode="External"/><Relationship Id="rId1386" Type="http://schemas.openxmlformats.org/officeDocument/2006/relationships/hyperlink" Target="https://youtu.be/E6vO_LQt9JA" TargetMode="External"/><Relationship Id="rId1385" Type="http://schemas.openxmlformats.org/officeDocument/2006/relationships/hyperlink" Target="https://youtu.be/p3CTMi3LuFc" TargetMode="External"/><Relationship Id="rId1384" Type="http://schemas.openxmlformats.org/officeDocument/2006/relationships/hyperlink" Target="https://youtu.be/se-OHpOKkfw" TargetMode="External"/><Relationship Id="rId1383" Type="http://schemas.openxmlformats.org/officeDocument/2006/relationships/hyperlink" Target="https://youtu.be/dKYemLYihWk" TargetMode="External"/><Relationship Id="rId1382" Type="http://schemas.openxmlformats.org/officeDocument/2006/relationships/hyperlink" Target="https://youtu.be/NO6Go3tMQwU" TargetMode="External"/><Relationship Id="rId1381" Type="http://schemas.openxmlformats.org/officeDocument/2006/relationships/hyperlink" Target="https://youtu.be/7okywRJrrBA" TargetMode="External"/><Relationship Id="rId1380" Type="http://schemas.openxmlformats.org/officeDocument/2006/relationships/hyperlink" Target="https://youtu.be/CS37I0SIEWs" TargetMode="External"/><Relationship Id="rId138" Type="http://schemas.openxmlformats.org/officeDocument/2006/relationships/hyperlink" Target="https://youtu.be/FSyfFrMcuQI" TargetMode="External"/><Relationship Id="rId1379" Type="http://schemas.openxmlformats.org/officeDocument/2006/relationships/hyperlink" Target="https://youtu.be/MGTgWteQHsw" TargetMode="External"/><Relationship Id="rId1378" Type="http://schemas.openxmlformats.org/officeDocument/2006/relationships/hyperlink" Target="https://youtu.be/7zmuuTiOQeY" TargetMode="External"/><Relationship Id="rId1377" Type="http://schemas.openxmlformats.org/officeDocument/2006/relationships/hyperlink" Target="https://youtu.be/QCw2oYv1w5Y" TargetMode="External"/><Relationship Id="rId1376" Type="http://schemas.openxmlformats.org/officeDocument/2006/relationships/hyperlink" Target="https://youtu.be/Xq4JQyF83rk" TargetMode="External"/><Relationship Id="rId1375" Type="http://schemas.openxmlformats.org/officeDocument/2006/relationships/hyperlink" Target="https://youtu.be/vdrJMKLP960" TargetMode="External"/><Relationship Id="rId1374" Type="http://schemas.openxmlformats.org/officeDocument/2006/relationships/hyperlink" Target="https://youtu.be/2O3qFdx7OXs" TargetMode="External"/><Relationship Id="rId1373" Type="http://schemas.openxmlformats.org/officeDocument/2006/relationships/hyperlink" Target="https://youtu.be/PtucbM9kXRk" TargetMode="External"/><Relationship Id="rId1372" Type="http://schemas.openxmlformats.org/officeDocument/2006/relationships/hyperlink" Target="https://youtu.be/zt9OZaY9T5M" TargetMode="External"/><Relationship Id="rId1371" Type="http://schemas.openxmlformats.org/officeDocument/2006/relationships/hyperlink" Target="https://youtu.be/alu8OtrNGTQ" TargetMode="External"/><Relationship Id="rId1370" Type="http://schemas.openxmlformats.org/officeDocument/2006/relationships/hyperlink" Target="https://youtu.be/u7twZyc9U6M" TargetMode="External"/><Relationship Id="rId137" Type="http://schemas.openxmlformats.org/officeDocument/2006/relationships/hyperlink" Target="https://youtu.be/k9Bq1Z0DCMw" TargetMode="External"/><Relationship Id="rId1369" Type="http://schemas.openxmlformats.org/officeDocument/2006/relationships/hyperlink" Target="https://youtu.be/z3B7cIbHA8I" TargetMode="External"/><Relationship Id="rId1368" Type="http://schemas.openxmlformats.org/officeDocument/2006/relationships/hyperlink" Target="https://youtu.be/M_2ig1mXmY4" TargetMode="External"/><Relationship Id="rId1367" Type="http://schemas.openxmlformats.org/officeDocument/2006/relationships/hyperlink" Target="https://youtu.be/6GvM8LXVg_U" TargetMode="External"/><Relationship Id="rId1366" Type="http://schemas.openxmlformats.org/officeDocument/2006/relationships/hyperlink" Target="https://youtu.be/q4BiDR4_H-Y" TargetMode="External"/><Relationship Id="rId1365" Type="http://schemas.openxmlformats.org/officeDocument/2006/relationships/hyperlink" Target="https://youtu.be/8F-IzDcSOJ0" TargetMode="External"/><Relationship Id="rId1364" Type="http://schemas.openxmlformats.org/officeDocument/2006/relationships/hyperlink" Target="https://youtu.be/3gwEVH1haLs" TargetMode="External"/><Relationship Id="rId1363" Type="http://schemas.openxmlformats.org/officeDocument/2006/relationships/hyperlink" Target="https://youtu.be/ZbT66uBUh-A" TargetMode="External"/><Relationship Id="rId1362" Type="http://schemas.openxmlformats.org/officeDocument/2006/relationships/hyperlink" Target="https://youtu.be/5tcDB079_Ss" TargetMode="External"/><Relationship Id="rId1361" Type="http://schemas.openxmlformats.org/officeDocument/2006/relationships/hyperlink" Target="https://youtu.be/LFkFH2pphKM" TargetMode="External"/><Relationship Id="rId1360" Type="http://schemas.openxmlformats.org/officeDocument/2006/relationships/hyperlink" Target="https://youtu.be/L4u-1EKsdbU" TargetMode="External"/><Relationship Id="rId136" Type="http://schemas.openxmlformats.org/officeDocument/2006/relationships/hyperlink" Target="https://youtu.be/SCwJ6Io6ldA" TargetMode="External"/><Relationship Id="rId1359" Type="http://schemas.openxmlformats.org/officeDocument/2006/relationships/hyperlink" Target="https://youtu.be/iBqdJXvTrp4" TargetMode="External"/><Relationship Id="rId1358" Type="http://schemas.openxmlformats.org/officeDocument/2006/relationships/hyperlink" Target="https://youtu.be/KEp2cctB_XI" TargetMode="External"/><Relationship Id="rId1357" Type="http://schemas.openxmlformats.org/officeDocument/2006/relationships/hyperlink" Target="https://youtu.be/Qo8EEZwUFvc" TargetMode="External"/><Relationship Id="rId1356" Type="http://schemas.openxmlformats.org/officeDocument/2006/relationships/hyperlink" Target="https://youtu.be/hgEUMzTCaZA" TargetMode="External"/><Relationship Id="rId1355" Type="http://schemas.openxmlformats.org/officeDocument/2006/relationships/hyperlink" Target="https://youtu.be/_qlI0w3NS-w" TargetMode="External"/><Relationship Id="rId1354" Type="http://schemas.openxmlformats.org/officeDocument/2006/relationships/hyperlink" Target="https://youtu.be/5E4Hy3PMizo" TargetMode="External"/><Relationship Id="rId1353" Type="http://schemas.openxmlformats.org/officeDocument/2006/relationships/hyperlink" Target="https://youtu.be/DRyc7Ljf-2M" TargetMode="External"/><Relationship Id="rId1352" Type="http://schemas.openxmlformats.org/officeDocument/2006/relationships/hyperlink" Target="https://youtu.be/S0STm4i5hIE" TargetMode="External"/><Relationship Id="rId1351" Type="http://schemas.openxmlformats.org/officeDocument/2006/relationships/hyperlink" Target="https://youtu.be/XauCMYOxtwk" TargetMode="External"/><Relationship Id="rId1350" Type="http://schemas.openxmlformats.org/officeDocument/2006/relationships/hyperlink" Target="https://youtu.be/n8IFx26R3VE" TargetMode="External"/><Relationship Id="rId135" Type="http://schemas.openxmlformats.org/officeDocument/2006/relationships/hyperlink" Target="https://youtu.be/vStwi-5nFLc" TargetMode="External"/><Relationship Id="rId1349" Type="http://schemas.openxmlformats.org/officeDocument/2006/relationships/hyperlink" Target="https://youtu.be/c_IBugQhvNU" TargetMode="External"/><Relationship Id="rId1348" Type="http://schemas.openxmlformats.org/officeDocument/2006/relationships/hyperlink" Target="https://youtu.be/gBbpI9Qp2Jk" TargetMode="External"/><Relationship Id="rId1347" Type="http://schemas.openxmlformats.org/officeDocument/2006/relationships/hyperlink" Target="https://youtu.be/LVk_28d5Gb8" TargetMode="External"/><Relationship Id="rId1346" Type="http://schemas.openxmlformats.org/officeDocument/2006/relationships/hyperlink" Target="https://youtu.be/RHTAQG8xXz8" TargetMode="External"/><Relationship Id="rId1345" Type="http://schemas.openxmlformats.org/officeDocument/2006/relationships/hyperlink" Target="https://youtu.be/YpJFdudBNUw" TargetMode="External"/><Relationship Id="rId1344" Type="http://schemas.openxmlformats.org/officeDocument/2006/relationships/hyperlink" Target="https://youtu.be/rQUkpmvhhuQ" TargetMode="External"/><Relationship Id="rId1343" Type="http://schemas.openxmlformats.org/officeDocument/2006/relationships/hyperlink" Target="https://youtu.be/iwE4y-3WBT0" TargetMode="External"/><Relationship Id="rId1342" Type="http://schemas.openxmlformats.org/officeDocument/2006/relationships/hyperlink" Target="https://youtu.be/NFQf5QCD71o" TargetMode="External"/><Relationship Id="rId1341" Type="http://schemas.openxmlformats.org/officeDocument/2006/relationships/hyperlink" Target="https://youtu.be/cj6EkDzO1aA" TargetMode="External"/><Relationship Id="rId1340" Type="http://schemas.openxmlformats.org/officeDocument/2006/relationships/hyperlink" Target="https://youtu.be/e018fUaHqLE" TargetMode="External"/><Relationship Id="rId134" Type="http://schemas.openxmlformats.org/officeDocument/2006/relationships/hyperlink" Target="https://youtu.be/9rgOU1AIv-g" TargetMode="External"/><Relationship Id="rId1339" Type="http://schemas.openxmlformats.org/officeDocument/2006/relationships/hyperlink" Target="https://youtu.be/PWaaewxwc90" TargetMode="External"/><Relationship Id="rId1338" Type="http://schemas.openxmlformats.org/officeDocument/2006/relationships/hyperlink" Target="https://youtu.be/f_wDJMKSFgY" TargetMode="External"/><Relationship Id="rId1337" Type="http://schemas.openxmlformats.org/officeDocument/2006/relationships/hyperlink" Target="https://youtu.be/9y86GAOmhC0" TargetMode="External"/><Relationship Id="rId1336" Type="http://schemas.openxmlformats.org/officeDocument/2006/relationships/hyperlink" Target="https://youtu.be/lXDBaQJI7-8" TargetMode="External"/><Relationship Id="rId1335" Type="http://schemas.openxmlformats.org/officeDocument/2006/relationships/hyperlink" Target="https://youtu.be/avSZeI7WYgw" TargetMode="External"/><Relationship Id="rId1334" Type="http://schemas.openxmlformats.org/officeDocument/2006/relationships/hyperlink" Target="https://youtu.be/yNxPO6nYqLc" TargetMode="External"/><Relationship Id="rId1333" Type="http://schemas.openxmlformats.org/officeDocument/2006/relationships/hyperlink" Target="https://youtu.be/YWuo8bcIXiM" TargetMode="External"/><Relationship Id="rId1332" Type="http://schemas.openxmlformats.org/officeDocument/2006/relationships/hyperlink" Target="https://youtu.be/EZoJdZhvadE" TargetMode="External"/><Relationship Id="rId1331" Type="http://schemas.openxmlformats.org/officeDocument/2006/relationships/hyperlink" Target="https://youtu.be/iPCaqbM3474" TargetMode="External"/><Relationship Id="rId1330" Type="http://schemas.openxmlformats.org/officeDocument/2006/relationships/hyperlink" Target="https://youtu.be/qX612jbS9po" TargetMode="External"/><Relationship Id="rId133" Type="http://schemas.openxmlformats.org/officeDocument/2006/relationships/hyperlink" Target="https://youtu.be/APPiEjHuxkI" TargetMode="External"/><Relationship Id="rId1329" Type="http://schemas.openxmlformats.org/officeDocument/2006/relationships/hyperlink" Target="https://youtu.be/BAopjEcxIUQ" TargetMode="External"/><Relationship Id="rId1328" Type="http://schemas.openxmlformats.org/officeDocument/2006/relationships/hyperlink" Target="https://youtu.be/qoMtPgyafHg" TargetMode="External"/><Relationship Id="rId1327" Type="http://schemas.openxmlformats.org/officeDocument/2006/relationships/hyperlink" Target="https://youtu.be/JKMUpi9IP3A" TargetMode="External"/><Relationship Id="rId1326" Type="http://schemas.openxmlformats.org/officeDocument/2006/relationships/hyperlink" Target="https://youtu.be/P2Aj3jGni-I" TargetMode="External"/><Relationship Id="rId1325" Type="http://schemas.openxmlformats.org/officeDocument/2006/relationships/hyperlink" Target="https://youtu.be/0at7Dq3mtFo" TargetMode="External"/><Relationship Id="rId1324" Type="http://schemas.openxmlformats.org/officeDocument/2006/relationships/hyperlink" Target="https://youtu.be/BAv5bA2_5q8" TargetMode="External"/><Relationship Id="rId1323" Type="http://schemas.openxmlformats.org/officeDocument/2006/relationships/hyperlink" Target="https://youtu.be/-2yVN_hL-Xo" TargetMode="External"/><Relationship Id="rId1322" Type="http://schemas.openxmlformats.org/officeDocument/2006/relationships/hyperlink" Target="https://youtu.be/E0gaG1aNvkE" TargetMode="External"/><Relationship Id="rId1321" Type="http://schemas.openxmlformats.org/officeDocument/2006/relationships/hyperlink" Target="https://youtu.be/CbtufKt1sSM" TargetMode="External"/><Relationship Id="rId1320" Type="http://schemas.openxmlformats.org/officeDocument/2006/relationships/hyperlink" Target="https://youtu.be/JjoKF6M_37M" TargetMode="External"/><Relationship Id="rId132" Type="http://schemas.openxmlformats.org/officeDocument/2006/relationships/hyperlink" Target="https://youtu.be/EZkcmCX--ow" TargetMode="External"/><Relationship Id="rId1319" Type="http://schemas.openxmlformats.org/officeDocument/2006/relationships/hyperlink" Target="https://youtu.be/hqICEGWow98" TargetMode="External"/><Relationship Id="rId1318" Type="http://schemas.openxmlformats.org/officeDocument/2006/relationships/hyperlink" Target="https://youtu.be/7Pu5MizzFP0" TargetMode="External"/><Relationship Id="rId1317" Type="http://schemas.openxmlformats.org/officeDocument/2006/relationships/hyperlink" Target="https://youtu.be/DsSRWM85y7s" TargetMode="External"/><Relationship Id="rId1316" Type="http://schemas.openxmlformats.org/officeDocument/2006/relationships/hyperlink" Target="https://youtu.be/3mrSJoogdyw" TargetMode="External"/><Relationship Id="rId1315" Type="http://schemas.openxmlformats.org/officeDocument/2006/relationships/hyperlink" Target="https://youtu.be/3_rbhRCXQhg" TargetMode="External"/><Relationship Id="rId1314" Type="http://schemas.openxmlformats.org/officeDocument/2006/relationships/hyperlink" Target="https://youtu.be/UWCUGDm8NvM" TargetMode="External"/><Relationship Id="rId1313" Type="http://schemas.openxmlformats.org/officeDocument/2006/relationships/hyperlink" Target="https://youtu.be/1NrqBe_xm-w" TargetMode="External"/><Relationship Id="rId1312" Type="http://schemas.openxmlformats.org/officeDocument/2006/relationships/hyperlink" Target="https://youtu.be/DfjLNULOz20" TargetMode="External"/><Relationship Id="rId1311" Type="http://schemas.openxmlformats.org/officeDocument/2006/relationships/hyperlink" Target="https://youtu.be/cTULoZggpcw" TargetMode="External"/><Relationship Id="rId1310" Type="http://schemas.openxmlformats.org/officeDocument/2006/relationships/hyperlink" Target="https://youtu.be/sc7TGp2Fhls" TargetMode="External"/><Relationship Id="rId131" Type="http://schemas.openxmlformats.org/officeDocument/2006/relationships/hyperlink" Target="https://youtu.be/JNCw3fUtwbs" TargetMode="External"/><Relationship Id="rId1309" Type="http://schemas.openxmlformats.org/officeDocument/2006/relationships/hyperlink" Target="https://youtu.be/QU8NfXmbMZc" TargetMode="External"/><Relationship Id="rId1308" Type="http://schemas.openxmlformats.org/officeDocument/2006/relationships/hyperlink" Target="https://youtu.be/tBDKqbCV0RM" TargetMode="External"/><Relationship Id="rId1307" Type="http://schemas.openxmlformats.org/officeDocument/2006/relationships/hyperlink" Target="https://youtu.be/unnoeVghr5c" TargetMode="External"/><Relationship Id="rId1306" Type="http://schemas.openxmlformats.org/officeDocument/2006/relationships/hyperlink" Target="https://youtu.be/nYdCU1QQQro" TargetMode="External"/><Relationship Id="rId1305" Type="http://schemas.openxmlformats.org/officeDocument/2006/relationships/hyperlink" Target="https://youtu.be/LuUncJgH-YA" TargetMode="External"/><Relationship Id="rId1304" Type="http://schemas.openxmlformats.org/officeDocument/2006/relationships/hyperlink" Target="https://youtu.be/hhd19ZPy4Pc" TargetMode="External"/><Relationship Id="rId1303" Type="http://schemas.openxmlformats.org/officeDocument/2006/relationships/hyperlink" Target="https://youtu.be/hVmX7-GOPiU" TargetMode="External"/><Relationship Id="rId1302" Type="http://schemas.openxmlformats.org/officeDocument/2006/relationships/hyperlink" Target="https://youtu.be/Q3-mK7VSma4" TargetMode="External"/><Relationship Id="rId1301" Type="http://schemas.openxmlformats.org/officeDocument/2006/relationships/hyperlink" Target="https://youtu.be/xPF4sJsiFaQ" TargetMode="External"/><Relationship Id="rId1300" Type="http://schemas.openxmlformats.org/officeDocument/2006/relationships/hyperlink" Target="https://youtu.be/OGuaYnHw4tk" TargetMode="External"/><Relationship Id="rId130" Type="http://schemas.openxmlformats.org/officeDocument/2006/relationships/hyperlink" Target="https://youtu.be/Gc_XtRnVLQ8" TargetMode="External"/><Relationship Id="rId13" Type="http://schemas.openxmlformats.org/officeDocument/2006/relationships/hyperlink" Target="https://youtu.be/KpyKqRV5FRc" TargetMode="External"/><Relationship Id="rId1299" Type="http://schemas.openxmlformats.org/officeDocument/2006/relationships/hyperlink" Target="https://youtu.be/vIrUL0p25s0" TargetMode="External"/><Relationship Id="rId1298" Type="http://schemas.openxmlformats.org/officeDocument/2006/relationships/hyperlink" Target="https://youtu.be/Uw8E26uS6Xs" TargetMode="External"/><Relationship Id="rId1297" Type="http://schemas.openxmlformats.org/officeDocument/2006/relationships/hyperlink" Target="https://youtu.be/b4n72ceDdVA" TargetMode="External"/><Relationship Id="rId1296" Type="http://schemas.openxmlformats.org/officeDocument/2006/relationships/hyperlink" Target="https://youtu.be/ta907wQlllQ" TargetMode="External"/><Relationship Id="rId1295" Type="http://schemas.openxmlformats.org/officeDocument/2006/relationships/hyperlink" Target="https://youtu.be/HfrAoR_xeTk" TargetMode="External"/><Relationship Id="rId1294" Type="http://schemas.openxmlformats.org/officeDocument/2006/relationships/hyperlink" Target="https://youtu.be/3DjWsQRoZ2g" TargetMode="External"/><Relationship Id="rId1293" Type="http://schemas.openxmlformats.org/officeDocument/2006/relationships/hyperlink" Target="https://youtu.be/9lInMFHKlIM" TargetMode="External"/><Relationship Id="rId1292" Type="http://schemas.openxmlformats.org/officeDocument/2006/relationships/hyperlink" Target="https://youtu.be/PPgc0MbMB84" TargetMode="External"/><Relationship Id="rId1291" Type="http://schemas.openxmlformats.org/officeDocument/2006/relationships/hyperlink" Target="https://youtu.be/zhsH3MB11Vg" TargetMode="External"/><Relationship Id="rId1290" Type="http://schemas.openxmlformats.org/officeDocument/2006/relationships/hyperlink" Target="https://youtu.be/zbODBcnVQ7w" TargetMode="External"/><Relationship Id="rId129" Type="http://schemas.openxmlformats.org/officeDocument/2006/relationships/hyperlink" Target="https://youtu.be/H1epJH9XIH8" TargetMode="External"/><Relationship Id="rId1289" Type="http://schemas.openxmlformats.org/officeDocument/2006/relationships/hyperlink" Target="https://youtu.be/TdvND-cYINQ" TargetMode="External"/><Relationship Id="rId1288" Type="http://schemas.openxmlformats.org/officeDocument/2006/relationships/hyperlink" Target="https://youtu.be/mD-I6Gq6eZc" TargetMode="External"/><Relationship Id="rId1287" Type="http://schemas.openxmlformats.org/officeDocument/2006/relationships/hyperlink" Target="https://youtu.be/ZGc91NuZiUU" TargetMode="External"/><Relationship Id="rId1286" Type="http://schemas.openxmlformats.org/officeDocument/2006/relationships/hyperlink" Target="https://youtu.be/Cp4aEsSB7K0" TargetMode="External"/><Relationship Id="rId1285" Type="http://schemas.openxmlformats.org/officeDocument/2006/relationships/hyperlink" Target="https://youtu.be/tBSMsI4bsmo" TargetMode="External"/><Relationship Id="rId1284" Type="http://schemas.openxmlformats.org/officeDocument/2006/relationships/hyperlink" Target="https://youtu.be/Zag-n8Iw5yQ" TargetMode="External"/><Relationship Id="rId1283" Type="http://schemas.openxmlformats.org/officeDocument/2006/relationships/hyperlink" Target="https://youtu.be/v2cmgdBtkeA" TargetMode="External"/><Relationship Id="rId1282" Type="http://schemas.openxmlformats.org/officeDocument/2006/relationships/hyperlink" Target="https://youtu.be/M0v9Vtu3KII" TargetMode="External"/><Relationship Id="rId1281" Type="http://schemas.openxmlformats.org/officeDocument/2006/relationships/hyperlink" Target="https://youtu.be/Aw6MD_KSQDU" TargetMode="External"/><Relationship Id="rId1280" Type="http://schemas.openxmlformats.org/officeDocument/2006/relationships/hyperlink" Target="https://youtu.be/CRXnExLzapA" TargetMode="External"/><Relationship Id="rId128" Type="http://schemas.openxmlformats.org/officeDocument/2006/relationships/hyperlink" Target="https://youtu.be/Qxxb4YeBTug" TargetMode="External"/><Relationship Id="rId1279" Type="http://schemas.openxmlformats.org/officeDocument/2006/relationships/hyperlink" Target="https://youtu.be/mfjx2ZN6vU4" TargetMode="External"/><Relationship Id="rId1278" Type="http://schemas.openxmlformats.org/officeDocument/2006/relationships/hyperlink" Target="https://youtu.be/7X1qZmmP2mw" TargetMode="External"/><Relationship Id="rId1277" Type="http://schemas.openxmlformats.org/officeDocument/2006/relationships/hyperlink" Target="https://youtu.be/6U5N_uEn2Ko" TargetMode="External"/><Relationship Id="rId1276" Type="http://schemas.openxmlformats.org/officeDocument/2006/relationships/hyperlink" Target="https://youtu.be/Jp4ZsNobZ2o" TargetMode="External"/><Relationship Id="rId1275" Type="http://schemas.openxmlformats.org/officeDocument/2006/relationships/hyperlink" Target="https://youtu.be/xfL2FVHoeZQ" TargetMode="External"/><Relationship Id="rId1274" Type="http://schemas.openxmlformats.org/officeDocument/2006/relationships/hyperlink" Target="https://youtu.be/puXeQa8LFHM" TargetMode="External"/><Relationship Id="rId1273" Type="http://schemas.openxmlformats.org/officeDocument/2006/relationships/hyperlink" Target="https://youtu.be/qIGt7mFk7as" TargetMode="External"/><Relationship Id="rId1272" Type="http://schemas.openxmlformats.org/officeDocument/2006/relationships/hyperlink" Target="https://youtu.be/9XtVQn9kcYM" TargetMode="External"/><Relationship Id="rId1271" Type="http://schemas.openxmlformats.org/officeDocument/2006/relationships/hyperlink" Target="https://youtu.be/5YSFgSEzufE" TargetMode="External"/><Relationship Id="rId1270" Type="http://schemas.openxmlformats.org/officeDocument/2006/relationships/hyperlink" Target="https://youtu.be/_kuId9fC8SA" TargetMode="External"/><Relationship Id="rId127" Type="http://schemas.openxmlformats.org/officeDocument/2006/relationships/hyperlink" Target="https://youtu.be/25Jhy_0fowo" TargetMode="External"/><Relationship Id="rId1269" Type="http://schemas.openxmlformats.org/officeDocument/2006/relationships/hyperlink" Target="https://youtu.be/s7vLo2Ic4ZE" TargetMode="External"/><Relationship Id="rId1268" Type="http://schemas.openxmlformats.org/officeDocument/2006/relationships/hyperlink" Target="https://youtu.be/TNPXr4Pgd2M" TargetMode="External"/><Relationship Id="rId1267" Type="http://schemas.openxmlformats.org/officeDocument/2006/relationships/hyperlink" Target="https://youtu.be/DHlSAIu03us" TargetMode="External"/><Relationship Id="rId1266" Type="http://schemas.openxmlformats.org/officeDocument/2006/relationships/hyperlink" Target="https://youtu.be/4wlcb5L_enA" TargetMode="External"/><Relationship Id="rId1265" Type="http://schemas.openxmlformats.org/officeDocument/2006/relationships/hyperlink" Target="https://youtu.be/NsBDNyCtMAI" TargetMode="External"/><Relationship Id="rId1264" Type="http://schemas.openxmlformats.org/officeDocument/2006/relationships/hyperlink" Target="https://youtu.be/xjXYSJF-7Cs" TargetMode="External"/><Relationship Id="rId1263" Type="http://schemas.openxmlformats.org/officeDocument/2006/relationships/hyperlink" Target="https://youtu.be/z23RuPcdYD8" TargetMode="External"/><Relationship Id="rId1262" Type="http://schemas.openxmlformats.org/officeDocument/2006/relationships/hyperlink" Target="https://youtu.be/E4YHhIVZuWA" TargetMode="External"/><Relationship Id="rId1261" Type="http://schemas.openxmlformats.org/officeDocument/2006/relationships/hyperlink" Target="https://youtu.be/zyA2RZYCFY4" TargetMode="External"/><Relationship Id="rId1260" Type="http://schemas.openxmlformats.org/officeDocument/2006/relationships/hyperlink" Target="https://youtu.be/jAmvGHyylQ4" TargetMode="External"/><Relationship Id="rId126" Type="http://schemas.openxmlformats.org/officeDocument/2006/relationships/hyperlink" Target="https://youtu.be/MWdvrhY-pYw" TargetMode="External"/><Relationship Id="rId1259" Type="http://schemas.openxmlformats.org/officeDocument/2006/relationships/hyperlink" Target="https://youtu.be/MPxW5Am2j-w" TargetMode="External"/><Relationship Id="rId1258" Type="http://schemas.openxmlformats.org/officeDocument/2006/relationships/hyperlink" Target="https://youtu.be/VMRhijLXKq0" TargetMode="External"/><Relationship Id="rId1257" Type="http://schemas.openxmlformats.org/officeDocument/2006/relationships/hyperlink" Target="https://youtu.be/v5Xr-WkW5JM" TargetMode="External"/><Relationship Id="rId1256" Type="http://schemas.openxmlformats.org/officeDocument/2006/relationships/hyperlink" Target="https://youtu.be/OyinPlh8A98" TargetMode="External"/><Relationship Id="rId1255" Type="http://schemas.openxmlformats.org/officeDocument/2006/relationships/hyperlink" Target="https://youtu.be/DHMC0dqUe_o" TargetMode="External"/><Relationship Id="rId1254" Type="http://schemas.openxmlformats.org/officeDocument/2006/relationships/hyperlink" Target="https://youtu.be/ElfkWqJ1D9I" TargetMode="External"/><Relationship Id="rId1253" Type="http://schemas.openxmlformats.org/officeDocument/2006/relationships/hyperlink" Target="https://youtu.be/iwl6uD9A8Qg" TargetMode="External"/><Relationship Id="rId1252" Type="http://schemas.openxmlformats.org/officeDocument/2006/relationships/hyperlink" Target="https://youtu.be/zHvC4fCdvZc" TargetMode="External"/><Relationship Id="rId1251" Type="http://schemas.openxmlformats.org/officeDocument/2006/relationships/hyperlink" Target="https://youtu.be/NEHw-wanC1E" TargetMode="External"/><Relationship Id="rId1250" Type="http://schemas.openxmlformats.org/officeDocument/2006/relationships/hyperlink" Target="https://youtu.be/z4bgP6QLJI8" TargetMode="External"/><Relationship Id="rId125" Type="http://schemas.openxmlformats.org/officeDocument/2006/relationships/hyperlink" Target="https://youtu.be/wKwoBudYIiI" TargetMode="External"/><Relationship Id="rId1249" Type="http://schemas.openxmlformats.org/officeDocument/2006/relationships/hyperlink" Target="https://youtu.be/3FYW37_Oypo" TargetMode="External"/><Relationship Id="rId1248" Type="http://schemas.openxmlformats.org/officeDocument/2006/relationships/hyperlink" Target="https://youtu.be/ZYU_uS19aNg" TargetMode="External"/><Relationship Id="rId1247" Type="http://schemas.openxmlformats.org/officeDocument/2006/relationships/hyperlink" Target="https://youtu.be/DVjZQQWp_8o" TargetMode="External"/><Relationship Id="rId1246" Type="http://schemas.openxmlformats.org/officeDocument/2006/relationships/hyperlink" Target="https://youtu.be/bZ9D5Iz_o10" TargetMode="External"/><Relationship Id="rId1245" Type="http://schemas.openxmlformats.org/officeDocument/2006/relationships/hyperlink" Target="https://youtu.be/4Fc6QABHnYA" TargetMode="External"/><Relationship Id="rId1244" Type="http://schemas.openxmlformats.org/officeDocument/2006/relationships/hyperlink" Target="https://youtu.be/MLR4P21s59o" TargetMode="External"/><Relationship Id="rId1243" Type="http://schemas.openxmlformats.org/officeDocument/2006/relationships/hyperlink" Target="https://youtu.be/2mUHtyA0eO4" TargetMode="External"/><Relationship Id="rId1242" Type="http://schemas.openxmlformats.org/officeDocument/2006/relationships/hyperlink" Target="https://youtu.be/vc2qvfXEl7s" TargetMode="External"/><Relationship Id="rId1241" Type="http://schemas.openxmlformats.org/officeDocument/2006/relationships/hyperlink" Target="https://youtu.be/tjxRGQ2kSf8" TargetMode="External"/><Relationship Id="rId1240" Type="http://schemas.openxmlformats.org/officeDocument/2006/relationships/hyperlink" Target="https://youtu.be/v1hBajn3vI8" TargetMode="External"/><Relationship Id="rId124" Type="http://schemas.openxmlformats.org/officeDocument/2006/relationships/hyperlink" Target="https://youtu.be/PwgDpGSm_n4" TargetMode="External"/><Relationship Id="rId1239" Type="http://schemas.openxmlformats.org/officeDocument/2006/relationships/hyperlink" Target="https://youtu.be/GZHzZANk6jA" TargetMode="External"/><Relationship Id="rId1238" Type="http://schemas.openxmlformats.org/officeDocument/2006/relationships/hyperlink" Target="https://youtu.be/OV1nZdG0oQk" TargetMode="External"/><Relationship Id="rId1237" Type="http://schemas.openxmlformats.org/officeDocument/2006/relationships/hyperlink" Target="https://youtu.be/crr5Uk-Tvzk" TargetMode="External"/><Relationship Id="rId1236" Type="http://schemas.openxmlformats.org/officeDocument/2006/relationships/hyperlink" Target="https://youtu.be/CbtfsIY1f1Q" TargetMode="External"/><Relationship Id="rId1235" Type="http://schemas.openxmlformats.org/officeDocument/2006/relationships/hyperlink" Target="https://youtu.be/pORQHY59Qqs" TargetMode="External"/><Relationship Id="rId1234" Type="http://schemas.openxmlformats.org/officeDocument/2006/relationships/hyperlink" Target="https://youtu.be/mTc22ZPMl_c" TargetMode="External"/><Relationship Id="rId1233" Type="http://schemas.openxmlformats.org/officeDocument/2006/relationships/hyperlink" Target="https://youtu.be/cM16zp1tNvI" TargetMode="External"/><Relationship Id="rId1232" Type="http://schemas.openxmlformats.org/officeDocument/2006/relationships/hyperlink" Target="https://youtu.be/mdtKAbS4FuE" TargetMode="External"/><Relationship Id="rId1231" Type="http://schemas.openxmlformats.org/officeDocument/2006/relationships/hyperlink" Target="https://youtu.be/fHu3VdaH7gU" TargetMode="External"/><Relationship Id="rId1230" Type="http://schemas.openxmlformats.org/officeDocument/2006/relationships/hyperlink" Target="https://youtu.be/c8RSgL2dxCk" TargetMode="External"/><Relationship Id="rId123" Type="http://schemas.openxmlformats.org/officeDocument/2006/relationships/hyperlink" Target="https://youtu.be/qRWh13NUigk" TargetMode="External"/><Relationship Id="rId1229" Type="http://schemas.openxmlformats.org/officeDocument/2006/relationships/hyperlink" Target="https://youtu.be/CZmCHDJOSwU" TargetMode="External"/><Relationship Id="rId1228" Type="http://schemas.openxmlformats.org/officeDocument/2006/relationships/hyperlink" Target="https://youtu.be/V-EAJV3e9xw" TargetMode="External"/><Relationship Id="rId1227" Type="http://schemas.openxmlformats.org/officeDocument/2006/relationships/hyperlink" Target="https://youtu.be/KivgQJzKtfY" TargetMode="External"/><Relationship Id="rId1226" Type="http://schemas.openxmlformats.org/officeDocument/2006/relationships/hyperlink" Target="https://youtu.be/hzt6_JaUyFU" TargetMode="External"/><Relationship Id="rId1225" Type="http://schemas.openxmlformats.org/officeDocument/2006/relationships/hyperlink" Target="https://youtu.be/Cc2ytcEsy1o" TargetMode="External"/><Relationship Id="rId1224" Type="http://schemas.openxmlformats.org/officeDocument/2006/relationships/hyperlink" Target="https://youtu.be/n08MwZn2qCs" TargetMode="External"/><Relationship Id="rId1223" Type="http://schemas.openxmlformats.org/officeDocument/2006/relationships/hyperlink" Target="https://youtu.be/85CdUFxr8yM" TargetMode="External"/><Relationship Id="rId1222" Type="http://schemas.openxmlformats.org/officeDocument/2006/relationships/hyperlink" Target="https://youtu.be/G9lFTYLr2AY" TargetMode="External"/><Relationship Id="rId1221" Type="http://schemas.openxmlformats.org/officeDocument/2006/relationships/hyperlink" Target="https://youtu.be/_ykgj5IurzI" TargetMode="External"/><Relationship Id="rId1220" Type="http://schemas.openxmlformats.org/officeDocument/2006/relationships/hyperlink" Target="https://youtu.be/gtwhd_3LWXY" TargetMode="External"/><Relationship Id="rId122" Type="http://schemas.openxmlformats.org/officeDocument/2006/relationships/hyperlink" Target="https://youtu.be/7h5Si9MBHJU" TargetMode="External"/><Relationship Id="rId1219" Type="http://schemas.openxmlformats.org/officeDocument/2006/relationships/hyperlink" Target="https://youtu.be/mJYMzsQZ5SY" TargetMode="External"/><Relationship Id="rId1218" Type="http://schemas.openxmlformats.org/officeDocument/2006/relationships/hyperlink" Target="https://youtu.be/9J_k3ro0sLk" TargetMode="External"/><Relationship Id="rId1217" Type="http://schemas.openxmlformats.org/officeDocument/2006/relationships/hyperlink" Target="https://youtu.be/BWP90RQq_Wc" TargetMode="External"/><Relationship Id="rId1216" Type="http://schemas.openxmlformats.org/officeDocument/2006/relationships/hyperlink" Target="https://youtu.be/EwQTNNp2uUI" TargetMode="External"/><Relationship Id="rId1215" Type="http://schemas.openxmlformats.org/officeDocument/2006/relationships/hyperlink" Target="https://youtu.be/nJiwSL-2ECw" TargetMode="External"/><Relationship Id="rId1214" Type="http://schemas.openxmlformats.org/officeDocument/2006/relationships/hyperlink" Target="https://youtu.be/3n-0CSCcJuQ" TargetMode="External"/><Relationship Id="rId1213" Type="http://schemas.openxmlformats.org/officeDocument/2006/relationships/hyperlink" Target="https://youtu.be/s-TCk5HdBiE" TargetMode="External"/><Relationship Id="rId1212" Type="http://schemas.openxmlformats.org/officeDocument/2006/relationships/hyperlink" Target="https://youtu.be/sfCoPZnvhpQ" TargetMode="External"/><Relationship Id="rId1211" Type="http://schemas.openxmlformats.org/officeDocument/2006/relationships/hyperlink" Target="https://youtu.be/t1pBC9q8DLM" TargetMode="External"/><Relationship Id="rId1210" Type="http://schemas.openxmlformats.org/officeDocument/2006/relationships/hyperlink" Target="https://youtu.be/v4gG3LQf2RI" TargetMode="External"/><Relationship Id="rId121" Type="http://schemas.openxmlformats.org/officeDocument/2006/relationships/hyperlink" Target="https://youtu.be/PKgMCe1paJA" TargetMode="External"/><Relationship Id="rId1209" Type="http://schemas.openxmlformats.org/officeDocument/2006/relationships/hyperlink" Target="https://youtu.be/YwsPKE1QUwg" TargetMode="External"/><Relationship Id="rId1208" Type="http://schemas.openxmlformats.org/officeDocument/2006/relationships/hyperlink" Target="https://youtu.be/q6DZacU-yMo" TargetMode="External"/><Relationship Id="rId1207" Type="http://schemas.openxmlformats.org/officeDocument/2006/relationships/hyperlink" Target="https://youtu.be/rQXl0vreQkA" TargetMode="External"/><Relationship Id="rId1206" Type="http://schemas.openxmlformats.org/officeDocument/2006/relationships/hyperlink" Target="https://youtu.be/7I78wLrWBmA" TargetMode="External"/><Relationship Id="rId1205" Type="http://schemas.openxmlformats.org/officeDocument/2006/relationships/hyperlink" Target="https://youtu.be/Wb0eLZISnxE" TargetMode="External"/><Relationship Id="rId1204" Type="http://schemas.openxmlformats.org/officeDocument/2006/relationships/hyperlink" Target="https://youtu.be/suqMoiTvxrg" TargetMode="External"/><Relationship Id="rId1203" Type="http://schemas.openxmlformats.org/officeDocument/2006/relationships/hyperlink" Target="https://youtu.be/cvOWo7iDT6M" TargetMode="External"/><Relationship Id="rId1202" Type="http://schemas.openxmlformats.org/officeDocument/2006/relationships/hyperlink" Target="https://youtu.be/osno3wJuj7Q" TargetMode="External"/><Relationship Id="rId1201" Type="http://schemas.openxmlformats.org/officeDocument/2006/relationships/hyperlink" Target="https://youtu.be/r2MCnCjzFZc" TargetMode="External"/><Relationship Id="rId1200" Type="http://schemas.openxmlformats.org/officeDocument/2006/relationships/hyperlink" Target="https://youtu.be/XdS7xrP6xG8" TargetMode="External"/><Relationship Id="rId120" Type="http://schemas.openxmlformats.org/officeDocument/2006/relationships/hyperlink" Target="https://youtu.be/pIYqi2y4WlE" TargetMode="External"/><Relationship Id="rId12" Type="http://schemas.openxmlformats.org/officeDocument/2006/relationships/hyperlink" Target="https://youtu.be/I69Cz4zJJes" TargetMode="External"/><Relationship Id="rId1199" Type="http://schemas.openxmlformats.org/officeDocument/2006/relationships/hyperlink" Target="https://youtu.be/UXrQJ5h0xFs" TargetMode="External"/><Relationship Id="rId1198" Type="http://schemas.openxmlformats.org/officeDocument/2006/relationships/hyperlink" Target="https://youtu.be/TQgZ8QM_t04" TargetMode="External"/><Relationship Id="rId1197" Type="http://schemas.openxmlformats.org/officeDocument/2006/relationships/hyperlink" Target="https://youtu.be/NFJ50KZDTrc" TargetMode="External"/><Relationship Id="rId1196" Type="http://schemas.openxmlformats.org/officeDocument/2006/relationships/hyperlink" Target="https://youtu.be/c-BY-JpUfsQ" TargetMode="External"/><Relationship Id="rId1195" Type="http://schemas.openxmlformats.org/officeDocument/2006/relationships/hyperlink" Target="https://youtu.be/3Qycsss6bXI" TargetMode="External"/><Relationship Id="rId1194" Type="http://schemas.openxmlformats.org/officeDocument/2006/relationships/hyperlink" Target="https://youtu.be/5HMwKwWnV4k" TargetMode="External"/><Relationship Id="rId1193" Type="http://schemas.openxmlformats.org/officeDocument/2006/relationships/hyperlink" Target="https://youtu.be/zEPCeXWQtyM" TargetMode="External"/><Relationship Id="rId1192" Type="http://schemas.openxmlformats.org/officeDocument/2006/relationships/hyperlink" Target="https://youtu.be/zQyWjzw_wfQ" TargetMode="External"/><Relationship Id="rId1191" Type="http://schemas.openxmlformats.org/officeDocument/2006/relationships/hyperlink" Target="https://youtu.be/j0IYSEIhGkY" TargetMode="External"/><Relationship Id="rId1190" Type="http://schemas.openxmlformats.org/officeDocument/2006/relationships/hyperlink" Target="https://youtu.be/y93Mgx-yfUg" TargetMode="External"/><Relationship Id="rId119" Type="http://schemas.openxmlformats.org/officeDocument/2006/relationships/hyperlink" Target="https://youtu.be/_NjDi7VdEDg" TargetMode="External"/><Relationship Id="rId1189" Type="http://schemas.openxmlformats.org/officeDocument/2006/relationships/hyperlink" Target="https://youtu.be/0JLg21Dh56I" TargetMode="External"/><Relationship Id="rId1188" Type="http://schemas.openxmlformats.org/officeDocument/2006/relationships/hyperlink" Target="https://youtu.be/u5Har_tEsPs" TargetMode="External"/><Relationship Id="rId1187" Type="http://schemas.openxmlformats.org/officeDocument/2006/relationships/hyperlink" Target="https://youtu.be/eeY-0-kZmrw" TargetMode="External"/><Relationship Id="rId1186" Type="http://schemas.openxmlformats.org/officeDocument/2006/relationships/hyperlink" Target="https://youtu.be/z3F5ZXhuD70" TargetMode="External"/><Relationship Id="rId1185" Type="http://schemas.openxmlformats.org/officeDocument/2006/relationships/hyperlink" Target="https://youtu.be/RTSNKC-VDmU" TargetMode="External"/><Relationship Id="rId1184" Type="http://schemas.openxmlformats.org/officeDocument/2006/relationships/hyperlink" Target="https://youtu.be/KwUKPyWRT9A" TargetMode="External"/><Relationship Id="rId1183" Type="http://schemas.openxmlformats.org/officeDocument/2006/relationships/hyperlink" Target="https://youtu.be/FF8k9NWaRuw" TargetMode="External"/><Relationship Id="rId1182" Type="http://schemas.openxmlformats.org/officeDocument/2006/relationships/hyperlink" Target="https://youtu.be/wWMu_47tsFs" TargetMode="External"/><Relationship Id="rId1181" Type="http://schemas.openxmlformats.org/officeDocument/2006/relationships/hyperlink" Target="https://youtu.be/BZOMDa_02ck" TargetMode="External"/><Relationship Id="rId1180" Type="http://schemas.openxmlformats.org/officeDocument/2006/relationships/hyperlink" Target="https://youtu.be/TwBVaAH7q-k" TargetMode="External"/><Relationship Id="rId118" Type="http://schemas.openxmlformats.org/officeDocument/2006/relationships/hyperlink" Target="https://youtu.be/jYE1xEzlX3Y" TargetMode="External"/><Relationship Id="rId1179" Type="http://schemas.openxmlformats.org/officeDocument/2006/relationships/hyperlink" Target="https://youtu.be/b1oZKIsnWeU" TargetMode="External"/><Relationship Id="rId1178" Type="http://schemas.openxmlformats.org/officeDocument/2006/relationships/hyperlink" Target="https://youtu.be/hrHMvlxYGf0" TargetMode="External"/><Relationship Id="rId1177" Type="http://schemas.openxmlformats.org/officeDocument/2006/relationships/hyperlink" Target="https://youtu.be/1s3f1rETyEU" TargetMode="External"/><Relationship Id="rId1176" Type="http://schemas.openxmlformats.org/officeDocument/2006/relationships/hyperlink" Target="https://youtu.be/gKcAh-RtVus" TargetMode="External"/><Relationship Id="rId1175" Type="http://schemas.openxmlformats.org/officeDocument/2006/relationships/hyperlink" Target="https://youtu.be/gqcAYs4fcfo" TargetMode="External"/><Relationship Id="rId1174" Type="http://schemas.openxmlformats.org/officeDocument/2006/relationships/hyperlink" Target="https://youtu.be/hEOkHbpXSTs" TargetMode="External"/><Relationship Id="rId1173" Type="http://schemas.openxmlformats.org/officeDocument/2006/relationships/hyperlink" Target="https://youtu.be/VQH725d5-WA" TargetMode="External"/><Relationship Id="rId1172" Type="http://schemas.openxmlformats.org/officeDocument/2006/relationships/hyperlink" Target="https://youtu.be/cBOm3WzoLeQ" TargetMode="External"/><Relationship Id="rId1171" Type="http://schemas.openxmlformats.org/officeDocument/2006/relationships/hyperlink" Target="https://youtu.be/kv-hgH4vnvo" TargetMode="External"/><Relationship Id="rId1170" Type="http://schemas.openxmlformats.org/officeDocument/2006/relationships/hyperlink" Target="https://youtu.be/jRyKWzTT6kg" TargetMode="External"/><Relationship Id="rId117" Type="http://schemas.openxmlformats.org/officeDocument/2006/relationships/hyperlink" Target="https://youtu.be/Lp4YxG1MiPo" TargetMode="External"/><Relationship Id="rId1169" Type="http://schemas.openxmlformats.org/officeDocument/2006/relationships/hyperlink" Target="https://youtu.be/UZRf6yxzjbQ" TargetMode="External"/><Relationship Id="rId1168" Type="http://schemas.openxmlformats.org/officeDocument/2006/relationships/hyperlink" Target="https://youtu.be/HKJtROhJPFE" TargetMode="External"/><Relationship Id="rId1167" Type="http://schemas.openxmlformats.org/officeDocument/2006/relationships/hyperlink" Target="https://youtu.be/eO6ooxvOYZs" TargetMode="External"/><Relationship Id="rId1166" Type="http://schemas.openxmlformats.org/officeDocument/2006/relationships/hyperlink" Target="https://youtu.be/ggy-Ham5AW8" TargetMode="External"/><Relationship Id="rId1165" Type="http://schemas.openxmlformats.org/officeDocument/2006/relationships/hyperlink" Target="https://youtu.be/5QKXphPsRkY" TargetMode="External"/><Relationship Id="rId1164" Type="http://schemas.openxmlformats.org/officeDocument/2006/relationships/hyperlink" Target="https://youtu.be/vHr-fylhVbs" TargetMode="External"/><Relationship Id="rId1163" Type="http://schemas.openxmlformats.org/officeDocument/2006/relationships/hyperlink" Target="https://youtu.be/zQ5TirURht4" TargetMode="External"/><Relationship Id="rId1162" Type="http://schemas.openxmlformats.org/officeDocument/2006/relationships/hyperlink" Target="https://youtu.be/HoQPitS3lq4" TargetMode="External"/><Relationship Id="rId1161" Type="http://schemas.openxmlformats.org/officeDocument/2006/relationships/hyperlink" Target="https://youtu.be/FF36XCcs8cM" TargetMode="External"/><Relationship Id="rId1160" Type="http://schemas.openxmlformats.org/officeDocument/2006/relationships/hyperlink" Target="https://youtu.be/e1YyeNM8RLs" TargetMode="External"/><Relationship Id="rId116" Type="http://schemas.openxmlformats.org/officeDocument/2006/relationships/hyperlink" Target="https://youtu.be/uUaiMvnW6dY" TargetMode="External"/><Relationship Id="rId1159" Type="http://schemas.openxmlformats.org/officeDocument/2006/relationships/hyperlink" Target="https://youtu.be/LuXYPj6fIj8" TargetMode="External"/><Relationship Id="rId1158" Type="http://schemas.openxmlformats.org/officeDocument/2006/relationships/hyperlink" Target="https://youtu.be/PHNxd-b3baU" TargetMode="External"/><Relationship Id="rId1157" Type="http://schemas.openxmlformats.org/officeDocument/2006/relationships/hyperlink" Target="https://youtu.be/0gU5HAM4XSE" TargetMode="External"/><Relationship Id="rId1156" Type="http://schemas.openxmlformats.org/officeDocument/2006/relationships/hyperlink" Target="https://youtu.be/xwAb4tYG9w8" TargetMode="External"/><Relationship Id="rId1155" Type="http://schemas.openxmlformats.org/officeDocument/2006/relationships/hyperlink" Target="https://youtu.be/2IAmEKsG3Yo" TargetMode="External"/><Relationship Id="rId1154" Type="http://schemas.openxmlformats.org/officeDocument/2006/relationships/hyperlink" Target="https://youtu.be/PP7gtQhLhG4" TargetMode="External"/><Relationship Id="rId1153" Type="http://schemas.openxmlformats.org/officeDocument/2006/relationships/hyperlink" Target="https://youtu.be/Ular61rpIVs" TargetMode="External"/><Relationship Id="rId1152" Type="http://schemas.openxmlformats.org/officeDocument/2006/relationships/hyperlink" Target="https://youtu.be/gGkShITnb9U" TargetMode="External"/><Relationship Id="rId1151" Type="http://schemas.openxmlformats.org/officeDocument/2006/relationships/hyperlink" Target="https://youtu.be/SHzNT7b_V7M" TargetMode="External"/><Relationship Id="rId1150" Type="http://schemas.openxmlformats.org/officeDocument/2006/relationships/hyperlink" Target="https://youtu.be/VVTaWEFEOFI" TargetMode="External"/><Relationship Id="rId115" Type="http://schemas.openxmlformats.org/officeDocument/2006/relationships/hyperlink" Target="https://youtu.be/_hRJJdSg8Hw" TargetMode="External"/><Relationship Id="rId1149" Type="http://schemas.openxmlformats.org/officeDocument/2006/relationships/hyperlink" Target="https://youtu.be/lQ9jf-M9p-I" TargetMode="External"/><Relationship Id="rId1148" Type="http://schemas.openxmlformats.org/officeDocument/2006/relationships/hyperlink" Target="https://youtu.be/TVBoOVC_9bc" TargetMode="External"/><Relationship Id="rId1147" Type="http://schemas.openxmlformats.org/officeDocument/2006/relationships/hyperlink" Target="https://youtu.be/SI9AovFNVUQ" TargetMode="External"/><Relationship Id="rId1146" Type="http://schemas.openxmlformats.org/officeDocument/2006/relationships/hyperlink" Target="https://youtu.be/69QceCuTojs" TargetMode="External"/><Relationship Id="rId1145" Type="http://schemas.openxmlformats.org/officeDocument/2006/relationships/hyperlink" Target="https://youtu.be/-uWTGpzmAFI" TargetMode="External"/><Relationship Id="rId1144" Type="http://schemas.openxmlformats.org/officeDocument/2006/relationships/hyperlink" Target="https://youtu.be/CLu3ZGVztfI" TargetMode="External"/><Relationship Id="rId1143" Type="http://schemas.openxmlformats.org/officeDocument/2006/relationships/hyperlink" Target="https://youtu.be/VN_3fFoep1s" TargetMode="External"/><Relationship Id="rId1142" Type="http://schemas.openxmlformats.org/officeDocument/2006/relationships/hyperlink" Target="https://youtu.be/-q7mo4Q0Cu8" TargetMode="External"/><Relationship Id="rId1141" Type="http://schemas.openxmlformats.org/officeDocument/2006/relationships/hyperlink" Target="https://youtu.be/0YNn1C8AQRE" TargetMode="External"/><Relationship Id="rId1140" Type="http://schemas.openxmlformats.org/officeDocument/2006/relationships/hyperlink" Target="https://youtu.be/VYO-mpoC8_s" TargetMode="External"/><Relationship Id="rId114" Type="http://schemas.openxmlformats.org/officeDocument/2006/relationships/hyperlink" Target="https://youtu.be/DQICSmw_Yxs" TargetMode="External"/><Relationship Id="rId1139" Type="http://schemas.openxmlformats.org/officeDocument/2006/relationships/hyperlink" Target="https://youtu.be/d1CLtV1WY34" TargetMode="External"/><Relationship Id="rId1138" Type="http://schemas.openxmlformats.org/officeDocument/2006/relationships/hyperlink" Target="https://youtu.be/motIlXvNEao" TargetMode="External"/><Relationship Id="rId1137" Type="http://schemas.openxmlformats.org/officeDocument/2006/relationships/hyperlink" Target="https://youtu.be/7usr3kQv_1w" TargetMode="External"/><Relationship Id="rId1136" Type="http://schemas.openxmlformats.org/officeDocument/2006/relationships/hyperlink" Target="https://youtu.be/rCfzlxGWGgE" TargetMode="External"/><Relationship Id="rId1135" Type="http://schemas.openxmlformats.org/officeDocument/2006/relationships/hyperlink" Target="https://youtu.be/cNb5e0lxGTQ" TargetMode="External"/><Relationship Id="rId1134" Type="http://schemas.openxmlformats.org/officeDocument/2006/relationships/hyperlink" Target="https://youtu.be/u9fip6f9eYo" TargetMode="External"/><Relationship Id="rId1133" Type="http://schemas.openxmlformats.org/officeDocument/2006/relationships/hyperlink" Target="https://youtu.be/WLXK54duZfE" TargetMode="External"/><Relationship Id="rId1132" Type="http://schemas.openxmlformats.org/officeDocument/2006/relationships/hyperlink" Target="https://youtu.be/-V9DBBOfJIA" TargetMode="External"/><Relationship Id="rId1131" Type="http://schemas.openxmlformats.org/officeDocument/2006/relationships/hyperlink" Target="https://youtu.be/8Kv_MQYmCUU" TargetMode="External"/><Relationship Id="rId1130" Type="http://schemas.openxmlformats.org/officeDocument/2006/relationships/hyperlink" Target="https://youtu.be/Ym7p4ZM4mj8" TargetMode="External"/><Relationship Id="rId113" Type="http://schemas.openxmlformats.org/officeDocument/2006/relationships/hyperlink" Target="https://youtu.be/RI3G1UjBPkk" TargetMode="External"/><Relationship Id="rId1129" Type="http://schemas.openxmlformats.org/officeDocument/2006/relationships/hyperlink" Target="https://youtu.be/pMOVbfgnmsI" TargetMode="External"/><Relationship Id="rId1128" Type="http://schemas.openxmlformats.org/officeDocument/2006/relationships/hyperlink" Target="https://youtu.be/ks1SRA6Sljw" TargetMode="External"/><Relationship Id="rId1127" Type="http://schemas.openxmlformats.org/officeDocument/2006/relationships/hyperlink" Target="https://youtu.be/49bzaUBVoUQ" TargetMode="External"/><Relationship Id="rId1126" Type="http://schemas.openxmlformats.org/officeDocument/2006/relationships/hyperlink" Target="https://youtu.be/CANsRjeEnQ0" TargetMode="External"/><Relationship Id="rId1125" Type="http://schemas.openxmlformats.org/officeDocument/2006/relationships/hyperlink" Target="https://youtu.be/nbQU5NlXa2o" TargetMode="External"/><Relationship Id="rId1124" Type="http://schemas.openxmlformats.org/officeDocument/2006/relationships/hyperlink" Target="https://youtu.be/fQxxvxHX6gM" TargetMode="External"/><Relationship Id="rId1123" Type="http://schemas.openxmlformats.org/officeDocument/2006/relationships/hyperlink" Target="https://youtu.be/B0ggPP5QYck" TargetMode="External"/><Relationship Id="rId1122" Type="http://schemas.openxmlformats.org/officeDocument/2006/relationships/hyperlink" Target="https://youtu.be/47UatQC0mm8" TargetMode="External"/><Relationship Id="rId1121" Type="http://schemas.openxmlformats.org/officeDocument/2006/relationships/hyperlink" Target="https://youtu.be/YQSiqoHlMY8" TargetMode="External"/><Relationship Id="rId1120" Type="http://schemas.openxmlformats.org/officeDocument/2006/relationships/hyperlink" Target="https://youtu.be/YDGlV_lATao" TargetMode="External"/><Relationship Id="rId112" Type="http://schemas.openxmlformats.org/officeDocument/2006/relationships/hyperlink" Target="https://youtu.be/2eFHWuNuDSA" TargetMode="External"/><Relationship Id="rId1119" Type="http://schemas.openxmlformats.org/officeDocument/2006/relationships/hyperlink" Target="https://youtu.be/SwoVyJzrkU4" TargetMode="External"/><Relationship Id="rId1118" Type="http://schemas.openxmlformats.org/officeDocument/2006/relationships/hyperlink" Target="https://youtu.be/EQwq6H4aNX4" TargetMode="External"/><Relationship Id="rId1117" Type="http://schemas.openxmlformats.org/officeDocument/2006/relationships/hyperlink" Target="https://youtu.be/5SrcM1Gg5Yk" TargetMode="External"/><Relationship Id="rId1116" Type="http://schemas.openxmlformats.org/officeDocument/2006/relationships/hyperlink" Target="https://youtu.be/zxX9qunKh6k" TargetMode="External"/><Relationship Id="rId1115" Type="http://schemas.openxmlformats.org/officeDocument/2006/relationships/hyperlink" Target="https://youtu.be/d1RmxG-BjVk" TargetMode="External"/><Relationship Id="rId1114" Type="http://schemas.openxmlformats.org/officeDocument/2006/relationships/hyperlink" Target="https://youtu.be/dtqwaSBf4gE" TargetMode="External"/><Relationship Id="rId1113" Type="http://schemas.openxmlformats.org/officeDocument/2006/relationships/hyperlink" Target="https://youtu.be/grS7l1JJrY0" TargetMode="External"/><Relationship Id="rId1112" Type="http://schemas.openxmlformats.org/officeDocument/2006/relationships/hyperlink" Target="https://youtu.be/7apSAxXbmg0" TargetMode="External"/><Relationship Id="rId1111" Type="http://schemas.openxmlformats.org/officeDocument/2006/relationships/hyperlink" Target="https://youtu.be/cXgJVrmdYrY" TargetMode="External"/><Relationship Id="rId1110" Type="http://schemas.openxmlformats.org/officeDocument/2006/relationships/hyperlink" Target="https://youtu.be/n-VFMjzyR-Y" TargetMode="External"/><Relationship Id="rId111" Type="http://schemas.openxmlformats.org/officeDocument/2006/relationships/hyperlink" Target="https://youtu.be/2ygR1OeNV14" TargetMode="External"/><Relationship Id="rId1109" Type="http://schemas.openxmlformats.org/officeDocument/2006/relationships/hyperlink" Target="https://youtu.be/Wo9rBW-y-OI" TargetMode="External"/><Relationship Id="rId1108" Type="http://schemas.openxmlformats.org/officeDocument/2006/relationships/hyperlink" Target="https://youtu.be/Dfq_VJRV-qw" TargetMode="External"/><Relationship Id="rId1107" Type="http://schemas.openxmlformats.org/officeDocument/2006/relationships/hyperlink" Target="https://youtu.be/mUCSFkCy7CE" TargetMode="External"/><Relationship Id="rId1106" Type="http://schemas.openxmlformats.org/officeDocument/2006/relationships/hyperlink" Target="https://youtu.be/huC1j4VOdls" TargetMode="External"/><Relationship Id="rId1105" Type="http://schemas.openxmlformats.org/officeDocument/2006/relationships/hyperlink" Target="https://youtu.be/f_BIxC7TH_o" TargetMode="External"/><Relationship Id="rId1104" Type="http://schemas.openxmlformats.org/officeDocument/2006/relationships/hyperlink" Target="https://youtu.be/A6_mw1MRaeM" TargetMode="External"/><Relationship Id="rId1103" Type="http://schemas.openxmlformats.org/officeDocument/2006/relationships/hyperlink" Target="https://youtu.be/Re5y4hKFOUg" TargetMode="External"/><Relationship Id="rId1102" Type="http://schemas.openxmlformats.org/officeDocument/2006/relationships/hyperlink" Target="https://youtu.be/Iv70HHJBJyU" TargetMode="External"/><Relationship Id="rId1101" Type="http://schemas.openxmlformats.org/officeDocument/2006/relationships/hyperlink" Target="https://youtu.be/Nc2ZoTzP5gg" TargetMode="External"/><Relationship Id="rId1100" Type="http://schemas.openxmlformats.org/officeDocument/2006/relationships/hyperlink" Target="https://youtu.be/HcvXtZoSoY0" TargetMode="External"/><Relationship Id="rId110" Type="http://schemas.openxmlformats.org/officeDocument/2006/relationships/hyperlink" Target="https://youtu.be/nHBuVbGkmBY" TargetMode="External"/><Relationship Id="rId11" Type="http://schemas.openxmlformats.org/officeDocument/2006/relationships/hyperlink" Target="https://youtu.be/KMB9fvH-EsM" TargetMode="External"/><Relationship Id="rId1099" Type="http://schemas.openxmlformats.org/officeDocument/2006/relationships/hyperlink" Target="https://youtu.be/LwOmJRZQfmw" TargetMode="External"/><Relationship Id="rId1098" Type="http://schemas.openxmlformats.org/officeDocument/2006/relationships/hyperlink" Target="https://youtu.be/HsOll65Wseg" TargetMode="External"/><Relationship Id="rId1097" Type="http://schemas.openxmlformats.org/officeDocument/2006/relationships/hyperlink" Target="https://youtu.be/7NoATJhCt1Y" TargetMode="External"/><Relationship Id="rId1096" Type="http://schemas.openxmlformats.org/officeDocument/2006/relationships/hyperlink" Target="https://youtu.be/7pWf_3sc2K4" TargetMode="External"/><Relationship Id="rId1095" Type="http://schemas.openxmlformats.org/officeDocument/2006/relationships/hyperlink" Target="https://youtu.be/nr4Sozvo5aU" TargetMode="External"/><Relationship Id="rId1094" Type="http://schemas.openxmlformats.org/officeDocument/2006/relationships/hyperlink" Target="https://youtu.be/3gDkDpzB8Zo" TargetMode="External"/><Relationship Id="rId1093" Type="http://schemas.openxmlformats.org/officeDocument/2006/relationships/hyperlink" Target="https://youtu.be/xBMAI7hZS1s" TargetMode="External"/><Relationship Id="rId1092" Type="http://schemas.openxmlformats.org/officeDocument/2006/relationships/hyperlink" Target="https://youtu.be/WjxZd7fPSVI" TargetMode="External"/><Relationship Id="rId1091" Type="http://schemas.openxmlformats.org/officeDocument/2006/relationships/hyperlink" Target="https://youtu.be/g5BvriNNb64" TargetMode="External"/><Relationship Id="rId1090" Type="http://schemas.openxmlformats.org/officeDocument/2006/relationships/hyperlink" Target="https://youtu.be/l8TA7BU2Bvo" TargetMode="External"/><Relationship Id="rId109" Type="http://schemas.openxmlformats.org/officeDocument/2006/relationships/hyperlink" Target="https://youtu.be/EurVNGquxbA" TargetMode="External"/><Relationship Id="rId1089" Type="http://schemas.openxmlformats.org/officeDocument/2006/relationships/hyperlink" Target="https://youtu.be/qYNIsgDrIRE" TargetMode="External"/><Relationship Id="rId1088" Type="http://schemas.openxmlformats.org/officeDocument/2006/relationships/hyperlink" Target="https://youtu.be/E_H3RdpyjE0" TargetMode="External"/><Relationship Id="rId1087" Type="http://schemas.openxmlformats.org/officeDocument/2006/relationships/hyperlink" Target="https://youtu.be/7AGVxYhcA4M" TargetMode="External"/><Relationship Id="rId1086" Type="http://schemas.openxmlformats.org/officeDocument/2006/relationships/hyperlink" Target="https://youtu.be/qBRmfjc0EDY" TargetMode="External"/><Relationship Id="rId1085" Type="http://schemas.openxmlformats.org/officeDocument/2006/relationships/hyperlink" Target="https://youtu.be/dSXffXSSHRM" TargetMode="External"/><Relationship Id="rId1084" Type="http://schemas.openxmlformats.org/officeDocument/2006/relationships/hyperlink" Target="https://youtu.be/ZmcZZbfb0EY" TargetMode="External"/><Relationship Id="rId1083" Type="http://schemas.openxmlformats.org/officeDocument/2006/relationships/hyperlink" Target="https://youtu.be/s_bbZHIVkmY" TargetMode="External"/><Relationship Id="rId1082" Type="http://schemas.openxmlformats.org/officeDocument/2006/relationships/hyperlink" Target="https://youtu.be/2FEnuXVVL0Q" TargetMode="External"/><Relationship Id="rId1081" Type="http://schemas.openxmlformats.org/officeDocument/2006/relationships/hyperlink" Target="https://youtu.be/D4m3BOtAaj0" TargetMode="External"/><Relationship Id="rId1080" Type="http://schemas.openxmlformats.org/officeDocument/2006/relationships/hyperlink" Target="https://youtu.be/b4g8daHqNp4" TargetMode="External"/><Relationship Id="rId108" Type="http://schemas.openxmlformats.org/officeDocument/2006/relationships/hyperlink" Target="https://youtu.be/3Alao9m3E-U" TargetMode="External"/><Relationship Id="rId1079" Type="http://schemas.openxmlformats.org/officeDocument/2006/relationships/hyperlink" Target="https://youtu.be/1LL24zQMYJM" TargetMode="External"/><Relationship Id="rId1078" Type="http://schemas.openxmlformats.org/officeDocument/2006/relationships/hyperlink" Target="https://youtu.be/K06H50XKcqw" TargetMode="External"/><Relationship Id="rId1077" Type="http://schemas.openxmlformats.org/officeDocument/2006/relationships/hyperlink" Target="https://youtu.be/Rj8LfEpw_o0" TargetMode="External"/><Relationship Id="rId1076" Type="http://schemas.openxmlformats.org/officeDocument/2006/relationships/hyperlink" Target="https://youtu.be/d3S7iy_4pvs" TargetMode="External"/><Relationship Id="rId1075" Type="http://schemas.openxmlformats.org/officeDocument/2006/relationships/hyperlink" Target="https://youtu.be/GT_s3amuO8o" TargetMode="External"/><Relationship Id="rId1074" Type="http://schemas.openxmlformats.org/officeDocument/2006/relationships/hyperlink" Target="https://youtu.be/w7F1GIyAru4" TargetMode="External"/><Relationship Id="rId1073" Type="http://schemas.openxmlformats.org/officeDocument/2006/relationships/hyperlink" Target="https://youtu.be/2zy0dUu8eoo" TargetMode="External"/><Relationship Id="rId1072" Type="http://schemas.openxmlformats.org/officeDocument/2006/relationships/hyperlink" Target="https://youtu.be/B2XQLHDtkqw" TargetMode="External"/><Relationship Id="rId1071" Type="http://schemas.openxmlformats.org/officeDocument/2006/relationships/hyperlink" Target="https://youtu.be/rKneHOU7SFk" TargetMode="External"/><Relationship Id="rId1070" Type="http://schemas.openxmlformats.org/officeDocument/2006/relationships/hyperlink" Target="https://youtu.be/bk4Bj9mtbAU" TargetMode="External"/><Relationship Id="rId107" Type="http://schemas.openxmlformats.org/officeDocument/2006/relationships/hyperlink" Target="https://youtu.be/PcA_LQGFoi8" TargetMode="External"/><Relationship Id="rId1069" Type="http://schemas.openxmlformats.org/officeDocument/2006/relationships/hyperlink" Target="https://youtu.be/mAsbkShdv8U" TargetMode="External"/><Relationship Id="rId1068" Type="http://schemas.openxmlformats.org/officeDocument/2006/relationships/hyperlink" Target="https://youtu.be/2vN1TSz8XvY" TargetMode="External"/><Relationship Id="rId1067" Type="http://schemas.openxmlformats.org/officeDocument/2006/relationships/hyperlink" Target="https://youtu.be/1-_2pQvUlhw" TargetMode="External"/><Relationship Id="rId1066" Type="http://schemas.openxmlformats.org/officeDocument/2006/relationships/hyperlink" Target="https://youtu.be/U4fdBlzisP4" TargetMode="External"/><Relationship Id="rId1065" Type="http://schemas.openxmlformats.org/officeDocument/2006/relationships/hyperlink" Target="https://youtu.be/xV38PQW3AmE" TargetMode="External"/><Relationship Id="rId1064" Type="http://schemas.openxmlformats.org/officeDocument/2006/relationships/hyperlink" Target="https://youtu.be/MvDhX7NAs-g" TargetMode="External"/><Relationship Id="rId1063" Type="http://schemas.openxmlformats.org/officeDocument/2006/relationships/hyperlink" Target="https://youtu.be/wxFFm12L_Ak" TargetMode="External"/><Relationship Id="rId1062" Type="http://schemas.openxmlformats.org/officeDocument/2006/relationships/hyperlink" Target="https://youtu.be/GiOnzj6tnM8" TargetMode="External"/><Relationship Id="rId1061" Type="http://schemas.openxmlformats.org/officeDocument/2006/relationships/hyperlink" Target="https://youtu.be/j0YnpkNw794" TargetMode="External"/><Relationship Id="rId1060" Type="http://schemas.openxmlformats.org/officeDocument/2006/relationships/hyperlink" Target="https://youtu.be/UeFSTs8udh4" TargetMode="External"/><Relationship Id="rId106" Type="http://schemas.openxmlformats.org/officeDocument/2006/relationships/hyperlink" Target="https://youtu.be/AAzM1iugWoY" TargetMode="External"/><Relationship Id="rId1059" Type="http://schemas.openxmlformats.org/officeDocument/2006/relationships/hyperlink" Target="https://youtu.be/dJQZtn-vdjk" TargetMode="External"/><Relationship Id="rId1058" Type="http://schemas.openxmlformats.org/officeDocument/2006/relationships/hyperlink" Target="https://youtu.be/yM5BFvtLORU" TargetMode="External"/><Relationship Id="rId1057" Type="http://schemas.openxmlformats.org/officeDocument/2006/relationships/hyperlink" Target="https://youtu.be/WiFrayRL_UQ" TargetMode="External"/><Relationship Id="rId1056" Type="http://schemas.openxmlformats.org/officeDocument/2006/relationships/hyperlink" Target="https://youtu.be/JeB_QzGljqc" TargetMode="External"/><Relationship Id="rId1055" Type="http://schemas.openxmlformats.org/officeDocument/2006/relationships/hyperlink" Target="https://youtu.be/pB9Lhnvm7Gc" TargetMode="External"/><Relationship Id="rId1054" Type="http://schemas.openxmlformats.org/officeDocument/2006/relationships/hyperlink" Target="https://youtu.be/5FERa2oxWhQ" TargetMode="External"/><Relationship Id="rId1053" Type="http://schemas.openxmlformats.org/officeDocument/2006/relationships/hyperlink" Target="https://youtu.be/SKeYEZ6WrAg" TargetMode="External"/><Relationship Id="rId1052" Type="http://schemas.openxmlformats.org/officeDocument/2006/relationships/hyperlink" Target="https://youtu.be/MxCZHuvJHuY" TargetMode="External"/><Relationship Id="rId1051" Type="http://schemas.openxmlformats.org/officeDocument/2006/relationships/hyperlink" Target="https://youtu.be/WKkRvg4Kl2E" TargetMode="External"/><Relationship Id="rId1050" Type="http://schemas.openxmlformats.org/officeDocument/2006/relationships/hyperlink" Target="https://youtu.be/zQEPKKmQGG0" TargetMode="External"/><Relationship Id="rId105" Type="http://schemas.openxmlformats.org/officeDocument/2006/relationships/hyperlink" Target="https://youtu.be/40uEMAv3R90" TargetMode="External"/><Relationship Id="rId1049" Type="http://schemas.openxmlformats.org/officeDocument/2006/relationships/hyperlink" Target="https://youtu.be/o1zywEl-Sj0" TargetMode="External"/><Relationship Id="rId1048" Type="http://schemas.openxmlformats.org/officeDocument/2006/relationships/hyperlink" Target="https://youtu.be/n-N3pdOYf7Y" TargetMode="External"/><Relationship Id="rId1047" Type="http://schemas.openxmlformats.org/officeDocument/2006/relationships/hyperlink" Target="https://youtu.be/4aUjf9y556M" TargetMode="External"/><Relationship Id="rId1046" Type="http://schemas.openxmlformats.org/officeDocument/2006/relationships/hyperlink" Target="https://youtu.be/NIDUGPqZK-8" TargetMode="External"/><Relationship Id="rId1045" Type="http://schemas.openxmlformats.org/officeDocument/2006/relationships/hyperlink" Target="https://youtu.be/9ZU516uCuzk" TargetMode="External"/><Relationship Id="rId1044" Type="http://schemas.openxmlformats.org/officeDocument/2006/relationships/hyperlink" Target="https://youtu.be/pfjqWhY_7Sc" TargetMode="External"/><Relationship Id="rId1043" Type="http://schemas.openxmlformats.org/officeDocument/2006/relationships/hyperlink" Target="https://youtu.be/OfGaqdMPDfc" TargetMode="External"/><Relationship Id="rId1042" Type="http://schemas.openxmlformats.org/officeDocument/2006/relationships/hyperlink" Target="https://youtu.be/lFqfCDEp6iw" TargetMode="External"/><Relationship Id="rId1041" Type="http://schemas.openxmlformats.org/officeDocument/2006/relationships/hyperlink" Target="https://youtu.be/0BUxR5ZNaJg" TargetMode="External"/><Relationship Id="rId1040" Type="http://schemas.openxmlformats.org/officeDocument/2006/relationships/hyperlink" Target="https://youtu.be/pTvFJjy4YOE" TargetMode="External"/><Relationship Id="rId104" Type="http://schemas.openxmlformats.org/officeDocument/2006/relationships/hyperlink" Target="https://youtu.be/HbT9Xm-R3zc" TargetMode="External"/><Relationship Id="rId1039" Type="http://schemas.openxmlformats.org/officeDocument/2006/relationships/hyperlink" Target="https://youtu.be/55XVfwkmepY" TargetMode="External"/><Relationship Id="rId1038" Type="http://schemas.openxmlformats.org/officeDocument/2006/relationships/hyperlink" Target="https://youtu.be/w6oe7oFxDaQ" TargetMode="External"/><Relationship Id="rId1037" Type="http://schemas.openxmlformats.org/officeDocument/2006/relationships/hyperlink" Target="https://youtu.be/2fa6JSWVDxk" TargetMode="External"/><Relationship Id="rId1036" Type="http://schemas.openxmlformats.org/officeDocument/2006/relationships/hyperlink" Target="https://youtu.be/nO7TWsXUfCQ" TargetMode="External"/><Relationship Id="rId1035" Type="http://schemas.openxmlformats.org/officeDocument/2006/relationships/hyperlink" Target="https://youtu.be/Yyp5W1AeTr8" TargetMode="External"/><Relationship Id="rId1034" Type="http://schemas.openxmlformats.org/officeDocument/2006/relationships/hyperlink" Target="https://youtu.be/R9rvCRix-HM" TargetMode="External"/><Relationship Id="rId1033" Type="http://schemas.openxmlformats.org/officeDocument/2006/relationships/hyperlink" Target="https://youtu.be/4qVKo4ByO6c" TargetMode="External"/><Relationship Id="rId1032" Type="http://schemas.openxmlformats.org/officeDocument/2006/relationships/hyperlink" Target="https://youtu.be/senTKo0imb4" TargetMode="External"/><Relationship Id="rId1031" Type="http://schemas.openxmlformats.org/officeDocument/2006/relationships/hyperlink" Target="https://youtu.be/fahda08jNUI" TargetMode="External"/><Relationship Id="rId1030" Type="http://schemas.openxmlformats.org/officeDocument/2006/relationships/hyperlink" Target="https://youtu.be/QBjE2sfkfAg" TargetMode="External"/><Relationship Id="rId103" Type="http://schemas.openxmlformats.org/officeDocument/2006/relationships/hyperlink" Target="https://youtu.be/c-D-tpvgTBg" TargetMode="External"/><Relationship Id="rId1029" Type="http://schemas.openxmlformats.org/officeDocument/2006/relationships/hyperlink" Target="https://youtu.be/WwIyKaz2wvs" TargetMode="External"/><Relationship Id="rId1028" Type="http://schemas.openxmlformats.org/officeDocument/2006/relationships/hyperlink" Target="https://youtu.be/7M23twUDQI4" TargetMode="External"/><Relationship Id="rId1027" Type="http://schemas.openxmlformats.org/officeDocument/2006/relationships/hyperlink" Target="https://youtu.be/lFFS5HpJXpM" TargetMode="External"/><Relationship Id="rId1026" Type="http://schemas.openxmlformats.org/officeDocument/2006/relationships/hyperlink" Target="https://youtu.be/SyWmz0nK9lY" TargetMode="External"/><Relationship Id="rId1025" Type="http://schemas.openxmlformats.org/officeDocument/2006/relationships/hyperlink" Target="https://youtu.be/cVPAkyWq1is" TargetMode="External"/><Relationship Id="rId1024" Type="http://schemas.openxmlformats.org/officeDocument/2006/relationships/hyperlink" Target="https://youtu.be/I8PzQX3LVE0" TargetMode="External"/><Relationship Id="rId1023" Type="http://schemas.openxmlformats.org/officeDocument/2006/relationships/hyperlink" Target="https://youtu.be/WDWLzZk3AwA" TargetMode="External"/><Relationship Id="rId1022" Type="http://schemas.openxmlformats.org/officeDocument/2006/relationships/hyperlink" Target="https://youtu.be/_5uhDWAR88Y" TargetMode="External"/><Relationship Id="rId1021" Type="http://schemas.openxmlformats.org/officeDocument/2006/relationships/hyperlink" Target="https://youtu.be/HpE6h6sHg3Q" TargetMode="External"/><Relationship Id="rId1020" Type="http://schemas.openxmlformats.org/officeDocument/2006/relationships/hyperlink" Target="https://youtu.be/K9hQ5SqZKd0" TargetMode="External"/><Relationship Id="rId102" Type="http://schemas.openxmlformats.org/officeDocument/2006/relationships/hyperlink" Target="https://youtu.be/J61Y5AJ-Kog" TargetMode="External"/><Relationship Id="rId1019" Type="http://schemas.openxmlformats.org/officeDocument/2006/relationships/hyperlink" Target="https://youtu.be/gDHUDFwUkfw" TargetMode="External"/><Relationship Id="rId1018" Type="http://schemas.openxmlformats.org/officeDocument/2006/relationships/hyperlink" Target="https://youtu.be/GJtEGtbfJ34" TargetMode="External"/><Relationship Id="rId1017" Type="http://schemas.openxmlformats.org/officeDocument/2006/relationships/hyperlink" Target="https://youtu.be/zjW2pfltx5U" TargetMode="External"/><Relationship Id="rId1016" Type="http://schemas.openxmlformats.org/officeDocument/2006/relationships/hyperlink" Target="https://youtu.be/BwkC8QVfQLY" TargetMode="External"/><Relationship Id="rId1015" Type="http://schemas.openxmlformats.org/officeDocument/2006/relationships/hyperlink" Target="https://youtu.be/iAwbmjcGMZk" TargetMode="External"/><Relationship Id="rId1014" Type="http://schemas.openxmlformats.org/officeDocument/2006/relationships/hyperlink" Target="https://youtu.be/l1y-EbdrHbU" TargetMode="External"/><Relationship Id="rId1013" Type="http://schemas.openxmlformats.org/officeDocument/2006/relationships/hyperlink" Target="https://youtu.be/Wfoy_OvNDvw" TargetMode="External"/><Relationship Id="rId1012" Type="http://schemas.openxmlformats.org/officeDocument/2006/relationships/hyperlink" Target="https://youtu.be/LZOKYqEiyiw" TargetMode="External"/><Relationship Id="rId1011" Type="http://schemas.openxmlformats.org/officeDocument/2006/relationships/hyperlink" Target="https://youtu.be/A4v5YgC9vkE" TargetMode="External"/><Relationship Id="rId1010" Type="http://schemas.openxmlformats.org/officeDocument/2006/relationships/hyperlink" Target="https://youtu.be/O-woH3u7hJk" TargetMode="External"/><Relationship Id="rId101" Type="http://schemas.openxmlformats.org/officeDocument/2006/relationships/hyperlink" Target="https://youtu.be/HbDsM6c0R5Y" TargetMode="External"/><Relationship Id="rId1009" Type="http://schemas.openxmlformats.org/officeDocument/2006/relationships/hyperlink" Target="https://youtu.be/odJq1g-nGj0" TargetMode="External"/><Relationship Id="rId1008" Type="http://schemas.openxmlformats.org/officeDocument/2006/relationships/hyperlink" Target="https://youtu.be/UVGgrLqsAzw" TargetMode="External"/><Relationship Id="rId1007" Type="http://schemas.openxmlformats.org/officeDocument/2006/relationships/hyperlink" Target="https://youtu.be/tVyhB_yaa70" TargetMode="External"/><Relationship Id="rId1006" Type="http://schemas.openxmlformats.org/officeDocument/2006/relationships/hyperlink" Target="https://youtu.be/1Or_6O4hutc" TargetMode="External"/><Relationship Id="rId1005" Type="http://schemas.openxmlformats.org/officeDocument/2006/relationships/hyperlink" Target="https://youtu.be/uj3Lq7Gu94Y" TargetMode="External"/><Relationship Id="rId1004" Type="http://schemas.openxmlformats.org/officeDocument/2006/relationships/hyperlink" Target="https://youtu.be/YzKxUM_RJsE" TargetMode="External"/><Relationship Id="rId1003" Type="http://schemas.openxmlformats.org/officeDocument/2006/relationships/hyperlink" Target="https://youtu.be/H9-uzsKHEIw" TargetMode="External"/><Relationship Id="rId1002" Type="http://schemas.openxmlformats.org/officeDocument/2006/relationships/hyperlink" Target="https://youtu.be/PRgpuvjV_Vs" TargetMode="External"/><Relationship Id="rId1001" Type="http://schemas.openxmlformats.org/officeDocument/2006/relationships/hyperlink" Target="https://youtu.be/0uzv-tEa7SI" TargetMode="External"/><Relationship Id="rId1000" Type="http://schemas.openxmlformats.org/officeDocument/2006/relationships/hyperlink" Target="https://youtu.be/UUPoFt72wmY" TargetMode="External"/><Relationship Id="rId100" Type="http://schemas.openxmlformats.org/officeDocument/2006/relationships/hyperlink" Target="https://youtu.be/7LF59gmJNog" TargetMode="External"/><Relationship Id="rId10" Type="http://schemas.openxmlformats.org/officeDocument/2006/relationships/hyperlink" Target="https://youtu.be/EgWbeDNPD6o" TargetMode="External"/><Relationship Id="rId1" Type="http://schemas.openxmlformats.org/officeDocument/2006/relationships/hyperlink" Target="https://youtu.be/18D_zr7Fdb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322"/>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225" spans="1:13">
      <c r="A2" s="1" t="s">
        <v>12</v>
      </c>
      <c r="B2" s="1" t="s">
        <v>13</v>
      </c>
      <c r="C2" s="4" t="s">
        <v>14</v>
      </c>
      <c r="D2" s="1" t="s">
        <v>15</v>
      </c>
      <c r="E2" s="1" t="s">
        <v>16</v>
      </c>
      <c r="F2" s="4" t="s">
        <v>17</v>
      </c>
      <c r="G2" s="1" t="s">
        <v>18</v>
      </c>
      <c r="H2" s="1" t="s">
        <v>19</v>
      </c>
      <c r="I2" s="1" t="s">
        <v>20</v>
      </c>
      <c r="J2" s="1" t="s">
        <v>21</v>
      </c>
      <c r="K2" s="1" t="s">
        <v>22</v>
      </c>
      <c r="L2" s="1" t="str">
        <f>HYPERLINK("https://files.afu.se/Downloads/Transcripts/0%20-%20Government/USA%20-%20NASA/2023 06 23 - NASA - Showcasing Our New Earth Information Center on This Week @NASA – June 23, 2023_18D_zr7Fdb0 - transcript (automated).pdf","Transcript Link")</f>
        <v>Transcript Link</v>
      </c>
      <c r="M2" s="2" t="str">
        <f>HYPERLINK("https://files.afu.se/Downloads/Transcripts/0%20-%20Government/USA%20-%20NASA/2023 06 23 - NASA - Showcasing Our New Earth Information Center on This Week @NASA – June 23, 2023_18D_zr7Fdb0 - transcript (automated).pdf","Transcript Link")</f>
        <v>Transcript Link</v>
      </c>
    </row>
    <row r="3" ht="285" spans="1:13">
      <c r="A3" s="1" t="s">
        <v>23</v>
      </c>
      <c r="B3" s="1" t="s">
        <v>13</v>
      </c>
      <c r="C3" s="4" t="s">
        <v>24</v>
      </c>
      <c r="D3" s="1" t="s">
        <v>25</v>
      </c>
      <c r="E3" s="1" t="s">
        <v>26</v>
      </c>
      <c r="F3" s="4" t="s">
        <v>17</v>
      </c>
      <c r="G3" s="1" t="s">
        <v>18</v>
      </c>
      <c r="H3" s="1" t="s">
        <v>19</v>
      </c>
      <c r="I3" s="1" t="s">
        <v>20</v>
      </c>
      <c r="J3" s="1" t="s">
        <v>27</v>
      </c>
      <c r="K3" s="1" t="s">
        <v>22</v>
      </c>
      <c r="L3" s="1" t="str">
        <f>HYPERLINK("https://files.afu.se/Downloads/Transcripts/0%20-%20Government/USA%20-%20NASA/2023 06 21 - NASA - Are There Earthquakes on Other Planets  We Asked a NASA Expert_s3bffub-9UM - transcript (automated).pdf","Transcript Link")</f>
        <v>Transcript Link</v>
      </c>
      <c r="M3" s="2" t="str">
        <f>HYPERLINK("https://files.afu.se/Downloads/Transcripts/0%20-%20Government/USA%20-%20NASA/2023 06 21 - NASA - Are There Earthquakes on Other Planets  We Asked a NASA Expert_s3bffub-9UM - transcript (automated).pdf","Transcript Link")</f>
        <v>Transcript Link</v>
      </c>
    </row>
    <row r="4" ht="270" spans="1:13">
      <c r="A4" s="1" t="s">
        <v>28</v>
      </c>
      <c r="B4" s="1" t="s">
        <v>13</v>
      </c>
      <c r="C4" s="4" t="s">
        <v>29</v>
      </c>
      <c r="D4" s="1" t="s">
        <v>30</v>
      </c>
      <c r="E4" s="1" t="s">
        <v>31</v>
      </c>
      <c r="F4" s="4" t="s">
        <v>17</v>
      </c>
      <c r="G4" s="1" t="s">
        <v>18</v>
      </c>
      <c r="H4" s="1" t="s">
        <v>19</v>
      </c>
      <c r="I4" s="1" t="s">
        <v>20</v>
      </c>
      <c r="J4" s="1" t="s">
        <v>32</v>
      </c>
      <c r="K4" s="1" t="s">
        <v>22</v>
      </c>
      <c r="L4" s="1" t="str">
        <f>HYPERLINK("https://files.afu.se/Downloads/Transcripts/0%20-%20Government/USA%20-%20NASA/2023 06 19 - NASA - NASA Astronaut Victor Glover Reflects on Juneteenth_FpxABPoGSA0 - transcript (automated).pdf","Transcript Link")</f>
        <v>Transcript Link</v>
      </c>
      <c r="M4" s="2" t="str">
        <f>HYPERLINK("https://files.afu.se/Downloads/Transcripts/0%20-%20Government/USA%20-%20NASA/2023 06 19 - NASA - NASA Astronaut Victor Glover Reflects on Juneteenth_FpxABPoGSA0 - transcript (automated).pdf","Transcript Link")</f>
        <v>Transcript Link</v>
      </c>
    </row>
    <row r="5" ht="240" spans="1:13">
      <c r="A5" s="1" t="s">
        <v>33</v>
      </c>
      <c r="B5" s="1" t="s">
        <v>13</v>
      </c>
      <c r="C5" s="4" t="s">
        <v>34</v>
      </c>
      <c r="D5" s="1" t="s">
        <v>35</v>
      </c>
      <c r="E5" s="1" t="s">
        <v>36</v>
      </c>
      <c r="F5" s="4" t="s">
        <v>17</v>
      </c>
      <c r="G5" s="1" t="s">
        <v>18</v>
      </c>
      <c r="H5" s="1" t="s">
        <v>19</v>
      </c>
      <c r="I5" s="1" t="s">
        <v>20</v>
      </c>
      <c r="J5" s="1" t="s">
        <v>37</v>
      </c>
      <c r="K5" s="1" t="s">
        <v>22</v>
      </c>
      <c r="L5" s="1" t="str">
        <f>HYPERLINK("https://files.afu.se/Downloads/Transcripts/0%20-%20Government/USA%20-%20NASA/2023 06 16 - NASA - Equipping the Space Station to Produce More Power on This Week @NASA – June 16, 2023_6U3WiUA2CEs - transcript (automated).pdf","Transcript Link")</f>
        <v>Transcript Link</v>
      </c>
      <c r="M5" s="2" t="str">
        <f>HYPERLINK("https://files.afu.se/Downloads/Transcripts/0%20-%20Government/USA%20-%20NASA/2023 06 16 - NASA - Equipping the Space Station to Produce More Power on This Week @NASA – June 16, 2023_6U3WiUA2CEs - transcript (automated).pdf","Transcript Link")</f>
        <v>Transcript Link</v>
      </c>
    </row>
    <row r="6" ht="405" spans="1:13">
      <c r="A6" s="1" t="s">
        <v>23</v>
      </c>
      <c r="B6" s="1" t="s">
        <v>13</v>
      </c>
      <c r="C6" s="4" t="s">
        <v>38</v>
      </c>
      <c r="D6" s="1" t="s">
        <v>39</v>
      </c>
      <c r="E6" s="1" t="s">
        <v>40</v>
      </c>
      <c r="F6" s="4" t="s">
        <v>17</v>
      </c>
      <c r="G6" s="1" t="s">
        <v>18</v>
      </c>
      <c r="H6" s="1" t="s">
        <v>19</v>
      </c>
      <c r="I6" s="1" t="s">
        <v>20</v>
      </c>
      <c r="J6" s="1" t="s">
        <v>41</v>
      </c>
      <c r="K6" s="1" t="s">
        <v>22</v>
      </c>
      <c r="L6" s="1" t="str">
        <f>HYPERLINK("https://files.afu.se/Downloads/Transcripts/0%20-%20Government/USA%20-%20NASA/2023 06 21 - NASA - Earth Information Center Opening Ceremony at NASA Headquarters (Official NASA Broadcast)_2kOnlLlxhLA - transcript (automated).pdf","Transcript Link")</f>
        <v>Transcript Link</v>
      </c>
      <c r="M6" s="2" t="str">
        <f>HYPERLINK("https://files.afu.se/Downloads/Transcripts/0%20-%20Government/USA%20-%20NASA/2023 06 21 - NASA - Earth Information Center Opening Ceremony at NASA Headquarters (Official NASA Broadcast)_2kOnlLlxhLA - transcript (automated).pdf","Transcript Link")</f>
        <v>Transcript Link</v>
      </c>
    </row>
    <row r="7" ht="300" spans="1:13">
      <c r="A7" s="1" t="s">
        <v>42</v>
      </c>
      <c r="B7" s="1" t="s">
        <v>13</v>
      </c>
      <c r="C7" s="4" t="s">
        <v>43</v>
      </c>
      <c r="D7" s="1" t="s">
        <v>44</v>
      </c>
      <c r="E7" s="1" t="s">
        <v>45</v>
      </c>
      <c r="F7" s="4" t="s">
        <v>17</v>
      </c>
      <c r="G7" s="1" t="s">
        <v>18</v>
      </c>
      <c r="H7" s="1" t="s">
        <v>19</v>
      </c>
      <c r="I7" s="1" t="s">
        <v>20</v>
      </c>
      <c r="J7" s="1" t="s">
        <v>46</v>
      </c>
      <c r="K7" s="1" t="s">
        <v>22</v>
      </c>
      <c r="L7" s="1" t="str">
        <f>HYPERLINK("https://files.afu.se/Downloads/Transcripts/0%20-%20Government/USA%20-%20NASA/2023 06 15 - NASA - Spacewalk with Astronauts Steve Bowen and Woody Hoburg (June 15, 2023) (Official NASA Broadcast)_yekfGi-JF0g - transcript (automated).pdf","Transcript Link")</f>
        <v>Transcript Link</v>
      </c>
      <c r="M7" s="2" t="str">
        <f>HYPERLINK("https://files.afu.se/Downloads/Transcripts/0%20-%20Government/USA%20-%20NASA/2023 06 15 - NASA - Spacewalk with Astronauts Steve Bowen and Woody Hoburg (June 15, 2023) (Official NASA Broadcast)_yekfGi-JF0g - transcript (automated).pdf","Transcript Link")</f>
        <v>Transcript Link</v>
      </c>
    </row>
    <row r="8" ht="330" spans="1:13">
      <c r="A8" s="1" t="s">
        <v>47</v>
      </c>
      <c r="B8" s="1" t="s">
        <v>13</v>
      </c>
      <c r="C8" s="4" t="s">
        <v>48</v>
      </c>
      <c r="D8" s="1" t="s">
        <v>49</v>
      </c>
      <c r="E8" s="1" t="s">
        <v>50</v>
      </c>
      <c r="F8" s="4" t="s">
        <v>17</v>
      </c>
      <c r="G8" s="1" t="s">
        <v>18</v>
      </c>
      <c r="H8" s="1" t="s">
        <v>19</v>
      </c>
      <c r="I8" s="1" t="s">
        <v>20</v>
      </c>
      <c r="J8" s="1" t="s">
        <v>51</v>
      </c>
      <c r="K8" s="1" t="s">
        <v>22</v>
      </c>
      <c r="L8" s="1" t="str">
        <f>HYPERLINK("https://files.afu.se/Downloads/Transcripts/0%20-%20Government/USA%20-%20NASA/2023 06 09 - NASA - Spacewalk with Astronauts Steve Bowen and Woody Hoburg (June 9, 2023) (Official NASA Broadcast)_wS4z42KaeGk - transcript (automated).pdf","Transcript Link")</f>
        <v>Transcript Link</v>
      </c>
      <c r="M8" s="2" t="str">
        <f>HYPERLINK("https://files.afu.se/Downloads/Transcripts/0%20-%20Government/USA%20-%20NASA/2023 06 09 - NASA - Spacewalk with Astronauts Steve Bowen and Woody Hoburg (June 9, 2023) (Official NASA Broadcast)_wS4z42KaeGk - transcript (automated).pdf","Transcript Link")</f>
        <v>Transcript Link</v>
      </c>
    </row>
    <row r="9" ht="285" spans="1:13">
      <c r="A9" s="1" t="s">
        <v>52</v>
      </c>
      <c r="B9" s="1" t="s">
        <v>13</v>
      </c>
      <c r="C9" s="4" t="s">
        <v>53</v>
      </c>
      <c r="D9" s="1" t="s">
        <v>54</v>
      </c>
      <c r="E9" s="1" t="s">
        <v>55</v>
      </c>
      <c r="F9" s="4" t="s">
        <v>17</v>
      </c>
      <c r="G9" s="1" t="s">
        <v>18</v>
      </c>
      <c r="H9" s="1" t="s">
        <v>19</v>
      </c>
      <c r="I9" s="1" t="s">
        <v>20</v>
      </c>
      <c r="J9" s="1" t="s">
        <v>56</v>
      </c>
      <c r="K9" s="1" t="s">
        <v>22</v>
      </c>
      <c r="L9" s="1" t="str">
        <f>HYPERLINK("https://files.afu.se/Downloads/Transcripts/0%20-%20Government/USA%20-%20NASA/2023 06 05 - NASA - Watch SpaceX's 28th Cargo Launch to the International Space Station (Official NASA Broadcast)_Z_h-ho2w_0Y - transcript (automated).pdf","Transcript Link")</f>
        <v>Transcript Link</v>
      </c>
      <c r="M9" s="2" t="str">
        <f>HYPERLINK("https://files.afu.se/Downloads/Transcripts/0%20-%20Government/USA%20-%20NASA/2023 06 05 - NASA - Watch SpaceX's 28th Cargo Launch to the International Space Station (Official NASA Broadcast)_Z_h-ho2w_0Y - transcript (automated).pdf","Transcript Link")</f>
        <v>Transcript Link</v>
      </c>
    </row>
    <row r="10" ht="409.5" spans="1:13">
      <c r="A10" s="1" t="s">
        <v>57</v>
      </c>
      <c r="B10" s="1" t="s">
        <v>13</v>
      </c>
      <c r="C10" s="4" t="s">
        <v>58</v>
      </c>
      <c r="D10" s="1" t="s">
        <v>59</v>
      </c>
      <c r="E10" s="1" t="s">
        <v>60</v>
      </c>
      <c r="F10" s="4" t="s">
        <v>17</v>
      </c>
      <c r="G10" s="1" t="s">
        <v>18</v>
      </c>
      <c r="H10" s="1" t="s">
        <v>19</v>
      </c>
      <c r="I10" s="1" t="s">
        <v>20</v>
      </c>
      <c r="J10" s="1" t="s">
        <v>61</v>
      </c>
      <c r="K10" s="1" t="s">
        <v>22</v>
      </c>
      <c r="L10" s="1" t="str">
        <f>HYPERLINK("https://files.afu.se/Downloads/Transcripts/0%20-%20Government/USA%20-%20NASA/2023 06 01 - NASA - A Poem for Europa by U.S. Poet Laureate Ada Limón_EgWbeDNPD6o - transcript (automated).pdf","Transcript Link")</f>
        <v>Transcript Link</v>
      </c>
      <c r="M10" s="2" t="str">
        <f>HYPERLINK("https://files.afu.se/Downloads/Transcripts/0%20-%20Government/USA%20-%20NASA/2023 06 01 - NASA - A Poem for Europa by U.S. Poet Laureate Ada Limón_EgWbeDNPD6o - transcript (automated).pdf","Transcript Link")</f>
        <v>Transcript Link</v>
      </c>
    </row>
    <row r="11" ht="270" spans="1:13">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HYPERLINK("https://files.afu.se/Downloads/Transcripts/0%20-%20Government/USA%20-%20NASA/2023 05 30 - NASA - Science Launching on SpaceX's 28th Cargo Resupply Mission to the Space Station_KMB9fvH-EsM - transcript (automated).pdf","Transcript Link")</f>
        <v>Transcript Link</v>
      </c>
      <c r="M11" s="2" t="str">
        <f>HYPERLINK("https://files.afu.se/Downloads/Transcripts/0%20-%20Government/USA%20-%20NASA/2023 05 30 - NASA - Science Launching on SpaceX's 28th Cargo Resupply Mission to the Space Station_KMB9fvH-EsM - transcript (automated).pdf","Transcript Link")</f>
        <v>Transcript Link</v>
      </c>
    </row>
    <row r="12" ht="240" spans="1:13">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HYPERLINK("https://files.afu.se/Downloads/Transcripts/0%20-%20Government/USA%20-%20NASA/2023 05 26 - NASA - The Second All-Private Astronaut Mission to the Space Station on This Week @NASA – May 26, 2023_I69Cz4zJJes - transcript (automated).pdf","Transcript Link")</f>
        <v>Transcript Link</v>
      </c>
      <c r="M12" s="2" t="str">
        <f>HYPERLINK("https://files.afu.se/Downloads/Transcripts/0%20-%20Government/USA%20-%20NASA/2023 05 26 - NASA - The Second All-Private Astronaut Mission to the Space Station on This Week @NASA – May 26, 2023_I69Cz4zJJes - transcript (automated).pdf","Transcript Link")</f>
        <v>Transcript Link</v>
      </c>
    </row>
    <row r="13" ht="375"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HYPERLINK("https://files.afu.se/Downloads/Transcripts/0%20-%20Government/USA%20-%20NASA/2023 05 25 - NASA - Honoring the 50th Anniversary of NASA’s Skylab  America's First Space Station_KpyKqRV5FRc - transcript (automated).pdf","Transcript Link")</f>
        <v>Transcript Link</v>
      </c>
      <c r="M13" s="2" t="str">
        <f>HYPERLINK("https://files.afu.se/Downloads/Transcripts/0%20-%20Government/USA%20-%20NASA/2023 05 25 - NASA - Honoring the 50th Anniversary of NASA’s Skylab  America's First Space Station_KpyKqRV5FRc - transcript (automated).pdf","Transcript Link")</f>
        <v>Transcript Link</v>
      </c>
    </row>
    <row r="14" ht="225" spans="1:13">
      <c r="A14" s="1" t="s">
        <v>77</v>
      </c>
      <c r="B14" s="1" t="s">
        <v>13</v>
      </c>
      <c r="C14" s="4" t="s">
        <v>78</v>
      </c>
      <c r="D14" s="1" t="s">
        <v>79</v>
      </c>
      <c r="E14" s="1" t="s">
        <v>80</v>
      </c>
      <c r="F14" s="4" t="s">
        <v>17</v>
      </c>
      <c r="G14" s="1" t="s">
        <v>18</v>
      </c>
      <c r="H14" s="1" t="s">
        <v>19</v>
      </c>
      <c r="I14" s="1" t="s">
        <v>20</v>
      </c>
      <c r="J14" s="1" t="s">
        <v>81</v>
      </c>
      <c r="K14" s="1" t="s">
        <v>22</v>
      </c>
      <c r="L14" s="1" t="str">
        <f>HYPERLINK("https://files.afu.se/Downloads/Transcripts/0%20-%20Government/USA%20-%20NASA/2023 05 19 - NASA - The Artemis II Moon Mission Crew Visits D.C. on This Week @NASA – May 19, 2023_333erymwPu4 - transcript (automated).pdf","Transcript Link")</f>
        <v>Transcript Link</v>
      </c>
      <c r="M14" s="2" t="str">
        <f>HYPERLINK("https://files.afu.se/Downloads/Transcripts/0%20-%20Government/USA%20-%20NASA/2023 05 19 - NASA - The Artemis II Moon Mission Crew Visits D.C. on This Week @NASA – May 19, 2023_333erymwPu4 - transcript (automated).pdf","Transcript Link")</f>
        <v>Transcript Link</v>
      </c>
    </row>
    <row r="15" ht="285"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HYPERLINK("https://files.afu.se/Downloads/Transcripts/0%20-%20Government/USA%20-%20NASA/2023 05 17 - NASA - Visible Together  An AANHPI Conversation with NASA_rRAzS1LCQVg - transcript (automated).pdf","Transcript Link")</f>
        <v>Transcript Link</v>
      </c>
      <c r="M15" s="2" t="str">
        <f>HYPERLINK("https://files.afu.se/Downloads/Transcripts/0%20-%20Government/USA%20-%20NASA/2023 05 17 - NASA - Visible Together  An AANHPI Conversation with NASA_rRAzS1LCQVg - transcript (automated).pdf","Transcript Link")</f>
        <v>Transcript Link</v>
      </c>
    </row>
    <row r="16" ht="225"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HYPERLINK("https://files.afu.se/Downloads/Transcripts/0%20-%20Government/USA%20-%20NASA/2023 05 12 - NASA - A Spacecraft Changes Parking Spots at the Space Station on This Week @NASA – May 12, 2023_UsGQ-36-Pzc - transcript (automated).pdf","Transcript Link")</f>
        <v>Transcript Link</v>
      </c>
      <c r="M16" s="2" t="str">
        <f>HYPERLINK("https://files.afu.se/Downloads/Transcripts/0%20-%20Government/USA%20-%20NASA/2023 05 12 - NASA - A Spacecraft Changes Parking Spots at the Space Station on This Week @NASA – May 12, 2023_UsGQ-36-Pzc - transcript (automated).pdf","Transcript Link")</f>
        <v>Transcript Link</v>
      </c>
    </row>
    <row r="17" ht="165" spans="1:13">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HYPERLINK("https://files.afu.se/Downloads/Transcripts/0%20-%20Government/USA%20-%20NASA/2023 05 05 - NASA - Another Partner for Space Exploration on This Week @NASA – May 5, 2023_pmocCQnMmNg - transcript (automated).pdf","Transcript Link")</f>
        <v>Transcript Link</v>
      </c>
      <c r="M17" s="2" t="str">
        <f>HYPERLINK("https://files.afu.se/Downloads/Transcripts/0%20-%20Government/USA%20-%20NASA/2023 05 05 - NASA - Another Partner for Space Exploration on This Week @NASA – May 5, 2023_pmocCQnMmNg - transcript (automated).pdf","Transcript Link")</f>
        <v>Transcript Link</v>
      </c>
    </row>
    <row r="18" ht="165" spans="1:13">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HYPERLINK("https://files.afu.se/Downloads/Transcripts/0%20-%20Government/USA%20-%20NASA/2023 04 28 - NASA - Moving Ahead With Space Station Power Upgrades on This Week @NASA – April 28, 2023_82GAxDyjUvw - transcript (automated).pdf","Transcript Link")</f>
        <v>Transcript Link</v>
      </c>
      <c r="M18" s="2" t="str">
        <f>HYPERLINK("https://files.afu.se/Downloads/Transcripts/0%20-%20Government/USA%20-%20NASA/2023 04 28 - NASA - Moving Ahead With Space Station Power Upgrades on This Week @NASA – April 28, 2023_82GAxDyjUvw - transcript (automated).pdf","Transcript Link")</f>
        <v>Transcript Link</v>
      </c>
    </row>
    <row r="19" ht="409.5"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HYPERLINK("https://files.afu.se/Downloads/Transcripts/0%20-%20Government/USA%20-%20NASA/2023 04 27 - NASA - NASA’s Artemis I Moon Mission  Launch to Splashdown Highlights_jrDv0OdMt5s - transcript (automated).pdf","Transcript Link")</f>
        <v>Transcript Link</v>
      </c>
      <c r="M19" s="2" t="str">
        <f>HYPERLINK("https://files.afu.se/Downloads/Transcripts/0%20-%20Government/USA%20-%20NASA/2023 04 27 - NASA - NASA’s Artemis I Moon Mission  Launch to Splashdown Highlights_jrDv0OdMt5s - transcript (automated).pdf","Transcript Link")</f>
        <v>Transcript Link</v>
      </c>
    </row>
    <row r="20" ht="165"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HYPERLINK("https://files.afu.se/Downloads/Transcripts/0%20-%20Government/USA%20-%20NASA/2023 04 23 - NASA - Some News About Our Moon to Mars Architecture on This Week @NASA – April 21, 2023_dH_VIeB8jvU - transcript (automated).pdf","Transcript Link")</f>
        <v>Transcript Link</v>
      </c>
      <c r="M20" s="2" t="str">
        <f>HYPERLINK("https://files.afu.se/Downloads/Transcripts/0%20-%20Government/USA%20-%20NASA/2023 04 23 - NASA - Some News About Our Moon to Mars Architecture on This Week @NASA – April 21, 2023_dH_VIeB8jvU - transcript (automated).pdf","Transcript Link")</f>
        <v>Transcript Link</v>
      </c>
    </row>
    <row r="21" ht="180" spans="1:13">
      <c r="A21" s="1" t="s">
        <v>107</v>
      </c>
      <c r="B21" s="1" t="s">
        <v>13</v>
      </c>
      <c r="C21" s="4" t="s">
        <v>112</v>
      </c>
      <c r="D21" s="1" t="s">
        <v>113</v>
      </c>
      <c r="E21" s="1" t="s">
        <v>114</v>
      </c>
      <c r="F21" s="4" t="s">
        <v>17</v>
      </c>
      <c r="G21" s="1" t="s">
        <v>18</v>
      </c>
      <c r="H21" s="1" t="s">
        <v>19</v>
      </c>
      <c r="I21" s="1" t="s">
        <v>20</v>
      </c>
      <c r="J21" s="1" t="s">
        <v>115</v>
      </c>
      <c r="K21" s="1" t="s">
        <v>22</v>
      </c>
      <c r="L21" s="1" t="str">
        <f>HYPERLINK("https://files.afu.se/Downloads/Transcripts/0%20-%20Government/USA%20-%20NASA/2023 04 23 - NASA - Vice President Kamala Harris talks with the NASA Artemis II Crew About How They Became Astronauts__r1aWHWJCUU - transcript (automated).pdf","Transcript Link")</f>
        <v>Transcript Link</v>
      </c>
      <c r="M21" s="2" t="str">
        <f>HYPERLINK("https://files.afu.se/Downloads/Transcripts/0%20-%20Government/USA%20-%20NASA/2023 04 23 - NASA - Vice President Kamala Harris talks with the NASA Artemis II Crew About How They Became Astronauts__r1aWHWJCUU - transcript (automated).pdf","Transcript Link")</f>
        <v>Transcript Link</v>
      </c>
    </row>
    <row r="22" ht="345" spans="1:13">
      <c r="A22" s="1" t="s">
        <v>116</v>
      </c>
      <c r="B22" s="1" t="s">
        <v>13</v>
      </c>
      <c r="C22" s="4" t="s">
        <v>117</v>
      </c>
      <c r="D22" s="1" t="s">
        <v>118</v>
      </c>
      <c r="E22" s="1" t="s">
        <v>119</v>
      </c>
      <c r="F22" s="4" t="s">
        <v>17</v>
      </c>
      <c r="G22" s="1" t="s">
        <v>18</v>
      </c>
      <c r="H22" s="1" t="s">
        <v>19</v>
      </c>
      <c r="I22" s="1" t="s">
        <v>20</v>
      </c>
      <c r="J22" s="1" t="s">
        <v>120</v>
      </c>
      <c r="K22" s="1" t="s">
        <v>22</v>
      </c>
      <c r="L22" s="1" t="str">
        <f>HYPERLINK("https://files.afu.se/Downloads/Transcripts/0%20-%20Government/USA%20-%20NASA/2023 04 21 - NASA - Earthrise  A Conversation with Apollo 8 Astronaut Bill Anders (Official NASA Video)_uFfFsOu7yqY - transcript (automated).pdf","Transcript Link")</f>
        <v>Transcript Link</v>
      </c>
      <c r="M22" s="2" t="str">
        <f>HYPERLINK("https://files.afu.se/Downloads/Transcripts/0%20-%20Government/USA%20-%20NASA/2023 04 21 - NASA - Earthrise  A Conversation with Apollo 8 Astronaut Bill Anders (Official NASA Video)_uFfFsOu7yqY - transcript (automated).pdf","Transcript Link")</f>
        <v>Transcript Link</v>
      </c>
    </row>
    <row r="23" ht="375" spans="1:13">
      <c r="A23" s="1" t="s">
        <v>121</v>
      </c>
      <c r="B23" s="1" t="s">
        <v>13</v>
      </c>
      <c r="C23" s="4" t="s">
        <v>122</v>
      </c>
      <c r="D23" s="1" t="s">
        <v>123</v>
      </c>
      <c r="E23" s="1" t="s">
        <v>124</v>
      </c>
      <c r="F23" s="4" t="s">
        <v>17</v>
      </c>
      <c r="G23" s="1" t="s">
        <v>18</v>
      </c>
      <c r="H23" s="1" t="s">
        <v>19</v>
      </c>
      <c r="I23" s="1" t="s">
        <v>20</v>
      </c>
      <c r="J23" s="1" t="s">
        <v>125</v>
      </c>
      <c r="K23" s="1" t="s">
        <v>22</v>
      </c>
      <c r="L23" s="1" t="str">
        <f>HYPERLINK("https://files.afu.se/Downloads/Transcripts/0%20-%20Government/USA%20-%20NASA/2023 04 20 - NASA - Post Malone Calls NASA Astronauts in Space for Earth Day_dak8uzKba4k - transcript (automated).pdf","Transcript Link")</f>
        <v>Transcript Link</v>
      </c>
      <c r="M23" s="2" t="str">
        <f>HYPERLINK("https://files.afu.se/Downloads/Transcripts/0%20-%20Government/USA%20-%20NASA/2023 04 20 - NASA - Post Malone Calls NASA Astronauts in Space for Earth Day_dak8uzKba4k - transcript (automated).pdf","Transcript Link")</f>
        <v>Transcript Link</v>
      </c>
    </row>
    <row r="24" ht="240" spans="1:13">
      <c r="A24" s="1" t="s">
        <v>126</v>
      </c>
      <c r="B24" s="1" t="s">
        <v>13</v>
      </c>
      <c r="C24" s="4" t="s">
        <v>127</v>
      </c>
      <c r="D24" s="1" t="s">
        <v>128</v>
      </c>
      <c r="E24" s="1" t="s">
        <v>129</v>
      </c>
      <c r="F24" s="4" t="s">
        <v>17</v>
      </c>
      <c r="G24" s="1" t="s">
        <v>18</v>
      </c>
      <c r="H24" s="1" t="s">
        <v>19</v>
      </c>
      <c r="I24" s="1" t="s">
        <v>20</v>
      </c>
      <c r="J24" s="1" t="s">
        <v>130</v>
      </c>
      <c r="K24" s="1" t="s">
        <v>22</v>
      </c>
      <c r="L24" s="1" t="str">
        <f>HYPERLINK("https://files.afu.se/Downloads/Transcripts/0%20-%20Government/USA%20-%20NASA/2023 04 14 - NASA - A Milestone for Our Experimental Supersonic Airplane on This Week @NASA – April 14, 2023_ugwa3g9jCiA - transcript (automated).pdf","Transcript Link")</f>
        <v>Transcript Link</v>
      </c>
      <c r="M24" s="2" t="str">
        <f>HYPERLINK("https://files.afu.se/Downloads/Transcripts/0%20-%20Government/USA%20-%20NASA/2023 04 14 - NASA - A Milestone for Our Experimental Supersonic Airplane on This Week @NASA – April 14, 2023_ugwa3g9jCiA - transcript (automated).pdf","Transcript Link")</f>
        <v>Transcript Link</v>
      </c>
    </row>
    <row r="25" ht="240" spans="1:13">
      <c r="A25" s="1" t="s">
        <v>131</v>
      </c>
      <c r="B25" s="1" t="s">
        <v>13</v>
      </c>
      <c r="C25" s="4" t="s">
        <v>132</v>
      </c>
      <c r="D25" s="1" t="s">
        <v>133</v>
      </c>
      <c r="E25" s="1" t="s">
        <v>134</v>
      </c>
      <c r="F25" s="4" t="s">
        <v>17</v>
      </c>
      <c r="G25" s="1" t="s">
        <v>18</v>
      </c>
      <c r="H25" s="1" t="s">
        <v>19</v>
      </c>
      <c r="I25" s="1" t="s">
        <v>20</v>
      </c>
      <c r="J25" s="1" t="s">
        <v>135</v>
      </c>
      <c r="K25" s="1" t="s">
        <v>22</v>
      </c>
      <c r="L25" s="1" t="str">
        <f>HYPERLINK("https://files.afu.se/Downloads/Transcripts/0%20-%20Government/USA%20-%20NASA/2023 04 07 - NASA - Introducing the Crew of our Artemis II Moon Mission on This Week @NASA – April 7, 2023_vu-qFyWnrZY - transcript (automated).pdf","Transcript Link")</f>
        <v>Transcript Link</v>
      </c>
      <c r="M25" s="2" t="str">
        <f>HYPERLINK("https://files.afu.se/Downloads/Transcripts/0%20-%20Government/USA%20-%20NASA/2023 04 07 - NASA - Introducing the Crew of our Artemis II Moon Mission on This Week @NASA – April 7, 2023_vu-qFyWnrZY - transcript (automated).pdf","Transcript Link")</f>
        <v>Transcript Link</v>
      </c>
    </row>
    <row r="26" ht="409.5" spans="1:13">
      <c r="A26" s="1" t="s">
        <v>131</v>
      </c>
      <c r="B26" s="1" t="s">
        <v>13</v>
      </c>
      <c r="C26" s="4" t="s">
        <v>136</v>
      </c>
      <c r="D26" s="1" t="s">
        <v>137</v>
      </c>
      <c r="E26" s="1" t="s">
        <v>138</v>
      </c>
      <c r="F26" s="4" t="s">
        <v>17</v>
      </c>
      <c r="G26" s="1" t="s">
        <v>18</v>
      </c>
      <c r="H26" s="1" t="s">
        <v>19</v>
      </c>
      <c r="I26" s="1" t="s">
        <v>20</v>
      </c>
      <c r="J26" s="1" t="s">
        <v>139</v>
      </c>
      <c r="K26" s="1" t="s">
        <v>22</v>
      </c>
      <c r="L26" s="1" t="str">
        <f>HYPERLINK("https://files.afu.se/Downloads/Transcripts/0%20-%20Government/USA%20-%20NASA/2023 04 07 - NASA - Artemis II  Mission Overview_7XzhtWcepos - transcript (automated).pdf","Transcript Link")</f>
        <v>Transcript Link</v>
      </c>
      <c r="M26" s="2" t="str">
        <f>HYPERLINK("https://files.afu.se/Downloads/Transcripts/0%20-%20Government/USA%20-%20NASA/2023 04 07 - NASA - Artemis II  Mission Overview_7XzhtWcepos - transcript (automated).pdf","Transcript Link")</f>
        <v>Transcript Link</v>
      </c>
    </row>
    <row r="27" ht="285" spans="1:13">
      <c r="A27" s="1" t="s">
        <v>140</v>
      </c>
      <c r="B27" s="1" t="s">
        <v>13</v>
      </c>
      <c r="C27" s="4" t="s">
        <v>141</v>
      </c>
      <c r="D27" s="1" t="s">
        <v>142</v>
      </c>
      <c r="E27" s="1" t="s">
        <v>143</v>
      </c>
      <c r="F27" s="4" t="s">
        <v>17</v>
      </c>
      <c r="G27" s="1" t="s">
        <v>18</v>
      </c>
      <c r="H27" s="1" t="s">
        <v>19</v>
      </c>
      <c r="I27" s="1" t="s">
        <v>20</v>
      </c>
      <c r="J27" s="1" t="s">
        <v>144</v>
      </c>
      <c r="K27" s="1" t="s">
        <v>22</v>
      </c>
      <c r="L27" s="1" t="str">
        <f>HYPERLINK("https://files.afu.se/Downloads/Transcripts/0%20-%20Government/USA%20-%20NASA/2023 04 03 - NASA - Artemis II  Meet the Astronauts Who will Fly Around the Moon (Official NASA Video)_lPyl6d2FJGw - transcript (automated).pdf","Transcript Link")</f>
        <v>Transcript Link</v>
      </c>
      <c r="M27" s="2" t="str">
        <f>HYPERLINK("https://files.afu.se/Downloads/Transcripts/0%20-%20Government/USA%20-%20NASA/2023 04 03 - NASA - Artemis II  Meet the Astronauts Who will Fly Around the Moon (Official NASA Video)_lPyl6d2FJGw - transcript (automated).pdf","Transcript Link")</f>
        <v>Transcript Link</v>
      </c>
    </row>
    <row r="28" ht="165" spans="1:13">
      <c r="A28" s="1" t="s">
        <v>145</v>
      </c>
      <c r="B28" s="1" t="s">
        <v>13</v>
      </c>
      <c r="C28" s="4" t="s">
        <v>146</v>
      </c>
      <c r="D28" s="1" t="s">
        <v>147</v>
      </c>
      <c r="E28" s="1" t="s">
        <v>148</v>
      </c>
      <c r="F28" s="4" t="s">
        <v>17</v>
      </c>
      <c r="G28" s="1" t="s">
        <v>18</v>
      </c>
      <c r="H28" s="1" t="s">
        <v>19</v>
      </c>
      <c r="I28" s="1" t="s">
        <v>20</v>
      </c>
      <c r="J28" s="1" t="s">
        <v>149</v>
      </c>
      <c r="K28" s="1" t="s">
        <v>22</v>
      </c>
      <c r="L28" s="1" t="str">
        <f>HYPERLINK("https://files.afu.se/Downloads/Transcripts/0%20-%20Government/USA%20-%20NASA/2023 03 31 - NASA - NASA Astronauts Share Their Space Station Experience on This Week @NASA – March 31, 2023_oQTtuzU_eT8 - transcript (automated).pdf","Transcript Link")</f>
        <v>Transcript Link</v>
      </c>
      <c r="M28" s="2" t="str">
        <f>HYPERLINK("https://files.afu.se/Downloads/Transcripts/0%20-%20Government/USA%20-%20NASA/2023 03 31 - NASA - NASA Astronauts Share Their Space Station Experience on This Week @NASA – March 31, 2023_oQTtuzU_eT8 - transcript (automated).pdf","Transcript Link")</f>
        <v>Transcript Link</v>
      </c>
    </row>
    <row r="29" ht="240" spans="1:13">
      <c r="A29" s="1" t="s">
        <v>145</v>
      </c>
      <c r="B29" s="1" t="s">
        <v>13</v>
      </c>
      <c r="C29" s="4" t="s">
        <v>150</v>
      </c>
      <c r="D29" s="1" t="s">
        <v>151</v>
      </c>
      <c r="E29" s="1" t="s">
        <v>152</v>
      </c>
      <c r="F29" s="4" t="s">
        <v>17</v>
      </c>
      <c r="G29" s="1" t="s">
        <v>18</v>
      </c>
      <c r="H29" s="1" t="s">
        <v>19</v>
      </c>
      <c r="I29" s="1" t="s">
        <v>20</v>
      </c>
      <c r="J29" s="1" t="s">
        <v>153</v>
      </c>
      <c r="K29" s="1" t="s">
        <v>22</v>
      </c>
      <c r="L29" s="1" t="str">
        <f>HYPERLINK("https://files.afu.se/Downloads/Transcripts/0%20-%20Government/USA%20-%20NASA/2023 03 31 - NASA - Artemis I Path to the Pad  Launch and Recovery_yae96AxH7V0 - transcript (automated).pdf","Transcript Link")</f>
        <v>Transcript Link</v>
      </c>
      <c r="M29" s="2" t="str">
        <f>HYPERLINK("https://files.afu.se/Downloads/Transcripts/0%20-%20Government/USA%20-%20NASA/2023 03 31 - NASA - Artemis I Path to the Pad  Launch and Recovery_yae96AxH7V0 - transcript (automated).pdf","Transcript Link")</f>
        <v>Transcript Link</v>
      </c>
    </row>
    <row r="30" ht="255" spans="1:13">
      <c r="A30" s="1" t="s">
        <v>154</v>
      </c>
      <c r="B30" s="1" t="s">
        <v>13</v>
      </c>
      <c r="C30" s="4" t="s">
        <v>155</v>
      </c>
      <c r="D30" s="1" t="s">
        <v>156</v>
      </c>
      <c r="E30" s="1" t="s">
        <v>157</v>
      </c>
      <c r="F30" s="4" t="s">
        <v>17</v>
      </c>
      <c r="G30" s="1" t="s">
        <v>18</v>
      </c>
      <c r="H30" s="1" t="s">
        <v>19</v>
      </c>
      <c r="I30" s="1" t="s">
        <v>20</v>
      </c>
      <c r="J30" s="1" t="s">
        <v>158</v>
      </c>
      <c r="K30" s="1" t="s">
        <v>22</v>
      </c>
      <c r="L30" s="1" t="str">
        <f>HYPERLINK("https://files.afu.se/Downloads/Transcripts/0%20-%20Government/USA%20-%20NASA/2023 03 28 - NASA - Artemis II Astronaut Announcement  April 3, 2023 (Official NASA Trailer)_PFbNDSttnPQ - transcript (automated).pdf","Transcript Link")</f>
        <v>Transcript Link</v>
      </c>
      <c r="M30" s="2" t="str">
        <f>HYPERLINK("https://files.afu.se/Downloads/Transcripts/0%20-%20Government/USA%20-%20NASA/2023 03 28 - NASA - Artemis II Astronaut Announcement  April 3, 2023 (Official NASA Trailer)_PFbNDSttnPQ - transcript (automated).pdf","Transcript Link")</f>
        <v>Transcript Link</v>
      </c>
    </row>
    <row r="31" ht="165" spans="1:13">
      <c r="A31" s="1" t="s">
        <v>159</v>
      </c>
      <c r="B31" s="1" t="s">
        <v>13</v>
      </c>
      <c r="C31" s="4" t="s">
        <v>160</v>
      </c>
      <c r="D31" s="1" t="s">
        <v>161</v>
      </c>
      <c r="E31" s="1" t="s">
        <v>162</v>
      </c>
      <c r="F31" s="4" t="s">
        <v>17</v>
      </c>
      <c r="G31" s="1" t="s">
        <v>18</v>
      </c>
      <c r="H31" s="1" t="s">
        <v>19</v>
      </c>
      <c r="I31" s="1" t="s">
        <v>20</v>
      </c>
      <c r="J31" s="1" t="s">
        <v>163</v>
      </c>
      <c r="K31" s="1" t="s">
        <v>22</v>
      </c>
      <c r="L31" s="1" t="str">
        <f>HYPERLINK("https://files.afu.se/Downloads/Transcripts/0%20-%20Government/USA%20-%20NASA/2023 03 24 - NASA - The Artemis II Moon Rocket is Coming Together on This Week @NASA – March 24, 2023_pQX5AhWOXg4 - transcript (automated).pdf","Transcript Link")</f>
        <v>Transcript Link</v>
      </c>
      <c r="M31" s="2" t="str">
        <f>HYPERLINK("https://files.afu.se/Downloads/Transcripts/0%20-%20Government/USA%20-%20NASA/2023 03 24 - NASA - The Artemis II Moon Rocket is Coming Together on This Week @NASA – March 24, 2023_pQX5AhWOXg4 - transcript (automated).pdf","Transcript Link")</f>
        <v>Transcript Link</v>
      </c>
    </row>
    <row r="32" ht="180" spans="1:13">
      <c r="A32" s="1" t="s">
        <v>164</v>
      </c>
      <c r="B32" s="1" t="s">
        <v>13</v>
      </c>
      <c r="C32" s="4" t="s">
        <v>165</v>
      </c>
      <c r="D32" s="1" t="s">
        <v>166</v>
      </c>
      <c r="E32" s="1" t="s">
        <v>167</v>
      </c>
      <c r="F32" s="4" t="s">
        <v>17</v>
      </c>
      <c r="G32" s="1" t="s">
        <v>18</v>
      </c>
      <c r="H32" s="1" t="s">
        <v>19</v>
      </c>
      <c r="I32" s="1" t="s">
        <v>20</v>
      </c>
      <c r="J32" s="1" t="s">
        <v>168</v>
      </c>
      <c r="K32" s="1" t="s">
        <v>22</v>
      </c>
      <c r="L32" s="1" t="str">
        <f>HYPERLINK("https://files.afu.se/Downloads/Transcripts/0%20-%20Government/USA%20-%20NASA/2023 03 17 - NASA - The President’s Budget Request for the Agency on This Week @NASA – March 17, 2023_5nEnnsiHceo - transcript (automated).pdf","Transcript Link")</f>
        <v>Transcript Link</v>
      </c>
      <c r="M32" s="2" t="str">
        <f>HYPERLINK("https://files.afu.se/Downloads/Transcripts/0%20-%20Government/USA%20-%20NASA/2023 03 17 - NASA - The President’s Budget Request for the Agency on This Week @NASA – March 17, 2023_5nEnnsiHceo - transcript (automated).pdf","Transcript Link")</f>
        <v>Transcript Link</v>
      </c>
    </row>
    <row r="33" ht="409.5" spans="1:13">
      <c r="A33" s="1" t="s">
        <v>164</v>
      </c>
      <c r="B33" s="1" t="s">
        <v>13</v>
      </c>
      <c r="C33" s="4" t="s">
        <v>169</v>
      </c>
      <c r="D33" s="1" t="s">
        <v>170</v>
      </c>
      <c r="E33" s="1" t="s">
        <v>171</v>
      </c>
      <c r="F33" s="4" t="s">
        <v>17</v>
      </c>
      <c r="G33" s="1" t="s">
        <v>18</v>
      </c>
      <c r="H33" s="1" t="s">
        <v>19</v>
      </c>
      <c r="I33" s="1" t="s">
        <v>20</v>
      </c>
      <c r="J33" s="1" t="s">
        <v>172</v>
      </c>
      <c r="K33" s="1" t="s">
        <v>22</v>
      </c>
      <c r="L33" s="1" t="str">
        <f>HYPERLINK("https://files.afu.se/Downloads/Transcripts/0%20-%20Government/USA%20-%20NASA/2023 03 17 - NASA - Adam Driver Asks NASA About Asteroids_qj6YsJqO6bA - transcript (automated).pdf","Transcript Link")</f>
        <v>Transcript Link</v>
      </c>
      <c r="M33" s="2" t="str">
        <f>HYPERLINK("https://files.afu.se/Downloads/Transcripts/0%20-%20Government/USA%20-%20NASA/2023 03 17 - NASA - Adam Driver Asks NASA About Asteroids_qj6YsJqO6bA - transcript (automated).pdf","Transcript Link")</f>
        <v>Transcript Link</v>
      </c>
    </row>
    <row r="34" ht="165" spans="1:13">
      <c r="A34" s="1" t="s">
        <v>173</v>
      </c>
      <c r="B34" s="1" t="s">
        <v>13</v>
      </c>
      <c r="C34" s="4" t="s">
        <v>174</v>
      </c>
      <c r="D34" s="1" t="s">
        <v>175</v>
      </c>
      <c r="E34" s="1" t="s">
        <v>176</v>
      </c>
      <c r="F34" s="4" t="s">
        <v>17</v>
      </c>
      <c r="G34" s="1" t="s">
        <v>18</v>
      </c>
      <c r="H34" s="1" t="s">
        <v>19</v>
      </c>
      <c r="I34" s="1" t="s">
        <v>20</v>
      </c>
      <c r="J34" s="1" t="s">
        <v>177</v>
      </c>
      <c r="K34" s="1" t="s">
        <v>22</v>
      </c>
      <c r="L34" s="1" t="str">
        <f>HYPERLINK("https://files.afu.se/Downloads/Transcripts/0%20-%20Government/USA%20-%20NASA/2023 03 10 - NASA - Artemis Systems Are Ready to Fly Astronauts on This Week @NASA – March 10, 2023_HvbI3nPsrh0 - transcript (automated).pdf","Transcript Link")</f>
        <v>Transcript Link</v>
      </c>
      <c r="M34" s="2" t="str">
        <f>HYPERLINK("https://files.afu.se/Downloads/Transcripts/0%20-%20Government/USA%20-%20NASA/2023 03 10 - NASA - Artemis Systems Are Ready to Fly Astronauts on This Week @NASA – March 10, 2023_HvbI3nPsrh0 - transcript (automated).pdf","Transcript Link")</f>
        <v>Transcript Link</v>
      </c>
    </row>
    <row r="35" ht="409.5" spans="1:13">
      <c r="A35" s="1" t="s">
        <v>173</v>
      </c>
      <c r="B35" s="1" t="s">
        <v>13</v>
      </c>
      <c r="C35" s="4" t="s">
        <v>178</v>
      </c>
      <c r="D35" s="1" t="s">
        <v>179</v>
      </c>
      <c r="E35" s="1" t="s">
        <v>180</v>
      </c>
      <c r="F35" s="4" t="s">
        <v>17</v>
      </c>
      <c r="G35" s="1" t="s">
        <v>18</v>
      </c>
      <c r="H35" s="1" t="s">
        <v>19</v>
      </c>
      <c r="I35" s="1" t="s">
        <v>20</v>
      </c>
      <c r="J35" s="1" t="s">
        <v>181</v>
      </c>
      <c r="K35" s="1" t="s">
        <v>22</v>
      </c>
      <c r="L35" s="1" t="str">
        <f>HYPERLINK("https://files.afu.se/Downloads/Transcripts/0%20-%20Government/USA%20-%20NASA/2023 03 10 - NASA - NASA, For the Benefit of All_mPcoBfQ5j-k - transcript (automated).pdf","Transcript Link")</f>
        <v>Transcript Link</v>
      </c>
      <c r="M35" s="2" t="str">
        <f>HYPERLINK("https://files.afu.se/Downloads/Transcripts/0%20-%20Government/USA%20-%20NASA/2023 03 10 - NASA - NASA, For the Benefit of All_mPcoBfQ5j-k - transcript (automated).pdf","Transcript Link")</f>
        <v>Transcript Link</v>
      </c>
    </row>
    <row r="36" ht="180" spans="1:13">
      <c r="A36" s="1" t="s">
        <v>182</v>
      </c>
      <c r="B36" s="1" t="s">
        <v>13</v>
      </c>
      <c r="C36" s="4" t="s">
        <v>183</v>
      </c>
      <c r="D36" s="1" t="s">
        <v>184</v>
      </c>
      <c r="E36" s="1" t="s">
        <v>185</v>
      </c>
      <c r="F36" s="4" t="s">
        <v>17</v>
      </c>
      <c r="G36" s="1" t="s">
        <v>18</v>
      </c>
      <c r="H36" s="1" t="s">
        <v>19</v>
      </c>
      <c r="I36" s="1" t="s">
        <v>20</v>
      </c>
      <c r="J36" s="1" t="s">
        <v>186</v>
      </c>
      <c r="K36" s="1" t="s">
        <v>22</v>
      </c>
      <c r="L36" s="1" t="str">
        <f>HYPERLINK("https://files.afu.se/Downloads/Transcripts/0%20-%20Government/USA%20-%20NASA/2023 03 09 - NASA - 2023 ‘State of NASA’ Address from Administrator Bill Nelson_yTVxELrVfB0 - transcript (automated).pdf","Transcript Link")</f>
        <v>Transcript Link</v>
      </c>
      <c r="M36" s="2" t="str">
        <f>HYPERLINK("https://files.afu.se/Downloads/Transcripts/0%20-%20Government/USA%20-%20NASA/2023 03 09 - NASA - 2023 ‘State of NASA’ Address from Administrator Bill Nelson_yTVxELrVfB0 - transcript (automated).pdf","Transcript Link")</f>
        <v>Transcript Link</v>
      </c>
    </row>
    <row r="37" ht="225" spans="1:13">
      <c r="A37" s="1" t="s">
        <v>187</v>
      </c>
      <c r="B37" s="1" t="s">
        <v>13</v>
      </c>
      <c r="C37" s="4" t="s">
        <v>188</v>
      </c>
      <c r="D37" s="1" t="s">
        <v>189</v>
      </c>
      <c r="E37" s="1" t="s">
        <v>190</v>
      </c>
      <c r="F37" s="4" t="s">
        <v>17</v>
      </c>
      <c r="G37" s="1" t="s">
        <v>18</v>
      </c>
      <c r="H37" s="1" t="s">
        <v>19</v>
      </c>
      <c r="I37" s="1" t="s">
        <v>20</v>
      </c>
      <c r="J37" s="1" t="s">
        <v>191</v>
      </c>
      <c r="K37" s="1" t="s">
        <v>22</v>
      </c>
      <c r="L37" s="1" t="str">
        <f>HYPERLINK("https://files.afu.se/Downloads/Transcripts/0%20-%20Government/USA%20-%20NASA/2023 03 08 - NASA - NASA's SpaceX Crew-5  A Scientific Mission_OQ7t0eBBlG8 - transcript (automated).pdf","Transcript Link")</f>
        <v>Transcript Link</v>
      </c>
      <c r="M37" s="2" t="str">
        <f>HYPERLINK("https://files.afu.se/Downloads/Transcripts/0%20-%20Government/USA%20-%20NASA/2023 03 08 - NASA - NASA's SpaceX Crew-5  A Scientific Mission_OQ7t0eBBlG8 - transcript (automated).pdf","Transcript Link")</f>
        <v>Transcript Link</v>
      </c>
    </row>
    <row r="38" ht="210" spans="1:13">
      <c r="A38" s="1" t="s">
        <v>192</v>
      </c>
      <c r="B38" s="1" t="s">
        <v>13</v>
      </c>
      <c r="C38" s="4" t="s">
        <v>193</v>
      </c>
      <c r="D38" s="1" t="s">
        <v>194</v>
      </c>
      <c r="E38" s="1" t="s">
        <v>195</v>
      </c>
      <c r="F38" s="4" t="s">
        <v>17</v>
      </c>
      <c r="G38" s="1" t="s">
        <v>18</v>
      </c>
      <c r="H38" s="1" t="s">
        <v>19</v>
      </c>
      <c r="I38" s="1" t="s">
        <v>20</v>
      </c>
      <c r="J38" s="1" t="s">
        <v>196</v>
      </c>
      <c r="K38" s="1" t="s">
        <v>22</v>
      </c>
      <c r="L38" s="1" t="str">
        <f>HYPERLINK("https://files.afu.se/Downloads/Transcripts/0%20-%20Government/USA%20-%20NASA/2023 03 06 - NASA - Science Launching on SpaceX's 27th Cargo Resupply Mission to the Space Station_iNVgnOXq-m8 - transcript (automated).pdf","Transcript Link")</f>
        <v>Transcript Link</v>
      </c>
      <c r="M38" s="2" t="str">
        <f>HYPERLINK("https://files.afu.se/Downloads/Transcripts/0%20-%20Government/USA%20-%20NASA/2023 03 06 - NASA - Science Launching on SpaceX's 27th Cargo Resupply Mission to the Space Station_iNVgnOXq-m8 - transcript (automated).pdf","Transcript Link")</f>
        <v>Transcript Link</v>
      </c>
    </row>
    <row r="39" ht="165" spans="1:13">
      <c r="A39" s="1" t="s">
        <v>197</v>
      </c>
      <c r="B39" s="1" t="s">
        <v>13</v>
      </c>
      <c r="C39" s="4" t="s">
        <v>198</v>
      </c>
      <c r="D39" s="1" t="s">
        <v>199</v>
      </c>
      <c r="E39" s="1" t="s">
        <v>200</v>
      </c>
      <c r="F39" s="4" t="s">
        <v>17</v>
      </c>
      <c r="G39" s="1" t="s">
        <v>18</v>
      </c>
      <c r="H39" s="1" t="s">
        <v>19</v>
      </c>
      <c r="I39" s="1" t="s">
        <v>20</v>
      </c>
      <c r="J39" s="1" t="s">
        <v>201</v>
      </c>
      <c r="K39" s="1" t="s">
        <v>22</v>
      </c>
      <c r="L39" s="1" t="str">
        <f>HYPERLINK("https://files.afu.se/Downloads/Transcripts/0%20-%20Government/USA%20-%20NASA/2023 03 04 - NASA - A New Crew Heads to the Space Station on This Week at NASA – March 3, 2023_G77jdUMUj0Y - transcript (automated).pdf","Transcript Link")</f>
        <v>Transcript Link</v>
      </c>
      <c r="M39" s="2" t="str">
        <f>HYPERLINK("https://files.afu.se/Downloads/Transcripts/0%20-%20Government/USA%20-%20NASA/2023 03 04 - NASA - A New Crew Heads to the Space Station on This Week at NASA – March 3, 2023_G77jdUMUj0Y - transcript (automated).pdf","Transcript Link")</f>
        <v>Transcript Link</v>
      </c>
    </row>
    <row r="40" ht="390" spans="1:13">
      <c r="A40" s="1" t="s">
        <v>202</v>
      </c>
      <c r="B40" s="1" t="s">
        <v>13</v>
      </c>
      <c r="C40" s="4" t="s">
        <v>203</v>
      </c>
      <c r="D40" s="1" t="s">
        <v>204</v>
      </c>
      <c r="E40" s="1" t="s">
        <v>205</v>
      </c>
      <c r="F40" s="4" t="s">
        <v>17</v>
      </c>
      <c r="G40" s="1" t="s">
        <v>18</v>
      </c>
      <c r="H40" s="1" t="s">
        <v>19</v>
      </c>
      <c r="I40" s="1" t="s">
        <v>20</v>
      </c>
      <c r="J40" s="1" t="s">
        <v>206</v>
      </c>
      <c r="K40" s="1" t="s">
        <v>22</v>
      </c>
      <c r="L40" s="1" t="str">
        <f>HYPERLINK("https://files.afu.se/Downloads/Transcripts/0%20-%20Government/USA%20-%20NASA/2023 03 03 - NASA - Paul Rudd Explores the Quantum Realm with NASA_pZp5-TFTlIY - transcript (automated).pdf","Transcript Link")</f>
        <v>Transcript Link</v>
      </c>
      <c r="M40" s="2" t="str">
        <f>HYPERLINK("https://files.afu.se/Downloads/Transcripts/0%20-%20Government/USA%20-%20NASA/2023 03 03 - NASA - Paul Rudd Explores the Quantum Realm with NASA_pZp5-TFTlIY - transcript (automated).pdf","Transcript Link")</f>
        <v>Transcript Link</v>
      </c>
    </row>
    <row r="41" ht="165" spans="1:13">
      <c r="A41" s="1" t="s">
        <v>207</v>
      </c>
      <c r="B41" s="1" t="s">
        <v>13</v>
      </c>
      <c r="C41" s="4" t="s">
        <v>208</v>
      </c>
      <c r="D41" s="1" t="s">
        <v>209</v>
      </c>
      <c r="E41" s="1" t="s">
        <v>210</v>
      </c>
      <c r="F41" s="4" t="s">
        <v>17</v>
      </c>
      <c r="G41" s="1" t="s">
        <v>18</v>
      </c>
      <c r="H41" s="1" t="s">
        <v>19</v>
      </c>
      <c r="I41" s="1" t="s">
        <v>20</v>
      </c>
      <c r="J41" s="1" t="s">
        <v>211</v>
      </c>
      <c r="K41" s="1" t="s">
        <v>22</v>
      </c>
      <c r="L41" s="1" t="str">
        <f>HYPERLINK("https://files.afu.se/Downloads/Transcripts/0%20-%20Government/USA%20-%20NASA/2023 03 01 - NASA - NASA's DART Mission Confirms Crashing Spacecraft into Asteroids Can Deflect Them_vMu5bNadlGo - transcript (automated).pdf","Transcript Link")</f>
        <v>Transcript Link</v>
      </c>
      <c r="M41" s="2" t="str">
        <f>HYPERLINK("https://files.afu.se/Downloads/Transcripts/0%20-%20Government/USA%20-%20NASA/2023 03 01 - NASA - NASA's DART Mission Confirms Crashing Spacecraft into Asteroids Can Deflect Them_vMu5bNadlGo - transcript (automated).pdf","Transcript Link")</f>
        <v>Transcript Link</v>
      </c>
    </row>
    <row r="42" ht="165" spans="1:13">
      <c r="A42" s="1" t="s">
        <v>212</v>
      </c>
      <c r="B42" s="1" t="s">
        <v>13</v>
      </c>
      <c r="C42" s="4" t="s">
        <v>213</v>
      </c>
      <c r="D42" s="1" t="s">
        <v>214</v>
      </c>
      <c r="E42" s="1" t="s">
        <v>215</v>
      </c>
      <c r="F42" s="4" t="s">
        <v>17</v>
      </c>
      <c r="G42" s="1" t="s">
        <v>18</v>
      </c>
      <c r="H42" s="1" t="s">
        <v>19</v>
      </c>
      <c r="I42" s="1" t="s">
        <v>20</v>
      </c>
      <c r="J42" s="1" t="s">
        <v>216</v>
      </c>
      <c r="K42" s="1" t="s">
        <v>22</v>
      </c>
      <c r="L42" s="1" t="str">
        <f>HYPERLINK("https://files.afu.se/Downloads/Transcripts/0%20-%20Government/USA%20-%20NASA/2023 02 24 - NASA - The Next Crew Headed to the Space Station on This Week at NASA – February 24, 2023_15Wgo65737Y - transcript (automated).pdf","Transcript Link")</f>
        <v>Transcript Link</v>
      </c>
      <c r="M42" s="2" t="str">
        <f>HYPERLINK("https://files.afu.se/Downloads/Transcripts/0%20-%20Government/USA%20-%20NASA/2023 02 24 - NASA - The Next Crew Headed to the Space Station on This Week at NASA – February 24, 2023_15Wgo65737Y - transcript (automated).pdf","Transcript Link")</f>
        <v>Transcript Link</v>
      </c>
    </row>
    <row r="43" ht="409.5" spans="1:13">
      <c r="A43" s="1" t="s">
        <v>217</v>
      </c>
      <c r="B43" s="1" t="s">
        <v>13</v>
      </c>
      <c r="C43" s="4" t="s">
        <v>218</v>
      </c>
      <c r="D43" s="1" t="s">
        <v>219</v>
      </c>
      <c r="E43" s="1" t="s">
        <v>220</v>
      </c>
      <c r="F43" s="4" t="s">
        <v>17</v>
      </c>
      <c r="G43" s="1" t="s">
        <v>18</v>
      </c>
      <c r="H43" s="1" t="s">
        <v>19</v>
      </c>
      <c r="I43" s="1" t="s">
        <v>20</v>
      </c>
      <c r="J43" s="1" t="s">
        <v>221</v>
      </c>
      <c r="K43" s="1" t="s">
        <v>22</v>
      </c>
      <c r="L43" s="1" t="str">
        <f>HYPERLINK("https://files.afu.se/Downloads/Transcripts/0%20-%20Government/USA%20-%20NASA/2023 02 23 - NASA - NASA's SpaceX Crew-6 Mission to the Space Station (Official Trailer)_C1eTfdwYPg4 - transcript (automated).pdf","Transcript Link")</f>
        <v>Transcript Link</v>
      </c>
      <c r="M43" s="2" t="str">
        <f>HYPERLINK("https://files.afu.se/Downloads/Transcripts/0%20-%20Government/USA%20-%20NASA/2023 02 23 - NASA - NASA's SpaceX Crew-6 Mission to the Space Station (Official Trailer)_C1eTfdwYPg4 - transcript (automated).pdf","Transcript Link")</f>
        <v>Transcript Link</v>
      </c>
    </row>
    <row r="44" ht="195" spans="1:13">
      <c r="A44" s="1" t="s">
        <v>222</v>
      </c>
      <c r="B44" s="1" t="s">
        <v>13</v>
      </c>
      <c r="C44" s="4" t="s">
        <v>223</v>
      </c>
      <c r="D44" s="1" t="s">
        <v>224</v>
      </c>
      <c r="E44" s="1" t="s">
        <v>225</v>
      </c>
      <c r="F44" s="4" t="s">
        <v>17</v>
      </c>
      <c r="G44" s="1" t="s">
        <v>18</v>
      </c>
      <c r="H44" s="1" t="s">
        <v>19</v>
      </c>
      <c r="I44" s="1" t="s">
        <v>20</v>
      </c>
      <c r="J44" s="1" t="s">
        <v>226</v>
      </c>
      <c r="K44" s="1" t="s">
        <v>22</v>
      </c>
      <c r="L44" s="1" t="str">
        <f>HYPERLINK("https://files.afu.se/Downloads/Transcripts/0%20-%20Government/USA%20-%20NASA/2023 02 22 - NASA - A Future in Orbit_sz55xXsN8-U - transcript (automated).pdf","Transcript Link")</f>
        <v>Transcript Link</v>
      </c>
      <c r="M44" s="2" t="str">
        <f>HYPERLINK("https://files.afu.se/Downloads/Transcripts/0%20-%20Government/USA%20-%20NASA/2023 02 22 - NASA - A Future in Orbit_sz55xXsN8-U - transcript (automated).pdf","Transcript Link")</f>
        <v>Transcript Link</v>
      </c>
    </row>
    <row r="45" ht="195" spans="1:13">
      <c r="A45" s="1" t="s">
        <v>227</v>
      </c>
      <c r="B45" s="1" t="s">
        <v>13</v>
      </c>
      <c r="C45" s="4" t="s">
        <v>228</v>
      </c>
      <c r="D45" s="1" t="s">
        <v>229</v>
      </c>
      <c r="E45" s="1" t="s">
        <v>230</v>
      </c>
      <c r="F45" s="4" t="s">
        <v>17</v>
      </c>
      <c r="G45" s="1" t="s">
        <v>18</v>
      </c>
      <c r="H45" s="1" t="s">
        <v>19</v>
      </c>
      <c r="I45" s="1" t="s">
        <v>20</v>
      </c>
      <c r="J45" s="1" t="s">
        <v>231</v>
      </c>
      <c r="K45" s="1" t="s">
        <v>22</v>
      </c>
      <c r="L45" s="1" t="str">
        <f>HYPERLINK("https://files.afu.se/Downloads/Transcripts/0%20-%20Government/USA%20-%20NASA/2023 02 17 - NASA - Naming a Mountain on the Moon This Week at NASA– February 17, 2023_wFW8KSEc1lg - transcript (automated).pdf","Transcript Link")</f>
        <v>Transcript Link</v>
      </c>
      <c r="M45" s="2" t="str">
        <f>HYPERLINK("https://files.afu.se/Downloads/Transcripts/0%20-%20Government/USA%20-%20NASA/2023 02 17 - NASA - Naming a Mountain on the Moon This Week at NASA– February 17, 2023_wFW8KSEc1lg - transcript (automated).pdf","Transcript Link")</f>
        <v>Transcript Link</v>
      </c>
    </row>
    <row r="46" ht="195" spans="1:13">
      <c r="A46" s="1" t="s">
        <v>232</v>
      </c>
      <c r="B46" s="1" t="s">
        <v>13</v>
      </c>
      <c r="C46" s="4" t="s">
        <v>233</v>
      </c>
      <c r="D46" s="1" t="s">
        <v>234</v>
      </c>
      <c r="E46" s="1" t="s">
        <v>235</v>
      </c>
      <c r="F46" s="4" t="s">
        <v>17</v>
      </c>
      <c r="G46" s="1" t="s">
        <v>18</v>
      </c>
      <c r="H46" s="1" t="s">
        <v>19</v>
      </c>
      <c r="I46" s="1" t="s">
        <v>20</v>
      </c>
      <c r="J46" s="1" t="s">
        <v>236</v>
      </c>
      <c r="K46" s="1" t="s">
        <v>22</v>
      </c>
      <c r="L46" s="1" t="str">
        <f>HYPERLINK("https://files.afu.se/Downloads/Transcripts/0%20-%20Government/USA%20-%20NASA/2023 02 15 - NASA - Have Humans Ever Visited Mars  We Asked a NASA Scientist_FrIWSA1Blxo - transcript (automated).pdf","Transcript Link")</f>
        <v>Transcript Link</v>
      </c>
      <c r="M46" s="2" t="str">
        <f>HYPERLINK("https://files.afu.se/Downloads/Transcripts/0%20-%20Government/USA%20-%20NASA/2023 02 15 - NASA - Have Humans Ever Visited Mars  We Asked a NASA Scientist_FrIWSA1Blxo - transcript (automated).pdf","Transcript Link")</f>
        <v>Transcript Link</v>
      </c>
    </row>
    <row r="47" ht="285" spans="1:13">
      <c r="A47" s="1" t="s">
        <v>237</v>
      </c>
      <c r="B47" s="1" t="s">
        <v>13</v>
      </c>
      <c r="C47" s="4" t="s">
        <v>238</v>
      </c>
      <c r="D47" s="1" t="s">
        <v>239</v>
      </c>
      <c r="E47" s="1" t="s">
        <v>240</v>
      </c>
      <c r="F47" s="4" t="s">
        <v>17</v>
      </c>
      <c r="G47" s="1" t="s">
        <v>18</v>
      </c>
      <c r="H47" s="1" t="s">
        <v>19</v>
      </c>
      <c r="I47" s="1" t="s">
        <v>20</v>
      </c>
      <c r="J47" s="1" t="s">
        <v>241</v>
      </c>
      <c r="K47" s="1" t="s">
        <v>22</v>
      </c>
      <c r="L47" s="1" t="str">
        <f>HYPERLINK("https://files.afu.se/Downloads/Transcripts/0%20-%20Government/USA%20-%20NASA/2023 02 10 - NASA - Celebrating Diversity in Space and Technology on This Week at NASA – February 10, 2023_Ej_xIAAPgpQ - transcript (automated).pdf","Transcript Link")</f>
        <v>Transcript Link</v>
      </c>
      <c r="M47" s="2" t="str">
        <f>HYPERLINK("https://files.afu.se/Downloads/Transcripts/0%20-%20Government/USA%20-%20NASA/2023 02 10 - NASA - Celebrating Diversity in Space and Technology on This Week at NASA – February 10, 2023_Ej_xIAAPgpQ - transcript (automated).pdf","Transcript Link")</f>
        <v>Transcript Link</v>
      </c>
    </row>
    <row r="48" ht="195" spans="1:13">
      <c r="A48" s="1" t="s">
        <v>242</v>
      </c>
      <c r="B48" s="1" t="s">
        <v>13</v>
      </c>
      <c r="C48" s="4" t="s">
        <v>243</v>
      </c>
      <c r="D48" s="1" t="s">
        <v>244</v>
      </c>
      <c r="E48" s="1" t="s">
        <v>245</v>
      </c>
      <c r="F48" s="4" t="s">
        <v>17</v>
      </c>
      <c r="G48" s="1" t="s">
        <v>18</v>
      </c>
      <c r="H48" s="1" t="s">
        <v>19</v>
      </c>
      <c r="I48" s="1" t="s">
        <v>20</v>
      </c>
      <c r="J48" s="1" t="s">
        <v>246</v>
      </c>
      <c r="K48" s="1" t="s">
        <v>22</v>
      </c>
      <c r="L48" s="1" t="str">
        <f>HYPERLINK("https://files.afu.se/Downloads/Transcripts/0%20-%20Government/USA%20-%20NASA/2023 02 08 - NASA - How Do We Communicate With Spacecraft  We Asked a NASA Expert_MDMM9MZNcco - transcript (automated).pdf","Transcript Link")</f>
        <v>Transcript Link</v>
      </c>
      <c r="M48" s="2" t="str">
        <f>HYPERLINK("https://files.afu.se/Downloads/Transcripts/0%20-%20Government/USA%20-%20NASA/2023 02 08 - NASA - How Do We Communicate With Spacecraft  We Asked a NASA Expert_MDMM9MZNcco - transcript (automated).pdf","Transcript Link")</f>
        <v>Transcript Link</v>
      </c>
    </row>
    <row r="49" ht="195" spans="1:13">
      <c r="A49" s="1" t="s">
        <v>247</v>
      </c>
      <c r="B49" s="1" t="s">
        <v>13</v>
      </c>
      <c r="C49" s="4" t="s">
        <v>248</v>
      </c>
      <c r="D49" s="1" t="s">
        <v>249</v>
      </c>
      <c r="E49" s="1" t="s">
        <v>250</v>
      </c>
      <c r="F49" s="4" t="s">
        <v>17</v>
      </c>
      <c r="G49" s="1" t="s">
        <v>18</v>
      </c>
      <c r="H49" s="1" t="s">
        <v>19</v>
      </c>
      <c r="I49" s="1" t="s">
        <v>20</v>
      </c>
      <c r="J49" s="1" t="s">
        <v>251</v>
      </c>
      <c r="K49" s="1" t="s">
        <v>22</v>
      </c>
      <c r="L49" s="1" t="str">
        <f>HYPERLINK("https://files.afu.se/Downloads/Transcripts/0%20-%20Government/USA%20-%20NASA/2023 02 03 - NASA - Work to Do Outside the Space Station on This Week @NASA – February 3, 2023_bjJFqhBEAKE - transcript (automated).pdf","Transcript Link")</f>
        <v>Transcript Link</v>
      </c>
      <c r="M49" s="2" t="str">
        <f>HYPERLINK("https://files.afu.se/Downloads/Transcripts/0%20-%20Government/USA%20-%20NASA/2023 02 03 - NASA - Work to Do Outside the Space Station on This Week @NASA – February 3, 2023_bjJFqhBEAKE - transcript (automated).pdf","Transcript Link")</f>
        <v>Transcript Link</v>
      </c>
    </row>
    <row r="50" ht="165" spans="1:13">
      <c r="A50" s="1" t="s">
        <v>252</v>
      </c>
      <c r="B50" s="1" t="s">
        <v>13</v>
      </c>
      <c r="C50" s="4" t="s">
        <v>253</v>
      </c>
      <c r="D50" s="1" t="s">
        <v>254</v>
      </c>
      <c r="E50" s="1" t="s">
        <v>255</v>
      </c>
      <c r="F50" s="4" t="s">
        <v>17</v>
      </c>
      <c r="G50" s="1" t="s">
        <v>18</v>
      </c>
      <c r="H50" s="1" t="s">
        <v>19</v>
      </c>
      <c r="I50" s="1" t="s">
        <v>20</v>
      </c>
      <c r="J50" s="1" t="s">
        <v>256</v>
      </c>
      <c r="K50" s="1" t="s">
        <v>22</v>
      </c>
      <c r="L50" s="1" t="str">
        <f>HYPERLINK("https://files.afu.se/Downloads/Transcripts/0%20-%20Government/USA%20-%20NASA/2023 02 01 - NASA - Is Polar Ice Melting  We Asked a NASA Expert_prACMnIDJ-M - transcript (automated).pdf","Transcript Link")</f>
        <v>Transcript Link</v>
      </c>
      <c r="M50" s="2" t="str">
        <f>HYPERLINK("https://files.afu.se/Downloads/Transcripts/0%20-%20Government/USA%20-%20NASA/2023 02 01 - NASA - Is Polar Ice Melting  We Asked a NASA Expert_prACMnIDJ-M - transcript (automated).pdf","Transcript Link")</f>
        <v>Transcript Link</v>
      </c>
    </row>
    <row r="51" ht="409.5" spans="1:13">
      <c r="A51" s="1" t="s">
        <v>252</v>
      </c>
      <c r="B51" s="1" t="s">
        <v>13</v>
      </c>
      <c r="C51" s="4" t="s">
        <v>257</v>
      </c>
      <c r="D51" s="1" t="s">
        <v>258</v>
      </c>
      <c r="E51" s="1" t="s">
        <v>259</v>
      </c>
      <c r="F51" s="4" t="s">
        <v>17</v>
      </c>
      <c r="G51" s="1" t="s">
        <v>18</v>
      </c>
      <c r="H51" s="1" t="s">
        <v>19</v>
      </c>
      <c r="I51" s="1" t="s">
        <v>20</v>
      </c>
      <c r="J51" s="1" t="s">
        <v>260</v>
      </c>
      <c r="K51" s="1" t="s">
        <v>22</v>
      </c>
      <c r="L51" s="1" t="str">
        <f>HYPERLINK("https://files.afu.se/Downloads/Transcripts/0%20-%20Government/USA%20-%20NASA/2023 02 01 - NASA - Vice President Kamala Harris Honors Demo-2 Astronauts with Congressional Space Medal of Honor_MMdWjuGvJ9s - transcript (automated).pdf","Transcript Link")</f>
        <v>Transcript Link</v>
      </c>
      <c r="M51" s="2" t="str">
        <f>HYPERLINK("https://files.afu.se/Downloads/Transcripts/0%20-%20Government/USA%20-%20NASA/2023 02 01 - NASA - Vice President Kamala Harris Honors Demo-2 Astronauts with Congressional Space Medal of Honor_MMdWjuGvJ9s - transcript (automated).pdf","Transcript Link")</f>
        <v>Transcript Link</v>
      </c>
    </row>
    <row r="52" ht="195" spans="1:13">
      <c r="A52" s="1" t="s">
        <v>261</v>
      </c>
      <c r="B52" s="1" t="s">
        <v>13</v>
      </c>
      <c r="C52" s="4" t="s">
        <v>262</v>
      </c>
      <c r="D52" s="1" t="s">
        <v>263</v>
      </c>
      <c r="E52" s="1" t="s">
        <v>264</v>
      </c>
      <c r="F52" s="4" t="s">
        <v>17</v>
      </c>
      <c r="G52" s="1" t="s">
        <v>18</v>
      </c>
      <c r="H52" s="1" t="s">
        <v>19</v>
      </c>
      <c r="I52" s="1" t="s">
        <v>20</v>
      </c>
      <c r="J52" s="1" t="s">
        <v>265</v>
      </c>
      <c r="K52" s="1" t="s">
        <v>22</v>
      </c>
      <c r="L52" s="1" t="str">
        <f>HYPERLINK("https://files.afu.se/Downloads/Transcripts/0%20-%20Government/USA%20-%20NASA/2023 01 27 - NASA - Honoring Our Fallen Heroes on This Week @NASA – January 27, 2023_EW5l4OU0-QA - transcript (automated).pdf","Transcript Link")</f>
        <v>Transcript Link</v>
      </c>
      <c r="M52" s="2" t="str">
        <f>HYPERLINK("https://files.afu.se/Downloads/Transcripts/0%20-%20Government/USA%20-%20NASA/2023 01 27 - NASA - Honoring Our Fallen Heroes on This Week @NASA – January 27, 2023_EW5l4OU0-QA - transcript (automated).pdf","Transcript Link")</f>
        <v>Transcript Link</v>
      </c>
    </row>
    <row r="53" ht="255" spans="1:13">
      <c r="A53" s="1" t="s">
        <v>266</v>
      </c>
      <c r="B53" s="1" t="s">
        <v>13</v>
      </c>
      <c r="C53" s="4" t="s">
        <v>267</v>
      </c>
      <c r="D53" s="1" t="s">
        <v>268</v>
      </c>
      <c r="E53" s="1" t="s">
        <v>269</v>
      </c>
      <c r="F53" s="4" t="s">
        <v>17</v>
      </c>
      <c r="G53" s="1" t="s">
        <v>18</v>
      </c>
      <c r="H53" s="1" t="s">
        <v>19</v>
      </c>
      <c r="I53" s="1" t="s">
        <v>20</v>
      </c>
      <c r="J53" s="1" t="s">
        <v>270</v>
      </c>
      <c r="K53" s="1" t="s">
        <v>22</v>
      </c>
      <c r="L53" s="1" t="str">
        <f>HYPERLINK("https://files.afu.se/Downloads/Transcripts/0%20-%20Government/USA%20-%20NASA/2023 01 26 - NASA - NASA Remembers Fallen Heroes_Hho8VboDRbE - transcript (automated).pdf","Transcript Link")</f>
        <v>Transcript Link</v>
      </c>
      <c r="M53" s="2" t="str">
        <f>HYPERLINK("https://files.afu.se/Downloads/Transcripts/0%20-%20Government/USA%20-%20NASA/2023 01 26 - NASA - NASA Remembers Fallen Heroes_Hho8VboDRbE - transcript (automated).pdf","Transcript Link")</f>
        <v>Transcript Link</v>
      </c>
    </row>
    <row r="54" ht="240" spans="1:13">
      <c r="A54" s="1" t="s">
        <v>271</v>
      </c>
      <c r="B54" s="1" t="s">
        <v>13</v>
      </c>
      <c r="C54" s="4" t="s">
        <v>272</v>
      </c>
      <c r="D54" s="1" t="s">
        <v>273</v>
      </c>
      <c r="E54" s="1" t="s">
        <v>274</v>
      </c>
      <c r="F54" s="4" t="s">
        <v>17</v>
      </c>
      <c r="G54" s="1" t="s">
        <v>18</v>
      </c>
      <c r="H54" s="1" t="s">
        <v>19</v>
      </c>
      <c r="I54" s="1" t="s">
        <v>20</v>
      </c>
      <c r="J54" s="1" t="s">
        <v>275</v>
      </c>
      <c r="K54" s="1" t="s">
        <v>22</v>
      </c>
      <c r="L54" s="1" t="str">
        <f>HYPERLINK("https://files.afu.se/Downloads/Transcripts/0%20-%20Government/USA%20-%20NASA/2023 01 25 - NASA - Has COVID Affected Climate Change  – We Asked a NASA Scientist_eWkGlHSWOMw - transcript (automated).pdf","Transcript Link")</f>
        <v>Transcript Link</v>
      </c>
      <c r="M54" s="2" t="str">
        <f>HYPERLINK("https://files.afu.se/Downloads/Transcripts/0%20-%20Government/USA%20-%20NASA/2023 01 25 - NASA - Has COVID Affected Climate Change  – We Asked a NASA Scientist_eWkGlHSWOMw - transcript (automated).pdf","Transcript Link")</f>
        <v>Transcript Link</v>
      </c>
    </row>
    <row r="55" ht="165" spans="1:13">
      <c r="A55" s="1" t="s">
        <v>276</v>
      </c>
      <c r="B55" s="1" t="s">
        <v>13</v>
      </c>
      <c r="C55" s="4" t="s">
        <v>277</v>
      </c>
      <c r="D55" s="1" t="s">
        <v>278</v>
      </c>
      <c r="E55" s="1" t="s">
        <v>279</v>
      </c>
      <c r="F55" s="4" t="s">
        <v>17</v>
      </c>
      <c r="G55" s="1" t="s">
        <v>18</v>
      </c>
      <c r="H55" s="1" t="s">
        <v>19</v>
      </c>
      <c r="I55" s="1" t="s">
        <v>20</v>
      </c>
      <c r="J55" s="1" t="s">
        <v>280</v>
      </c>
      <c r="K55" s="1" t="s">
        <v>22</v>
      </c>
      <c r="L55" s="1" t="str">
        <f>HYPERLINK("https://files.afu.se/Downloads/Transcripts/0%20-%20Government/USA%20-%20NASA/2023 01 20 - NASA - Preparing for a More Powerful Space Station on This Week @NASA – January 20, 2023_7mnTimajPJg - transcript (automated).pdf","Transcript Link")</f>
        <v>Transcript Link</v>
      </c>
      <c r="M55" s="2" t="str">
        <f>HYPERLINK("https://files.afu.se/Downloads/Transcripts/0%20-%20Government/USA%20-%20NASA/2023 01 20 - NASA - Preparing for a More Powerful Space Station on This Week @NASA – January 20, 2023_7mnTimajPJg - transcript (automated).pdf","Transcript Link")</f>
        <v>Transcript Link</v>
      </c>
    </row>
    <row r="56" ht="195" spans="1:13">
      <c r="A56" s="1" t="s">
        <v>281</v>
      </c>
      <c r="B56" s="1" t="s">
        <v>13</v>
      </c>
      <c r="C56" s="4" t="s">
        <v>282</v>
      </c>
      <c r="D56" s="1" t="s">
        <v>283</v>
      </c>
      <c r="E56" s="1" t="s">
        <v>284</v>
      </c>
      <c r="F56" s="4" t="s">
        <v>17</v>
      </c>
      <c r="G56" s="1" t="s">
        <v>18</v>
      </c>
      <c r="H56" s="1" t="s">
        <v>19</v>
      </c>
      <c r="I56" s="1" t="s">
        <v>20</v>
      </c>
      <c r="J56" s="1" t="s">
        <v>285</v>
      </c>
      <c r="K56" s="1" t="s">
        <v>22</v>
      </c>
      <c r="L56" s="1" t="str">
        <f>HYPERLINK("https://files.afu.se/Downloads/Transcripts/0%20-%20Government/USA%20-%20NASA/2023 01 18 - NASA - Is There Weather on the Moon  We Asked a NASA Scientist_mn60n3jdI_8 - transcript (automated).pdf","Transcript Link")</f>
        <v>Transcript Link</v>
      </c>
      <c r="M56" s="2" t="str">
        <f>HYPERLINK("https://files.afu.se/Downloads/Transcripts/0%20-%20Government/USA%20-%20NASA/2023 01 18 - NASA - Is There Weather on the Moon  We Asked a NASA Scientist_mn60n3jdI_8 - transcript (automated).pdf","Transcript Link")</f>
        <v>Transcript Link</v>
      </c>
    </row>
    <row r="57" ht="210" spans="1:13">
      <c r="A57" s="1" t="s">
        <v>286</v>
      </c>
      <c r="B57" s="1" t="s">
        <v>13</v>
      </c>
      <c r="C57" s="4" t="s">
        <v>287</v>
      </c>
      <c r="D57" s="1" t="s">
        <v>288</v>
      </c>
      <c r="E57" s="1" t="s">
        <v>289</v>
      </c>
      <c r="F57" s="4" t="s">
        <v>17</v>
      </c>
      <c r="G57" s="1" t="s">
        <v>18</v>
      </c>
      <c r="H57" s="1" t="s">
        <v>19</v>
      </c>
      <c r="I57" s="1" t="s">
        <v>20</v>
      </c>
      <c r="J57" s="1" t="s">
        <v>290</v>
      </c>
      <c r="K57" s="1" t="s">
        <v>22</v>
      </c>
      <c r="L57" s="1" t="str">
        <f>HYPERLINK("https://files.afu.se/Downloads/Transcripts/0%20-%20Government/USA%20-%20NASA/2023 01 13 - NASA - Continuing a Collaboration in Space Exploration on This Week @NASA – January 13, 2023_ctRbUfeZRBs - transcript (automated).pdf","Transcript Link")</f>
        <v>Transcript Link</v>
      </c>
      <c r="M57" s="2" t="str">
        <f>HYPERLINK("https://files.afu.se/Downloads/Transcripts/0%20-%20Government/USA%20-%20NASA/2023 01 13 - NASA - Continuing a Collaboration in Space Exploration on This Week @NASA – January 13, 2023_ctRbUfeZRBs - transcript (automated).pdf","Transcript Link")</f>
        <v>Transcript Link</v>
      </c>
    </row>
    <row r="58" ht="225" spans="1:13">
      <c r="A58" s="1" t="s">
        <v>291</v>
      </c>
      <c r="B58" s="1" t="s">
        <v>13</v>
      </c>
      <c r="C58" s="4" t="s">
        <v>292</v>
      </c>
      <c r="D58" s="1" t="s">
        <v>293</v>
      </c>
      <c r="E58" s="1" t="s">
        <v>294</v>
      </c>
      <c r="F58" s="4" t="s">
        <v>17</v>
      </c>
      <c r="G58" s="1" t="s">
        <v>18</v>
      </c>
      <c r="H58" s="1" t="s">
        <v>19</v>
      </c>
      <c r="I58" s="1" t="s">
        <v>20</v>
      </c>
      <c r="J58" s="1" t="s">
        <v>295</v>
      </c>
      <c r="K58" s="1" t="s">
        <v>22</v>
      </c>
      <c r="L58" s="1" t="str">
        <f>HYPERLINK("https://files.afu.se/Downloads/Transcripts/0%20-%20Government/USA%20-%20NASA/2023 01 11 - NASA - Why is Sea Level Rising  We Asked a NASA Scientist_WadD54Ywvz4 - transcript (automated).pdf","Transcript Link")</f>
        <v>Transcript Link</v>
      </c>
      <c r="M58" s="2" t="str">
        <f>HYPERLINK("https://files.afu.se/Downloads/Transcripts/0%20-%20Government/USA%20-%20NASA/2023 01 11 - NASA - Why is Sea Level Rising  We Asked a NASA Scientist_WadD54Ywvz4 - transcript (automated).pdf","Transcript Link")</f>
        <v>Transcript Link</v>
      </c>
    </row>
    <row r="59" ht="285" spans="1:13">
      <c r="A59" s="1" t="s">
        <v>296</v>
      </c>
      <c r="B59" s="1" t="s">
        <v>13</v>
      </c>
      <c r="C59" s="4" t="s">
        <v>297</v>
      </c>
      <c r="D59" s="1" t="s">
        <v>298</v>
      </c>
      <c r="E59" s="1" t="s">
        <v>299</v>
      </c>
      <c r="F59" s="4" t="s">
        <v>17</v>
      </c>
      <c r="G59" s="1" t="s">
        <v>18</v>
      </c>
      <c r="H59" s="1" t="s">
        <v>19</v>
      </c>
      <c r="I59" s="1" t="s">
        <v>20</v>
      </c>
      <c r="J59" s="1" t="s">
        <v>300</v>
      </c>
      <c r="K59" s="1" t="s">
        <v>22</v>
      </c>
      <c r="L59" s="1" t="str">
        <f>HYPERLINK("https://files.afu.se/Downloads/Transcripts/0%20-%20Government/USA%20-%20NASA/2023 01 06 - NASA - Orion is Back in Florida After Artemis I on This Week at NASA – January 6, 2023_gIkA3YkZiH4 - transcript (automated).pdf","Transcript Link")</f>
        <v>Transcript Link</v>
      </c>
      <c r="M59" s="2" t="str">
        <f>HYPERLINK("https://files.afu.se/Downloads/Transcripts/0%20-%20Government/USA%20-%20NASA/2023 01 06 - NASA - Orion is Back in Florida After Artemis I on This Week at NASA – January 6, 2023_gIkA3YkZiH4 - transcript (automated).pdf","Transcript Link")</f>
        <v>Transcript Link</v>
      </c>
    </row>
    <row r="60" ht="409.5" spans="1:13">
      <c r="A60" s="1" t="s">
        <v>296</v>
      </c>
      <c r="B60" s="1" t="s">
        <v>13</v>
      </c>
      <c r="C60" s="4" t="s">
        <v>301</v>
      </c>
      <c r="D60" s="1" t="s">
        <v>302</v>
      </c>
      <c r="E60" s="1" t="s">
        <v>303</v>
      </c>
      <c r="F60" s="4" t="s">
        <v>17</v>
      </c>
      <c r="G60" s="1" t="s">
        <v>18</v>
      </c>
      <c r="H60" s="1" t="s">
        <v>19</v>
      </c>
      <c r="I60" s="1" t="s">
        <v>20</v>
      </c>
      <c r="J60" s="1" t="s">
        <v>304</v>
      </c>
      <c r="K60" s="1" t="s">
        <v>22</v>
      </c>
      <c r="L60" s="1" t="str">
        <f>HYPERLINK("https://files.afu.se/Downloads/Transcripts/0%20-%20Government/USA%20-%20NASA/2023 01 06 - NASA - Arturo Campos  The Man Behind the Artemis Moonikin_mdSj3vI8szI - transcript (automated).pdf","Transcript Link")</f>
        <v>Transcript Link</v>
      </c>
      <c r="M60" s="2" t="str">
        <f>HYPERLINK("https://files.afu.se/Downloads/Transcripts/0%20-%20Government/USA%20-%20NASA/2023 01 06 - NASA - Arturo Campos  The Man Behind the Artemis Moonikin_mdSj3vI8szI - transcript (automated).pdf","Transcript Link")</f>
        <v>Transcript Link</v>
      </c>
    </row>
    <row r="61" ht="195" spans="1:13">
      <c r="A61" s="1" t="s">
        <v>305</v>
      </c>
      <c r="B61" s="1" t="s">
        <v>13</v>
      </c>
      <c r="C61" s="4" t="s">
        <v>306</v>
      </c>
      <c r="D61" s="1" t="s">
        <v>307</v>
      </c>
      <c r="E61" s="1" t="s">
        <v>308</v>
      </c>
      <c r="F61" s="4" t="s">
        <v>17</v>
      </c>
      <c r="G61" s="1" t="s">
        <v>18</v>
      </c>
      <c r="H61" s="1" t="s">
        <v>19</v>
      </c>
      <c r="I61" s="1" t="s">
        <v>20</v>
      </c>
      <c r="J61" s="1" t="s">
        <v>309</v>
      </c>
      <c r="K61" s="1" t="s">
        <v>22</v>
      </c>
      <c r="L61" s="1" t="str">
        <f>HYPERLINK("https://files.afu.se/Downloads/Transcripts/0%20-%20Government/USA%20-%20NASA/2023 01 04 - NASA - Why is Venus Called Earth’s Evil Twin  We Asked a NASA Scientist_z8HB8jlWai8 - transcript (automated).pdf","Transcript Link")</f>
        <v>Transcript Link</v>
      </c>
      <c r="M61" s="2" t="str">
        <f>HYPERLINK("https://files.afu.se/Downloads/Transcripts/0%20-%20Government/USA%20-%20NASA/2023 01 04 - NASA - Why is Venus Called Earth’s Evil Twin  We Asked a NASA Scientist_z8HB8jlWai8 - transcript (automated).pdf","Transcript Link")</f>
        <v>Transcript Link</v>
      </c>
    </row>
    <row r="62" ht="409.5" spans="1:13">
      <c r="A62" s="1" t="s">
        <v>310</v>
      </c>
      <c r="B62" s="1" t="s">
        <v>13</v>
      </c>
      <c r="C62" s="4" t="s">
        <v>311</v>
      </c>
      <c r="D62" s="1" t="s">
        <v>312</v>
      </c>
      <c r="E62" s="1" t="s">
        <v>313</v>
      </c>
      <c r="F62" s="4" t="s">
        <v>17</v>
      </c>
      <c r="G62" s="1" t="s">
        <v>18</v>
      </c>
      <c r="H62" s="1" t="s">
        <v>19</v>
      </c>
      <c r="I62" s="1" t="s">
        <v>20</v>
      </c>
      <c r="J62" s="1" t="s">
        <v>314</v>
      </c>
      <c r="K62" s="1" t="s">
        <v>22</v>
      </c>
      <c r="L62" s="1" t="str">
        <f>HYPERLINK("https://files.afu.se/Downloads/Transcripts/0%20-%20Government/USA%20-%20NASA/2022 12 31 - NASA - NASA in 2023  A Look Ahead_KjBisqblTLQ - transcript (automated).pdf","Transcript Link")</f>
        <v>Transcript Link</v>
      </c>
      <c r="M62" s="2" t="str">
        <f>HYPERLINK("https://files.afu.se/Downloads/Transcripts/0%20-%20Government/USA%20-%20NASA/2022 12 31 - NASA - NASA in 2023  A Look Ahead_KjBisqblTLQ - transcript (automated).pdf","Transcript Link")</f>
        <v>Transcript Link</v>
      </c>
    </row>
    <row r="63" ht="210" spans="1:13">
      <c r="A63" s="1" t="s">
        <v>315</v>
      </c>
      <c r="B63" s="1" t="s">
        <v>13</v>
      </c>
      <c r="C63" s="4" t="s">
        <v>316</v>
      </c>
      <c r="D63" s="1" t="s">
        <v>317</v>
      </c>
      <c r="E63" s="1" t="s">
        <v>318</v>
      </c>
      <c r="F63" s="4" t="s">
        <v>17</v>
      </c>
      <c r="G63" s="1" t="s">
        <v>18</v>
      </c>
      <c r="H63" s="1" t="s">
        <v>19</v>
      </c>
      <c r="I63" s="1" t="s">
        <v>20</v>
      </c>
      <c r="J63" s="1" t="s">
        <v>319</v>
      </c>
      <c r="K63" s="1" t="s">
        <v>22</v>
      </c>
      <c r="L63" s="1" t="str">
        <f>HYPERLINK("https://files.afu.se/Downloads/Transcripts/0%20-%20Government/USA%20-%20NASA/2022 12 28 - NASA - Is There Life on Mars  We Asked a NASA Scientist_T3-3RHYGjX4 - transcript (automated).pdf","Transcript Link")</f>
        <v>Transcript Link</v>
      </c>
      <c r="M63" s="2" t="str">
        <f>HYPERLINK("https://files.afu.se/Downloads/Transcripts/0%20-%20Government/USA%20-%20NASA/2022 12 28 - NASA - Is There Life on Mars  We Asked a NASA Scientist_T3-3RHYGjX4 - transcript (automated).pdf","Transcript Link")</f>
        <v>Transcript Link</v>
      </c>
    </row>
    <row r="64" ht="255" spans="1:13">
      <c r="A64" s="1" t="s">
        <v>320</v>
      </c>
      <c r="B64" s="1" t="s">
        <v>13</v>
      </c>
      <c r="C64" s="4" t="s">
        <v>321</v>
      </c>
      <c r="D64" s="1" t="s">
        <v>322</v>
      </c>
      <c r="E64" s="1" t="s">
        <v>323</v>
      </c>
      <c r="F64" s="4" t="s">
        <v>17</v>
      </c>
      <c r="G64" s="1" t="s">
        <v>18</v>
      </c>
      <c r="H64" s="1" t="s">
        <v>19</v>
      </c>
      <c r="I64" s="1" t="s">
        <v>20</v>
      </c>
      <c r="J64" s="1" t="s">
        <v>324</v>
      </c>
      <c r="K64" s="1" t="s">
        <v>22</v>
      </c>
      <c r="L64" s="1" t="str">
        <f>HYPERLINK("https://files.afu.se/Downloads/Transcripts/0%20-%20Government/USA%20-%20NASA/2022 12 23 - NASA - An Astronomical and Historic 2022 – What We Did This Year @ NASA – December 23, 2022_Z5cayPF5qeQ - transcript (automated).pdf","Transcript Link")</f>
        <v>Transcript Link</v>
      </c>
      <c r="M64" s="2" t="str">
        <f>HYPERLINK("https://files.afu.se/Downloads/Transcripts/0%20-%20Government/USA%20-%20NASA/2022 12 23 - NASA - An Astronomical and Historic 2022 – What We Did This Year @ NASA – December 23, 2022_Z5cayPF5qeQ - transcript (automated).pdf","Transcript Link")</f>
        <v>Transcript Link</v>
      </c>
    </row>
    <row r="65" ht="210" spans="1:13">
      <c r="A65" s="1" t="s">
        <v>325</v>
      </c>
      <c r="B65" s="1" t="s">
        <v>13</v>
      </c>
      <c r="C65" s="4" t="s">
        <v>326</v>
      </c>
      <c r="D65" s="1" t="s">
        <v>327</v>
      </c>
      <c r="E65" s="1" t="s">
        <v>328</v>
      </c>
      <c r="F65" s="4" t="s">
        <v>17</v>
      </c>
      <c r="G65" s="1" t="s">
        <v>18</v>
      </c>
      <c r="H65" s="1" t="s">
        <v>19</v>
      </c>
      <c r="I65" s="1" t="s">
        <v>20</v>
      </c>
      <c r="J65" s="1" t="s">
        <v>329</v>
      </c>
      <c r="K65" s="1" t="s">
        <v>22</v>
      </c>
      <c r="L65" s="1" t="str">
        <f>HYPERLINK("https://files.afu.se/Downloads/Transcripts/0%20-%20Government/USA%20-%20NASA/2022 12 22 - NASA - What Happens to Old Satellites  We Asked a NASA Expert_SA0SZkmD5vw - transcript (automated).pdf","Transcript Link")</f>
        <v>Transcript Link</v>
      </c>
      <c r="M65" s="2" t="str">
        <f>HYPERLINK("https://files.afu.se/Downloads/Transcripts/0%20-%20Government/USA%20-%20NASA/2022 12 22 - NASA - What Happens to Old Satellites  We Asked a NASA Expert_SA0SZkmD5vw - transcript (automated).pdf","Transcript Link")</f>
        <v>Transcript Link</v>
      </c>
    </row>
    <row r="66" ht="330" spans="1:13">
      <c r="A66" s="1" t="s">
        <v>330</v>
      </c>
      <c r="B66" s="1" t="s">
        <v>13</v>
      </c>
      <c r="C66" s="4" t="s">
        <v>331</v>
      </c>
      <c r="D66" s="1" t="s">
        <v>332</v>
      </c>
      <c r="E66" s="1" t="s">
        <v>333</v>
      </c>
      <c r="F66" s="4" t="s">
        <v>17</v>
      </c>
      <c r="G66" s="1" t="s">
        <v>18</v>
      </c>
      <c r="H66" s="1" t="s">
        <v>19</v>
      </c>
      <c r="I66" s="1" t="s">
        <v>20</v>
      </c>
      <c r="J66" s="1" t="s">
        <v>334</v>
      </c>
      <c r="K66" s="1" t="s">
        <v>22</v>
      </c>
      <c r="L66" s="1" t="str">
        <f>HYPERLINK("https://files.afu.se/Downloads/Transcripts/0%20-%20Government/USA%20-%20NASA/2022 12 19 - NASA - Honoring the 50th Anniversary of NASA's Apollo 17 Moon Mission_MvVxtFyTE0M - transcript (automated).pdf","Transcript Link")</f>
        <v>Transcript Link</v>
      </c>
      <c r="M66" s="2" t="str">
        <f>HYPERLINK("https://files.afu.se/Downloads/Transcripts/0%20-%20Government/USA%20-%20NASA/2022 12 19 - NASA - Honoring the 50th Anniversary of NASA's Apollo 17 Moon Mission_MvVxtFyTE0M - transcript (automated).pdf","Transcript Link")</f>
        <v>Transcript Link</v>
      </c>
    </row>
    <row r="67" ht="195" spans="1:13">
      <c r="A67" s="1" t="s">
        <v>335</v>
      </c>
      <c r="B67" s="1" t="s">
        <v>13</v>
      </c>
      <c r="C67" s="4" t="s">
        <v>336</v>
      </c>
      <c r="D67" s="1" t="s">
        <v>337</v>
      </c>
      <c r="E67" s="1" t="s">
        <v>338</v>
      </c>
      <c r="F67" s="4" t="s">
        <v>17</v>
      </c>
      <c r="G67" s="1" t="s">
        <v>18</v>
      </c>
      <c r="H67" s="1" t="s">
        <v>19</v>
      </c>
      <c r="I67" s="1" t="s">
        <v>20</v>
      </c>
      <c r="J67" s="1" t="s">
        <v>339</v>
      </c>
      <c r="K67" s="1" t="s">
        <v>22</v>
      </c>
      <c r="L67" s="1" t="str">
        <f>HYPERLINK("https://files.afu.se/Downloads/Transcripts/0%20-%20Government/USA%20-%20NASA/2022 12 14 - NASA - Where Did Our Moon Come From  We Asked a NASA Scientist_orpycPJKe4Q - transcript (automated).pdf","Transcript Link")</f>
        <v>Transcript Link</v>
      </c>
      <c r="M67" s="2" t="str">
        <f>HYPERLINK("https://files.afu.se/Downloads/Transcripts/0%20-%20Government/USA%20-%20NASA/2022 12 14 - NASA - Where Did Our Moon Come From  We Asked a NASA Scientist_orpycPJKe4Q - transcript (automated).pdf","Transcript Link")</f>
        <v>Transcript Link</v>
      </c>
    </row>
    <row r="68" ht="409.5" spans="1:13">
      <c r="A68" s="1" t="s">
        <v>335</v>
      </c>
      <c r="B68" s="1" t="s">
        <v>13</v>
      </c>
      <c r="C68" s="4" t="s">
        <v>340</v>
      </c>
      <c r="D68" s="1" t="s">
        <v>341</v>
      </c>
      <c r="E68" s="1" t="s">
        <v>342</v>
      </c>
      <c r="F68" s="4" t="s">
        <v>17</v>
      </c>
      <c r="G68" s="1" t="s">
        <v>18</v>
      </c>
      <c r="H68" s="1" t="s">
        <v>19</v>
      </c>
      <c r="I68" s="1" t="s">
        <v>20</v>
      </c>
      <c r="J68" s="1" t="s">
        <v>343</v>
      </c>
      <c r="K68" s="1" t="s">
        <v>22</v>
      </c>
      <c r="L68" s="1" t="str">
        <f>HYPERLINK("https://files.afu.se/Downloads/Transcripts/0%20-%20Government/USA%20-%20NASA/2022 12 14 - NASA - NASA 2022  A Year of Success_FSJC7XvyMXY - transcript (automated).pdf","Transcript Link")</f>
        <v>Transcript Link</v>
      </c>
      <c r="M68" s="2" t="str">
        <f>HYPERLINK("https://files.afu.se/Downloads/Transcripts/0%20-%20Government/USA%20-%20NASA/2022 12 14 - NASA - NASA 2022  A Year of Success_FSJC7XvyMXY - transcript (automated).pdf","Transcript Link")</f>
        <v>Transcript Link</v>
      </c>
    </row>
    <row r="69" ht="195" spans="1:13">
      <c r="A69" s="1" t="s">
        <v>344</v>
      </c>
      <c r="B69" s="1" t="s">
        <v>13</v>
      </c>
      <c r="C69" s="4" t="s">
        <v>345</v>
      </c>
      <c r="D69" s="1" t="s">
        <v>346</v>
      </c>
      <c r="E69" s="1" t="s">
        <v>347</v>
      </c>
      <c r="F69" s="4" t="s">
        <v>17</v>
      </c>
      <c r="G69" s="1" t="s">
        <v>18</v>
      </c>
      <c r="H69" s="1" t="s">
        <v>19</v>
      </c>
      <c r="I69" s="1" t="s">
        <v>20</v>
      </c>
      <c r="J69" s="1" t="s">
        <v>348</v>
      </c>
      <c r="K69" s="1" t="s">
        <v>22</v>
      </c>
      <c r="L69" s="1" t="str">
        <f>HYPERLINK("https://files.afu.se/Downloads/Transcripts/0%20-%20Government/USA%20-%20NASA/2022 12 07 - NASA - Are Wildfires Getting Worse  – We Asked a NASA Scientist_1m37B2MJKu8 - transcript (automated).pdf","Transcript Link")</f>
        <v>Transcript Link</v>
      </c>
      <c r="M69" s="2" t="str">
        <f>HYPERLINK("https://files.afu.se/Downloads/Transcripts/0%20-%20Government/USA%20-%20NASA/2022 12 07 - NASA - Are Wildfires Getting Worse  – We Asked a NASA Scientist_1m37B2MJKu8 - transcript (automated).pdf","Transcript Link")</f>
        <v>Transcript Link</v>
      </c>
    </row>
    <row r="70" ht="375" spans="1:13">
      <c r="A70" s="1" t="s">
        <v>349</v>
      </c>
      <c r="B70" s="1" t="s">
        <v>13</v>
      </c>
      <c r="C70" s="4" t="s">
        <v>350</v>
      </c>
      <c r="D70" s="1" t="s">
        <v>351</v>
      </c>
      <c r="E70" s="1" t="s">
        <v>352</v>
      </c>
      <c r="F70" s="4" t="s">
        <v>17</v>
      </c>
      <c r="G70" s="1" t="s">
        <v>18</v>
      </c>
      <c r="H70" s="1" t="s">
        <v>19</v>
      </c>
      <c r="I70" s="1" t="s">
        <v>20</v>
      </c>
      <c r="J70" s="1" t="s">
        <v>353</v>
      </c>
      <c r="K70" s="1" t="s">
        <v>22</v>
      </c>
      <c r="L70" s="1" t="str">
        <f>HYPERLINK("https://files.afu.se/Downloads/Transcripts/0%20-%20Government/USA%20-%20NASA/2022 12 02 - NASA - NASA’s Women of Artemis_N0acoq5Uzfs - transcript (automated).pdf","Transcript Link")</f>
        <v>Transcript Link</v>
      </c>
      <c r="M70" s="2" t="str">
        <f>HYPERLINK("https://files.afu.se/Downloads/Transcripts/0%20-%20Government/USA%20-%20NASA/2022 12 02 - NASA - NASA’s Women of Artemis_N0acoq5Uzfs - transcript (automated).pdf","Transcript Link")</f>
        <v>Transcript Link</v>
      </c>
    </row>
    <row r="71" ht="165" spans="1:13">
      <c r="A71" s="1" t="s">
        <v>354</v>
      </c>
      <c r="B71" s="1" t="s">
        <v>13</v>
      </c>
      <c r="C71" s="4" t="s">
        <v>355</v>
      </c>
      <c r="D71" s="1" t="s">
        <v>356</v>
      </c>
      <c r="E71" s="1" t="s">
        <v>357</v>
      </c>
      <c r="F71" s="4" t="s">
        <v>17</v>
      </c>
      <c r="G71" s="1" t="s">
        <v>18</v>
      </c>
      <c r="H71" s="1" t="s">
        <v>19</v>
      </c>
      <c r="I71" s="1" t="s">
        <v>20</v>
      </c>
      <c r="J71" s="1" t="s">
        <v>358</v>
      </c>
      <c r="K71" s="1" t="s">
        <v>22</v>
      </c>
      <c r="L71" s="1" t="str">
        <f>HYPERLINK("https://files.afu.se/Downloads/Transcripts/0%20-%20Government/USA%20-%20NASA/2022 12 01 - NASA - Exploring the Moon with NASA's Commercial Lunar Payload Services_470HQVrJiJU - transcript (automated).pdf","Transcript Link")</f>
        <v>Transcript Link</v>
      </c>
      <c r="M71" s="2" t="str">
        <f>HYPERLINK("https://files.afu.se/Downloads/Transcripts/0%20-%20Government/USA%20-%20NASA/2022 12 01 - NASA - Exploring the Moon with NASA's Commercial Lunar Payload Services_470HQVrJiJU - transcript (automated).pdf","Transcript Link")</f>
        <v>Transcript Link</v>
      </c>
    </row>
    <row r="72" ht="409.5" spans="1:13">
      <c r="A72" s="1" t="s">
        <v>359</v>
      </c>
      <c r="B72" s="1" t="s">
        <v>13</v>
      </c>
      <c r="C72" s="4" t="s">
        <v>360</v>
      </c>
      <c r="D72" s="1" t="s">
        <v>361</v>
      </c>
      <c r="E72" s="1" t="s">
        <v>362</v>
      </c>
      <c r="F72" s="4" t="s">
        <v>17</v>
      </c>
      <c r="G72" s="1" t="s">
        <v>18</v>
      </c>
      <c r="H72" s="1" t="s">
        <v>19</v>
      </c>
      <c r="I72" s="1" t="s">
        <v>20</v>
      </c>
      <c r="J72" s="1" t="s">
        <v>363</v>
      </c>
      <c r="K72" s="1" t="s">
        <v>22</v>
      </c>
      <c r="L72" s="1" t="str">
        <f>HYPERLINK("https://files.afu.se/Downloads/Transcripts/0%20-%20Government/USA%20-%20NASA/2022 11 30 - NASA - Ride Along with Artemis Around the Moon (Official NASA Video)_fNSmLNWyojA - transcript (automated).pdf","Transcript Link")</f>
        <v>Transcript Link</v>
      </c>
      <c r="M72" s="2" t="str">
        <f>HYPERLINK("https://files.afu.se/Downloads/Transcripts/0%20-%20Government/USA%20-%20NASA/2022 11 30 - NASA - Ride Along with Artemis Around the Moon (Official NASA Video)_fNSmLNWyojA - transcript (automated).pdf","Transcript Link")</f>
        <v>Transcript Link</v>
      </c>
    </row>
    <row r="73" ht="240" spans="1:13">
      <c r="A73" s="1" t="s">
        <v>359</v>
      </c>
      <c r="B73" s="1" t="s">
        <v>13</v>
      </c>
      <c r="C73" s="4" t="s">
        <v>364</v>
      </c>
      <c r="D73" s="1" t="s">
        <v>365</v>
      </c>
      <c r="E73" s="1" t="s">
        <v>366</v>
      </c>
      <c r="F73" s="4" t="s">
        <v>17</v>
      </c>
      <c r="G73" s="1" t="s">
        <v>18</v>
      </c>
      <c r="H73" s="1" t="s">
        <v>19</v>
      </c>
      <c r="I73" s="1" t="s">
        <v>20</v>
      </c>
      <c r="J73" s="1" t="s">
        <v>367</v>
      </c>
      <c r="K73" s="1" t="s">
        <v>22</v>
      </c>
      <c r="L73" s="1" t="str">
        <f>HYPERLINK("https://files.afu.se/Downloads/Transcripts/0%20-%20Government/USA%20-%20NASA/2022 11 30 - NASA - Is There Water on the Moon  We Asked a NASA Scientist_hr4J6GhoATs - transcript (automated).pdf","Transcript Link")</f>
        <v>Transcript Link</v>
      </c>
      <c r="M73" s="2" t="str">
        <f>HYPERLINK("https://files.afu.se/Downloads/Transcripts/0%20-%20Government/USA%20-%20NASA/2022 11 30 - NASA - Is There Water on the Moon  We Asked a NASA Scientist_hr4J6GhoATs - transcript (automated).pdf","Transcript Link")</f>
        <v>Transcript Link</v>
      </c>
    </row>
    <row r="74" ht="165" spans="1:13">
      <c r="A74" s="1" t="s">
        <v>368</v>
      </c>
      <c r="B74" s="1" t="s">
        <v>13</v>
      </c>
      <c r="C74" s="4" t="s">
        <v>369</v>
      </c>
      <c r="D74" s="1" t="s">
        <v>370</v>
      </c>
      <c r="E74" s="1" t="s">
        <v>371</v>
      </c>
      <c r="F74" s="4" t="s">
        <v>17</v>
      </c>
      <c r="G74" s="1" t="s">
        <v>18</v>
      </c>
      <c r="H74" s="1" t="s">
        <v>19</v>
      </c>
      <c r="I74" s="1" t="s">
        <v>20</v>
      </c>
      <c r="J74" s="1" t="s">
        <v>372</v>
      </c>
      <c r="K74" s="1" t="s">
        <v>22</v>
      </c>
      <c r="L74" s="1" t="str">
        <f>HYPERLINK("https://files.afu.se/Downloads/Transcripts/0%20-%20Government/USA%20-%20NASA/2022 11 29 - NASA - Rocket Camera Footage from the World's Most Powerful Rocket_uDF4wCTZUHE - transcript (automated).pdf","Transcript Link")</f>
        <v>Transcript Link</v>
      </c>
      <c r="M74" s="2" t="str">
        <f>HYPERLINK("https://files.afu.se/Downloads/Transcripts/0%20-%20Government/USA%20-%20NASA/2022 11 29 - NASA - Rocket Camera Footage from the World's Most Powerful Rocket_uDF4wCTZUHE - transcript (automated).pdf","Transcript Link")</f>
        <v>Transcript Link</v>
      </c>
    </row>
    <row r="75" ht="345" spans="1:13">
      <c r="A75" s="1" t="s">
        <v>368</v>
      </c>
      <c r="B75" s="1" t="s">
        <v>13</v>
      </c>
      <c r="C75" s="4" t="s">
        <v>373</v>
      </c>
      <c r="D75" s="1" t="s">
        <v>374</v>
      </c>
      <c r="E75" s="1" t="s">
        <v>375</v>
      </c>
      <c r="F75" s="4" t="s">
        <v>17</v>
      </c>
      <c r="G75" s="1" t="s">
        <v>18</v>
      </c>
      <c r="H75" s="1" t="s">
        <v>19</v>
      </c>
      <c r="I75" s="1" t="s">
        <v>20</v>
      </c>
      <c r="J75" s="1" t="s">
        <v>376</v>
      </c>
      <c r="K75" s="1" t="s">
        <v>22</v>
      </c>
      <c r="L75" s="1" t="str">
        <f>HYPERLINK("https://files.afu.se/Downloads/Transcripts/0%20-%20Government/USA%20-%20NASA/2022 11 29 - NASA - Highlights From the First 13 Days of NASA's Artemis I Moon Mission_e8JQXMjPOpQ - transcript (automated).pdf","Transcript Link")</f>
        <v>Transcript Link</v>
      </c>
      <c r="M75" s="2" t="str">
        <f>HYPERLINK("https://files.afu.se/Downloads/Transcripts/0%20-%20Government/USA%20-%20NASA/2022 11 29 - NASA - Highlights From the First 13 Days of NASA's Artemis I Moon Mission_e8JQXMjPOpQ - transcript (automated).pdf","Transcript Link")</f>
        <v>Transcript Link</v>
      </c>
    </row>
    <row r="76" ht="285" spans="1:13">
      <c r="A76" s="1" t="s">
        <v>377</v>
      </c>
      <c r="B76" s="1" t="s">
        <v>13</v>
      </c>
      <c r="C76" s="4" t="s">
        <v>378</v>
      </c>
      <c r="D76" s="1" t="s">
        <v>379</v>
      </c>
      <c r="E76" s="1" t="s">
        <v>380</v>
      </c>
      <c r="F76" s="4" t="s">
        <v>17</v>
      </c>
      <c r="G76" s="1" t="s">
        <v>18</v>
      </c>
      <c r="H76" s="1" t="s">
        <v>19</v>
      </c>
      <c r="I76" s="1" t="s">
        <v>20</v>
      </c>
      <c r="J76" s="1" t="s">
        <v>381</v>
      </c>
      <c r="K76" s="1" t="s">
        <v>22</v>
      </c>
      <c r="L76" s="1" t="str">
        <f>HYPERLINK("https://files.afu.se/Downloads/Transcripts/0%20-%20Government/USA%20-%20NASA/2022 11 28 - NASA - NASA’s Artemis I 'Passengers'_PIjZHWUMbo8 - transcript (automated).pdf","Transcript Link")</f>
        <v>Transcript Link</v>
      </c>
      <c r="M76" s="2" t="str">
        <f>HYPERLINK("https://files.afu.se/Downloads/Transcripts/0%20-%20Government/USA%20-%20NASA/2022 11 28 - NASA - NASA’s Artemis I 'Passengers'_PIjZHWUMbo8 - transcript (automated).pdf","Transcript Link")</f>
        <v>Transcript Link</v>
      </c>
    </row>
    <row r="77" ht="240" spans="1:13">
      <c r="A77" s="1" t="s">
        <v>382</v>
      </c>
      <c r="B77" s="1" t="s">
        <v>13</v>
      </c>
      <c r="C77" s="4" t="s">
        <v>383</v>
      </c>
      <c r="D77" s="1" t="s">
        <v>384</v>
      </c>
      <c r="E77" s="1" t="s">
        <v>385</v>
      </c>
      <c r="F77" s="4" t="s">
        <v>17</v>
      </c>
      <c r="G77" s="1" t="s">
        <v>18</v>
      </c>
      <c r="H77" s="1" t="s">
        <v>19</v>
      </c>
      <c r="I77" s="1" t="s">
        <v>20</v>
      </c>
      <c r="J77" s="1" t="s">
        <v>386</v>
      </c>
      <c r="K77" s="1" t="s">
        <v>22</v>
      </c>
      <c r="L77" s="1" t="str">
        <f>HYPERLINK("https://files.afu.se/Downloads/Transcripts/0%20-%20Government/USA%20-%20NASA/2022 11 26 - NASA - Apollo to Artemis  NASA Returns to the Moon_nJhJyZo6h38 - transcript (automated).pdf","Transcript Link")</f>
        <v>Transcript Link</v>
      </c>
      <c r="M77" s="2" t="str">
        <f>HYPERLINK("https://files.afu.se/Downloads/Transcripts/0%20-%20Government/USA%20-%20NASA/2022 11 26 - NASA - Apollo to Artemis  NASA Returns to the Moon_nJhJyZo6h38 - transcript (automated).pdf","Transcript Link")</f>
        <v>Transcript Link</v>
      </c>
    </row>
    <row r="78" ht="165" spans="1:13">
      <c r="A78" s="1" t="s">
        <v>387</v>
      </c>
      <c r="B78" s="1" t="s">
        <v>13</v>
      </c>
      <c r="C78" s="4" t="s">
        <v>388</v>
      </c>
      <c r="D78" s="1" t="s">
        <v>389</v>
      </c>
      <c r="E78" s="1" t="s">
        <v>390</v>
      </c>
      <c r="F78" s="4" t="s">
        <v>17</v>
      </c>
      <c r="G78" s="1" t="s">
        <v>18</v>
      </c>
      <c r="H78" s="1" t="s">
        <v>19</v>
      </c>
      <c r="I78" s="1" t="s">
        <v>20</v>
      </c>
      <c r="J78" s="1" t="s">
        <v>391</v>
      </c>
      <c r="K78" s="1" t="s">
        <v>22</v>
      </c>
      <c r="L78" s="1" t="str">
        <f>HYPERLINK("https://files.afu.se/Downloads/Transcripts/0%20-%20Government/USA%20-%20NASA/2022 11 23 - NASA - Are There Rivers and Lakes on Other Worlds  We Asked a NASA Scientist_Kl1oxcXU2JQ - transcript (automated).pdf","Transcript Link")</f>
        <v>Transcript Link</v>
      </c>
      <c r="M78" s="2" t="str">
        <f>HYPERLINK("https://files.afu.se/Downloads/Transcripts/0%20-%20Government/USA%20-%20NASA/2022 11 23 - NASA - Are There Rivers and Lakes on Other Worlds  We Asked a NASA Scientist_Kl1oxcXU2JQ - transcript (automated).pdf","Transcript Link")</f>
        <v>Transcript Link</v>
      </c>
    </row>
    <row r="79" ht="195" spans="1:13">
      <c r="A79" s="1" t="s">
        <v>392</v>
      </c>
      <c r="B79" s="1" t="s">
        <v>13</v>
      </c>
      <c r="C79" s="4" t="s">
        <v>393</v>
      </c>
      <c r="D79" s="1" t="s">
        <v>394</v>
      </c>
      <c r="E79" s="1" t="s">
        <v>395</v>
      </c>
      <c r="F79" s="4" t="s">
        <v>17</v>
      </c>
      <c r="G79" s="1" t="s">
        <v>18</v>
      </c>
      <c r="H79" s="1" t="s">
        <v>19</v>
      </c>
      <c r="I79" s="1" t="s">
        <v>20</v>
      </c>
      <c r="J79" s="1" t="s">
        <v>396</v>
      </c>
      <c r="K79" s="1" t="s">
        <v>22</v>
      </c>
      <c r="L79" s="1" t="str">
        <f>HYPERLINK("https://files.afu.se/Downloads/Transcripts/0%20-%20Government/USA%20-%20NASA/2022 11 22 - NASA - Earthrise after Orion Executes Outbound Powered Flyby_RE_IRuyXQCQ - transcript (automated).pdf","Transcript Link")</f>
        <v>Transcript Link</v>
      </c>
      <c r="M79" s="2" t="str">
        <f>HYPERLINK("https://files.afu.se/Downloads/Transcripts/0%20-%20Government/USA%20-%20NASA/2022 11 22 - NASA - Earthrise after Orion Executes Outbound Powered Flyby_RE_IRuyXQCQ - transcript (automated).pdf","Transcript Link")</f>
        <v>Transcript Link</v>
      </c>
    </row>
    <row r="80" ht="195" spans="1:13">
      <c r="A80" s="1" t="s">
        <v>392</v>
      </c>
      <c r="B80" s="1" t="s">
        <v>13</v>
      </c>
      <c r="C80" s="4" t="s">
        <v>397</v>
      </c>
      <c r="D80" s="1" t="s">
        <v>398</v>
      </c>
      <c r="E80" s="1" t="s">
        <v>399</v>
      </c>
      <c r="F80" s="4" t="s">
        <v>17</v>
      </c>
      <c r="G80" s="1" t="s">
        <v>18</v>
      </c>
      <c r="H80" s="1" t="s">
        <v>19</v>
      </c>
      <c r="I80" s="1" t="s">
        <v>20</v>
      </c>
      <c r="J80" s="1" t="s">
        <v>400</v>
      </c>
      <c r="K80" s="1" t="s">
        <v>22</v>
      </c>
      <c r="L80" s="1" t="str">
        <f>HYPERLINK("https://files.afu.se/Downloads/Transcripts/0%20-%20Government/USA%20-%20NASA/2022 11 22 - NASA - Earthset as Orion Prepares for Outbound Powered Flyby_vfRTlFCLzH4 - transcript (automated).pdf","Transcript Link")</f>
        <v>Transcript Link</v>
      </c>
      <c r="M80" s="2" t="str">
        <f>HYPERLINK("https://files.afu.se/Downloads/Transcripts/0%20-%20Government/USA%20-%20NASA/2022 11 22 - NASA - Earthset as Orion Prepares for Outbound Powered Flyby_vfRTlFCLzH4 - transcript (automated).pdf","Transcript Link")</f>
        <v>Transcript Link</v>
      </c>
    </row>
    <row r="81" ht="165" spans="1:13">
      <c r="A81" s="1" t="s">
        <v>401</v>
      </c>
      <c r="B81" s="1" t="s">
        <v>13</v>
      </c>
      <c r="C81" s="4" t="s">
        <v>402</v>
      </c>
      <c r="D81" s="1" t="s">
        <v>403</v>
      </c>
      <c r="E81" s="1" t="s">
        <v>404</v>
      </c>
      <c r="F81" s="4" t="s">
        <v>17</v>
      </c>
      <c r="G81" s="1" t="s">
        <v>18</v>
      </c>
      <c r="H81" s="1" t="s">
        <v>19</v>
      </c>
      <c r="I81" s="1" t="s">
        <v>20</v>
      </c>
      <c r="J81" s="1" t="s">
        <v>405</v>
      </c>
      <c r="K81" s="1" t="s">
        <v>22</v>
      </c>
      <c r="L81" s="1" t="str">
        <f>HYPERLINK("https://files.afu.se/Downloads/Transcripts/0%20-%20Government/USA%20-%20NASA/2022 11 21 - NASA - Happy Thanksgiving from the International Space Station_BVR76K1riIY - transcript (automated).pdf","Transcript Link")</f>
        <v>Transcript Link</v>
      </c>
      <c r="M81" s="2" t="str">
        <f>HYPERLINK("https://files.afu.se/Downloads/Transcripts/0%20-%20Government/USA%20-%20NASA/2022 11 21 - NASA - Happy Thanksgiving from the International Space Station_BVR76K1riIY - transcript (automated).pdf","Transcript Link")</f>
        <v>Transcript Link</v>
      </c>
    </row>
    <row r="82" ht="240" spans="1:13">
      <c r="A82" s="1" t="s">
        <v>401</v>
      </c>
      <c r="B82" s="1" t="s">
        <v>13</v>
      </c>
      <c r="C82" s="4" t="s">
        <v>406</v>
      </c>
      <c r="D82" s="1" t="s">
        <v>407</v>
      </c>
      <c r="E82" s="1" t="s">
        <v>408</v>
      </c>
      <c r="F82" s="4" t="s">
        <v>17</v>
      </c>
      <c r="G82" s="1" t="s">
        <v>18</v>
      </c>
      <c r="H82" s="1" t="s">
        <v>19</v>
      </c>
      <c r="I82" s="1" t="s">
        <v>20</v>
      </c>
      <c r="J82" s="1" t="s">
        <v>409</v>
      </c>
      <c r="K82" s="1" t="s">
        <v>22</v>
      </c>
      <c r="L82" s="1" t="str">
        <f>HYPERLINK("https://files.afu.se/Downloads/Transcripts/0%20-%20Government/USA%20-%20NASA/2022 11 21 - NASA - NASA's Artemis I Launch Rocket Camera Footage_BFqEfkzSrXo - transcript (automated).pdf","Transcript Link")</f>
        <v>Transcript Link</v>
      </c>
      <c r="M82" s="2" t="str">
        <f>HYPERLINK("https://files.afu.se/Downloads/Transcripts/0%20-%20Government/USA%20-%20NASA/2022 11 21 - NASA - NASA's Artemis I Launch Rocket Camera Footage_BFqEfkzSrXo - transcript (automated).pdf","Transcript Link")</f>
        <v>Transcript Link</v>
      </c>
    </row>
    <row r="83" ht="210" spans="1:13">
      <c r="A83" s="1" t="s">
        <v>410</v>
      </c>
      <c r="B83" s="1" t="s">
        <v>13</v>
      </c>
      <c r="C83" s="4" t="s">
        <v>411</v>
      </c>
      <c r="D83" s="1" t="s">
        <v>412</v>
      </c>
      <c r="E83" s="1" t="s">
        <v>413</v>
      </c>
      <c r="F83" s="4" t="s">
        <v>17</v>
      </c>
      <c r="G83" s="1" t="s">
        <v>18</v>
      </c>
      <c r="H83" s="1" t="s">
        <v>19</v>
      </c>
      <c r="I83" s="1" t="s">
        <v>20</v>
      </c>
      <c r="J83" s="1" t="s">
        <v>414</v>
      </c>
      <c r="K83" s="1" t="s">
        <v>22</v>
      </c>
      <c r="L83" s="1" t="str">
        <f>HYPERLINK("https://files.afu.se/Downloads/Transcripts/0%20-%20Government/USA%20-%20NASA/2022 11 18 - NASA - The Historic Launch of Our Artemis I Flight Test on This Week @NASA – November 18, 2022_Tbar2FaImJ4 - transcript (automated).pdf","Transcript Link")</f>
        <v>Transcript Link</v>
      </c>
      <c r="M83" s="2" t="str">
        <f>HYPERLINK("https://files.afu.se/Downloads/Transcripts/0%20-%20Government/USA%20-%20NASA/2022 11 18 - NASA - The Historic Launch of Our Artemis I Flight Test on This Week @NASA – November 18, 2022_Tbar2FaImJ4 - transcript (automated).pdf","Transcript Link")</f>
        <v>Transcript Link</v>
      </c>
    </row>
    <row r="84" ht="165" spans="1:13">
      <c r="A84" s="1" t="s">
        <v>415</v>
      </c>
      <c r="B84" s="1" t="s">
        <v>13</v>
      </c>
      <c r="C84" s="4" t="s">
        <v>416</v>
      </c>
      <c r="D84" s="1" t="s">
        <v>417</v>
      </c>
      <c r="E84" s="1" t="s">
        <v>418</v>
      </c>
      <c r="F84" s="4" t="s">
        <v>17</v>
      </c>
      <c r="G84" s="1" t="s">
        <v>18</v>
      </c>
      <c r="H84" s="1" t="s">
        <v>19</v>
      </c>
      <c r="I84" s="1" t="s">
        <v>20</v>
      </c>
      <c r="J84" s="1" t="s">
        <v>419</v>
      </c>
      <c r="K84" s="1" t="s">
        <v>22</v>
      </c>
      <c r="L84" s="1" t="str">
        <f>HYPERLINK("https://files.afu.se/Downloads/Transcripts/0%20-%20Government/USA%20-%20NASA/2022 11 17 - NASA - Where Do Moons Come From  We Asked a NASA Scientist_5w8gTwDxeH8 - transcript (automated).pdf","Transcript Link")</f>
        <v>Transcript Link</v>
      </c>
      <c r="M84" s="2" t="str">
        <f>HYPERLINK("https://files.afu.se/Downloads/Transcripts/0%20-%20Government/USA%20-%20NASA/2022 11 17 - NASA - Where Do Moons Come From  We Asked a NASA Scientist_5w8gTwDxeH8 - transcript (automated).pdf","Transcript Link")</f>
        <v>Transcript Link</v>
      </c>
    </row>
    <row r="85" ht="409.5" spans="1:13">
      <c r="A85" s="1" t="s">
        <v>420</v>
      </c>
      <c r="B85" s="1" t="s">
        <v>13</v>
      </c>
      <c r="C85" s="4" t="s">
        <v>421</v>
      </c>
      <c r="D85" s="1" t="s">
        <v>422</v>
      </c>
      <c r="E85" s="1" t="s">
        <v>423</v>
      </c>
      <c r="F85" s="4" t="s">
        <v>17</v>
      </c>
      <c r="G85" s="1" t="s">
        <v>18</v>
      </c>
      <c r="H85" s="1" t="s">
        <v>19</v>
      </c>
      <c r="I85" s="1" t="s">
        <v>20</v>
      </c>
      <c r="J85" s="1" t="s">
        <v>424</v>
      </c>
      <c r="K85" s="1" t="s">
        <v>22</v>
      </c>
      <c r="L85" s="1" t="str">
        <f>HYPERLINK("https://files.afu.se/Downloads/Transcripts/0%20-%20Government/USA%20-%20NASA/2022 11 16 - NASA - Artemis I Launches to the Moon (Official NASA Recap)_mYTvg2abusc - transcript (automated).pdf","Transcript Link")</f>
        <v>Transcript Link</v>
      </c>
      <c r="M85" s="2" t="str">
        <f>HYPERLINK("https://files.afu.se/Downloads/Transcripts/0%20-%20Government/USA%20-%20NASA/2022 11 16 - NASA - Artemis I Launches to the Moon (Official NASA Recap)_mYTvg2abusc - transcript (automated).pdf","Transcript Link")</f>
        <v>Transcript Link</v>
      </c>
    </row>
    <row r="86" ht="165" spans="1:13">
      <c r="A86" s="1" t="s">
        <v>425</v>
      </c>
      <c r="B86" s="1" t="s">
        <v>13</v>
      </c>
      <c r="C86" s="4" t="s">
        <v>426</v>
      </c>
      <c r="D86" s="1" t="s">
        <v>427</v>
      </c>
      <c r="E86" s="1" t="s">
        <v>428</v>
      </c>
      <c r="F86" s="4" t="s">
        <v>17</v>
      </c>
      <c r="G86" s="1" t="s">
        <v>18</v>
      </c>
      <c r="H86" s="1" t="s">
        <v>19</v>
      </c>
      <c r="I86" s="1" t="s">
        <v>20</v>
      </c>
      <c r="J86" s="1" t="s">
        <v>429</v>
      </c>
      <c r="K86" s="1" t="s">
        <v>22</v>
      </c>
      <c r="L86" s="1" t="str">
        <f>HYPERLINK("https://files.afu.se/Downloads/Transcripts/0%20-%20Government/USA%20-%20NASA/2022 11 14 - NASA - NASA’s Artemis I Launch Set to Make History_mog9IyT0CPU - transcript (automated).pdf","Transcript Link")</f>
        <v>Transcript Link</v>
      </c>
      <c r="M86" s="2" t="str">
        <f>HYPERLINK("https://files.afu.se/Downloads/Transcripts/0%20-%20Government/USA%20-%20NASA/2022 11 14 - NASA - NASA’s Artemis I Launch Set to Make History_mog9IyT0CPU - transcript (automated).pdf","Transcript Link")</f>
        <v>Transcript Link</v>
      </c>
    </row>
    <row r="87" ht="195" spans="1:13">
      <c r="A87" s="1" t="s">
        <v>430</v>
      </c>
      <c r="B87" s="1" t="s">
        <v>13</v>
      </c>
      <c r="C87" s="4" t="s">
        <v>431</v>
      </c>
      <c r="D87" s="1" t="s">
        <v>432</v>
      </c>
      <c r="E87" s="1" t="s">
        <v>433</v>
      </c>
      <c r="F87" s="4" t="s">
        <v>17</v>
      </c>
      <c r="G87" s="1" t="s">
        <v>18</v>
      </c>
      <c r="H87" s="1" t="s">
        <v>19</v>
      </c>
      <c r="I87" s="1" t="s">
        <v>20</v>
      </c>
      <c r="J87" s="1" t="s">
        <v>434</v>
      </c>
      <c r="K87" s="1" t="s">
        <v>22</v>
      </c>
      <c r="L87" s="1" t="str">
        <f>HYPERLINK("https://files.afu.se/Downloads/Transcripts/0%20-%20Government/USA%20-%20NASA/2022 11 11 - NASA - NASA Honors our Servicemembers this Veterans Day_zLhW6sxM7aI - transcript (automated).pdf","Transcript Link")</f>
        <v>Transcript Link</v>
      </c>
      <c r="M87" s="2" t="str">
        <f>HYPERLINK("https://files.afu.se/Downloads/Transcripts/0%20-%20Government/USA%20-%20NASA/2022 11 11 - NASA - NASA Honors our Servicemembers this Veterans Day_zLhW6sxM7aI - transcript (automated).pdf","Transcript Link")</f>
        <v>Transcript Link</v>
      </c>
    </row>
    <row r="88" ht="195" spans="1:13">
      <c r="A88" s="1" t="s">
        <v>430</v>
      </c>
      <c r="B88" s="1" t="s">
        <v>13</v>
      </c>
      <c r="C88" s="4" t="s">
        <v>435</v>
      </c>
      <c r="D88" s="1" t="s">
        <v>436</v>
      </c>
      <c r="E88" s="1" t="s">
        <v>437</v>
      </c>
      <c r="F88" s="4" t="s">
        <v>17</v>
      </c>
      <c r="G88" s="1" t="s">
        <v>18</v>
      </c>
      <c r="H88" s="1" t="s">
        <v>19</v>
      </c>
      <c r="I88" s="1" t="s">
        <v>20</v>
      </c>
      <c r="J88" s="1" t="s">
        <v>438</v>
      </c>
      <c r="K88" s="1" t="s">
        <v>22</v>
      </c>
      <c r="L88" s="1" t="str">
        <f>HYPERLINK("https://files.afu.se/Downloads/Transcripts/0%20-%20Government/USA%20-%20NASA/2022 11 11 - NASA - The Move to the Launch Pad for Artemis I on This Week @NASA – November 11, 2022_AQ1GBbti-SU - transcript (automated).pdf","Transcript Link")</f>
        <v>Transcript Link</v>
      </c>
      <c r="M88" s="2" t="str">
        <f>HYPERLINK("https://files.afu.se/Downloads/Transcripts/0%20-%20Government/USA%20-%20NASA/2022 11 11 - NASA - The Move to the Launch Pad for Artemis I on This Week @NASA – November 11, 2022_AQ1GBbti-SU - transcript (automated).pdf","Transcript Link")</f>
        <v>Transcript Link</v>
      </c>
    </row>
    <row r="89" ht="210" spans="1:13">
      <c r="A89" s="1" t="s">
        <v>439</v>
      </c>
      <c r="B89" s="1" t="s">
        <v>13</v>
      </c>
      <c r="C89" s="4" t="s">
        <v>440</v>
      </c>
      <c r="D89" s="1" t="s">
        <v>441</v>
      </c>
      <c r="E89" s="1" t="s">
        <v>442</v>
      </c>
      <c r="F89" s="4" t="s">
        <v>17</v>
      </c>
      <c r="G89" s="1" t="s">
        <v>18</v>
      </c>
      <c r="H89" s="1" t="s">
        <v>19</v>
      </c>
      <c r="I89" s="1" t="s">
        <v>20</v>
      </c>
      <c r="J89" s="1" t="s">
        <v>443</v>
      </c>
      <c r="K89" s="1" t="s">
        <v>22</v>
      </c>
      <c r="L89" s="1" t="str">
        <f>HYPERLINK("https://files.afu.se/Downloads/Transcripts/0%20-%20Government/USA%20-%20NASA/2022 11 09 - NASA - Does Anything Orbit the Moon  We Asked a NASA Technologist_0ayDBidFbDI - transcript (automated).pdf","Transcript Link")</f>
        <v>Transcript Link</v>
      </c>
      <c r="M89" s="2" t="str">
        <f>HYPERLINK("https://files.afu.se/Downloads/Transcripts/0%20-%20Government/USA%20-%20NASA/2022 11 09 - NASA - Does Anything Orbit the Moon  We Asked a NASA Technologist_0ayDBidFbDI - transcript (automated).pdf","Transcript Link")</f>
        <v>Transcript Link</v>
      </c>
    </row>
    <row r="90" ht="225" spans="1:13">
      <c r="A90" s="1" t="s">
        <v>444</v>
      </c>
      <c r="B90" s="1" t="s">
        <v>13</v>
      </c>
      <c r="C90" s="4" t="s">
        <v>445</v>
      </c>
      <c r="D90" s="1" t="s">
        <v>446</v>
      </c>
      <c r="E90" s="1" t="s">
        <v>447</v>
      </c>
      <c r="F90" s="4" t="s">
        <v>17</v>
      </c>
      <c r="G90" s="1" t="s">
        <v>18</v>
      </c>
      <c r="H90" s="1" t="s">
        <v>19</v>
      </c>
      <c r="I90" s="1" t="s">
        <v>20</v>
      </c>
      <c r="J90" s="1" t="s">
        <v>448</v>
      </c>
      <c r="K90" s="1" t="s">
        <v>22</v>
      </c>
      <c r="L90" s="1" t="str">
        <f>HYPERLINK("https://files.afu.se/Downloads/Transcripts/0%20-%20Government/USA%20-%20NASA/2022 11 04 - NASA - An Update on Our Artemis I Moon Mission on This Week @NASA – November 4, 2022_LdcvDoqVJXk - transcript (automated).pdf","Transcript Link")</f>
        <v>Transcript Link</v>
      </c>
      <c r="M90" s="2" t="str">
        <f>HYPERLINK("https://files.afu.se/Downloads/Transcripts/0%20-%20Government/USA%20-%20NASA/2022 11 04 - NASA - An Update on Our Artemis I Moon Mission on This Week @NASA – November 4, 2022_LdcvDoqVJXk - transcript (automated).pdf","Transcript Link")</f>
        <v>Transcript Link</v>
      </c>
    </row>
    <row r="91" ht="210" spans="1:13">
      <c r="A91" s="1" t="s">
        <v>449</v>
      </c>
      <c r="B91" s="1" t="s">
        <v>13</v>
      </c>
      <c r="C91" s="4" t="s">
        <v>450</v>
      </c>
      <c r="D91" s="1" t="s">
        <v>451</v>
      </c>
      <c r="E91" s="1" t="s">
        <v>452</v>
      </c>
      <c r="F91" s="4" t="s">
        <v>17</v>
      </c>
      <c r="G91" s="1" t="s">
        <v>18</v>
      </c>
      <c r="H91" s="1" t="s">
        <v>19</v>
      </c>
      <c r="I91" s="1" t="s">
        <v>20</v>
      </c>
      <c r="J91" s="1" t="s">
        <v>453</v>
      </c>
      <c r="K91" s="1" t="s">
        <v>22</v>
      </c>
      <c r="L91" s="1" t="str">
        <f>HYPERLINK("https://files.afu.se/Downloads/Transcripts/0%20-%20Government/USA%20-%20NASA/2022 11 02 - NASA - Science Launching on SpaceX's 26th Cargo Resupply Mission to the Space Station_OFPRY6su9KA - transcript (automated).pdf","Transcript Link")</f>
        <v>Transcript Link</v>
      </c>
      <c r="M91" s="2" t="str">
        <f>HYPERLINK("https://files.afu.se/Downloads/Transcripts/0%20-%20Government/USA%20-%20NASA/2022 11 02 - NASA - Science Launching on SpaceX's 26th Cargo Resupply Mission to the Space Station_OFPRY6su9KA - transcript (automated).pdf","Transcript Link")</f>
        <v>Transcript Link</v>
      </c>
    </row>
    <row r="92" ht="165" spans="1:13">
      <c r="A92" s="1" t="s">
        <v>449</v>
      </c>
      <c r="B92" s="1" t="s">
        <v>13</v>
      </c>
      <c r="C92" s="4" t="s">
        <v>454</v>
      </c>
      <c r="D92" s="1" t="s">
        <v>455</v>
      </c>
      <c r="E92" s="1" t="s">
        <v>456</v>
      </c>
      <c r="F92" s="4" t="s">
        <v>17</v>
      </c>
      <c r="G92" s="1" t="s">
        <v>18</v>
      </c>
      <c r="H92" s="1" t="s">
        <v>19</v>
      </c>
      <c r="I92" s="1" t="s">
        <v>20</v>
      </c>
      <c r="J92" s="1" t="s">
        <v>457</v>
      </c>
      <c r="K92" s="1" t="s">
        <v>22</v>
      </c>
      <c r="L92" s="1" t="str">
        <f>HYPERLINK("https://files.afu.se/Downloads/Transcripts/0%20-%20Government/USA%20-%20NASA/2022 11 02 - NASA - Why Does Climate Change Matter  We Asked a NASA Scientist_YfWCUYX2_U0 - transcript (automated).pdf","Transcript Link")</f>
        <v>Transcript Link</v>
      </c>
      <c r="M92" s="2" t="str">
        <f>HYPERLINK("https://files.afu.se/Downloads/Transcripts/0%20-%20Government/USA%20-%20NASA/2022 11 02 - NASA - Why Does Climate Change Matter  We Asked a NASA Scientist_YfWCUYX2_U0 - transcript (automated).pdf","Transcript Link")</f>
        <v>Transcript Link</v>
      </c>
    </row>
    <row r="93" ht="409.5" spans="1:13">
      <c r="A93" s="1" t="s">
        <v>458</v>
      </c>
      <c r="B93" s="1" t="s">
        <v>13</v>
      </c>
      <c r="C93" s="4" t="s">
        <v>459</v>
      </c>
      <c r="D93" s="1" t="s">
        <v>460</v>
      </c>
      <c r="E93" s="1" t="s">
        <v>461</v>
      </c>
      <c r="F93" s="4" t="s">
        <v>17</v>
      </c>
      <c r="G93" s="1" t="s">
        <v>18</v>
      </c>
      <c r="H93" s="1" t="s">
        <v>19</v>
      </c>
      <c r="I93" s="1" t="s">
        <v>20</v>
      </c>
      <c r="J93" s="1" t="s">
        <v>462</v>
      </c>
      <c r="K93" s="1" t="s">
        <v>22</v>
      </c>
      <c r="L93" s="1" t="str">
        <f>HYPERLINK("https://files.afu.se/Downloads/Transcripts/0%20-%20Government/USA%20-%20NASA/2022 10 31 - NASA - Happy Halloween 2022 From NASA!_OCY3NGsDUGg - transcript (automated).pdf","Transcript Link")</f>
        <v>Transcript Link</v>
      </c>
      <c r="M93" s="2" t="str">
        <f>HYPERLINK("https://files.afu.se/Downloads/Transcripts/0%20-%20Government/USA%20-%20NASA/2022 10 31 - NASA - Happy Halloween 2022 From NASA!_OCY3NGsDUGg - transcript (automated).pdf","Transcript Link")</f>
        <v>Transcript Link</v>
      </c>
    </row>
    <row r="94" ht="180" spans="1:13">
      <c r="A94" s="1" t="s">
        <v>463</v>
      </c>
      <c r="B94" s="1" t="s">
        <v>13</v>
      </c>
      <c r="C94" s="4" t="s">
        <v>464</v>
      </c>
      <c r="D94" s="1" t="s">
        <v>465</v>
      </c>
      <c r="E94" s="1" t="s">
        <v>466</v>
      </c>
      <c r="F94" s="4" t="s">
        <v>17</v>
      </c>
      <c r="G94" s="1" t="s">
        <v>18</v>
      </c>
      <c r="H94" s="1" t="s">
        <v>19</v>
      </c>
      <c r="I94" s="1" t="s">
        <v>20</v>
      </c>
      <c r="J94" s="1" t="s">
        <v>467</v>
      </c>
      <c r="K94" s="1" t="s">
        <v>22</v>
      </c>
      <c r="L94" s="1" t="str">
        <f>HYPERLINK("https://files.afu.se/Downloads/Transcripts/0%20-%20Government/USA%20-%20NASA/2022 10 28 - NASA - The Cause of a Christmas Eve Quake on Mars on This Week @ NASA – October 28, 2022_9ptQmdRTB8c - transcript (automated).pdf","Transcript Link")</f>
        <v>Transcript Link</v>
      </c>
      <c r="M94" s="2" t="str">
        <f>HYPERLINK("https://files.afu.se/Downloads/Transcripts/0%20-%20Government/USA%20-%20NASA/2022 10 28 - NASA - The Cause of a Christmas Eve Quake on Mars on This Week @ NASA – October 28, 2022_9ptQmdRTB8c - transcript (automated).pdf","Transcript Link")</f>
        <v>Transcript Link</v>
      </c>
    </row>
    <row r="95" ht="270" spans="1:13">
      <c r="A95" s="1" t="s">
        <v>468</v>
      </c>
      <c r="B95" s="1" t="s">
        <v>13</v>
      </c>
      <c r="C95" s="4" t="s">
        <v>469</v>
      </c>
      <c r="D95" s="1" t="s">
        <v>470</v>
      </c>
      <c r="E95" s="1" t="s">
        <v>471</v>
      </c>
      <c r="F95" s="4" t="s">
        <v>17</v>
      </c>
      <c r="G95" s="1" t="s">
        <v>18</v>
      </c>
      <c r="H95" s="1" t="s">
        <v>19</v>
      </c>
      <c r="I95" s="1" t="s">
        <v>20</v>
      </c>
      <c r="J95" s="1" t="s">
        <v>472</v>
      </c>
      <c r="K95" s="1" t="s">
        <v>22</v>
      </c>
      <c r="L95" s="1" t="str">
        <f>HYPERLINK("https://files.afu.se/Downloads/Transcripts/0%20-%20Government/USA%20-%20NASA/2022 10 26 - NASA - How Do Spacecraft Slow Down  We Asked a NASA Technologist_29dr_l3-9lU - transcript (automated).pdf","Transcript Link")</f>
        <v>Transcript Link</v>
      </c>
      <c r="M95" s="2" t="str">
        <f>HYPERLINK("https://files.afu.se/Downloads/Transcripts/0%20-%20Government/USA%20-%20NASA/2022 10 26 - NASA - How Do Spacecraft Slow Down  We Asked a NASA Technologist_29dr_l3-9lU - transcript (automated).pdf","Transcript Link")</f>
        <v>Transcript Link</v>
      </c>
    </row>
    <row r="96" ht="165" spans="1:13">
      <c r="A96" s="1" t="s">
        <v>473</v>
      </c>
      <c r="B96" s="1" t="s">
        <v>13</v>
      </c>
      <c r="C96" s="4" t="s">
        <v>474</v>
      </c>
      <c r="D96" s="1" t="s">
        <v>475</v>
      </c>
      <c r="E96" s="1" t="s">
        <v>476</v>
      </c>
      <c r="F96" s="4" t="s">
        <v>17</v>
      </c>
      <c r="G96" s="1" t="s">
        <v>18</v>
      </c>
      <c r="H96" s="1" t="s">
        <v>19</v>
      </c>
      <c r="I96" s="1" t="s">
        <v>20</v>
      </c>
      <c r="J96" s="1" t="s">
        <v>477</v>
      </c>
      <c r="K96" s="1" t="s">
        <v>22</v>
      </c>
      <c r="L96" s="1" t="str">
        <f>HYPERLINK("https://files.afu.se/Downloads/Transcripts/0%20-%20Government/USA%20-%20NASA/2022 10 21 - NASA - The Webb Space Telescope’s New Look at a “Star Factory” on This Week @NASA – October 21, 2022_eeuNZTpMdWA - transcript (automated).pdf","Transcript Link")</f>
        <v>Transcript Link</v>
      </c>
      <c r="M96" s="2" t="str">
        <f>HYPERLINK("https://files.afu.se/Downloads/Transcripts/0%20-%20Government/USA%20-%20NASA/2022 10 21 - NASA - The Webb Space Telescope’s New Look at a “Star Factory” on This Week @NASA – October 21, 2022_eeuNZTpMdWA - transcript (automated).pdf","Transcript Link")</f>
        <v>Transcript Link</v>
      </c>
    </row>
    <row r="97" ht="270" spans="1:13">
      <c r="A97" s="1" t="s">
        <v>478</v>
      </c>
      <c r="B97" s="1" t="s">
        <v>13</v>
      </c>
      <c r="C97" s="4" t="s">
        <v>479</v>
      </c>
      <c r="D97" s="1" t="s">
        <v>480</v>
      </c>
      <c r="E97" s="1" t="s">
        <v>481</v>
      </c>
      <c r="F97" s="4" t="s">
        <v>17</v>
      </c>
      <c r="G97" s="1" t="s">
        <v>18</v>
      </c>
      <c r="H97" s="1" t="s">
        <v>19</v>
      </c>
      <c r="I97" s="1" t="s">
        <v>20</v>
      </c>
      <c r="J97" s="1" t="s">
        <v>482</v>
      </c>
      <c r="K97" s="1" t="s">
        <v>22</v>
      </c>
      <c r="L97" s="1" t="str">
        <f>HYPERLINK("https://files.afu.se/Downloads/Transcripts/0%20-%20Government/USA%20-%20NASA/2022 10 20 - NASA - Audio from NASA’s Juno Mission  Europa Flyby_1XyTjY69umQ - transcript (automated).pdf","Transcript Link")</f>
        <v>Transcript Link</v>
      </c>
      <c r="M97" s="2" t="str">
        <f>HYPERLINK("https://files.afu.se/Downloads/Transcripts/0%20-%20Government/USA%20-%20NASA/2022 10 20 - NASA - Audio from NASA’s Juno Mission  Europa Flyby_1XyTjY69umQ - transcript (automated).pdf","Transcript Link")</f>
        <v>Transcript Link</v>
      </c>
    </row>
    <row r="98" ht="195" spans="1:13">
      <c r="A98" s="1" t="s">
        <v>483</v>
      </c>
      <c r="B98" s="1" t="s">
        <v>13</v>
      </c>
      <c r="C98" s="4" t="s">
        <v>484</v>
      </c>
      <c r="D98" s="1" t="s">
        <v>485</v>
      </c>
      <c r="E98" s="1" t="s">
        <v>486</v>
      </c>
      <c r="F98" s="4" t="s">
        <v>17</v>
      </c>
      <c r="G98" s="1" t="s">
        <v>18</v>
      </c>
      <c r="H98" s="1" t="s">
        <v>19</v>
      </c>
      <c r="I98" s="1" t="s">
        <v>20</v>
      </c>
      <c r="J98" s="1" t="s">
        <v>487</v>
      </c>
      <c r="K98" s="1" t="s">
        <v>22</v>
      </c>
      <c r="L98" s="1" t="str">
        <f>HYPERLINK("https://files.afu.se/Downloads/Transcripts/0%20-%20Government/USA%20-%20NASA/2022 10 19 - NASA - Are Hurricanes Getting Stronger  We Asked a NASA Scientist_6GX2KBgK0CQ - transcript (automated).pdf","Transcript Link")</f>
        <v>Transcript Link</v>
      </c>
      <c r="M98" s="2" t="str">
        <f>HYPERLINK("https://files.afu.se/Downloads/Transcripts/0%20-%20Government/USA%20-%20NASA/2022 10 19 - NASA - Are Hurricanes Getting Stronger  We Asked a NASA Scientist_6GX2KBgK0CQ - transcript (automated).pdf","Transcript Link")</f>
        <v>Transcript Link</v>
      </c>
    </row>
    <row r="99" ht="255" spans="1:13">
      <c r="A99" s="1" t="s">
        <v>488</v>
      </c>
      <c r="B99" s="1" t="s">
        <v>13</v>
      </c>
      <c r="C99" s="4" t="s">
        <v>489</v>
      </c>
      <c r="D99" s="1" t="s">
        <v>490</v>
      </c>
      <c r="E99" s="1" t="s">
        <v>491</v>
      </c>
      <c r="F99" s="4" t="s">
        <v>17</v>
      </c>
      <c r="G99" s="1" t="s">
        <v>18</v>
      </c>
      <c r="H99" s="1" t="s">
        <v>19</v>
      </c>
      <c r="I99" s="1" t="s">
        <v>20</v>
      </c>
      <c r="J99" s="1" t="s">
        <v>492</v>
      </c>
      <c r="K99" s="1" t="s">
        <v>22</v>
      </c>
      <c r="L99" s="1" t="str">
        <f>HYPERLINK("https://files.afu.se/Downloads/Transcripts/0%20-%20Government/USA%20-%20NASA/2022 10 17 - NASA - Science Launching on Northrop Grumman's CRS-18 Mission to the Space Station_WvcSc-SicW4 - transcript (automated).pdf","Transcript Link")</f>
        <v>Transcript Link</v>
      </c>
      <c r="M99" s="2" t="str">
        <f>HYPERLINK("https://files.afu.se/Downloads/Transcripts/0%20-%20Government/USA%20-%20NASA/2022 10 17 - NASA - Science Launching on Northrop Grumman's CRS-18 Mission to the Space Station_WvcSc-SicW4 - transcript (automated).pdf","Transcript Link")</f>
        <v>Transcript Link</v>
      </c>
    </row>
    <row r="100" ht="225" spans="1:13">
      <c r="A100" s="1" t="s">
        <v>493</v>
      </c>
      <c r="B100" s="1" t="s">
        <v>13</v>
      </c>
      <c r="C100" s="4" t="s">
        <v>494</v>
      </c>
      <c r="D100" s="1" t="s">
        <v>495</v>
      </c>
      <c r="E100" s="1" t="s">
        <v>496</v>
      </c>
      <c r="F100" s="4" t="s">
        <v>17</v>
      </c>
      <c r="G100" s="1" t="s">
        <v>18</v>
      </c>
      <c r="H100" s="1" t="s">
        <v>19</v>
      </c>
      <c r="I100" s="1" t="s">
        <v>20</v>
      </c>
      <c r="J100" s="1" t="s">
        <v>497</v>
      </c>
      <c r="K100" s="1" t="s">
        <v>22</v>
      </c>
      <c r="L100" s="1" t="str">
        <f>HYPERLINK("https://files.afu.se/Downloads/Transcripts/0%20-%20Government/USA%20-%20NASA/2022 10 14 - NASA - The Results of Our DART Planetary Defense Test on This Week @NASA – October 14, 2022_7LF59gmJNog - transcript (automated).pdf","Transcript Link")</f>
        <v>Transcript Link</v>
      </c>
      <c r="M100" s="2" t="str">
        <f>HYPERLINK("https://files.afu.se/Downloads/Transcripts/0%20-%20Government/USA%20-%20NASA/2022 10 14 - NASA - The Results of Our DART Planetary Defense Test on This Week @NASA – October 14, 2022_7LF59gmJNog - transcript (automated).pdf","Transcript Link")</f>
        <v>Transcript Link</v>
      </c>
    </row>
    <row r="101" ht="409.5" spans="1:13">
      <c r="A101" s="1" t="s">
        <v>498</v>
      </c>
      <c r="B101" s="1" t="s">
        <v>13</v>
      </c>
      <c r="C101" s="4" t="s">
        <v>499</v>
      </c>
      <c r="D101" s="1" t="s">
        <v>500</v>
      </c>
      <c r="E101" s="1" t="s">
        <v>501</v>
      </c>
      <c r="F101" s="4" t="s">
        <v>17</v>
      </c>
      <c r="G101" s="1" t="s">
        <v>18</v>
      </c>
      <c r="H101" s="1" t="s">
        <v>19</v>
      </c>
      <c r="I101" s="1" t="s">
        <v>20</v>
      </c>
      <c r="J101" s="1" t="s">
        <v>502</v>
      </c>
      <c r="K101" s="1" t="s">
        <v>22</v>
      </c>
      <c r="L101" s="1" t="str">
        <f>HYPERLINK("https://files.afu.se/Downloads/Transcripts/0%20-%20Government/USA%20-%20NASA/2022 10 12 - NASA - NASA Explorers Season 5, Episode 4  The South Pole_HbDsM6c0R5Y - transcript (automated).pdf","Transcript Link")</f>
        <v>Transcript Link</v>
      </c>
      <c r="M101" s="2" t="str">
        <f>HYPERLINK("https://files.afu.se/Downloads/Transcripts/0%20-%20Government/USA%20-%20NASA/2022 10 12 - NASA - NASA Explorers Season 5, Episode 4  The South Pole_HbDsM6c0R5Y - transcript (automated).pdf","Transcript Link")</f>
        <v>Transcript Link</v>
      </c>
    </row>
    <row r="102" ht="285" spans="1:13">
      <c r="A102" s="1" t="s">
        <v>503</v>
      </c>
      <c r="B102" s="1" t="s">
        <v>13</v>
      </c>
      <c r="C102" s="4" t="s">
        <v>504</v>
      </c>
      <c r="D102" s="1" t="s">
        <v>505</v>
      </c>
      <c r="E102" s="1" t="s">
        <v>506</v>
      </c>
      <c r="F102" s="4" t="s">
        <v>17</v>
      </c>
      <c r="G102" s="1" t="s">
        <v>18</v>
      </c>
      <c r="H102" s="1" t="s">
        <v>19</v>
      </c>
      <c r="I102" s="1" t="s">
        <v>20</v>
      </c>
      <c r="J102" s="1" t="s">
        <v>507</v>
      </c>
      <c r="K102" s="1" t="s">
        <v>22</v>
      </c>
      <c r="L102" s="1" t="str">
        <f>HYPERLINK("https://files.afu.se/Downloads/Transcripts/0%20-%20Government/USA%20-%20NASA/2022 10 11 - NASA - NASA's SpaceX Crew-4  A Scientific Journey_J61Y5AJ-Kog - transcript (automated).pdf","Transcript Link")</f>
        <v>Transcript Link</v>
      </c>
      <c r="M102" s="2" t="str">
        <f>HYPERLINK("https://files.afu.se/Downloads/Transcripts/0%20-%20Government/USA%20-%20NASA/2022 10 11 - NASA - NASA's SpaceX Crew-4  A Scientific Journey_J61Y5AJ-Kog - transcript (automated).pdf","Transcript Link")</f>
        <v>Transcript Link</v>
      </c>
    </row>
    <row r="103" ht="225" spans="1:13">
      <c r="A103" s="1" t="s">
        <v>508</v>
      </c>
      <c r="B103" s="1" t="s">
        <v>13</v>
      </c>
      <c r="C103" s="4" t="s">
        <v>509</v>
      </c>
      <c r="D103" s="1" t="s">
        <v>510</v>
      </c>
      <c r="E103" s="1" t="s">
        <v>511</v>
      </c>
      <c r="F103" s="4" t="s">
        <v>17</v>
      </c>
      <c r="G103" s="1" t="s">
        <v>18</v>
      </c>
      <c r="H103" s="1" t="s">
        <v>19</v>
      </c>
      <c r="I103" s="1" t="s">
        <v>20</v>
      </c>
      <c r="J103" s="1" t="s">
        <v>512</v>
      </c>
      <c r="K103" s="1" t="s">
        <v>22</v>
      </c>
      <c r="L103" s="1" t="str">
        <f>HYPERLINK("https://files.afu.se/Downloads/Transcripts/0%20-%20Government/USA%20-%20NASA/2022 10 07 - NASA - A New Crew Launches to the Space Station on This Week @NASA – October 7, 2022_c-D-tpvgTBg - transcript (automated).pdf","Transcript Link")</f>
        <v>Transcript Link</v>
      </c>
      <c r="M103" s="2" t="str">
        <f>HYPERLINK("https://files.afu.se/Downloads/Transcripts/0%20-%20Government/USA%20-%20NASA/2022 10 07 - NASA - A New Crew Launches to the Space Station on This Week @NASA – October 7, 2022_c-D-tpvgTBg - transcript (automated).pdf","Transcript Link")</f>
        <v>Transcript Link</v>
      </c>
    </row>
    <row r="104" ht="409.5" spans="1:13">
      <c r="A104" s="1" t="s">
        <v>513</v>
      </c>
      <c r="B104" s="1" t="s">
        <v>13</v>
      </c>
      <c r="C104" s="4" t="s">
        <v>514</v>
      </c>
      <c r="D104" s="1" t="s">
        <v>515</v>
      </c>
      <c r="E104" s="1" t="s">
        <v>516</v>
      </c>
      <c r="F104" s="4" t="s">
        <v>17</v>
      </c>
      <c r="G104" s="1" t="s">
        <v>18</v>
      </c>
      <c r="H104" s="1" t="s">
        <v>19</v>
      </c>
      <c r="I104" s="1" t="s">
        <v>20</v>
      </c>
      <c r="J104" s="1" t="s">
        <v>517</v>
      </c>
      <c r="K104" s="1" t="s">
        <v>22</v>
      </c>
      <c r="L104" s="1" t="str">
        <f>HYPERLINK("https://files.afu.se/Downloads/Transcripts/0%20-%20Government/USA%20-%20NASA/2022 10 05 - NASA - NASA Explorers Season 5, Episode 3  Space School_HbT9Xm-R3zc - transcript (automated).pdf","Transcript Link")</f>
        <v>Transcript Link</v>
      </c>
      <c r="M104" s="2" t="str">
        <f>HYPERLINK("https://files.afu.se/Downloads/Transcripts/0%20-%20Government/USA%20-%20NASA/2022 10 05 - NASA - NASA Explorers Season 5, Episode 3  Space School_HbT9Xm-R3zc - transcript (automated).pdf","Transcript Link")</f>
        <v>Transcript Link</v>
      </c>
    </row>
    <row r="105" ht="270" spans="1:13">
      <c r="A105" s="1" t="s">
        <v>518</v>
      </c>
      <c r="B105" s="1" t="s">
        <v>13</v>
      </c>
      <c r="C105" s="4" t="s">
        <v>519</v>
      </c>
      <c r="D105" s="1" t="s">
        <v>520</v>
      </c>
      <c r="E105" s="1" t="s">
        <v>521</v>
      </c>
      <c r="F105" s="4" t="s">
        <v>17</v>
      </c>
      <c r="G105" s="1" t="s">
        <v>18</v>
      </c>
      <c r="H105" s="1" t="s">
        <v>19</v>
      </c>
      <c r="I105" s="1" t="s">
        <v>20</v>
      </c>
      <c r="J105" s="1" t="s">
        <v>522</v>
      </c>
      <c r="K105" s="1" t="s">
        <v>22</v>
      </c>
      <c r="L105" s="1" t="str">
        <f>HYPERLINK("https://files.afu.se/Downloads/Transcripts/0%20-%20Government/USA%20-%20NASA/2022 10 04 - NASA - Snoopy is Going to Space on NASA's Artemis I Moon Mission_40uEMAv3R90 - transcript (automated).pdf","Transcript Link")</f>
        <v>Transcript Link</v>
      </c>
      <c r="M105" s="2" t="str">
        <f>HYPERLINK("https://files.afu.se/Downloads/Transcripts/0%20-%20Government/USA%20-%20NASA/2022 10 04 - NASA - Snoopy is Going to Space on NASA's Artemis I Moon Mission_40uEMAv3R90 - transcript (automated).pdf","Transcript Link")</f>
        <v>Transcript Link</v>
      </c>
    </row>
    <row r="106" ht="409.5" spans="1:13">
      <c r="A106" s="1" t="s">
        <v>523</v>
      </c>
      <c r="B106" s="1" t="s">
        <v>13</v>
      </c>
      <c r="C106" s="4" t="s">
        <v>524</v>
      </c>
      <c r="D106" s="1" t="s">
        <v>525</v>
      </c>
      <c r="E106" s="1" t="s">
        <v>526</v>
      </c>
      <c r="F106" s="4" t="s">
        <v>17</v>
      </c>
      <c r="G106" s="1" t="s">
        <v>18</v>
      </c>
      <c r="H106" s="1" t="s">
        <v>19</v>
      </c>
      <c r="I106" s="1" t="s">
        <v>20</v>
      </c>
      <c r="J106" s="1" t="s">
        <v>527</v>
      </c>
      <c r="K106" s="1" t="s">
        <v>22</v>
      </c>
      <c r="L106" s="1" t="str">
        <f>HYPERLINK("https://files.afu.se/Downloads/Transcripts/0%20-%20Government/USA%20-%20NASA/2022 10 03 - NASA - NASA's SpaceX Crew-5 Mission to the Space Station (Official Trailer)_AAzM1iugWoY - transcript (automated).pdf","Transcript Link")</f>
        <v>Transcript Link</v>
      </c>
      <c r="M106" s="2" t="str">
        <f>HYPERLINK("https://files.afu.se/Downloads/Transcripts/0%20-%20Government/USA%20-%20NASA/2022 10 03 - NASA - NASA's SpaceX Crew-5 Mission to the Space Station (Official Trailer)_AAzM1iugWoY - transcript (automated).pdf","Transcript Link")</f>
        <v>Transcript Link</v>
      </c>
    </row>
    <row r="107" ht="165" spans="1:13">
      <c r="A107" s="1" t="s">
        <v>528</v>
      </c>
      <c r="B107" s="1" t="s">
        <v>13</v>
      </c>
      <c r="C107" s="4" t="s">
        <v>529</v>
      </c>
      <c r="D107" s="1" t="s">
        <v>530</v>
      </c>
      <c r="E107" s="1" t="s">
        <v>531</v>
      </c>
      <c r="F107" s="4" t="s">
        <v>17</v>
      </c>
      <c r="G107" s="1" t="s">
        <v>18</v>
      </c>
      <c r="H107" s="1" t="s">
        <v>19</v>
      </c>
      <c r="I107" s="1" t="s">
        <v>20</v>
      </c>
      <c r="J107" s="1" t="s">
        <v>532</v>
      </c>
      <c r="K107" s="1" t="s">
        <v>22</v>
      </c>
      <c r="L107" s="1" t="str">
        <f>HYPERLINK("https://files.afu.se/Downloads/Transcripts/0%20-%20Government/USA%20-%20NASA/2022 09 30 - NASA - The World’s First-Ever Planetary Defense Test on This Week @NASA – September 30, 2022_PcA_LQGFoi8 - transcript (automated).pdf","Transcript Link")</f>
        <v>Transcript Link</v>
      </c>
      <c r="M107" s="2" t="str">
        <f>HYPERLINK("https://files.afu.se/Downloads/Transcripts/0%20-%20Government/USA%20-%20NASA/2022 09 30 - NASA - The World’s First-Ever Planetary Defense Test on This Week @NASA – September 30, 2022_PcA_LQGFoi8 - transcript (automated).pdf","Transcript Link")</f>
        <v>Transcript Link</v>
      </c>
    </row>
    <row r="108" ht="165" spans="1:13">
      <c r="A108" s="1" t="s">
        <v>528</v>
      </c>
      <c r="B108" s="1" t="s">
        <v>13</v>
      </c>
      <c r="C108" s="4" t="s">
        <v>533</v>
      </c>
      <c r="D108" s="1" t="s">
        <v>534</v>
      </c>
      <c r="E108" s="1" t="s">
        <v>535</v>
      </c>
      <c r="F108" s="4" t="s">
        <v>17</v>
      </c>
      <c r="G108" s="1" t="s">
        <v>18</v>
      </c>
      <c r="H108" s="1" t="s">
        <v>19</v>
      </c>
      <c r="I108" s="1" t="s">
        <v>20</v>
      </c>
      <c r="J108" s="1" t="s">
        <v>536</v>
      </c>
      <c r="K108" s="1" t="s">
        <v>22</v>
      </c>
      <c r="L108" s="1" t="str">
        <f>HYPERLINK("https://files.afu.se/Downloads/Transcripts/0%20-%20Government/USA%20-%20NASA/2022 09 30 - NASA - Explore our Home Planet and the Universe With NASA Podcasts_3Alao9m3E-U - transcript (automated).pdf","Transcript Link")</f>
        <v>Transcript Link</v>
      </c>
      <c r="M108" s="2" t="str">
        <f>HYPERLINK("https://files.afu.se/Downloads/Transcripts/0%20-%20Government/USA%20-%20NASA/2022 09 30 - NASA - Explore our Home Planet and the Universe With NASA Podcasts_3Alao9m3E-U - transcript (automated).pdf","Transcript Link")</f>
        <v>Transcript Link</v>
      </c>
    </row>
    <row r="109" ht="390" spans="1:13">
      <c r="A109" s="1" t="s">
        <v>537</v>
      </c>
      <c r="B109" s="1" t="s">
        <v>13</v>
      </c>
      <c r="C109" s="4" t="s">
        <v>538</v>
      </c>
      <c r="D109" s="1" t="s">
        <v>539</v>
      </c>
      <c r="E109" s="1" t="s">
        <v>540</v>
      </c>
      <c r="F109" s="4" t="s">
        <v>17</v>
      </c>
      <c r="G109" s="1" t="s">
        <v>18</v>
      </c>
      <c r="H109" s="1" t="s">
        <v>19</v>
      </c>
      <c r="I109" s="1" t="s">
        <v>20</v>
      </c>
      <c r="J109" s="1" t="s">
        <v>541</v>
      </c>
      <c r="K109" s="1" t="s">
        <v>22</v>
      </c>
      <c r="L109" s="1" t="str">
        <f>HYPERLINK("https://files.afu.se/Downloads/Transcripts/0%20-%20Government/USA%20-%20NASA/2022 09 28 - NASA - NASA Explorers Season 5, Episode 2  Moon Rocks_EurVNGquxbA - transcript (automated).pdf","Transcript Link")</f>
        <v>Transcript Link</v>
      </c>
      <c r="M109" s="2" t="str">
        <f>HYPERLINK("https://files.afu.se/Downloads/Transcripts/0%20-%20Government/USA%20-%20NASA/2022 09 28 - NASA - NASA Explorers Season 5, Episode 2  Moon Rocks_EurVNGquxbA - transcript (automated).pdf","Transcript Link")</f>
        <v>Transcript Link</v>
      </c>
    </row>
    <row r="110" ht="180" spans="1:13">
      <c r="A110" s="1" t="s">
        <v>542</v>
      </c>
      <c r="B110" s="1" t="s">
        <v>13</v>
      </c>
      <c r="C110" s="4" t="s">
        <v>543</v>
      </c>
      <c r="D110" s="1" t="s">
        <v>544</v>
      </c>
      <c r="E110" s="1" t="s">
        <v>545</v>
      </c>
      <c r="F110" s="4" t="s">
        <v>17</v>
      </c>
      <c r="G110" s="1" t="s">
        <v>18</v>
      </c>
      <c r="H110" s="1" t="s">
        <v>19</v>
      </c>
      <c r="I110" s="1" t="s">
        <v>20</v>
      </c>
      <c r="J110" s="1" t="s">
        <v>546</v>
      </c>
      <c r="K110" s="1" t="s">
        <v>22</v>
      </c>
      <c r="L110" s="1" t="str">
        <f>HYPERLINK("https://files.afu.se/Downloads/Transcripts/0%20-%20Government/USA%20-%20NASA/2022 09 26 - NASA - NASA's DART Mission to an Asteroid (Official Mission Trailer)_nHBuVbGkmBY - transcript (automated).pdf","Transcript Link")</f>
        <v>Transcript Link</v>
      </c>
      <c r="M110" s="2" t="str">
        <f>HYPERLINK("https://files.afu.se/Downloads/Transcripts/0%20-%20Government/USA%20-%20NASA/2022 09 26 - NASA - NASA's DART Mission to an Asteroid (Official Mission Trailer)_nHBuVbGkmBY - transcript (automated).pdf","Transcript Link")</f>
        <v>Transcript Link</v>
      </c>
    </row>
    <row r="111" ht="165" spans="1:13">
      <c r="A111" s="1" t="s">
        <v>547</v>
      </c>
      <c r="B111" s="1" t="s">
        <v>13</v>
      </c>
      <c r="C111" s="4" t="s">
        <v>548</v>
      </c>
      <c r="D111" s="1" t="s">
        <v>549</v>
      </c>
      <c r="E111" s="1" t="s">
        <v>550</v>
      </c>
      <c r="F111" s="4" t="s">
        <v>17</v>
      </c>
      <c r="G111" s="1" t="s">
        <v>18</v>
      </c>
      <c r="H111" s="1" t="s">
        <v>19</v>
      </c>
      <c r="I111" s="1" t="s">
        <v>20</v>
      </c>
      <c r="J111" s="1" t="s">
        <v>551</v>
      </c>
      <c r="K111" s="1" t="s">
        <v>22</v>
      </c>
      <c r="L111" s="1" t="str">
        <f>HYPERLINK("https://files.afu.se/Downloads/Transcripts/0%20-%20Government/USA%20-%20NASA/2022 09 23 - NASA - A Critical Preflight Test for Artemis I on This Week @NASA – September 23, 2022_2ygR1OeNV14 - transcript (automated).pdf","Transcript Link")</f>
        <v>Transcript Link</v>
      </c>
      <c r="M111" s="2" t="str">
        <f>HYPERLINK("https://files.afu.se/Downloads/Transcripts/0%20-%20Government/USA%20-%20NASA/2022 09 23 - NASA - A Critical Preflight Test for Artemis I on This Week @NASA – September 23, 2022_2ygR1OeNV14 - transcript (automated).pdf","Transcript Link")</f>
        <v>Transcript Link</v>
      </c>
    </row>
    <row r="112" ht="409.5" spans="1:13">
      <c r="A112" s="1" t="s">
        <v>552</v>
      </c>
      <c r="B112" s="1" t="s">
        <v>13</v>
      </c>
      <c r="C112" s="4" t="s">
        <v>553</v>
      </c>
      <c r="D112" s="1" t="s">
        <v>554</v>
      </c>
      <c r="E112" s="1" t="s">
        <v>555</v>
      </c>
      <c r="F112" s="4" t="s">
        <v>17</v>
      </c>
      <c r="G112" s="1" t="s">
        <v>18</v>
      </c>
      <c r="H112" s="1" t="s">
        <v>19</v>
      </c>
      <c r="I112" s="1" t="s">
        <v>20</v>
      </c>
      <c r="J112" s="1" t="s">
        <v>556</v>
      </c>
      <c r="K112" s="1" t="s">
        <v>22</v>
      </c>
      <c r="L112" s="1" t="str">
        <f>HYPERLINK("https://files.afu.se/Downloads/Transcripts/0%20-%20Government/USA%20-%20NASA/2022 09 21 - NASA - NASA Explorers  Season 5, Episode 1_2eFHWuNuDSA - transcript (automated).pdf","Transcript Link")</f>
        <v>Transcript Link</v>
      </c>
      <c r="M112" s="2" t="str">
        <f>HYPERLINK("https://files.afu.se/Downloads/Transcripts/0%20-%20Government/USA%20-%20NASA/2022 09 21 - NASA - NASA Explorers  Season 5, Episode 1_2eFHWuNuDSA - transcript (automated).pdf","Transcript Link")</f>
        <v>Transcript Link</v>
      </c>
    </row>
    <row r="113" ht="165" spans="1:13">
      <c r="A113" s="1" t="s">
        <v>557</v>
      </c>
      <c r="B113" s="1" t="s">
        <v>13</v>
      </c>
      <c r="C113" s="4" t="s">
        <v>558</v>
      </c>
      <c r="D113" s="1" t="s">
        <v>559</v>
      </c>
      <c r="E113" s="1" t="s">
        <v>560</v>
      </c>
      <c r="F113" s="4" t="s">
        <v>17</v>
      </c>
      <c r="G113" s="1" t="s">
        <v>18</v>
      </c>
      <c r="H113" s="1" t="s">
        <v>19</v>
      </c>
      <c r="I113" s="1" t="s">
        <v>20</v>
      </c>
      <c r="J113" s="1" t="s">
        <v>561</v>
      </c>
      <c r="K113" s="1" t="s">
        <v>22</v>
      </c>
      <c r="L113" s="1" t="str">
        <f>HYPERLINK("https://files.afu.se/Downloads/Transcripts/0%20-%20Government/USA%20-%20NASA/2022 09 16 - NASA - Commemorating an Historic Event for Human Spaceflight on This Week @NASA – September 16, 2022_RI3G1UjBPkk - transcript (automated).pdf","Transcript Link")</f>
        <v>Transcript Link</v>
      </c>
      <c r="M113" s="2" t="str">
        <f>HYPERLINK("https://files.afu.se/Downloads/Transcripts/0%20-%20Government/USA%20-%20NASA/2022 09 16 - NASA - Commemorating an Historic Event for Human Spaceflight on This Week @NASA – September 16, 2022_RI3G1UjBPkk - transcript (automated).pdf","Transcript Link")</f>
        <v>Transcript Link</v>
      </c>
    </row>
    <row r="114" ht="225" spans="1:13">
      <c r="A114" s="1" t="s">
        <v>562</v>
      </c>
      <c r="B114" s="1" t="s">
        <v>13</v>
      </c>
      <c r="C114" s="4" t="s">
        <v>563</v>
      </c>
      <c r="D114" s="1" t="s">
        <v>564</v>
      </c>
      <c r="E114" s="1" t="s">
        <v>565</v>
      </c>
      <c r="F114" s="4" t="s">
        <v>17</v>
      </c>
      <c r="G114" s="1" t="s">
        <v>18</v>
      </c>
      <c r="H114" s="1" t="s">
        <v>19</v>
      </c>
      <c r="I114" s="1" t="s">
        <v>20</v>
      </c>
      <c r="J114" s="1" t="s">
        <v>566</v>
      </c>
      <c r="K114" s="1" t="s">
        <v>22</v>
      </c>
      <c r="L114" s="1" t="str">
        <f>HYPERLINK("https://files.afu.se/Downloads/Transcripts/0%20-%20Government/USA%20-%20NASA/2022 09 09 - NASA - Teams Review Options for the Next Artemis I Launch Attempt on This Week @NASA – September 9, 2022_DQICSmw_Yxs - transcript (automated).pdf","Transcript Link")</f>
        <v>Transcript Link</v>
      </c>
      <c r="M114" s="2" t="str">
        <f>HYPERLINK("https://files.afu.se/Downloads/Transcripts/0%20-%20Government/USA%20-%20NASA/2022 09 09 - NASA - Teams Review Options for the Next Artemis I Launch Attempt on This Week @NASA – September 9, 2022_DQICSmw_Yxs - transcript (automated).pdf","Transcript Link")</f>
        <v>Transcript Link</v>
      </c>
    </row>
    <row r="115" ht="360" spans="1:13">
      <c r="A115" s="1" t="s">
        <v>562</v>
      </c>
      <c r="B115" s="1" t="s">
        <v>13</v>
      </c>
      <c r="C115" s="4" t="s">
        <v>567</v>
      </c>
      <c r="D115" s="1" t="s">
        <v>568</v>
      </c>
      <c r="E115" s="1" t="s">
        <v>569</v>
      </c>
      <c r="F115" s="4" t="s">
        <v>17</v>
      </c>
      <c r="G115" s="1" t="s">
        <v>18</v>
      </c>
      <c r="H115" s="1" t="s">
        <v>19</v>
      </c>
      <c r="I115" s="1" t="s">
        <v>20</v>
      </c>
      <c r="J115" s="1" t="s">
        <v>570</v>
      </c>
      <c r="K115" s="1" t="s">
        <v>22</v>
      </c>
      <c r="L115" s="1" t="str">
        <f>HYPERLINK("https://files.afu.se/Downloads/Transcripts/0%20-%20Government/USA%20-%20NASA/2022 09 09 - NASA - A New Era of Earth Science (NASA Trailer)__hRJJdSg8Hw - transcript (automated).pdf","Transcript Link")</f>
        <v>Transcript Link</v>
      </c>
      <c r="M115" s="2" t="str">
        <f>HYPERLINK("https://files.afu.se/Downloads/Transcripts/0%20-%20Government/USA%20-%20NASA/2022 09 09 - NASA - A New Era of Earth Science (NASA Trailer)__hRJJdSg8Hw - transcript (automated).pdf","Transcript Link")</f>
        <v>Transcript Link</v>
      </c>
    </row>
    <row r="116" ht="315" spans="1:13">
      <c r="A116" s="1" t="s">
        <v>571</v>
      </c>
      <c r="B116" s="1" t="s">
        <v>13</v>
      </c>
      <c r="C116" s="4" t="s">
        <v>572</v>
      </c>
      <c r="D116" s="1" t="s">
        <v>573</v>
      </c>
      <c r="E116" s="1" t="s">
        <v>574</v>
      </c>
      <c r="F116" s="4" t="s">
        <v>17</v>
      </c>
      <c r="G116" s="1" t="s">
        <v>18</v>
      </c>
      <c r="H116" s="1" t="s">
        <v>19</v>
      </c>
      <c r="I116" s="1" t="s">
        <v>20</v>
      </c>
      <c r="J116" s="1" t="s">
        <v>575</v>
      </c>
      <c r="K116" s="1" t="s">
        <v>22</v>
      </c>
      <c r="L116" s="1" t="str">
        <f>HYPERLINK("https://files.afu.se/Downloads/Transcripts/0%20-%20Government/USA%20-%20NASA/2022 09 06 - NASA - How Will We Know if NASA’s DART Mission Successfully Changed an Asteroid’s Orbit _uUaiMvnW6dY - transcript (automated).pdf","Transcript Link")</f>
        <v>Transcript Link</v>
      </c>
      <c r="M116" s="2" t="str">
        <f>HYPERLINK("https://files.afu.se/Downloads/Transcripts/0%20-%20Government/USA%20-%20NASA/2022 09 06 - NASA - How Will We Know if NASA’s DART Mission Successfully Changed an Asteroid’s Orbit _uUaiMvnW6dY - transcript (automated).pdf","Transcript Link")</f>
        <v>Transcript Link</v>
      </c>
    </row>
    <row r="117" ht="165" spans="1:13">
      <c r="A117" s="1" t="s">
        <v>576</v>
      </c>
      <c r="B117" s="1" t="s">
        <v>13</v>
      </c>
      <c r="C117" s="4" t="s">
        <v>577</v>
      </c>
      <c r="D117" s="1" t="s">
        <v>578</v>
      </c>
      <c r="E117" s="1" t="s">
        <v>579</v>
      </c>
      <c r="F117" s="4" t="s">
        <v>17</v>
      </c>
      <c r="G117" s="1" t="s">
        <v>18</v>
      </c>
      <c r="H117" s="1" t="s">
        <v>19</v>
      </c>
      <c r="I117" s="1" t="s">
        <v>20</v>
      </c>
      <c r="J117" s="1" t="s">
        <v>580</v>
      </c>
      <c r="K117" s="1" t="s">
        <v>22</v>
      </c>
      <c r="L117" s="1" t="str">
        <f>HYPERLINK("https://files.afu.se/Downloads/Transcripts/0%20-%20Government/USA%20-%20NASA/2022 09 05 - NASA - NASA Explorers  The Artemis Generation_Lp4YxG1MiPo - transcript (automated).pdf","Transcript Link")</f>
        <v>Transcript Link</v>
      </c>
      <c r="M117" s="2" t="str">
        <f>HYPERLINK("https://files.afu.se/Downloads/Transcripts/0%20-%20Government/USA%20-%20NASA/2022 09 05 - NASA - NASA Explorers  The Artemis Generation_Lp4YxG1MiPo - transcript (automated).pdf","Transcript Link")</f>
        <v>Transcript Link</v>
      </c>
    </row>
    <row r="118" ht="225" spans="1:13">
      <c r="A118" s="1" t="s">
        <v>581</v>
      </c>
      <c r="B118" s="1" t="s">
        <v>13</v>
      </c>
      <c r="C118" s="4" t="s">
        <v>582</v>
      </c>
      <c r="D118" s="1" t="s">
        <v>583</v>
      </c>
      <c r="E118" s="1" t="s">
        <v>584</v>
      </c>
      <c r="F118" s="4" t="s">
        <v>17</v>
      </c>
      <c r="G118" s="1" t="s">
        <v>18</v>
      </c>
      <c r="H118" s="1" t="s">
        <v>19</v>
      </c>
      <c r="I118" s="1" t="s">
        <v>20</v>
      </c>
      <c r="J118" s="1" t="s">
        <v>585</v>
      </c>
      <c r="K118" s="1" t="s">
        <v>22</v>
      </c>
      <c r="L118" s="1" t="str">
        <f>HYPERLINK("https://files.afu.se/Downloads/Transcripts/0%20-%20Government/USA%20-%20NASA/2022 09 02 - NASA - An Update on Our Artemis I Moon Mission on This Week @NASA – September 2, 2022_jYE1xEzlX3Y - transcript (automated).pdf","Transcript Link")</f>
        <v>Transcript Link</v>
      </c>
      <c r="M118" s="2" t="str">
        <f>HYPERLINK("https://files.afu.se/Downloads/Transcripts/0%20-%20Government/USA%20-%20NASA/2022 09 02 - NASA - An Update on Our Artemis I Moon Mission on This Week @NASA – September 2, 2022_jYE1xEzlX3Y - transcript (automated).pdf","Transcript Link")</f>
        <v>Transcript Link</v>
      </c>
    </row>
    <row r="119" ht="315" spans="1:13">
      <c r="A119" s="1" t="s">
        <v>586</v>
      </c>
      <c r="B119" s="1" t="s">
        <v>13</v>
      </c>
      <c r="C119" s="4" t="s">
        <v>587</v>
      </c>
      <c r="D119" s="1" t="s">
        <v>588</v>
      </c>
      <c r="E119" s="1" t="s">
        <v>589</v>
      </c>
      <c r="F119" s="4" t="s">
        <v>17</v>
      </c>
      <c r="G119" s="1" t="s">
        <v>18</v>
      </c>
      <c r="H119" s="1" t="s">
        <v>19</v>
      </c>
      <c r="I119" s="1" t="s">
        <v>20</v>
      </c>
      <c r="J119" s="1" t="s">
        <v>590</v>
      </c>
      <c r="K119" s="1" t="s">
        <v>22</v>
      </c>
      <c r="L119" s="1" t="str">
        <f>HYPERLINK("https://files.afu.se/Downloads/Transcripts/0%20-%20Government/USA%20-%20NASA/2022 08 30 - NASA - Artemis I Launch Attempt News Update (Aug. 29, 2022)__NjDi7VdEDg - transcript (automated).pdf","Transcript Link")</f>
        <v>Transcript Link</v>
      </c>
      <c r="M119" s="2" t="str">
        <f>HYPERLINK("https://files.afu.se/Downloads/Transcripts/0%20-%20Government/USA%20-%20NASA/2022 08 30 - NASA - Artemis I Launch Attempt News Update (Aug. 29, 2022)__NjDi7VdEDg - transcript (automated).pdf","Transcript Link")</f>
        <v>Transcript Link</v>
      </c>
    </row>
    <row r="120" ht="405" spans="1:13">
      <c r="A120" s="1" t="s">
        <v>591</v>
      </c>
      <c r="B120" s="1" t="s">
        <v>13</v>
      </c>
      <c r="C120" s="4" t="s">
        <v>592</v>
      </c>
      <c r="D120" s="1" t="s">
        <v>593</v>
      </c>
      <c r="E120" s="1" t="s">
        <v>594</v>
      </c>
      <c r="F120" s="4" t="s">
        <v>17</v>
      </c>
      <c r="G120" s="1" t="s">
        <v>18</v>
      </c>
      <c r="H120" s="1" t="s">
        <v>19</v>
      </c>
      <c r="I120" s="1" t="s">
        <v>20</v>
      </c>
      <c r="J120" s="1" t="s">
        <v>595</v>
      </c>
      <c r="K120" s="1" t="s">
        <v>22</v>
      </c>
      <c r="L120" s="1" t="str">
        <f>HYPERLINK("https://files.afu.se/Downloads/Transcripts/0%20-%20Government/USA%20-%20NASA/2022 08 27 - NASA - NASA Leaders Surprise Students With First Look at Artemis Rocket and Orion Spacecraft_pIYqi2y4WlE - transcript (automated).pdf","Transcript Link")</f>
        <v>Transcript Link</v>
      </c>
      <c r="M120" s="2" t="str">
        <f>HYPERLINK("https://files.afu.se/Downloads/Transcripts/0%20-%20Government/USA%20-%20NASA/2022 08 27 - NASA - NASA Leaders Surprise Students With First Look at Artemis Rocket and Orion Spacecraft_pIYqi2y4WlE - transcript (automated).pdf","Transcript Link")</f>
        <v>Transcript Link</v>
      </c>
    </row>
    <row r="121" ht="165" spans="1:13">
      <c r="A121" s="1" t="s">
        <v>596</v>
      </c>
      <c r="B121" s="1" t="s">
        <v>13</v>
      </c>
      <c r="C121" s="4" t="s">
        <v>597</v>
      </c>
      <c r="D121" s="1" t="s">
        <v>598</v>
      </c>
      <c r="E121" s="1" t="s">
        <v>599</v>
      </c>
      <c r="F121" s="4" t="s">
        <v>17</v>
      </c>
      <c r="G121" s="1" t="s">
        <v>18</v>
      </c>
      <c r="H121" s="1" t="s">
        <v>19</v>
      </c>
      <c r="I121" s="1" t="s">
        <v>20</v>
      </c>
      <c r="J121" s="1" t="s">
        <v>600</v>
      </c>
      <c r="K121" s="1" t="s">
        <v>22</v>
      </c>
      <c r="L121" s="1" t="str">
        <f>HYPERLINK("https://files.afu.se/Downloads/Transcripts/0%20-%20Government/USA%20-%20NASA/2022 08 26 - NASA - Our Artemis I Flight Test is “Go for Launch” on This Week @NASA – August 26, 2022_PKgMCe1paJA - transcript (automated).pdf","Transcript Link")</f>
        <v>Transcript Link</v>
      </c>
      <c r="M121" s="2" t="str">
        <f>HYPERLINK("https://files.afu.se/Downloads/Transcripts/0%20-%20Government/USA%20-%20NASA/2022 08 26 - NASA - Our Artemis I Flight Test is “Go for Launch” on This Week @NASA – August 26, 2022_PKgMCe1paJA - transcript (automated).pdf","Transcript Link")</f>
        <v>Transcript Link</v>
      </c>
    </row>
    <row r="122" ht="270" spans="1:13">
      <c r="A122" s="1" t="s">
        <v>596</v>
      </c>
      <c r="B122" s="1" t="s">
        <v>13</v>
      </c>
      <c r="C122" s="4" t="s">
        <v>601</v>
      </c>
      <c r="D122" s="1" t="s">
        <v>602</v>
      </c>
      <c r="E122" s="1" t="s">
        <v>603</v>
      </c>
      <c r="F122" s="4" t="s">
        <v>17</v>
      </c>
      <c r="G122" s="1" t="s">
        <v>18</v>
      </c>
      <c r="H122" s="1" t="s">
        <v>19</v>
      </c>
      <c r="I122" s="1" t="s">
        <v>20</v>
      </c>
      <c r="J122" s="1" t="s">
        <v>604</v>
      </c>
      <c r="K122" s="1" t="s">
        <v>22</v>
      </c>
      <c r="L122" s="1" t="str">
        <f>HYPERLINK("https://files.afu.se/Downloads/Transcripts/0%20-%20Government/USA%20-%20NASA/2022 08 26 - NASA - Artemis I Path to the Pad  Roll to the Pad_7h5Si9MBHJU - transcript (automated).pdf","Transcript Link")</f>
        <v>Transcript Link</v>
      </c>
      <c r="M122" s="2" t="str">
        <f>HYPERLINK("https://files.afu.se/Downloads/Transcripts/0%20-%20Government/USA%20-%20NASA/2022 08 26 - NASA - Artemis I Path to the Pad  Roll to the Pad_7h5Si9MBHJU - transcript (automated).pdf","Transcript Link")</f>
        <v>Transcript Link</v>
      </c>
    </row>
    <row r="123" ht="270" spans="1:13">
      <c r="A123" s="1" t="s">
        <v>596</v>
      </c>
      <c r="B123" s="1" t="s">
        <v>13</v>
      </c>
      <c r="C123" s="4" t="s">
        <v>605</v>
      </c>
      <c r="D123" s="1" t="s">
        <v>606</v>
      </c>
      <c r="E123" s="1" t="s">
        <v>607</v>
      </c>
      <c r="F123" s="4" t="s">
        <v>17</v>
      </c>
      <c r="G123" s="1" t="s">
        <v>18</v>
      </c>
      <c r="H123" s="1" t="s">
        <v>19</v>
      </c>
      <c r="I123" s="1" t="s">
        <v>20</v>
      </c>
      <c r="J123" s="1" t="s">
        <v>608</v>
      </c>
      <c r="K123" s="1" t="s">
        <v>22</v>
      </c>
      <c r="L123" s="1" t="str">
        <f>HYPERLINK("https://files.afu.se/Downloads/Transcripts/0%20-%20Government/USA%20-%20NASA/2022 08 26 - NASA - Apollo 11 Engineer JoAnn Morgan Sends Greeting for Artemis I Moon Mission_qRWh13NUigk - transcript (automated).pdf","Transcript Link")</f>
        <v>Transcript Link</v>
      </c>
      <c r="M123" s="2" t="str">
        <f>HYPERLINK("https://files.afu.se/Downloads/Transcripts/0%20-%20Government/USA%20-%20NASA/2022 08 26 - NASA - Apollo 11 Engineer JoAnn Morgan Sends Greeting for Artemis I Moon Mission_qRWh13NUigk - transcript (automated).pdf","Transcript Link")</f>
        <v>Transcript Link</v>
      </c>
    </row>
    <row r="124" ht="285" spans="1:13">
      <c r="A124" s="1" t="s">
        <v>596</v>
      </c>
      <c r="B124" s="1" t="s">
        <v>13</v>
      </c>
      <c r="C124" s="4" t="s">
        <v>609</v>
      </c>
      <c r="D124" s="1" t="s">
        <v>610</v>
      </c>
      <c r="E124" s="1" t="s">
        <v>611</v>
      </c>
      <c r="F124" s="4" t="s">
        <v>17</v>
      </c>
      <c r="G124" s="1" t="s">
        <v>18</v>
      </c>
      <c r="H124" s="1" t="s">
        <v>19</v>
      </c>
      <c r="I124" s="1" t="s">
        <v>20</v>
      </c>
      <c r="J124" s="1" t="s">
        <v>612</v>
      </c>
      <c r="K124" s="1" t="s">
        <v>22</v>
      </c>
      <c r="L124" s="1" t="str">
        <f>HYPERLINK("https://files.afu.se/Downloads/Transcripts/0%20-%20Government/USA%20-%20NASA/2022 08 26 - NASA - NASA’s Space Launch System Rocket Ready for Moon Launch on Artemis I_PwgDpGSm_n4 - transcript (automated).pdf","Transcript Link")</f>
        <v>Transcript Link</v>
      </c>
      <c r="M124" s="2" t="str">
        <f>HYPERLINK("https://files.afu.se/Downloads/Transcripts/0%20-%20Government/USA%20-%20NASA/2022 08 26 - NASA - NASA’s Space Launch System Rocket Ready for Moon Launch on Artemis I_PwgDpGSm_n4 - transcript (automated).pdf","Transcript Link")</f>
        <v>Transcript Link</v>
      </c>
    </row>
    <row r="125" ht="240" spans="1:13">
      <c r="A125" s="1" t="s">
        <v>613</v>
      </c>
      <c r="B125" s="1" t="s">
        <v>13</v>
      </c>
      <c r="C125" s="4" t="s">
        <v>614</v>
      </c>
      <c r="D125" s="1" t="s">
        <v>615</v>
      </c>
      <c r="E125" s="1" t="s">
        <v>616</v>
      </c>
      <c r="F125" s="4" t="s">
        <v>17</v>
      </c>
      <c r="G125" s="1" t="s">
        <v>18</v>
      </c>
      <c r="H125" s="1" t="s">
        <v>19</v>
      </c>
      <c r="I125" s="1" t="s">
        <v>20</v>
      </c>
      <c r="J125" s="1" t="s">
        <v>617</v>
      </c>
      <c r="K125" s="1" t="s">
        <v>22</v>
      </c>
      <c r="L125" s="1" t="str">
        <f>HYPERLINK("https://files.afu.se/Downloads/Transcripts/0%20-%20Government/USA%20-%20NASA/2022 08 24 - NASA - Artemis I  We Are Ready_wKwoBudYIiI - transcript (automated).pdf","Transcript Link")</f>
        <v>Transcript Link</v>
      </c>
      <c r="M125" s="2" t="str">
        <f>HYPERLINK("https://files.afu.se/Downloads/Transcripts/0%20-%20Government/USA%20-%20NASA/2022 08 24 - NASA - Artemis I  We Are Ready_wKwoBudYIiI - transcript (automated).pdf","Transcript Link")</f>
        <v>Transcript Link</v>
      </c>
    </row>
    <row r="126" ht="165" spans="1:13">
      <c r="A126" s="1" t="s">
        <v>618</v>
      </c>
      <c r="B126" s="1" t="s">
        <v>13</v>
      </c>
      <c r="C126" s="4" t="s">
        <v>619</v>
      </c>
      <c r="D126" s="1" t="s">
        <v>620</v>
      </c>
      <c r="E126" s="1" t="s">
        <v>621</v>
      </c>
      <c r="F126" s="4" t="s">
        <v>17</v>
      </c>
      <c r="G126" s="1" t="s">
        <v>18</v>
      </c>
      <c r="H126" s="1" t="s">
        <v>19</v>
      </c>
      <c r="I126" s="1" t="s">
        <v>20</v>
      </c>
      <c r="J126" s="1" t="s">
        <v>622</v>
      </c>
      <c r="K126" s="1" t="s">
        <v>22</v>
      </c>
      <c r="L126" s="1" t="str">
        <f>HYPERLINK("https://files.afu.se/Downloads/Transcripts/0%20-%20Government/USA%20-%20NASA/2022 08 19 - NASA - The Move to the Launchpad Ahead of Our Artemis I Flight Test on This Week @NASA – August 19, 2022_MWdvrhY-pYw - transcript (automated).pdf","Transcript Link")</f>
        <v>Transcript Link</v>
      </c>
      <c r="M126" s="2" t="str">
        <f>HYPERLINK("https://files.afu.se/Downloads/Transcripts/0%20-%20Government/USA%20-%20NASA/2022 08 19 - NASA - The Move to the Launchpad Ahead of Our Artemis I Flight Test on This Week @NASA – August 19, 2022_MWdvrhY-pYw - transcript (automated).pdf","Transcript Link")</f>
        <v>Transcript Link</v>
      </c>
    </row>
    <row r="127" ht="255" spans="1:13">
      <c r="A127" s="1" t="s">
        <v>618</v>
      </c>
      <c r="B127" s="1" t="s">
        <v>13</v>
      </c>
      <c r="C127" s="4" t="s">
        <v>623</v>
      </c>
      <c r="D127" s="1" t="s">
        <v>624</v>
      </c>
      <c r="E127" s="1" t="s">
        <v>625</v>
      </c>
      <c r="F127" s="4" t="s">
        <v>17</v>
      </c>
      <c r="G127" s="1" t="s">
        <v>18</v>
      </c>
      <c r="H127" s="1" t="s">
        <v>19</v>
      </c>
      <c r="I127" s="1" t="s">
        <v>20</v>
      </c>
      <c r="J127" s="1" t="s">
        <v>626</v>
      </c>
      <c r="K127" s="1" t="s">
        <v>22</v>
      </c>
      <c r="L127" s="1" t="str">
        <f>HYPERLINK("https://files.afu.se/Downloads/Transcripts/0%20-%20Government/USA%20-%20NASA/2022 08 19 - NASA - Artemis I Path to the Pad  The Spacecraft_25Jhy_0fowo - transcript (automated).pdf","Transcript Link")</f>
        <v>Transcript Link</v>
      </c>
      <c r="M127" s="2" t="str">
        <f>HYPERLINK("https://files.afu.se/Downloads/Transcripts/0%20-%20Government/USA%20-%20NASA/2022 08 19 - NASA - Artemis I Path to the Pad  The Spacecraft_25Jhy_0fowo - transcript (automated).pdf","Transcript Link")</f>
        <v>Transcript Link</v>
      </c>
    </row>
    <row r="128" ht="240" spans="1:13">
      <c r="A128" s="1" t="s">
        <v>627</v>
      </c>
      <c r="B128" s="1" t="s">
        <v>13</v>
      </c>
      <c r="C128" s="4" t="s">
        <v>628</v>
      </c>
      <c r="D128" s="1" t="s">
        <v>629</v>
      </c>
      <c r="E128" s="1" t="s">
        <v>630</v>
      </c>
      <c r="F128" s="4" t="s">
        <v>17</v>
      </c>
      <c r="G128" s="1" t="s">
        <v>18</v>
      </c>
      <c r="H128" s="1" t="s">
        <v>19</v>
      </c>
      <c r="I128" s="1" t="s">
        <v>20</v>
      </c>
      <c r="J128" s="1" t="s">
        <v>631</v>
      </c>
      <c r="K128" s="1" t="s">
        <v>22</v>
      </c>
      <c r="L128" s="1" t="str">
        <f>HYPERLINK("https://files.afu.se/Downloads/Transcripts/0%20-%20Government/USA%20-%20NASA/2022 08 15 - NASA - NASA to Send Science Experiments on the Artemis I Mission to the Moon and Back_Qxxb4YeBTug - transcript (automated).pdf","Transcript Link")</f>
        <v>Transcript Link</v>
      </c>
      <c r="M128" s="2" t="str">
        <f>HYPERLINK("https://files.afu.se/Downloads/Transcripts/0%20-%20Government/USA%20-%20NASA/2022 08 15 - NASA - NASA to Send Science Experiments on the Artemis I Mission to the Moon and Back_Qxxb4YeBTug - transcript (automated).pdf","Transcript Link")</f>
        <v>Transcript Link</v>
      </c>
    </row>
    <row r="129" ht="165" spans="1:13">
      <c r="A129" s="1" t="s">
        <v>632</v>
      </c>
      <c r="B129" s="1" t="s">
        <v>13</v>
      </c>
      <c r="C129" s="4" t="s">
        <v>633</v>
      </c>
      <c r="D129" s="1" t="s">
        <v>634</v>
      </c>
      <c r="E129" s="1" t="s">
        <v>635</v>
      </c>
      <c r="F129" s="4" t="s">
        <v>17</v>
      </c>
      <c r="G129" s="1" t="s">
        <v>18</v>
      </c>
      <c r="H129" s="1" t="s">
        <v>19</v>
      </c>
      <c r="I129" s="1" t="s">
        <v>20</v>
      </c>
      <c r="J129" s="1" t="s">
        <v>636</v>
      </c>
      <c r="K129" s="1" t="s">
        <v>22</v>
      </c>
      <c r="L129" s="1" t="str">
        <f>HYPERLINK("https://files.afu.se/Downloads/Transcripts/0%20-%20Government/USA%20-%20NASA/2022 08 13 - NASA - The Countdown to Our Artemis I Moon Mission on This Week @NASA – August 12, 2022_H1epJH9XIH8 - transcript (automated).pdf","Transcript Link")</f>
        <v>Transcript Link</v>
      </c>
      <c r="M129" s="2" t="str">
        <f>HYPERLINK("https://files.afu.se/Downloads/Transcripts/0%20-%20Government/USA%20-%20NASA/2022 08 13 - NASA - The Countdown to Our Artemis I Moon Mission on This Week @NASA – August 12, 2022_H1epJH9XIH8 - transcript (automated).pdf","Transcript Link")</f>
        <v>Transcript Link</v>
      </c>
    </row>
    <row r="130" ht="315" spans="1:13">
      <c r="A130" s="1" t="s">
        <v>637</v>
      </c>
      <c r="B130" s="1" t="s">
        <v>13</v>
      </c>
      <c r="C130" s="4" t="s">
        <v>638</v>
      </c>
      <c r="D130" s="1" t="s">
        <v>639</v>
      </c>
      <c r="E130" s="1" t="s">
        <v>640</v>
      </c>
      <c r="F130" s="4" t="s">
        <v>17</v>
      </c>
      <c r="G130" s="1" t="s">
        <v>18</v>
      </c>
      <c r="H130" s="1" t="s">
        <v>19</v>
      </c>
      <c r="I130" s="1" t="s">
        <v>20</v>
      </c>
      <c r="J130" s="1" t="s">
        <v>641</v>
      </c>
      <c r="K130" s="1" t="s">
        <v>22</v>
      </c>
      <c r="L130" s="1" t="str">
        <f>HYPERLINK("https://files.afu.se/Downloads/Transcripts/0%20-%20Government/USA%20-%20NASA/2022 08 12 - NASA - Artemis I Path to the Pad  The Rocket_Gc_XtRnVLQ8 - transcript (automated).pdf","Transcript Link")</f>
        <v>Transcript Link</v>
      </c>
      <c r="M130" s="2" t="str">
        <f>HYPERLINK("https://files.afu.se/Downloads/Transcripts/0%20-%20Government/USA%20-%20NASA/2022 08 12 - NASA - Artemis I Path to the Pad  The Rocket_Gc_XtRnVLQ8 - transcript (automated).pdf","Transcript Link")</f>
        <v>Transcript Link</v>
      </c>
    </row>
    <row r="131" ht="375" spans="1:13">
      <c r="A131" s="1" t="s">
        <v>637</v>
      </c>
      <c r="B131" s="1" t="s">
        <v>13</v>
      </c>
      <c r="C131" s="4" t="s">
        <v>642</v>
      </c>
      <c r="D131" s="1" t="s">
        <v>643</v>
      </c>
      <c r="E131" s="1" t="s">
        <v>644</v>
      </c>
      <c r="F131" s="4" t="s">
        <v>17</v>
      </c>
      <c r="G131" s="1" t="s">
        <v>18</v>
      </c>
      <c r="H131" s="1" t="s">
        <v>19</v>
      </c>
      <c r="I131" s="1" t="s">
        <v>20</v>
      </c>
      <c r="J131" s="1" t="s">
        <v>645</v>
      </c>
      <c r="K131" s="1" t="s">
        <v>22</v>
      </c>
      <c r="L131" s="1" t="str">
        <f>HYPERLINK("https://files.afu.se/Downloads/Transcripts/0%20-%20Government/USA%20-%20NASA/2022 08 12 - NASA - Thanks for All the Gravity Assists_JNCw3fUtwbs - transcript (automated).pdf","Transcript Link")</f>
        <v>Transcript Link</v>
      </c>
      <c r="M131" s="2" t="str">
        <f>HYPERLINK("https://files.afu.se/Downloads/Transcripts/0%20-%20Government/USA%20-%20NASA/2022 08 12 - NASA - Thanks for All the Gravity Assists_JNCw3fUtwbs - transcript (automated).pdf","Transcript Link")</f>
        <v>Transcript Link</v>
      </c>
    </row>
    <row r="132" ht="255" spans="1:13">
      <c r="A132" s="1" t="s">
        <v>646</v>
      </c>
      <c r="B132" s="1" t="s">
        <v>13</v>
      </c>
      <c r="C132" s="4" t="s">
        <v>647</v>
      </c>
      <c r="D132" s="1" t="s">
        <v>648</v>
      </c>
      <c r="E132" s="1" t="s">
        <v>649</v>
      </c>
      <c r="F132" s="4" t="s">
        <v>17</v>
      </c>
      <c r="G132" s="1" t="s">
        <v>18</v>
      </c>
      <c r="H132" s="1" t="s">
        <v>19</v>
      </c>
      <c r="I132" s="1" t="s">
        <v>20</v>
      </c>
      <c r="J132" s="1" t="s">
        <v>650</v>
      </c>
      <c r="K132" s="1" t="s">
        <v>22</v>
      </c>
      <c r="L132" s="1" t="str">
        <f>HYPERLINK("https://files.afu.se/Downloads/Transcripts/0%20-%20Government/USA%20-%20NASA/2022 08 11 - NASA - Artemis I Path to the Pad  NASA Series Trailer_EZkcmCX--ow - transcript (automated).pdf","Transcript Link")</f>
        <v>Transcript Link</v>
      </c>
      <c r="M132" s="2" t="str">
        <f>HYPERLINK("https://files.afu.se/Downloads/Transcripts/0%20-%20Government/USA%20-%20NASA/2022 08 11 - NASA - Artemis I Path to the Pad  NASA Series Trailer_EZkcmCX--ow - transcript (automated).pdf","Transcript Link")</f>
        <v>Transcript Link</v>
      </c>
    </row>
    <row r="133" ht="255" spans="1:13">
      <c r="A133" s="1" t="s">
        <v>651</v>
      </c>
      <c r="B133" s="1" t="s">
        <v>13</v>
      </c>
      <c r="C133" s="4" t="s">
        <v>652</v>
      </c>
      <c r="D133" s="1" t="s">
        <v>653</v>
      </c>
      <c r="E133" s="1" t="s">
        <v>654</v>
      </c>
      <c r="F133" s="4" t="s">
        <v>17</v>
      </c>
      <c r="G133" s="1" t="s">
        <v>18</v>
      </c>
      <c r="H133" s="1" t="s">
        <v>19</v>
      </c>
      <c r="I133" s="1" t="s">
        <v>20</v>
      </c>
      <c r="J133" s="1" t="s">
        <v>655</v>
      </c>
      <c r="K133" s="1" t="s">
        <v>22</v>
      </c>
      <c r="L133" s="1" t="str">
        <f>HYPERLINK("https://files.afu.se/Downloads/Transcripts/0%20-%20Government/USA%20-%20NASA/2022 08 08 - NASA - Artemis I Briefing with NASA Leadership_APPiEjHuxkI - transcript (automated).pdf","Transcript Link")</f>
        <v>Transcript Link</v>
      </c>
      <c r="M133" s="2" t="str">
        <f>HYPERLINK("https://files.afu.se/Downloads/Transcripts/0%20-%20Government/USA%20-%20NASA/2022 08 08 - NASA - Artemis I Briefing with NASA Leadership_APPiEjHuxkI - transcript (automated).pdf","Transcript Link")</f>
        <v>Transcript Link</v>
      </c>
    </row>
    <row r="134" ht="409.5" spans="1:13">
      <c r="A134" s="1" t="s">
        <v>651</v>
      </c>
      <c r="B134" s="1" t="s">
        <v>13</v>
      </c>
      <c r="C134" s="4" t="s">
        <v>656</v>
      </c>
      <c r="D134" s="1" t="s">
        <v>657</v>
      </c>
      <c r="E134" s="1" t="s">
        <v>658</v>
      </c>
      <c r="F134" s="4" t="s">
        <v>17</v>
      </c>
      <c r="G134" s="1" t="s">
        <v>18</v>
      </c>
      <c r="H134" s="1" t="s">
        <v>19</v>
      </c>
      <c r="I134" s="1" t="s">
        <v>20</v>
      </c>
      <c r="J134" s="1" t="s">
        <v>659</v>
      </c>
      <c r="K134" s="1" t="s">
        <v>22</v>
      </c>
      <c r="L134" s="1" t="str">
        <f>HYPERLINK("https://files.afu.se/Downloads/Transcripts/0%20-%20Government/USA%20-%20NASA/2022 08 08 - NASA - Share Your %23NASAMoonSnap and Get Excited for Artemis I!_9rgOU1AIv-g - transcript (automated).pdf","Transcript Link")</f>
        <v>Transcript Link</v>
      </c>
      <c r="M134" s="2" t="str">
        <f>HYPERLINK("https://files.afu.se/Downloads/Transcripts/0%20-%20Government/USA%20-%20NASA/2022 08 08 - NASA - Share Your %23NASAMoonSnap and Get Excited for Artemis I!_9rgOU1AIv-g - transcript (automated).pdf","Transcript Link")</f>
        <v>Transcript Link</v>
      </c>
    </row>
    <row r="135" ht="225" spans="1:13">
      <c r="A135" s="1" t="s">
        <v>660</v>
      </c>
      <c r="B135" s="1" t="s">
        <v>13</v>
      </c>
      <c r="C135" s="4" t="s">
        <v>661</v>
      </c>
      <c r="D135" s="1" t="s">
        <v>662</v>
      </c>
      <c r="E135" s="1" t="s">
        <v>663</v>
      </c>
      <c r="F135" s="4" t="s">
        <v>17</v>
      </c>
      <c r="G135" s="1" t="s">
        <v>18</v>
      </c>
      <c r="H135" s="1" t="s">
        <v>19</v>
      </c>
      <c r="I135" s="1" t="s">
        <v>20</v>
      </c>
      <c r="J135" s="1" t="s">
        <v>664</v>
      </c>
      <c r="K135" s="1" t="s">
        <v>22</v>
      </c>
      <c r="L135" s="1" t="str">
        <f>HYPERLINK("https://files.afu.se/Downloads/Transcripts/0%20-%20Government/USA%20-%20NASA/2022 08 05 - NASA - A New Image From Our James Webb Space Telescope on This Week @NASA – August 5, 2022_vStwi-5nFLc - transcript (automated).pdf","Transcript Link")</f>
        <v>Transcript Link</v>
      </c>
      <c r="M135" s="2" t="str">
        <f>HYPERLINK("https://files.afu.se/Downloads/Transcripts/0%20-%20Government/USA%20-%20NASA/2022 08 05 - NASA - A New Image From Our James Webb Space Telescope on This Week @NASA – August 5, 2022_vStwi-5nFLc - transcript (automated).pdf","Transcript Link")</f>
        <v>Transcript Link</v>
      </c>
    </row>
    <row r="136" ht="240" spans="1:13">
      <c r="A136" s="1" t="s">
        <v>665</v>
      </c>
      <c r="B136" s="1" t="s">
        <v>13</v>
      </c>
      <c r="C136" s="4" t="s">
        <v>666</v>
      </c>
      <c r="D136" s="1" t="s">
        <v>667</v>
      </c>
      <c r="E136" s="1" t="s">
        <v>668</v>
      </c>
      <c r="F136" s="4" t="s">
        <v>17</v>
      </c>
      <c r="G136" s="1" t="s">
        <v>18</v>
      </c>
      <c r="H136" s="1" t="s">
        <v>19</v>
      </c>
      <c r="I136" s="1" t="s">
        <v>20</v>
      </c>
      <c r="J136" s="1" t="s">
        <v>669</v>
      </c>
      <c r="K136" s="1" t="s">
        <v>22</v>
      </c>
      <c r="L136" s="1" t="str">
        <f>HYPERLINK("https://files.afu.se/Downloads/Transcripts/0%20-%20Government/USA%20-%20NASA/2022 07 29 - NASA - The Benefits of Space Station Research and Development on This Week @NASA – July 29, 2022_SCwJ6Io6ldA - transcript (automated).pdf","Transcript Link")</f>
        <v>Transcript Link</v>
      </c>
      <c r="M136" s="2" t="str">
        <f>HYPERLINK("https://files.afu.se/Downloads/Transcripts/0%20-%20Government/USA%20-%20NASA/2022 07 29 - NASA - The Benefits of Space Station Research and Development on This Week @NASA – July 29, 2022_SCwJ6Io6ldA - transcript (automated).pdf","Transcript Link")</f>
        <v>Transcript Link</v>
      </c>
    </row>
    <row r="137" ht="165" spans="1:13">
      <c r="A137" s="1" t="s">
        <v>670</v>
      </c>
      <c r="B137" s="1" t="s">
        <v>13</v>
      </c>
      <c r="C137" s="4" t="s">
        <v>671</v>
      </c>
      <c r="D137" s="1" t="s">
        <v>672</v>
      </c>
      <c r="E137" s="1" t="s">
        <v>673</v>
      </c>
      <c r="F137" s="4" t="s">
        <v>17</v>
      </c>
      <c r="G137" s="1" t="s">
        <v>18</v>
      </c>
      <c r="H137" s="1" t="s">
        <v>19</v>
      </c>
      <c r="I137" s="1" t="s">
        <v>20</v>
      </c>
      <c r="J137" s="1" t="s">
        <v>674</v>
      </c>
      <c r="K137" s="1" t="s">
        <v>22</v>
      </c>
      <c r="L137" s="1" t="str">
        <f>HYPERLINK("https://files.afu.se/Downloads/Transcripts/0%20-%20Government/USA%20-%20NASA/2022 07 23 - NASA - A Commercial Cargo Spacecraft Safely Arrives at the Space Station on This Week @NASA – July 22, 2022_k9Bq1Z0DCMw - transcript (automated).pdf","Transcript Link")</f>
        <v>Transcript Link</v>
      </c>
      <c r="M137" s="2" t="str">
        <f>HYPERLINK("https://files.afu.se/Downloads/Transcripts/0%20-%20Government/USA%20-%20NASA/2022 07 23 - NASA - A Commercial Cargo Spacecraft Safely Arrives at the Space Station on This Week @NASA – July 22, 2022_k9Bq1Z0DCMw - transcript (automated).pdf","Transcript Link")</f>
        <v>Transcript Link</v>
      </c>
    </row>
    <row r="138" ht="405" spans="1:13">
      <c r="A138" s="1" t="s">
        <v>675</v>
      </c>
      <c r="B138" s="1" t="s">
        <v>13</v>
      </c>
      <c r="C138" s="4" t="s">
        <v>676</v>
      </c>
      <c r="D138" s="1" t="s">
        <v>677</v>
      </c>
      <c r="E138" s="1" t="s">
        <v>678</v>
      </c>
      <c r="F138" s="4" t="s">
        <v>17</v>
      </c>
      <c r="G138" s="1" t="s">
        <v>18</v>
      </c>
      <c r="H138" s="1" t="s">
        <v>19</v>
      </c>
      <c r="I138" s="1" t="s">
        <v>20</v>
      </c>
      <c r="J138" s="1" t="s">
        <v>679</v>
      </c>
      <c r="K138" s="1" t="s">
        <v>22</v>
      </c>
      <c r="L138" s="1" t="str">
        <f>HYPERLINK("https://files.afu.se/Downloads/Transcripts/0%20-%20Government/USA%20-%20NASA/2022 07 21 - NASA - Artemis I Launching to the Moon  Official NASA Launch Trailer_FSyfFrMcuQI - transcript (automated).pdf","Transcript Link")</f>
        <v>Transcript Link</v>
      </c>
      <c r="M138" s="2" t="str">
        <f>HYPERLINK("https://files.afu.se/Downloads/Transcripts/0%20-%20Government/USA%20-%20NASA/2022 07 21 - NASA - Artemis I Launching to the Moon  Official NASA Launch Trailer_FSyfFrMcuQI - transcript (automated).pdf","Transcript Link")</f>
        <v>Transcript Link</v>
      </c>
    </row>
    <row r="139" ht="165" spans="1:13">
      <c r="A139" s="1" t="s">
        <v>680</v>
      </c>
      <c r="B139" s="1" t="s">
        <v>13</v>
      </c>
      <c r="C139" s="4" t="s">
        <v>681</v>
      </c>
      <c r="D139" s="1" t="s">
        <v>682</v>
      </c>
      <c r="E139" s="1" t="s">
        <v>683</v>
      </c>
      <c r="F139" s="4" t="s">
        <v>17</v>
      </c>
      <c r="G139" s="1" t="s">
        <v>18</v>
      </c>
      <c r="H139" s="1" t="s">
        <v>19</v>
      </c>
      <c r="I139" s="1" t="s">
        <v>20</v>
      </c>
      <c r="J139" s="1" t="s">
        <v>684</v>
      </c>
      <c r="K139" s="1" t="s">
        <v>22</v>
      </c>
      <c r="L139" s="1" t="str">
        <f>HYPERLINK("https://files.afu.se/Downloads/Transcripts/0%20-%20Government/USA%20-%20NASA/2022 07 15 - NASA - The Webb Space Telescope’s New Look at the Cosmos on This Week @NASA – July 15, 2022_6hHmkInZkMQ - transcript (automated).pdf","Transcript Link")</f>
        <v>Transcript Link</v>
      </c>
      <c r="M139" s="2" t="str">
        <f>HYPERLINK("https://files.afu.se/Downloads/Transcripts/0%20-%20Government/USA%20-%20NASA/2022 07 15 - NASA - The Webb Space Telescope’s New Look at the Cosmos on This Week @NASA – July 15, 2022_6hHmkInZkMQ - transcript (automated).pdf","Transcript Link")</f>
        <v>Transcript Link</v>
      </c>
    </row>
    <row r="140" ht="195" spans="1:13">
      <c r="A140" s="1" t="s">
        <v>685</v>
      </c>
      <c r="B140" s="1" t="s">
        <v>13</v>
      </c>
      <c r="C140" s="4" t="s">
        <v>686</v>
      </c>
      <c r="D140" s="1" t="s">
        <v>687</v>
      </c>
      <c r="E140" s="1" t="s">
        <v>688</v>
      </c>
      <c r="F140" s="4" t="s">
        <v>17</v>
      </c>
      <c r="G140" s="1" t="s">
        <v>18</v>
      </c>
      <c r="H140" s="1" t="s">
        <v>19</v>
      </c>
      <c r="I140" s="1" t="s">
        <v>20</v>
      </c>
      <c r="J140" s="1" t="s">
        <v>689</v>
      </c>
      <c r="K140" s="1" t="s">
        <v>22</v>
      </c>
      <c r="L140" s="1" t="str">
        <f>HYPERLINK("https://files.afu.se/Downloads/Transcripts/0%20-%20Government/USA%20-%20NASA/2022 07 13 - NASA - Science Launching on the Next SpaceX Cargo Resupply Mission to the Space Station_yySCJykLNqU - transcript (automated).pdf","Transcript Link")</f>
        <v>Transcript Link</v>
      </c>
      <c r="M140" s="2" t="str">
        <f>HYPERLINK("https://files.afu.se/Downloads/Transcripts/0%20-%20Government/USA%20-%20NASA/2022 07 13 - NASA - Science Launching on the Next SpaceX Cargo Resupply Mission to the Space Station_yySCJykLNqU - transcript (automated).pdf","Transcript Link")</f>
        <v>Transcript Link</v>
      </c>
    </row>
    <row r="141" ht="409.5" spans="1:13">
      <c r="A141" s="1" t="s">
        <v>685</v>
      </c>
      <c r="B141" s="1" t="s">
        <v>13</v>
      </c>
      <c r="C141" s="4" t="s">
        <v>690</v>
      </c>
      <c r="D141" s="1" t="s">
        <v>691</v>
      </c>
      <c r="E141" s="1" t="s">
        <v>692</v>
      </c>
      <c r="F141" s="4" t="s">
        <v>17</v>
      </c>
      <c r="G141" s="1" t="s">
        <v>18</v>
      </c>
      <c r="H141" s="1" t="s">
        <v>19</v>
      </c>
      <c r="I141" s="1" t="s">
        <v>20</v>
      </c>
      <c r="J141" s="1" t="s">
        <v>693</v>
      </c>
      <c r="K141" s="1" t="s">
        <v>22</v>
      </c>
      <c r="L141" s="1" t="str">
        <f>HYPERLINK("https://files.afu.se/Downloads/Transcripts/0%20-%20Government/USA%20-%20NASA/2022 07 13 - NASA - Highlights  First Images from the James Webb Space Telescope (Official NASA Video)_1C_zuHf6lP4 - transcript (automated).pdf","Transcript Link")</f>
        <v>Transcript Link</v>
      </c>
      <c r="M141" s="2" t="str">
        <f>HYPERLINK("https://files.afu.se/Downloads/Transcripts/0%20-%20Government/USA%20-%20NASA/2022 07 13 - NASA - Highlights  First Images from the James Webb Space Telescope (Official NASA Video)_1C_zuHf6lP4 - transcript (automated).pdf","Transcript Link")</f>
        <v>Transcript Link</v>
      </c>
    </row>
    <row r="142" ht="165" spans="1:13">
      <c r="A142" s="1" t="s">
        <v>694</v>
      </c>
      <c r="B142" s="1" t="s">
        <v>13</v>
      </c>
      <c r="C142" s="4" t="s">
        <v>695</v>
      </c>
      <c r="D142" s="1" t="s">
        <v>696</v>
      </c>
      <c r="E142" s="1" t="s">
        <v>697</v>
      </c>
      <c r="F142" s="4" t="s">
        <v>17</v>
      </c>
      <c r="G142" s="1" t="s">
        <v>18</v>
      </c>
      <c r="H142" s="1" t="s">
        <v>19</v>
      </c>
      <c r="I142" s="1" t="s">
        <v>20</v>
      </c>
      <c r="J142" s="1" t="s">
        <v>698</v>
      </c>
      <c r="K142" s="1" t="s">
        <v>22</v>
      </c>
      <c r="L142" s="1" t="str">
        <f>HYPERLINK("https://files.afu.se/Downloads/Transcripts/0%20-%20Government/USA%20-%20NASA/2022 07 08 - NASA - Ready for the Webb Space Telescope’s First Full-Color Images on This Week @NASA – July 8, 2022_idL-_uWJC00 - transcript (automated).pdf","Transcript Link")</f>
        <v>Transcript Link</v>
      </c>
      <c r="M142" s="2" t="str">
        <f>HYPERLINK("https://files.afu.se/Downloads/Transcripts/0%20-%20Government/USA%20-%20NASA/2022 07 08 - NASA - Ready for the Webb Space Telescope’s First Full-Color Images on This Week @NASA – July 8, 2022_idL-_uWJC00 - transcript (automated).pdf","Transcript Link")</f>
        <v>Transcript Link</v>
      </c>
    </row>
    <row r="143" ht="225" spans="1:13">
      <c r="A143" s="1" t="s">
        <v>699</v>
      </c>
      <c r="B143" s="1" t="s">
        <v>13</v>
      </c>
      <c r="C143" s="4" t="s">
        <v>700</v>
      </c>
      <c r="D143" s="1" t="s">
        <v>701</v>
      </c>
      <c r="E143" s="1" t="s">
        <v>702</v>
      </c>
      <c r="F143" s="4" t="s">
        <v>17</v>
      </c>
      <c r="G143" s="1" t="s">
        <v>18</v>
      </c>
      <c r="H143" s="1" t="s">
        <v>19</v>
      </c>
      <c r="I143" s="1" t="s">
        <v>20</v>
      </c>
      <c r="J143" s="1" t="s">
        <v>703</v>
      </c>
      <c r="K143" s="1" t="s">
        <v>22</v>
      </c>
      <c r="L143" s="1" t="str">
        <f>HYPERLINK("https://files.afu.se/Downloads/Transcripts/0%20-%20Government/USA%20-%20NASA/2022 07 01 - NASA - Launching a New Mission Around the Moon on This Week @NASA – July 1, 2022_R3UCTPK1ZGk - transcript (automated).pdf","Transcript Link")</f>
        <v>Transcript Link</v>
      </c>
      <c r="M143" s="2" t="str">
        <f>HYPERLINK("https://files.afu.se/Downloads/Transcripts/0%20-%20Government/USA%20-%20NASA/2022 07 01 - NASA - Launching a New Mission Around the Moon on This Week @NASA – July 1, 2022_R3UCTPK1ZGk - transcript (automated).pdf","Transcript Link")</f>
        <v>Transcript Link</v>
      </c>
    </row>
    <row r="144" ht="240" spans="1:13">
      <c r="A144" s="1" t="s">
        <v>704</v>
      </c>
      <c r="B144" s="1" t="s">
        <v>13</v>
      </c>
      <c r="C144" s="4" t="s">
        <v>705</v>
      </c>
      <c r="D144" s="1" t="s">
        <v>706</v>
      </c>
      <c r="E144" s="1" t="s">
        <v>707</v>
      </c>
      <c r="F144" s="4" t="s">
        <v>17</v>
      </c>
      <c r="G144" s="1" t="s">
        <v>18</v>
      </c>
      <c r="H144" s="1" t="s">
        <v>19</v>
      </c>
      <c r="I144" s="1" t="s">
        <v>20</v>
      </c>
      <c r="J144" s="1" t="s">
        <v>708</v>
      </c>
      <c r="K144" s="1" t="s">
        <v>22</v>
      </c>
      <c r="L144" s="1" t="str">
        <f>HYPERLINK("https://files.afu.se/Downloads/Transcripts/0%20-%20Government/USA%20-%20NASA/2022 06 30 - NASA - Artemis I  We Are Capable_s3gt0mGwke8 - transcript (automated).pdf","Transcript Link")</f>
        <v>Transcript Link</v>
      </c>
      <c r="M144" s="2" t="str">
        <f>HYPERLINK("https://files.afu.se/Downloads/Transcripts/0%20-%20Government/USA%20-%20NASA/2022 06 30 - NASA - Artemis I  We Are Capable_s3gt0mGwke8 - transcript (automated).pdf","Transcript Link")</f>
        <v>Transcript Link</v>
      </c>
    </row>
    <row r="145" ht="330" spans="1:13">
      <c r="A145" s="1" t="s">
        <v>709</v>
      </c>
      <c r="B145" s="1" t="s">
        <v>13</v>
      </c>
      <c r="C145" s="4" t="s">
        <v>710</v>
      </c>
      <c r="D145" s="1" t="s">
        <v>711</v>
      </c>
      <c r="E145" s="1" t="s">
        <v>712</v>
      </c>
      <c r="F145" s="4" t="s">
        <v>17</v>
      </c>
      <c r="G145" s="1" t="s">
        <v>18</v>
      </c>
      <c r="H145" s="1" t="s">
        <v>19</v>
      </c>
      <c r="I145" s="1" t="s">
        <v>20</v>
      </c>
      <c r="J145" s="1" t="s">
        <v>713</v>
      </c>
      <c r="K145" s="1" t="s">
        <v>22</v>
      </c>
      <c r="L145" s="1" t="str">
        <f>HYPERLINK("https://files.afu.se/Downloads/Transcripts/0%20-%20Government/USA%20-%20NASA/2022 06 27 - NASA - Save the Date for Live Launch Coverage of NASA's CAPSTONE Mission to the Moon!_-d2J11_3PMQ - transcript (automated).pdf","Transcript Link")</f>
        <v>Transcript Link</v>
      </c>
      <c r="M145" s="2" t="str">
        <f>HYPERLINK("https://files.afu.se/Downloads/Transcripts/0%20-%20Government/USA%20-%20NASA/2022 06 27 - NASA - Save the Date for Live Launch Coverage of NASA's CAPSTONE Mission to the Moon!_-d2J11_3PMQ - transcript (automated).pdf","Transcript Link")</f>
        <v>Transcript Link</v>
      </c>
    </row>
    <row r="146" ht="345" spans="1:13">
      <c r="A146" s="1" t="s">
        <v>714</v>
      </c>
      <c r="B146" s="1" t="s">
        <v>13</v>
      </c>
      <c r="C146" s="4" t="s">
        <v>715</v>
      </c>
      <c r="D146" s="1" t="s">
        <v>716</v>
      </c>
      <c r="E146" s="1" t="s">
        <v>717</v>
      </c>
      <c r="F146" s="4" t="s">
        <v>17</v>
      </c>
      <c r="G146" s="1" t="s">
        <v>18</v>
      </c>
      <c r="H146" s="1" t="s">
        <v>19</v>
      </c>
      <c r="I146" s="1" t="s">
        <v>20</v>
      </c>
      <c r="J146" s="1" t="s">
        <v>718</v>
      </c>
      <c r="K146" s="1" t="s">
        <v>22</v>
      </c>
      <c r="L146" s="1" t="str">
        <f>HYPERLINK("https://files.afu.se/Downloads/Transcripts/0%20-%20Government/USA%20-%20NASA/2022 06 24 - NASA - Looking to Power Surface Exploration on the Moon on This Week @NASA – June 24, 2022_oxdn7-FCTFE - transcript (automated).pdf","Transcript Link")</f>
        <v>Transcript Link</v>
      </c>
      <c r="M146" s="2" t="str">
        <f>HYPERLINK("https://files.afu.se/Downloads/Transcripts/0%20-%20Government/USA%20-%20NASA/2022 06 24 - NASA - Looking to Power Surface Exploration on the Moon on This Week @NASA – June 24, 2022_oxdn7-FCTFE - transcript (automated).pdf","Transcript Link")</f>
        <v>Transcript Link</v>
      </c>
    </row>
    <row r="147" ht="225" spans="1:13">
      <c r="A147" s="1" t="s">
        <v>719</v>
      </c>
      <c r="B147" s="1" t="s">
        <v>13</v>
      </c>
      <c r="C147" s="4" t="s">
        <v>720</v>
      </c>
      <c r="D147" s="1" t="s">
        <v>721</v>
      </c>
      <c r="E147" s="1" t="s">
        <v>722</v>
      </c>
      <c r="F147" s="4" t="s">
        <v>17</v>
      </c>
      <c r="G147" s="1" t="s">
        <v>18</v>
      </c>
      <c r="H147" s="1" t="s">
        <v>19</v>
      </c>
      <c r="I147" s="1" t="s">
        <v>20</v>
      </c>
      <c r="J147" s="1" t="s">
        <v>723</v>
      </c>
      <c r="K147" s="1" t="s">
        <v>22</v>
      </c>
      <c r="L147" s="1" t="str">
        <f>HYPERLINK("https://files.afu.se/Downloads/Transcripts/0%20-%20Government/USA%20-%20NASA/2022 06 17 - NASA - The Next Prelaunch Rehearsal Before Our Artemis I Moon Mission on This Week @NASA – June 17, 2022_M06575CEHGE - transcript (automated).pdf","Transcript Link")</f>
        <v>Transcript Link</v>
      </c>
      <c r="M147" s="2" t="str">
        <f>HYPERLINK("https://files.afu.se/Downloads/Transcripts/0%20-%20Government/USA%20-%20NASA/2022 06 17 - NASA - The Next Prelaunch Rehearsal Before Our Artemis I Moon Mission on This Week @NASA – June 17, 2022_M06575CEHGE - transcript (automated).pdf","Transcript Link")</f>
        <v>Transcript Link</v>
      </c>
    </row>
    <row r="148" ht="165" spans="1:13">
      <c r="A148" s="1" t="s">
        <v>724</v>
      </c>
      <c r="B148" s="1" t="s">
        <v>13</v>
      </c>
      <c r="C148" s="4" t="s">
        <v>725</v>
      </c>
      <c r="D148" s="1" t="s">
        <v>726</v>
      </c>
      <c r="E148" s="1" t="s">
        <v>727</v>
      </c>
      <c r="F148" s="4" t="s">
        <v>17</v>
      </c>
      <c r="G148" s="1" t="s">
        <v>18</v>
      </c>
      <c r="H148" s="1" t="s">
        <v>19</v>
      </c>
      <c r="I148" s="1" t="s">
        <v>20</v>
      </c>
      <c r="J148" s="1" t="s">
        <v>728</v>
      </c>
      <c r="K148" s="1" t="s">
        <v>22</v>
      </c>
      <c r="L148" s="1" t="str">
        <f>HYPERLINK("https://files.afu.se/Downloads/Transcripts/0%20-%20Government/USA%20-%20NASA/2022 06 10 - NASA - Our Artemis I Mega Moon Rocket is Rolled to the Launch Pad on This Week @NASA – June 10, 2022_XPe0EapVicw - transcript (automated).pdf","Transcript Link")</f>
        <v>Transcript Link</v>
      </c>
      <c r="M148" s="2" t="str">
        <f>HYPERLINK("https://files.afu.se/Downloads/Transcripts/0%20-%20Government/USA%20-%20NASA/2022 06 10 - NASA - Our Artemis I Mega Moon Rocket is Rolled to the Launch Pad on This Week @NASA – June 10, 2022_XPe0EapVicw - transcript (automated).pdf","Transcript Link")</f>
        <v>Transcript Link</v>
      </c>
    </row>
    <row r="149" ht="165" spans="1:13">
      <c r="A149" s="1" t="s">
        <v>729</v>
      </c>
      <c r="B149" s="1" t="s">
        <v>13</v>
      </c>
      <c r="C149" s="4" t="s">
        <v>730</v>
      </c>
      <c r="D149" s="1" t="s">
        <v>731</v>
      </c>
      <c r="E149" s="1" t="s">
        <v>732</v>
      </c>
      <c r="F149" s="4" t="s">
        <v>17</v>
      </c>
      <c r="G149" s="1" t="s">
        <v>18</v>
      </c>
      <c r="H149" s="1" t="s">
        <v>19</v>
      </c>
      <c r="I149" s="1" t="s">
        <v>20</v>
      </c>
      <c r="J149" s="1" t="s">
        <v>733</v>
      </c>
      <c r="K149" s="1" t="s">
        <v>22</v>
      </c>
      <c r="L149" s="1" t="str">
        <f>HYPERLINK("https://files.afu.se/Downloads/Transcripts/0%20-%20Government/USA%20-%20NASA/2022 06 03 - NASA - An Important Target Date for the James Webb Space Telescope on This Week @NASA – June 3, 2022_tVZbrBbZ16g - transcript (automated).pdf","Transcript Link")</f>
        <v>Transcript Link</v>
      </c>
      <c r="M149" s="2" t="str">
        <f>HYPERLINK("https://files.afu.se/Downloads/Transcripts/0%20-%20Government/USA%20-%20NASA/2022 06 03 - NASA - An Important Target Date for the James Webb Space Telescope on This Week @NASA – June 3, 2022_tVZbrBbZ16g - transcript (automated).pdf","Transcript Link")</f>
        <v>Transcript Link</v>
      </c>
    </row>
    <row r="150" ht="409.5" spans="1:13">
      <c r="A150" s="1" t="s">
        <v>734</v>
      </c>
      <c r="B150" s="1" t="s">
        <v>13</v>
      </c>
      <c r="C150" s="4" t="s">
        <v>735</v>
      </c>
      <c r="D150" s="1" t="s">
        <v>736</v>
      </c>
      <c r="E150" s="1" t="s">
        <v>737</v>
      </c>
      <c r="F150" s="4" t="s">
        <v>17</v>
      </c>
      <c r="G150" s="1" t="s">
        <v>18</v>
      </c>
      <c r="H150" s="1" t="s">
        <v>19</v>
      </c>
      <c r="I150" s="1" t="s">
        <v>20</v>
      </c>
      <c r="J150" s="1" t="s">
        <v>738</v>
      </c>
      <c r="K150" s="1" t="s">
        <v>22</v>
      </c>
      <c r="L150" s="1" t="str">
        <f>HYPERLINK("https://files.afu.se/Downloads/Transcripts/0%20-%20Government/USA%20-%20NASA/2022 06 01 - NASA - Together We Rise_kr8XNrVCFUw - transcript (automated).pdf","Transcript Link")</f>
        <v>Transcript Link</v>
      </c>
      <c r="M150" s="2" t="str">
        <f>HYPERLINK("https://files.afu.se/Downloads/Transcripts/0%20-%20Government/USA%20-%20NASA/2022 06 01 - NASA - Together We Rise_kr8XNrVCFUw - transcript (automated).pdf","Transcript Link")</f>
        <v>Transcript Link</v>
      </c>
    </row>
    <row r="151" ht="360" spans="1:13">
      <c r="A151" s="1" t="s">
        <v>739</v>
      </c>
      <c r="B151" s="1" t="s">
        <v>13</v>
      </c>
      <c r="C151" s="4" t="s">
        <v>740</v>
      </c>
      <c r="D151" s="1" t="s">
        <v>741</v>
      </c>
      <c r="E151" s="1" t="s">
        <v>742</v>
      </c>
      <c r="F151" s="4" t="s">
        <v>17</v>
      </c>
      <c r="G151" s="1" t="s">
        <v>18</v>
      </c>
      <c r="H151" s="1" t="s">
        <v>19</v>
      </c>
      <c r="I151" s="1" t="s">
        <v>20</v>
      </c>
      <c r="J151" s="1" t="s">
        <v>743</v>
      </c>
      <c r="K151" s="1" t="s">
        <v>22</v>
      </c>
      <c r="L151" s="1" t="str">
        <f>HYPERLINK("https://files.afu.se/Downloads/Transcripts/0%20-%20Government/USA%20-%20NASA/2022 05 27 - NASA - A Commercial Crew Spacecraft’s Historic Test Mission on This Week @NASA – May 27, 2022_qUjZL6W9Bwk - transcript (automated).pdf","Transcript Link")</f>
        <v>Transcript Link</v>
      </c>
      <c r="M151" s="2" t="str">
        <f>HYPERLINK("https://files.afu.se/Downloads/Transcripts/0%20-%20Government/USA%20-%20NASA/2022 05 27 - NASA - A Commercial Crew Spacecraft’s Historic Test Mission on This Week @NASA – May 27, 2022_qUjZL6W9Bwk - transcript (automated).pdf","Transcript Link")</f>
        <v>Transcript Link</v>
      </c>
    </row>
    <row r="152" ht="225" spans="1:13">
      <c r="A152" s="1" t="s">
        <v>744</v>
      </c>
      <c r="B152" s="1" t="s">
        <v>13</v>
      </c>
      <c r="C152" s="4" t="s">
        <v>745</v>
      </c>
      <c r="D152" s="1" t="s">
        <v>746</v>
      </c>
      <c r="E152" s="1" t="s">
        <v>747</v>
      </c>
      <c r="F152" s="4" t="s">
        <v>17</v>
      </c>
      <c r="G152" s="1" t="s">
        <v>18</v>
      </c>
      <c r="H152" s="1" t="s">
        <v>19</v>
      </c>
      <c r="I152" s="1" t="s">
        <v>20</v>
      </c>
      <c r="J152" s="1" t="s">
        <v>748</v>
      </c>
      <c r="K152" s="1" t="s">
        <v>22</v>
      </c>
      <c r="L152" s="1" t="str">
        <f>HYPERLINK("https://files.afu.se/Downloads/Transcripts/0%20-%20Government/USA%20-%20NASA/2022 05 20 - NASA - The Next Commercial Crew Test Mission to the Space Station on This Week @NASA – May 20, 2022_H2ZK1yhdOoE - transcript (automated).pdf","Transcript Link")</f>
        <v>Transcript Link</v>
      </c>
      <c r="M152" s="2" t="str">
        <f>HYPERLINK("https://files.afu.se/Downloads/Transcripts/0%20-%20Government/USA%20-%20NASA/2022 05 20 - NASA - The Next Commercial Crew Test Mission to the Space Station on This Week @NASA – May 20, 2022_H2ZK1yhdOoE - transcript (automated).pdf","Transcript Link")</f>
        <v>Transcript Link</v>
      </c>
    </row>
    <row r="153" ht="240" spans="1:13">
      <c r="A153" s="1" t="s">
        <v>744</v>
      </c>
      <c r="B153" s="1" t="s">
        <v>13</v>
      </c>
      <c r="C153" s="4" t="s">
        <v>749</v>
      </c>
      <c r="D153" s="1" t="s">
        <v>750</v>
      </c>
      <c r="E153" s="1" t="s">
        <v>751</v>
      </c>
      <c r="F153" s="4" t="s">
        <v>17</v>
      </c>
      <c r="G153" s="1" t="s">
        <v>18</v>
      </c>
      <c r="H153" s="1" t="s">
        <v>19</v>
      </c>
      <c r="I153" s="1" t="s">
        <v>20</v>
      </c>
      <c r="J153" s="1" t="s">
        <v>752</v>
      </c>
      <c r="K153" s="1" t="s">
        <v>22</v>
      </c>
      <c r="L153" s="1" t="str">
        <f>HYPERLINK("https://files.afu.se/Downloads/Transcripts/0%20-%20Government/USA%20-%20NASA/2022 05 20 - NASA - NASA Astronaut Thomas Marshburn Reads “Goodnight Moon” in Space and Mark Vande Hei Answers Questions_fBamDgg4FPE - transcript (automated).pdf","Transcript Link")</f>
        <v>Transcript Link</v>
      </c>
      <c r="M153" s="2" t="str">
        <f>HYPERLINK("https://files.afu.se/Downloads/Transcripts/0%20-%20Government/USA%20-%20NASA/2022 05 20 - NASA - NASA Astronaut Thomas Marshburn Reads “Goodnight Moon” in Space and Mark Vande Hei Answers Questions_fBamDgg4FPE - transcript (automated).pdf","Transcript Link")</f>
        <v>Transcript Link</v>
      </c>
    </row>
    <row r="154" ht="225" spans="1:13">
      <c r="A154" s="1" t="s">
        <v>744</v>
      </c>
      <c r="B154" s="1" t="s">
        <v>13</v>
      </c>
      <c r="C154" s="4" t="s">
        <v>753</v>
      </c>
      <c r="D154" s="1" t="s">
        <v>754</v>
      </c>
      <c r="E154" s="1" t="s">
        <v>755</v>
      </c>
      <c r="F154" s="4" t="s">
        <v>17</v>
      </c>
      <c r="G154" s="1" t="s">
        <v>18</v>
      </c>
      <c r="H154" s="1" t="s">
        <v>19</v>
      </c>
      <c r="I154" s="1" t="s">
        <v>20</v>
      </c>
      <c r="J154" s="1" t="s">
        <v>756</v>
      </c>
      <c r="K154" s="1" t="s">
        <v>22</v>
      </c>
      <c r="L154" s="1" t="str">
        <f>HYPERLINK("https://files.afu.se/Downloads/Transcripts/0%20-%20Government/USA%20-%20NASA/2022 05 20 - NASA - NASA Astronaut Thomas Marshburn Reads “Goodnight Moon” in Space_ZFbkHUq3Duo - transcript (automated).pdf","Transcript Link")</f>
        <v>Transcript Link</v>
      </c>
      <c r="M154" s="2" t="str">
        <f>HYPERLINK("https://files.afu.se/Downloads/Transcripts/0%20-%20Government/USA%20-%20NASA/2022 05 20 - NASA - NASA Astronaut Thomas Marshburn Reads “Goodnight Moon” in Space_ZFbkHUq3Duo - transcript (automated).pdf","Transcript Link")</f>
        <v>Transcript Link</v>
      </c>
    </row>
    <row r="155" ht="225" spans="1:13">
      <c r="A155" s="1" t="s">
        <v>757</v>
      </c>
      <c r="B155" s="1" t="s">
        <v>13</v>
      </c>
      <c r="C155" s="4" t="s">
        <v>758</v>
      </c>
      <c r="D155" s="1" t="s">
        <v>759</v>
      </c>
      <c r="E155" s="1" t="s">
        <v>760</v>
      </c>
      <c r="F155" s="4" t="s">
        <v>17</v>
      </c>
      <c r="G155" s="1" t="s">
        <v>18</v>
      </c>
      <c r="H155" s="1" t="s">
        <v>19</v>
      </c>
      <c r="I155" s="1" t="s">
        <v>20</v>
      </c>
      <c r="J155" s="1" t="s">
        <v>761</v>
      </c>
      <c r="K155" s="1" t="s">
        <v>22</v>
      </c>
      <c r="L155" s="1" t="str">
        <f>HYPERLINK("https://files.afu.se/Downloads/Transcripts/0%20-%20Government/USA%20-%20NASA/2022 05 18 - NASA - Our Journey to 10 Million   NASA Gets a Diamond Play Button_FvUaXmFNqU8 - transcript (automated).pdf","Transcript Link")</f>
        <v>Transcript Link</v>
      </c>
      <c r="M155" s="2" t="str">
        <f>HYPERLINK("https://files.afu.se/Downloads/Transcripts/0%20-%20Government/USA%20-%20NASA/2022 05 18 - NASA - Our Journey to 10 Million   NASA Gets a Diamond Play Button_FvUaXmFNqU8 - transcript (automated).pdf","Transcript Link")</f>
        <v>Transcript Link</v>
      </c>
    </row>
    <row r="156" ht="405" spans="1:13">
      <c r="A156" s="1" t="s">
        <v>762</v>
      </c>
      <c r="B156" s="1" t="s">
        <v>13</v>
      </c>
      <c r="C156" s="4" t="s">
        <v>763</v>
      </c>
      <c r="D156" s="1" t="s">
        <v>764</v>
      </c>
      <c r="E156" s="1" t="s">
        <v>765</v>
      </c>
      <c r="F156" s="4" t="s">
        <v>17</v>
      </c>
      <c r="G156" s="1" t="s">
        <v>18</v>
      </c>
      <c r="H156" s="1" t="s">
        <v>19</v>
      </c>
      <c r="I156" s="1" t="s">
        <v>20</v>
      </c>
      <c r="J156" s="1" t="s">
        <v>766</v>
      </c>
      <c r="K156" s="1" t="s">
        <v>22</v>
      </c>
      <c r="L156" s="1" t="str">
        <f>HYPERLINK("https://files.afu.se/Downloads/Transcripts/0%20-%20Government/USA%20-%20NASA/2022 05 17 - NASA - NASA's CAPSTONE  Flying a New Path to the Moon_wSwJzy5LXb0 - transcript (automated).pdf","Transcript Link")</f>
        <v>Transcript Link</v>
      </c>
      <c r="M156" s="2" t="str">
        <f>HYPERLINK("https://files.afu.se/Downloads/Transcripts/0%20-%20Government/USA%20-%20NASA/2022 05 17 - NASA - NASA's CAPSTONE  Flying a New Path to the Moon_wSwJzy5LXb0 - transcript (automated).pdf","Transcript Link")</f>
        <v>Transcript Link</v>
      </c>
    </row>
    <row r="157" ht="409.5" spans="1:13">
      <c r="A157" s="1" t="s">
        <v>762</v>
      </c>
      <c r="B157" s="1" t="s">
        <v>13</v>
      </c>
      <c r="C157" s="4" t="s">
        <v>767</v>
      </c>
      <c r="D157" s="1" t="s">
        <v>768</v>
      </c>
      <c r="E157" s="1" t="s">
        <v>769</v>
      </c>
      <c r="F157" s="4" t="s">
        <v>17</v>
      </c>
      <c r="G157" s="1" t="s">
        <v>18</v>
      </c>
      <c r="H157" s="1" t="s">
        <v>19</v>
      </c>
      <c r="I157" s="1" t="s">
        <v>20</v>
      </c>
      <c r="J157" s="1" t="s">
        <v>770</v>
      </c>
      <c r="K157" s="1" t="s">
        <v>22</v>
      </c>
      <c r="L157" s="1" t="str">
        <f>HYPERLINK("https://files.afu.se/Downloads/Transcripts/0%20-%20Government/USA%20-%20NASA/2022 05 17 - NASA - Starliner to Launch on NASA's Boeing Orbital Flight Test-2 (Official Trailer)_g7Tos0blK4s - transcript (automated).pdf","Transcript Link")</f>
        <v>Transcript Link</v>
      </c>
      <c r="M157" s="2" t="str">
        <f>HYPERLINK("https://files.afu.se/Downloads/Transcripts/0%20-%20Government/USA%20-%20NASA/2022 05 17 - NASA - Starliner to Launch on NASA's Boeing Orbital Flight Test-2 (Official Trailer)_g7Tos0blK4s - transcript (automated).pdf","Transcript Link")</f>
        <v>Transcript Link</v>
      </c>
    </row>
    <row r="158" ht="210" spans="1:13">
      <c r="A158" s="1" t="s">
        <v>771</v>
      </c>
      <c r="B158" s="1" t="s">
        <v>13</v>
      </c>
      <c r="C158" s="4" t="s">
        <v>772</v>
      </c>
      <c r="D158" s="1" t="s">
        <v>773</v>
      </c>
      <c r="E158" s="1" t="s">
        <v>774</v>
      </c>
      <c r="F158" s="4" t="s">
        <v>17</v>
      </c>
      <c r="G158" s="1" t="s">
        <v>18</v>
      </c>
      <c r="H158" s="1" t="s">
        <v>19</v>
      </c>
      <c r="I158" s="1" t="s">
        <v>20</v>
      </c>
      <c r="J158" s="1" t="s">
        <v>775</v>
      </c>
      <c r="K158" s="1" t="s">
        <v>22</v>
      </c>
      <c r="L158" s="1" t="str">
        <f>HYPERLINK("https://files.afu.se/Downloads/Transcripts/0%20-%20Government/USA%20-%20NASA/2022 05 13 - NASA - The Webb Telescope is Closer to Starting Its Mission of Science on This Week @NASA – May 13, 2022_K4QFiuZcxao - transcript (automated).pdf","Transcript Link")</f>
        <v>Transcript Link</v>
      </c>
      <c r="M158" s="2" t="str">
        <f>HYPERLINK("https://files.afu.se/Downloads/Transcripts/0%20-%20Government/USA%20-%20NASA/2022 05 13 - NASA - The Webb Telescope is Closer to Starting Its Mission of Science on This Week @NASA – May 13, 2022_K4QFiuZcxao - transcript (automated).pdf","Transcript Link")</f>
        <v>Transcript Link</v>
      </c>
    </row>
    <row r="159" ht="210" spans="1:13">
      <c r="A159" s="1" t="s">
        <v>776</v>
      </c>
      <c r="B159" s="1" t="s">
        <v>13</v>
      </c>
      <c r="C159" s="4" t="s">
        <v>777</v>
      </c>
      <c r="D159" s="1" t="s">
        <v>778</v>
      </c>
      <c r="E159" s="1" t="s">
        <v>779</v>
      </c>
      <c r="F159" s="4" t="s">
        <v>17</v>
      </c>
      <c r="G159" s="1" t="s">
        <v>18</v>
      </c>
      <c r="H159" s="1" t="s">
        <v>19</v>
      </c>
      <c r="I159" s="1" t="s">
        <v>20</v>
      </c>
      <c r="J159" s="1" t="s">
        <v>780</v>
      </c>
      <c r="K159" s="1" t="s">
        <v>22</v>
      </c>
      <c r="L159" s="1" t="str">
        <f>HYPERLINK("https://files.afu.se/Downloads/Transcripts/0%20-%20Government/USA%20-%20NASA/2022 05 06 - NASA - The Crew-3 Astronauts Return From the Space Station on This Week @NASA – May 6, 2022_xhF2sYRr4jo - transcript (automated).pdf","Transcript Link")</f>
        <v>Transcript Link</v>
      </c>
      <c r="M159" s="2" t="str">
        <f>HYPERLINK("https://files.afu.se/Downloads/Transcripts/0%20-%20Government/USA%20-%20NASA/2022 05 06 - NASA - The Crew-3 Astronauts Return From the Space Station on This Week @NASA – May 6, 2022_xhF2sYRr4jo - transcript (automated).pdf","Transcript Link")</f>
        <v>Transcript Link</v>
      </c>
    </row>
    <row r="160" ht="345" spans="1:13">
      <c r="A160" s="1" t="s">
        <v>781</v>
      </c>
      <c r="B160" s="1" t="s">
        <v>13</v>
      </c>
      <c r="C160" s="4" t="s">
        <v>782</v>
      </c>
      <c r="D160" s="1" t="s">
        <v>783</v>
      </c>
      <c r="E160" s="1" t="s">
        <v>784</v>
      </c>
      <c r="F160" s="4" t="s">
        <v>17</v>
      </c>
      <c r="G160" s="1" t="s">
        <v>18</v>
      </c>
      <c r="H160" s="1" t="s">
        <v>19</v>
      </c>
      <c r="I160" s="1" t="s">
        <v>20</v>
      </c>
      <c r="J160" s="1" t="s">
        <v>785</v>
      </c>
      <c r="K160" s="1" t="s">
        <v>22</v>
      </c>
      <c r="L160" s="1" t="str">
        <f>HYPERLINK("https://files.afu.se/Downloads/Transcripts/0%20-%20Government/USA%20-%20NASA/2022 05 05 - NASA - NASA's Psyche Mission to an Asteroid  Official NASA Trailer_tAUbLVS243E - transcript (automated).pdf","Transcript Link")</f>
        <v>Transcript Link</v>
      </c>
      <c r="M160" s="2" t="str">
        <f>HYPERLINK("https://files.afu.se/Downloads/Transcripts/0%20-%20Government/USA%20-%20NASA/2022 05 05 - NASA - NASA's Psyche Mission to an Asteroid  Official NASA Trailer_tAUbLVS243E - transcript (automated).pdf","Transcript Link")</f>
        <v>Transcript Link</v>
      </c>
    </row>
    <row r="161" ht="225" spans="1:13">
      <c r="A161" s="1" t="s">
        <v>786</v>
      </c>
      <c r="B161" s="1" t="s">
        <v>13</v>
      </c>
      <c r="C161" s="4" t="s">
        <v>787</v>
      </c>
      <c r="D161" s="1" t="s">
        <v>788</v>
      </c>
      <c r="E161" s="1" t="s">
        <v>789</v>
      </c>
      <c r="F161" s="4" t="s">
        <v>17</v>
      </c>
      <c r="G161" s="1" t="s">
        <v>18</v>
      </c>
      <c r="H161" s="1" t="s">
        <v>19</v>
      </c>
      <c r="I161" s="1" t="s">
        <v>20</v>
      </c>
      <c r="J161" s="1" t="s">
        <v>790</v>
      </c>
      <c r="K161" s="1" t="s">
        <v>22</v>
      </c>
      <c r="L161" s="1" t="str">
        <f>HYPERLINK("https://files.afu.se/Downloads/Transcripts/0%20-%20Government/USA%20-%20NASA/2022 05 03 - NASA - NASA’s SpaceX Crew-3  Mission for Science_UJQIMO7Lso0 - transcript (automated).pdf","Transcript Link")</f>
        <v>Transcript Link</v>
      </c>
      <c r="M161" s="2" t="str">
        <f>HYPERLINK("https://files.afu.se/Downloads/Transcripts/0%20-%20Government/USA%20-%20NASA/2022 05 03 - NASA - NASA’s SpaceX Crew-3  Mission for Science_UJQIMO7Lso0 - transcript (automated).pdf","Transcript Link")</f>
        <v>Transcript Link</v>
      </c>
    </row>
    <row r="162" ht="285" spans="1:13">
      <c r="A162" s="1" t="s">
        <v>791</v>
      </c>
      <c r="B162" s="1" t="s">
        <v>13</v>
      </c>
      <c r="C162" s="4" t="s">
        <v>792</v>
      </c>
      <c r="D162" s="1" t="s">
        <v>793</v>
      </c>
      <c r="E162" s="1" t="s">
        <v>794</v>
      </c>
      <c r="F162" s="4" t="s">
        <v>17</v>
      </c>
      <c r="G162" s="1" t="s">
        <v>18</v>
      </c>
      <c r="H162" s="1" t="s">
        <v>19</v>
      </c>
      <c r="I162" s="1" t="s">
        <v>20</v>
      </c>
      <c r="J162" s="1" t="s">
        <v>795</v>
      </c>
      <c r="K162" s="1" t="s">
        <v>22</v>
      </c>
      <c r="L162" s="1" t="str">
        <f>HYPERLINK("https://files.afu.se/Downloads/Transcripts/0%20-%20Government/USA%20-%20NASA/2022 05 01 - NASA - What's on the Menu  Food and Culture on the Space Station_RMz1AiQOp-Q - transcript (automated).pdf","Transcript Link")</f>
        <v>Transcript Link</v>
      </c>
      <c r="M162" s="2" t="str">
        <f>HYPERLINK("https://files.afu.se/Downloads/Transcripts/0%20-%20Government/USA%20-%20NASA/2022 05 01 - NASA - What's on the Menu  Food and Culture on the Space Station_RMz1AiQOp-Q - transcript (automated).pdf","Transcript Link")</f>
        <v>Transcript Link</v>
      </c>
    </row>
    <row r="163" ht="165" spans="1:13">
      <c r="A163" s="1" t="s">
        <v>796</v>
      </c>
      <c r="B163" s="1" t="s">
        <v>13</v>
      </c>
      <c r="C163" s="4" t="s">
        <v>797</v>
      </c>
      <c r="D163" s="1" t="s">
        <v>798</v>
      </c>
      <c r="E163" s="1" t="s">
        <v>799</v>
      </c>
      <c r="F163" s="4" t="s">
        <v>17</v>
      </c>
      <c r="G163" s="1" t="s">
        <v>18</v>
      </c>
      <c r="H163" s="1" t="s">
        <v>19</v>
      </c>
      <c r="I163" s="1" t="s">
        <v>20</v>
      </c>
      <c r="J163" s="1" t="s">
        <v>800</v>
      </c>
      <c r="K163" s="1" t="s">
        <v>22</v>
      </c>
      <c r="L163" s="1" t="str">
        <f>HYPERLINK("https://files.afu.se/Downloads/Transcripts/0%20-%20Government/USA%20-%20NASA/2022 04 29 - NASA - A New Crew Launches to the Space Station on This Week @NASA – April 29, 2022_0hu0npYVcg0 - transcript (automated).pdf","Transcript Link")</f>
        <v>Transcript Link</v>
      </c>
      <c r="M163" s="2" t="str">
        <f>HYPERLINK("https://files.afu.se/Downloads/Transcripts/0%20-%20Government/USA%20-%20NASA/2022 04 29 - NASA - A New Crew Launches to the Space Station on This Week @NASA – April 29, 2022_0hu0npYVcg0 - transcript (automated).pdf","Transcript Link")</f>
        <v>Transcript Link</v>
      </c>
    </row>
    <row r="164" ht="285" spans="1:13">
      <c r="A164" s="1" t="s">
        <v>801</v>
      </c>
      <c r="B164" s="1" t="s">
        <v>13</v>
      </c>
      <c r="C164" s="4" t="s">
        <v>802</v>
      </c>
      <c r="D164" s="1" t="s">
        <v>803</v>
      </c>
      <c r="E164" s="1" t="s">
        <v>804</v>
      </c>
      <c r="F164" s="4" t="s">
        <v>17</v>
      </c>
      <c r="G164" s="1" t="s">
        <v>18</v>
      </c>
      <c r="H164" s="1" t="s">
        <v>19</v>
      </c>
      <c r="I164" s="1" t="s">
        <v>20</v>
      </c>
      <c r="J164" s="1" t="s">
        <v>805</v>
      </c>
      <c r="K164" s="1" t="s">
        <v>22</v>
      </c>
      <c r="L164" s="1" t="str">
        <f>HYPERLINK("https://files.afu.se/Downloads/Transcripts/0%20-%20Government/USA%20-%20NASA/2022 04 25 - NASA - Vice President Kamala Harris Speaks to NASA Astronaut Mark Vande Hei_xO2K51hu8R4 - transcript (automated).pdf","Transcript Link")</f>
        <v>Transcript Link</v>
      </c>
      <c r="M164" s="2" t="str">
        <f>HYPERLINK("https://files.afu.se/Downloads/Transcripts/0%20-%20Government/USA%20-%20NASA/2022 04 25 - NASA - Vice President Kamala Harris Speaks to NASA Astronaut Mark Vande Hei_xO2K51hu8R4 - transcript (automated).pdf","Transcript Link")</f>
        <v>Transcript Link</v>
      </c>
    </row>
    <row r="165" ht="210" spans="1:13">
      <c r="A165" s="1" t="s">
        <v>806</v>
      </c>
      <c r="B165" s="1" t="s">
        <v>13</v>
      </c>
      <c r="C165" s="4" t="s">
        <v>807</v>
      </c>
      <c r="D165" s="1" t="s">
        <v>808</v>
      </c>
      <c r="E165" s="1" t="s">
        <v>809</v>
      </c>
      <c r="F165" s="4" t="s">
        <v>17</v>
      </c>
      <c r="G165" s="1" t="s">
        <v>18</v>
      </c>
      <c r="H165" s="1" t="s">
        <v>19</v>
      </c>
      <c r="I165" s="1" t="s">
        <v>20</v>
      </c>
      <c r="J165" s="1" t="s">
        <v>810</v>
      </c>
      <c r="K165" s="1" t="s">
        <v>22</v>
      </c>
      <c r="L165" s="1" t="str">
        <f>HYPERLINK("https://files.afu.se/Downloads/Transcripts/0%20-%20Government/USA%20-%20NASA/2022 04 22 - NASA - The Next Crew of Astronauts Heading to the Space Station on This Week @NASA – April 22, 2022_HsNe0QoICXg - transcript (automated).pdf","Transcript Link")</f>
        <v>Transcript Link</v>
      </c>
      <c r="M165" s="2" t="str">
        <f>HYPERLINK("https://files.afu.se/Downloads/Transcripts/0%20-%20Government/USA%20-%20NASA/2022 04 22 - NASA - The Next Crew of Astronauts Heading to the Space Station on This Week @NASA – April 22, 2022_HsNe0QoICXg - transcript (automated).pdf","Transcript Link")</f>
        <v>Transcript Link</v>
      </c>
    </row>
    <row r="166" ht="360" spans="1:13">
      <c r="A166" s="1" t="s">
        <v>806</v>
      </c>
      <c r="B166" s="1" t="s">
        <v>13</v>
      </c>
      <c r="C166" s="4" t="s">
        <v>811</v>
      </c>
      <c r="D166" s="1" t="s">
        <v>812</v>
      </c>
      <c r="E166" s="1" t="s">
        <v>813</v>
      </c>
      <c r="F166" s="4" t="s">
        <v>17</v>
      </c>
      <c r="G166" s="1" t="s">
        <v>18</v>
      </c>
      <c r="H166" s="1" t="s">
        <v>19</v>
      </c>
      <c r="I166" s="1" t="s">
        <v>20</v>
      </c>
      <c r="J166" s="1" t="s">
        <v>814</v>
      </c>
      <c r="K166" s="1" t="s">
        <v>22</v>
      </c>
      <c r="L166" s="1" t="str">
        <f>HYPERLINK("https://files.afu.se/Downloads/Transcripts/0%20-%20Government/USA%20-%20NASA/2022 04 22 - NASA - Eddie Vedder of Pearl Jam Speaks with Astronauts in Space_rahrw5vdj7s - transcript (automated).pdf","Transcript Link")</f>
        <v>Transcript Link</v>
      </c>
      <c r="M166" s="2" t="str">
        <f>HYPERLINK("https://files.afu.se/Downloads/Transcripts/0%20-%20Government/USA%20-%20NASA/2022 04 22 - NASA - Eddie Vedder of Pearl Jam Speaks with Astronauts in Space_rahrw5vdj7s - transcript (automated).pdf","Transcript Link")</f>
        <v>Transcript Link</v>
      </c>
    </row>
    <row r="167" ht="210" spans="1:13">
      <c r="A167" s="1" t="s">
        <v>815</v>
      </c>
      <c r="B167" s="1" t="s">
        <v>13</v>
      </c>
      <c r="C167" s="4" t="s">
        <v>816</v>
      </c>
      <c r="D167" s="1" t="s">
        <v>817</v>
      </c>
      <c r="E167" s="1" t="s">
        <v>818</v>
      </c>
      <c r="F167" s="4" t="s">
        <v>17</v>
      </c>
      <c r="G167" s="1" t="s">
        <v>18</v>
      </c>
      <c r="H167" s="1" t="s">
        <v>19</v>
      </c>
      <c r="I167" s="1" t="s">
        <v>20</v>
      </c>
      <c r="J167" s="1" t="s">
        <v>819</v>
      </c>
      <c r="K167" s="1" t="s">
        <v>22</v>
      </c>
      <c r="L167" s="1" t="str">
        <f>HYPERLINK("https://files.afu.se/Downloads/Transcripts/0%20-%20Government/USA%20-%20NASA/2022 04 15 - NASA - Testing Our Mega Moon Rocket and Ground Systems on This Week @NASA – April 15, 2022_mr24dCVNiWE - transcript (automated).pdf","Transcript Link")</f>
        <v>Transcript Link</v>
      </c>
      <c r="M167" s="2" t="str">
        <f>HYPERLINK("https://files.afu.se/Downloads/Transcripts/0%20-%20Government/USA%20-%20NASA/2022 04 15 - NASA - Testing Our Mega Moon Rocket and Ground Systems on This Week @NASA – April 15, 2022_mr24dCVNiWE - transcript (automated).pdf","Transcript Link")</f>
        <v>Transcript Link</v>
      </c>
    </row>
    <row r="168" ht="210" spans="1:13">
      <c r="A168" s="1" t="s">
        <v>820</v>
      </c>
      <c r="B168" s="1" t="s">
        <v>13</v>
      </c>
      <c r="C168" s="4" t="s">
        <v>821</v>
      </c>
      <c r="D168" s="1" t="s">
        <v>822</v>
      </c>
      <c r="E168" s="1" t="s">
        <v>823</v>
      </c>
      <c r="F168" s="4" t="s">
        <v>17</v>
      </c>
      <c r="G168" s="1" t="s">
        <v>18</v>
      </c>
      <c r="H168" s="1" t="s">
        <v>19</v>
      </c>
      <c r="I168" s="1" t="s">
        <v>20</v>
      </c>
      <c r="J168" s="1" t="s">
        <v>824</v>
      </c>
      <c r="K168" s="1" t="s">
        <v>22</v>
      </c>
      <c r="L168" s="1" t="str">
        <f>HYPERLINK("https://files.afu.se/Downloads/Transcripts/0%20-%20Government/USA%20-%20NASA/2022 04 08 - NASA - Reflecting on a Record-Setting Spaceflight on This Week @NASA – April 8, 2022_dAud2oHQ_2Q - transcript (automated).pdf","Transcript Link")</f>
        <v>Transcript Link</v>
      </c>
      <c r="M168" s="2" t="str">
        <f>HYPERLINK("https://files.afu.se/Downloads/Transcripts/0%20-%20Government/USA%20-%20NASA/2022 04 08 - NASA - Reflecting on a Record-Setting Spaceflight on This Week @NASA – April 8, 2022_dAud2oHQ_2Q - transcript (automated).pdf","Transcript Link")</f>
        <v>Transcript Link</v>
      </c>
    </row>
    <row r="169" ht="315" spans="1:13">
      <c r="A169" s="1" t="s">
        <v>825</v>
      </c>
      <c r="B169" s="1" t="s">
        <v>13</v>
      </c>
      <c r="C169" s="4" t="s">
        <v>826</v>
      </c>
      <c r="D169" s="1" t="s">
        <v>827</v>
      </c>
      <c r="E169" s="1" t="s">
        <v>828</v>
      </c>
      <c r="F169" s="4" t="s">
        <v>17</v>
      </c>
      <c r="G169" s="1" t="s">
        <v>18</v>
      </c>
      <c r="H169" s="1" t="s">
        <v>19</v>
      </c>
      <c r="I169" s="1" t="s">
        <v>20</v>
      </c>
      <c r="J169" s="1" t="s">
        <v>829</v>
      </c>
      <c r="K169" s="1" t="s">
        <v>22</v>
      </c>
      <c r="L169" s="1" t="str">
        <f>HYPERLINK("https://files.afu.se/Downloads/Transcripts/0%20-%20Government/USA%20-%20NASA/2022 04 01 - NASA - The President’s Budget and the State of NASA on This Week @NASA – April 1, 2022_sTHzcLrHkBU - transcript (automated).pdf","Transcript Link")</f>
        <v>Transcript Link</v>
      </c>
      <c r="M169" s="2" t="str">
        <f>HYPERLINK("https://files.afu.se/Downloads/Transcripts/0%20-%20Government/USA%20-%20NASA/2022 04 01 - NASA - The President’s Budget and the State of NASA on This Week @NASA – April 1, 2022_sTHzcLrHkBU - transcript (automated).pdf","Transcript Link")</f>
        <v>Transcript Link</v>
      </c>
    </row>
    <row r="170" ht="165" spans="1:13">
      <c r="A170" s="1" t="s">
        <v>830</v>
      </c>
      <c r="B170" s="1" t="s">
        <v>13</v>
      </c>
      <c r="C170" s="4" t="s">
        <v>831</v>
      </c>
      <c r="D170" s="1" t="s">
        <v>832</v>
      </c>
      <c r="E170" s="1" t="s">
        <v>833</v>
      </c>
      <c r="F170" s="4" t="s">
        <v>17</v>
      </c>
      <c r="G170" s="1" t="s">
        <v>18</v>
      </c>
      <c r="H170" s="1" t="s">
        <v>19</v>
      </c>
      <c r="I170" s="1" t="s">
        <v>20</v>
      </c>
      <c r="J170" s="1" t="s">
        <v>834</v>
      </c>
      <c r="K170" s="1" t="s">
        <v>22</v>
      </c>
      <c r="L170" s="1" t="str">
        <f>HYPERLINK("https://files.afu.se/Downloads/Transcripts/0%20-%20Government/USA%20-%20NASA/2022 03 31 - NASA - %23EZScience  Inspiring Women in Space and Science_o4KQZmCyMko - transcript (automated).pdf","Transcript Link")</f>
        <v>Transcript Link</v>
      </c>
      <c r="M170" s="2" t="str">
        <f>HYPERLINK("https://files.afu.se/Downloads/Transcripts/0%20-%20Government/USA%20-%20NASA/2022 03 31 - NASA - %23EZScience  Inspiring Women in Space and Science_o4KQZmCyMko - transcript (automated).pdf","Transcript Link")</f>
        <v>Transcript Link</v>
      </c>
    </row>
    <row r="171" ht="255" spans="1:13">
      <c r="A171" s="1" t="s">
        <v>835</v>
      </c>
      <c r="B171" s="1" t="s">
        <v>13</v>
      </c>
      <c r="C171" s="4" t="s">
        <v>836</v>
      </c>
      <c r="D171" s="1" t="s">
        <v>837</v>
      </c>
      <c r="E171" s="1" t="s">
        <v>838</v>
      </c>
      <c r="F171" s="4" t="s">
        <v>17</v>
      </c>
      <c r="G171" s="1" t="s">
        <v>18</v>
      </c>
      <c r="H171" s="1" t="s">
        <v>19</v>
      </c>
      <c r="I171" s="1" t="s">
        <v>20</v>
      </c>
      <c r="J171" s="1" t="s">
        <v>839</v>
      </c>
      <c r="K171" s="1" t="s">
        <v>22</v>
      </c>
      <c r="L171" s="1" t="str">
        <f>HYPERLINK("https://files.afu.se/Downloads/Transcripts/0%20-%20Government/USA%20-%20NASA/2022 03 28 - NASA - NASA  We Dream Big, We Work Together_H47_lOBQ1fQ - transcript (automated).pdf","Transcript Link")</f>
        <v>Transcript Link</v>
      </c>
      <c r="M171" s="2" t="str">
        <f>HYPERLINK("https://files.afu.se/Downloads/Transcripts/0%20-%20Government/USA%20-%20NASA/2022 03 28 - NASA - NASA  We Dream Big, We Work Together_H47_lOBQ1fQ - transcript (automated).pdf","Transcript Link")</f>
        <v>Transcript Link</v>
      </c>
    </row>
    <row r="172" ht="409.5" spans="1:13">
      <c r="A172" s="1" t="s">
        <v>835</v>
      </c>
      <c r="B172" s="1" t="s">
        <v>13</v>
      </c>
      <c r="C172" s="4" t="s">
        <v>840</v>
      </c>
      <c r="D172" s="1" t="s">
        <v>841</v>
      </c>
      <c r="E172" s="1" t="s">
        <v>842</v>
      </c>
      <c r="F172" s="4" t="s">
        <v>17</v>
      </c>
      <c r="G172" s="1" t="s">
        <v>18</v>
      </c>
      <c r="H172" s="1" t="s">
        <v>19</v>
      </c>
      <c r="I172" s="1" t="s">
        <v>20</v>
      </c>
      <c r="J172" s="1" t="s">
        <v>843</v>
      </c>
      <c r="K172" s="1" t="s">
        <v>22</v>
      </c>
      <c r="L172" s="1" t="str">
        <f>HYPERLINK("https://files.afu.se/Downloads/Transcripts/0%20-%20Government/USA%20-%20NASA/2022 03 28 - NASA - Exploring the Secrets of the Universe for the Benefit of All (%23StateOfNASA 2022 Highlights)_wdqapiuJmbQ - transcript (automated).pdf","Transcript Link")</f>
        <v>Transcript Link</v>
      </c>
      <c r="M172" s="2" t="str">
        <f>HYPERLINK("https://files.afu.se/Downloads/Transcripts/0%20-%20Government/USA%20-%20NASA/2022 03 28 - NASA - Exploring the Secrets of the Universe for the Benefit of All (%23StateOfNASA 2022 Highlights)_wdqapiuJmbQ - transcript (automated).pdf","Transcript Link")</f>
        <v>Transcript Link</v>
      </c>
    </row>
    <row r="173" ht="210" spans="1:13">
      <c r="A173" s="1" t="s">
        <v>844</v>
      </c>
      <c r="B173" s="1" t="s">
        <v>13</v>
      </c>
      <c r="C173" s="4" t="s">
        <v>845</v>
      </c>
      <c r="D173" s="1" t="s">
        <v>846</v>
      </c>
      <c r="E173" s="1" t="s">
        <v>847</v>
      </c>
      <c r="F173" s="4" t="s">
        <v>17</v>
      </c>
      <c r="G173" s="1" t="s">
        <v>18</v>
      </c>
      <c r="H173" s="1" t="s">
        <v>19</v>
      </c>
      <c r="I173" s="1" t="s">
        <v>20</v>
      </c>
      <c r="J173" s="1" t="s">
        <v>848</v>
      </c>
      <c r="K173" s="1" t="s">
        <v>22</v>
      </c>
      <c r="L173" s="1" t="str">
        <f>HYPERLINK("https://files.afu.se/Downloads/Transcripts/0%20-%20Government/USA%20-%20NASA/2022 03 25 - NASA - Upgrade Work Continues Outside the Space Station on This Week @NASA – March 25, 2022_kIFDbuEJXwM - transcript (automated).pdf","Transcript Link")</f>
        <v>Transcript Link</v>
      </c>
      <c r="M173" s="2" t="str">
        <f>HYPERLINK("https://files.afu.se/Downloads/Transcripts/0%20-%20Government/USA%20-%20NASA/2022 03 25 - NASA - Upgrade Work Continues Outside the Space Station on This Week @NASA – March 25, 2022_kIFDbuEJXwM - transcript (automated).pdf","Transcript Link")</f>
        <v>Transcript Link</v>
      </c>
    </row>
    <row r="174" ht="409.5" spans="1:13">
      <c r="A174" s="1" t="s">
        <v>844</v>
      </c>
      <c r="B174" s="1" t="s">
        <v>13</v>
      </c>
      <c r="C174" s="4" t="s">
        <v>849</v>
      </c>
      <c r="D174" s="1" t="s">
        <v>850</v>
      </c>
      <c r="E174" s="1" t="s">
        <v>851</v>
      </c>
      <c r="F174" s="4" t="s">
        <v>17</v>
      </c>
      <c r="G174" s="1" t="s">
        <v>18</v>
      </c>
      <c r="H174" s="1" t="s">
        <v>19</v>
      </c>
      <c r="I174" s="1" t="s">
        <v>20</v>
      </c>
      <c r="J174" s="1" t="s">
        <v>852</v>
      </c>
      <c r="K174" s="1" t="s">
        <v>22</v>
      </c>
      <c r="L174" s="1" t="str">
        <f>HYPERLINK("https://files.afu.se/Downloads/Transcripts/0%20-%20Government/USA%20-%20NASA/2022 03 25 - NASA - Wally Funk &amp; the Mars Ingenuity Helicopter Team Awarded Michael Collins Trophies_gc0AdfnaveQ - transcript (automated).pdf","Transcript Link")</f>
        <v>Transcript Link</v>
      </c>
      <c r="M174" s="2" t="str">
        <f>HYPERLINK("https://files.afu.se/Downloads/Transcripts/0%20-%20Government/USA%20-%20NASA/2022 03 25 - NASA - Wally Funk &amp; the Mars Ingenuity Helicopter Team Awarded Michael Collins Trophies_gc0AdfnaveQ - transcript (automated).pdf","Transcript Link")</f>
        <v>Transcript Link</v>
      </c>
    </row>
    <row r="175" ht="409.5" spans="1:13">
      <c r="A175" s="1" t="s">
        <v>853</v>
      </c>
      <c r="B175" s="1" t="s">
        <v>13</v>
      </c>
      <c r="C175" s="4" t="s">
        <v>854</v>
      </c>
      <c r="D175" s="1" t="s">
        <v>855</v>
      </c>
      <c r="E175" s="1" t="s">
        <v>856</v>
      </c>
      <c r="F175" s="4" t="s">
        <v>17</v>
      </c>
      <c r="G175" s="1" t="s">
        <v>18</v>
      </c>
      <c r="H175" s="1" t="s">
        <v>19</v>
      </c>
      <c r="I175" s="1" t="s">
        <v>20</v>
      </c>
      <c r="J175" s="1" t="s">
        <v>857</v>
      </c>
      <c r="K175" s="1" t="s">
        <v>22</v>
      </c>
      <c r="L175" s="1" t="str">
        <f>HYPERLINK("https://files.afu.se/Downloads/Transcripts/0%20-%20Government/USA%20-%20NASA/2022 03 21 - NASA - 5,000 Exoplanets  Listen to the Sounds of Discovery (360 Video)_OOwI3nTAHIc - transcript (automated).pdf","Transcript Link")</f>
        <v>Transcript Link</v>
      </c>
      <c r="M175" s="2" t="str">
        <f>HYPERLINK("https://files.afu.se/Downloads/Transcripts/0%20-%20Government/USA%20-%20NASA/2022 03 21 - NASA - 5,000 Exoplanets  Listen to the Sounds of Discovery (360 Video)_OOwI3nTAHIc - transcript (automated).pdf","Transcript Link")</f>
        <v>Transcript Link</v>
      </c>
    </row>
    <row r="176" ht="285" spans="1:13">
      <c r="A176" s="1" t="s">
        <v>853</v>
      </c>
      <c r="B176" s="1" t="s">
        <v>13</v>
      </c>
      <c r="C176" s="4" t="s">
        <v>858</v>
      </c>
      <c r="D176" s="1" t="s">
        <v>859</v>
      </c>
      <c r="E176" s="1" t="s">
        <v>860</v>
      </c>
      <c r="F176" s="4" t="s">
        <v>17</v>
      </c>
      <c r="G176" s="1" t="s">
        <v>18</v>
      </c>
      <c r="H176" s="1" t="s">
        <v>19</v>
      </c>
      <c r="I176" s="1" t="s">
        <v>20</v>
      </c>
      <c r="J176" s="1" t="s">
        <v>861</v>
      </c>
      <c r="K176" s="1" t="s">
        <v>22</v>
      </c>
      <c r="L176" s="1" t="str">
        <f>HYPERLINK("https://files.afu.se/Downloads/Transcripts/0%20-%20Government/USA%20-%20NASA/2022 03 21 - NASA - 5,000 Exoplanets  Listen to the Sounds of Discovery (NASA Data Sonification)_yv4DbU1CWAY - transcript (automated).pdf","Transcript Link")</f>
        <v>Transcript Link</v>
      </c>
      <c r="M176" s="2" t="str">
        <f>HYPERLINK("https://files.afu.se/Downloads/Transcripts/0%20-%20Government/USA%20-%20NASA/2022 03 21 - NASA - 5,000 Exoplanets  Listen to the Sounds of Discovery (NASA Data Sonification)_yv4DbU1CWAY - transcript (automated).pdf","Transcript Link")</f>
        <v>Transcript Link</v>
      </c>
    </row>
    <row r="177" ht="165" spans="1:13">
      <c r="A177" s="1" t="s">
        <v>862</v>
      </c>
      <c r="B177" s="1" t="s">
        <v>13</v>
      </c>
      <c r="C177" s="4" t="s">
        <v>863</v>
      </c>
      <c r="D177" s="1" t="s">
        <v>864</v>
      </c>
      <c r="E177" s="1" t="s">
        <v>865</v>
      </c>
      <c r="F177" s="4" t="s">
        <v>17</v>
      </c>
      <c r="G177" s="1" t="s">
        <v>18</v>
      </c>
      <c r="H177" s="1" t="s">
        <v>19</v>
      </c>
      <c r="I177" s="1" t="s">
        <v>20</v>
      </c>
      <c r="J177" s="1" t="s">
        <v>866</v>
      </c>
      <c r="K177" s="1" t="s">
        <v>22</v>
      </c>
      <c r="L177" s="1" t="str">
        <f>HYPERLINK("https://files.afu.se/Downloads/Transcripts/0%20-%20Government/USA%20-%20NASA/2022 03 18 - NASA - Preparing the Space Station for Solar Array Upgrades on This Week @NASA – March 18, 2022_NDmFz_Qe5A0 - transcript (automated).pdf","Transcript Link")</f>
        <v>Transcript Link</v>
      </c>
      <c r="M177" s="2" t="str">
        <f>HYPERLINK("https://files.afu.se/Downloads/Transcripts/0%20-%20Government/USA%20-%20NASA/2022 03 18 - NASA - Preparing the Space Station for Solar Array Upgrades on This Week @NASA – March 18, 2022_NDmFz_Qe5A0 - transcript (automated).pdf","Transcript Link")</f>
        <v>Transcript Link</v>
      </c>
    </row>
    <row r="178" ht="390" spans="1:13">
      <c r="A178" s="1" t="s">
        <v>867</v>
      </c>
      <c r="B178" s="1" t="s">
        <v>13</v>
      </c>
      <c r="C178" s="4" t="s">
        <v>868</v>
      </c>
      <c r="D178" s="1" t="s">
        <v>869</v>
      </c>
      <c r="E178" s="1" t="s">
        <v>870</v>
      </c>
      <c r="F178" s="4" t="s">
        <v>17</v>
      </c>
      <c r="G178" s="1" t="s">
        <v>18</v>
      </c>
      <c r="H178" s="1" t="s">
        <v>19</v>
      </c>
      <c r="I178" s="1" t="s">
        <v>20</v>
      </c>
      <c r="J178" s="1" t="s">
        <v>871</v>
      </c>
      <c r="K178" s="1" t="s">
        <v>22</v>
      </c>
      <c r="L178" s="1" t="str">
        <f>HYPERLINK("https://files.afu.se/Downloads/Transcripts/0%20-%20Government/USA%20-%20NASA/2022 03 17 - NASA -  Invincible  by Eddie Vedder, featuring NASA's Artemis I Moon Mission (Official Video)_WY7POkaxAX8 - transcript (automated).pdf","Transcript Link")</f>
        <v>Transcript Link</v>
      </c>
      <c r="M178" s="2" t="str">
        <f>HYPERLINK("https://files.afu.se/Downloads/Transcripts/0%20-%20Government/USA%20-%20NASA/2022 03 17 - NASA -  Invincible  by Eddie Vedder, featuring NASA's Artemis I Moon Mission (Official Video)_WY7POkaxAX8 - transcript (automated).pdf","Transcript Link")</f>
        <v>Transcript Link</v>
      </c>
    </row>
    <row r="179" ht="165" spans="1:13">
      <c r="A179" s="1" t="s">
        <v>872</v>
      </c>
      <c r="B179" s="1" t="s">
        <v>13</v>
      </c>
      <c r="C179" s="4" t="s">
        <v>873</v>
      </c>
      <c r="D179" s="1" t="s">
        <v>874</v>
      </c>
      <c r="E179" s="1" t="s">
        <v>875</v>
      </c>
      <c r="F179" s="4" t="s">
        <v>17</v>
      </c>
      <c r="G179" s="1" t="s">
        <v>18</v>
      </c>
      <c r="H179" s="1" t="s">
        <v>19</v>
      </c>
      <c r="I179" s="1" t="s">
        <v>20</v>
      </c>
      <c r="J179" s="1" t="s">
        <v>876</v>
      </c>
      <c r="K179" s="1" t="s">
        <v>22</v>
      </c>
      <c r="L179" s="1" t="str">
        <f>HYPERLINK("https://files.afu.se/Downloads/Transcripts/0%20-%20Government/USA%20-%20NASA/2022 03 14 - NASA - Artemis I Rollout Trailer_mtsWDWCCSG0 - transcript (automated).pdf","Transcript Link")</f>
        <v>Transcript Link</v>
      </c>
      <c r="M179" s="2" t="str">
        <f>HYPERLINK("https://files.afu.se/Downloads/Transcripts/0%20-%20Government/USA%20-%20NASA/2022 03 14 - NASA - Artemis I Rollout Trailer_mtsWDWCCSG0 - transcript (automated).pdf","Transcript Link")</f>
        <v>Transcript Link</v>
      </c>
    </row>
    <row r="180" ht="285" spans="1:13">
      <c r="A180" s="1" t="s">
        <v>877</v>
      </c>
      <c r="B180" s="1" t="s">
        <v>13</v>
      </c>
      <c r="C180" s="4" t="s">
        <v>878</v>
      </c>
      <c r="D180" s="1" t="s">
        <v>879</v>
      </c>
      <c r="E180" s="1" t="s">
        <v>880</v>
      </c>
      <c r="F180" s="4" t="s">
        <v>17</v>
      </c>
      <c r="G180" s="1" t="s">
        <v>18</v>
      </c>
      <c r="H180" s="1" t="s">
        <v>19</v>
      </c>
      <c r="I180" s="1" t="s">
        <v>20</v>
      </c>
      <c r="J180" s="1" t="s">
        <v>881</v>
      </c>
      <c r="K180" s="1" t="s">
        <v>22</v>
      </c>
      <c r="L180" s="1" t="str">
        <f>HYPERLINK("https://files.afu.se/Downloads/Transcripts/0%20-%20Government/USA%20-%20NASA/2022 03 13 - NASA - People of Artemis_51WbSe5Qww4 - transcript (automated).pdf","Transcript Link")</f>
        <v>Transcript Link</v>
      </c>
      <c r="M180" s="2" t="str">
        <f>HYPERLINK("https://files.afu.se/Downloads/Transcripts/0%20-%20Government/USA%20-%20NASA/2022 03 13 - NASA - People of Artemis_51WbSe5Qww4 - transcript (automated).pdf","Transcript Link")</f>
        <v>Transcript Link</v>
      </c>
    </row>
    <row r="181" ht="165" spans="1:13">
      <c r="A181" s="1" t="s">
        <v>882</v>
      </c>
      <c r="B181" s="1" t="s">
        <v>13</v>
      </c>
      <c r="C181" s="4" t="s">
        <v>883</v>
      </c>
      <c r="D181" s="1" t="s">
        <v>884</v>
      </c>
      <c r="E181" s="1" t="s">
        <v>885</v>
      </c>
      <c r="F181" s="4" t="s">
        <v>17</v>
      </c>
      <c r="G181" s="1" t="s">
        <v>18</v>
      </c>
      <c r="H181" s="1" t="s">
        <v>19</v>
      </c>
      <c r="I181" s="1" t="s">
        <v>20</v>
      </c>
      <c r="J181" s="1" t="s">
        <v>886</v>
      </c>
      <c r="K181" s="1" t="s">
        <v>22</v>
      </c>
      <c r="L181" s="1" t="str">
        <f>HYPERLINK("https://files.afu.se/Downloads/Transcripts/0%20-%20Government/USA%20-%20NASA/2022 03 11 - NASA - Showcasing Our Efforts to Monitor Earth’s Climate on This Week @NASA – March 11, 2022_3pq8El88_XI - transcript (automated).pdf","Transcript Link")</f>
        <v>Transcript Link</v>
      </c>
      <c r="M181" s="2" t="str">
        <f>HYPERLINK("https://files.afu.se/Downloads/Transcripts/0%20-%20Government/USA%20-%20NASA/2022 03 11 - NASA - Showcasing Our Efforts to Monitor Earth’s Climate on This Week @NASA – March 11, 2022_3pq8El88_XI - transcript (automated).pdf","Transcript Link")</f>
        <v>Transcript Link</v>
      </c>
    </row>
    <row r="182" ht="409.5" spans="1:13">
      <c r="A182" s="1" t="s">
        <v>887</v>
      </c>
      <c r="B182" s="1" t="s">
        <v>13</v>
      </c>
      <c r="C182" s="4" t="s">
        <v>888</v>
      </c>
      <c r="D182" s="1" t="s">
        <v>889</v>
      </c>
      <c r="E182" s="1" t="s">
        <v>890</v>
      </c>
      <c r="F182" s="4" t="s">
        <v>17</v>
      </c>
      <c r="G182" s="1" t="s">
        <v>18</v>
      </c>
      <c r="H182" s="1" t="s">
        <v>19</v>
      </c>
      <c r="I182" s="1" t="s">
        <v>20</v>
      </c>
      <c r="J182" s="1" t="s">
        <v>891</v>
      </c>
      <c r="K182" s="1" t="s">
        <v>22</v>
      </c>
      <c r="L182" s="1" t="str">
        <f>HYPERLINK("https://files.afu.se/Downloads/Transcripts/0%20-%20Government/USA%20-%20NASA/2022 03 09 - NASA - NASA’s Exoplanet Superheroes__yUXG-Fk-X0 - transcript (automated).pdf","Transcript Link")</f>
        <v>Transcript Link</v>
      </c>
      <c r="M182" s="2" t="str">
        <f>HYPERLINK("https://files.afu.se/Downloads/Transcripts/0%20-%20Government/USA%20-%20NASA/2022 03 09 - NASA - NASA’s Exoplanet Superheroes__yUXG-Fk-X0 - transcript (automated).pdf","Transcript Link")</f>
        <v>Transcript Link</v>
      </c>
    </row>
    <row r="183" ht="165" spans="1:13">
      <c r="A183" s="1" t="s">
        <v>892</v>
      </c>
      <c r="B183" s="1" t="s">
        <v>13</v>
      </c>
      <c r="C183" s="4" t="s">
        <v>893</v>
      </c>
      <c r="D183" s="1" t="s">
        <v>894</v>
      </c>
      <c r="E183" s="1" t="s">
        <v>895</v>
      </c>
      <c r="F183" s="4" t="s">
        <v>17</v>
      </c>
      <c r="G183" s="1" t="s">
        <v>18</v>
      </c>
      <c r="H183" s="1" t="s">
        <v>19</v>
      </c>
      <c r="I183" s="1" t="s">
        <v>20</v>
      </c>
      <c r="J183" s="1" t="s">
        <v>896</v>
      </c>
      <c r="K183" s="1" t="s">
        <v>22</v>
      </c>
      <c r="L183" s="1" t="str">
        <f>HYPERLINK("https://files.afu.se/Downloads/Transcripts/0%20-%20Government/USA%20-%20NASA/2022 03 04 - NASA - Launching a New Earth-Observing Satellite on This Week @NASA – March 4, 2022_CI-_QT_u8mE - transcript (automated).pdf","Transcript Link")</f>
        <v>Transcript Link</v>
      </c>
      <c r="M183" s="2" t="str">
        <f>HYPERLINK("https://files.afu.se/Downloads/Transcripts/0%20-%20Government/USA%20-%20NASA/2022 03 04 - NASA - Launching a New Earth-Observing Satellite on This Week @NASA – March 4, 2022_CI-_QT_u8mE - transcript (automated).pdf","Transcript Link")</f>
        <v>Transcript Link</v>
      </c>
    </row>
    <row r="184" ht="300" spans="1:13">
      <c r="A184" s="1" t="s">
        <v>897</v>
      </c>
      <c r="B184" s="1" t="s">
        <v>13</v>
      </c>
      <c r="C184" s="4" t="s">
        <v>898</v>
      </c>
      <c r="D184" s="1" t="s">
        <v>899</v>
      </c>
      <c r="E184" s="1" t="s">
        <v>900</v>
      </c>
      <c r="F184" s="4" t="s">
        <v>17</v>
      </c>
      <c r="G184" s="1" t="s">
        <v>18</v>
      </c>
      <c r="H184" s="1" t="s">
        <v>19</v>
      </c>
      <c r="I184" s="1" t="s">
        <v>20</v>
      </c>
      <c r="J184" s="1" t="s">
        <v>901</v>
      </c>
      <c r="K184" s="1" t="s">
        <v>22</v>
      </c>
      <c r="L184" s="1" t="str">
        <f>HYPERLINK("https://files.afu.se/Downloads/Transcripts/0%20-%20Government/USA%20-%20NASA/2022 03 01 - NASA - Pioneers to New Frontiers  NASA Women Through the Decades_7Ns64uz0-AQ - transcript (automated).pdf","Transcript Link")</f>
        <v>Transcript Link</v>
      </c>
      <c r="M184" s="2" t="str">
        <f>HYPERLINK("https://files.afu.se/Downloads/Transcripts/0%20-%20Government/USA%20-%20NASA/2022 03 01 - NASA - Pioneers to New Frontiers  NASA Women Through the Decades_7Ns64uz0-AQ - transcript (automated).pdf","Transcript Link")</f>
        <v>Transcript Link</v>
      </c>
    </row>
    <row r="185" ht="315" spans="1:13">
      <c r="A185" s="1" t="s">
        <v>902</v>
      </c>
      <c r="B185" s="1" t="s">
        <v>13</v>
      </c>
      <c r="C185" s="4" t="s">
        <v>903</v>
      </c>
      <c r="D185" s="1" t="s">
        <v>904</v>
      </c>
      <c r="E185" s="1" t="s">
        <v>905</v>
      </c>
      <c r="F185" s="4" t="s">
        <v>17</v>
      </c>
      <c r="G185" s="1" t="s">
        <v>18</v>
      </c>
      <c r="H185" s="1" t="s">
        <v>19</v>
      </c>
      <c r="I185" s="1" t="s">
        <v>20</v>
      </c>
      <c r="J185" s="1" t="s">
        <v>906</v>
      </c>
      <c r="K185" s="1" t="s">
        <v>22</v>
      </c>
      <c r="L185" s="1" t="str">
        <f>HYPERLINK("https://files.afu.se/Downloads/Transcripts/0%20-%20Government/USA%20-%20NASA/2022 02 25 - NASA - An Update on Our Artemis I Mission on This Week @NASA – February 25, 2022_EslP8R8hK88 - transcript (automated).pdf","Transcript Link")</f>
        <v>Transcript Link</v>
      </c>
      <c r="M185" s="2" t="str">
        <f>HYPERLINK("https://files.afu.se/Downloads/Transcripts/0%20-%20Government/USA%20-%20NASA/2022 02 25 - NASA - An Update on Our Artemis I Mission on This Week @NASA – February 25, 2022_EslP8R8hK88 - transcript (automated).pdf","Transcript Link")</f>
        <v>Transcript Link</v>
      </c>
    </row>
    <row r="186" ht="315" spans="1:13">
      <c r="A186" s="1" t="s">
        <v>907</v>
      </c>
      <c r="B186" s="1" t="s">
        <v>13</v>
      </c>
      <c r="C186" s="4" t="s">
        <v>908</v>
      </c>
      <c r="D186" s="1" t="s">
        <v>909</v>
      </c>
      <c r="E186" s="1" t="s">
        <v>910</v>
      </c>
      <c r="F186" s="4" t="s">
        <v>17</v>
      </c>
      <c r="G186" s="1" t="s">
        <v>18</v>
      </c>
      <c r="H186" s="1" t="s">
        <v>19</v>
      </c>
      <c r="I186" s="1" t="s">
        <v>20</v>
      </c>
      <c r="J186" s="1" t="s">
        <v>911</v>
      </c>
      <c r="K186" s="1" t="s">
        <v>22</v>
      </c>
      <c r="L186" s="1" t="str">
        <f>HYPERLINK("https://files.afu.se/Downloads/Transcripts/0%20-%20Government/USA%20-%20NASA/2022 02 18 - NASA - The Next Commercial Cargo Mission to the Space Station on This Week @NASA – February 18, 2022_KYNlp3AFZhw - transcript (automated).pdf","Transcript Link")</f>
        <v>Transcript Link</v>
      </c>
      <c r="M186" s="2" t="str">
        <f>HYPERLINK("https://files.afu.se/Downloads/Transcripts/0%20-%20Government/USA%20-%20NASA/2022 02 18 - NASA - The Next Commercial Cargo Mission to the Space Station on This Week @NASA – February 18, 2022_KYNlp3AFZhw - transcript (automated).pdf","Transcript Link")</f>
        <v>Transcript Link</v>
      </c>
    </row>
    <row r="187" ht="330" spans="1:13">
      <c r="A187" s="1" t="s">
        <v>912</v>
      </c>
      <c r="B187" s="1" t="s">
        <v>13</v>
      </c>
      <c r="C187" s="4" t="s">
        <v>913</v>
      </c>
      <c r="D187" s="1" t="s">
        <v>914</v>
      </c>
      <c r="E187" s="1" t="s">
        <v>915</v>
      </c>
      <c r="F187" s="4" t="s">
        <v>17</v>
      </c>
      <c r="G187" s="1" t="s">
        <v>18</v>
      </c>
      <c r="H187" s="1" t="s">
        <v>19</v>
      </c>
      <c r="I187" s="1" t="s">
        <v>20</v>
      </c>
      <c r="J187" s="1" t="s">
        <v>916</v>
      </c>
      <c r="K187" s="1" t="s">
        <v>22</v>
      </c>
      <c r="L187" s="1" t="str">
        <f>HYPERLINK("https://files.afu.se/Downloads/Transcripts/0%20-%20Government/USA%20-%20NASA/2022 02 11 - NASA - Fine-Tuning the James Webb Space Telescope on This Week @NASA – February 11, 2022_4ELrOBFe_ZE - transcript (automated).pdf","Transcript Link")</f>
        <v>Transcript Link</v>
      </c>
      <c r="M187" s="2" t="str">
        <f>HYPERLINK("https://files.afu.se/Downloads/Transcripts/0%20-%20Government/USA%20-%20NASA/2022 02 11 - NASA - Fine-Tuning the James Webb Space Telescope on This Week @NASA – February 11, 2022_4ELrOBFe_ZE - transcript (automated).pdf","Transcript Link")</f>
        <v>Transcript Link</v>
      </c>
    </row>
    <row r="188" ht="165" spans="1:13">
      <c r="A188" s="1" t="s">
        <v>917</v>
      </c>
      <c r="B188" s="1" t="s">
        <v>13</v>
      </c>
      <c r="C188" s="4" t="s">
        <v>918</v>
      </c>
      <c r="D188" s="1" t="s">
        <v>919</v>
      </c>
      <c r="E188" s="1" t="s">
        <v>920</v>
      </c>
      <c r="F188" s="4" t="s">
        <v>17</v>
      </c>
      <c r="G188" s="1" t="s">
        <v>18</v>
      </c>
      <c r="H188" s="1" t="s">
        <v>19</v>
      </c>
      <c r="I188" s="1" t="s">
        <v>20</v>
      </c>
      <c r="J188" s="1" t="s">
        <v>921</v>
      </c>
      <c r="K188" s="1" t="s">
        <v>22</v>
      </c>
      <c r="L188" s="1" t="str">
        <f>HYPERLINK("https://files.afu.se/Downloads/Transcripts/0%20-%20Government/USA%20-%20NASA/2022 02 04 - NASA - A Milestone for an American Astronaut on the Space Station on This Week @NASA – February 4, 2022_ntkpK9gwEU4 - transcript (automated).pdf","Transcript Link")</f>
        <v>Transcript Link</v>
      </c>
      <c r="M188" s="2" t="str">
        <f>HYPERLINK("https://files.afu.se/Downloads/Transcripts/0%20-%20Government/USA%20-%20NASA/2022 02 04 - NASA - A Milestone for an American Astronaut on the Space Station on This Week @NASA – February 4, 2022_ntkpK9gwEU4 - transcript (automated).pdf","Transcript Link")</f>
        <v>Transcript Link</v>
      </c>
    </row>
    <row r="189" ht="165" spans="1:13">
      <c r="A189" s="1" t="s">
        <v>922</v>
      </c>
      <c r="B189" s="1" t="s">
        <v>13</v>
      </c>
      <c r="C189" s="4" t="s">
        <v>923</v>
      </c>
      <c r="D189" s="1" t="s">
        <v>924</v>
      </c>
      <c r="E189" s="1" t="s">
        <v>925</v>
      </c>
      <c r="F189" s="4" t="s">
        <v>17</v>
      </c>
      <c r="G189" s="1" t="s">
        <v>18</v>
      </c>
      <c r="H189" s="1" t="s">
        <v>19</v>
      </c>
      <c r="I189" s="1" t="s">
        <v>20</v>
      </c>
      <c r="J189" s="1" t="s">
        <v>926</v>
      </c>
      <c r="K189" s="1" t="s">
        <v>22</v>
      </c>
      <c r="L189" s="1" t="str">
        <f>HYPERLINK("https://files.afu.se/Downloads/Transcripts/0%20-%20Government/USA%20-%20NASA/2022 02 03 - NASA - Science Launching on Northrop Grumman CRS-17 Mission to the Space Station_ttqTPtC0UGM - transcript (automated).pdf","Transcript Link")</f>
        <v>Transcript Link</v>
      </c>
      <c r="M189" s="2" t="str">
        <f>HYPERLINK("https://files.afu.se/Downloads/Transcripts/0%20-%20Government/USA%20-%20NASA/2022 02 03 - NASA - Science Launching on Northrop Grumman CRS-17 Mission to the Space Station_ttqTPtC0UGM - transcript (automated).pdf","Transcript Link")</f>
        <v>Transcript Link</v>
      </c>
    </row>
    <row r="190" ht="165" spans="1:13">
      <c r="A190" s="1" t="s">
        <v>927</v>
      </c>
      <c r="B190" s="1" t="s">
        <v>13</v>
      </c>
      <c r="C190" s="4" t="s">
        <v>928</v>
      </c>
      <c r="D190" s="1" t="s">
        <v>929</v>
      </c>
      <c r="E190" s="1" t="s">
        <v>930</v>
      </c>
      <c r="F190" s="4" t="s">
        <v>17</v>
      </c>
      <c r="G190" s="1" t="s">
        <v>18</v>
      </c>
      <c r="H190" s="1" t="s">
        <v>19</v>
      </c>
      <c r="I190" s="1" t="s">
        <v>20</v>
      </c>
      <c r="J190" s="1" t="s">
        <v>931</v>
      </c>
      <c r="K190" s="1" t="s">
        <v>22</v>
      </c>
      <c r="L190" s="1" t="str">
        <f>HYPERLINK("https://files.afu.se/Downloads/Transcripts/0%20-%20Government/USA%20-%20NASA/2022 02 01 - NASA - Black History Month  NASA Honors the Stars of Our Past_4DMYmoBI6k8 - transcript (automated).pdf","Transcript Link")</f>
        <v>Transcript Link</v>
      </c>
      <c r="M190" s="2" t="str">
        <f>HYPERLINK("https://files.afu.se/Downloads/Transcripts/0%20-%20Government/USA%20-%20NASA/2022 02 01 - NASA - Black History Month  NASA Honors the Stars of Our Past_4DMYmoBI6k8 - transcript (automated).pdf","Transcript Link")</f>
        <v>Transcript Link</v>
      </c>
    </row>
    <row r="191" ht="195" spans="1:13">
      <c r="A191" s="1" t="s">
        <v>932</v>
      </c>
      <c r="B191" s="1" t="s">
        <v>13</v>
      </c>
      <c r="C191" s="4" t="s">
        <v>933</v>
      </c>
      <c r="D191" s="1" t="s">
        <v>934</v>
      </c>
      <c r="E191" s="1" t="s">
        <v>935</v>
      </c>
      <c r="F191" s="4" t="s">
        <v>17</v>
      </c>
      <c r="G191" s="1" t="s">
        <v>18</v>
      </c>
      <c r="H191" s="1" t="s">
        <v>19</v>
      </c>
      <c r="I191" s="1" t="s">
        <v>20</v>
      </c>
      <c r="J191" s="1" t="s">
        <v>936</v>
      </c>
      <c r="K191" s="1" t="s">
        <v>22</v>
      </c>
      <c r="L191" s="1" t="str">
        <f>HYPERLINK("https://files.afu.se/Downloads/Transcripts/0%20-%20Government/USA%20-%20NASA/2022 01 28 - NASA - The Webb Space Telescope Reaches Its New Home on This Week @NASA – January 28, 2022_je64UK6Bo8M - transcript (automated).pdf","Transcript Link")</f>
        <v>Transcript Link</v>
      </c>
      <c r="M191" s="2" t="str">
        <f>HYPERLINK("https://files.afu.se/Downloads/Transcripts/0%20-%20Government/USA%20-%20NASA/2022 01 28 - NASA - The Webb Space Telescope Reaches Its New Home on This Week @NASA – January 28, 2022_je64UK6Bo8M - transcript (automated).pdf","Transcript Link")</f>
        <v>Transcript Link</v>
      </c>
    </row>
    <row r="192" ht="195" spans="1:13">
      <c r="A192" s="1" t="s">
        <v>937</v>
      </c>
      <c r="B192" s="1" t="s">
        <v>13</v>
      </c>
      <c r="C192" s="4" t="s">
        <v>938</v>
      </c>
      <c r="D192" s="1" t="s">
        <v>268</v>
      </c>
      <c r="E192" s="1" t="s">
        <v>939</v>
      </c>
      <c r="F192" s="4" t="s">
        <v>17</v>
      </c>
      <c r="G192" s="1" t="s">
        <v>18</v>
      </c>
      <c r="H192" s="1" t="s">
        <v>19</v>
      </c>
      <c r="I192" s="1" t="s">
        <v>20</v>
      </c>
      <c r="J192" s="1" t="s">
        <v>940</v>
      </c>
      <c r="K192" s="1" t="s">
        <v>22</v>
      </c>
      <c r="L192" s="1" t="str">
        <f>HYPERLINK("https://files.afu.se/Downloads/Transcripts/0%20-%20Government/USA%20-%20NASA/2022 01 27 - NASA - NASA Remembers Fallen Heroes_NWxmJfXa304 - transcript (automated).pdf","Transcript Link")</f>
        <v>Transcript Link</v>
      </c>
      <c r="M192" s="2" t="str">
        <f>HYPERLINK("https://files.afu.se/Downloads/Transcripts/0%20-%20Government/USA%20-%20NASA/2022 01 27 - NASA - NASA Remembers Fallen Heroes_NWxmJfXa304 - transcript (automated).pdf","Transcript Link")</f>
        <v>Transcript Link</v>
      </c>
    </row>
    <row r="193" ht="165" spans="1:13">
      <c r="A193" s="1" t="s">
        <v>941</v>
      </c>
      <c r="B193" s="1" t="s">
        <v>13</v>
      </c>
      <c r="C193" s="4" t="s">
        <v>942</v>
      </c>
      <c r="D193" s="1" t="s">
        <v>943</v>
      </c>
      <c r="E193" s="1" t="s">
        <v>944</v>
      </c>
      <c r="F193" s="4" t="s">
        <v>17</v>
      </c>
      <c r="G193" s="1" t="s">
        <v>18</v>
      </c>
      <c r="H193" s="1" t="s">
        <v>19</v>
      </c>
      <c r="I193" s="1" t="s">
        <v>20</v>
      </c>
      <c r="J193" s="1" t="s">
        <v>945</v>
      </c>
      <c r="K193" s="1" t="s">
        <v>22</v>
      </c>
      <c r="L193" s="1" t="str">
        <f>HYPERLINK("https://files.afu.se/Downloads/Transcripts/0%20-%20Government/USA%20-%20NASA/2022 01 21 - NASA - A Commercial Mission Returning Cargo from the Space Station on This Week @ NASA – January 21, 2022_S_hjXtzrhW8 - transcript (automated).pdf","Transcript Link")</f>
        <v>Transcript Link</v>
      </c>
      <c r="M193" s="2" t="str">
        <f>HYPERLINK("https://files.afu.se/Downloads/Transcripts/0%20-%20Government/USA%20-%20NASA/2022 01 21 - NASA - A Commercial Mission Returning Cargo from the Space Station on This Week @ NASA – January 21, 2022_S_hjXtzrhW8 - transcript (automated).pdf","Transcript Link")</f>
        <v>Transcript Link</v>
      </c>
    </row>
    <row r="194" ht="165" spans="1:13">
      <c r="A194" s="1" t="s">
        <v>946</v>
      </c>
      <c r="B194" s="1" t="s">
        <v>13</v>
      </c>
      <c r="C194" s="4" t="s">
        <v>947</v>
      </c>
      <c r="D194" s="1" t="s">
        <v>948</v>
      </c>
      <c r="E194" s="1" t="s">
        <v>949</v>
      </c>
      <c r="F194" s="4" t="s">
        <v>17</v>
      </c>
      <c r="G194" s="1" t="s">
        <v>18</v>
      </c>
      <c r="H194" s="1" t="s">
        <v>19</v>
      </c>
      <c r="I194" s="1" t="s">
        <v>20</v>
      </c>
      <c r="J194" s="1" t="s">
        <v>950</v>
      </c>
      <c r="K194" s="1" t="s">
        <v>22</v>
      </c>
      <c r="L194" s="1" t="str">
        <f>HYPERLINK("https://files.afu.se/Downloads/Transcripts/0%20-%20Government/USA%20-%20NASA/2022 01 14 - NASA - A Major Milestone for the James Webb Space Telescope on This Week @NASA – January 14, 2022_PR7FzjwFAVY - transcript (automated).pdf","Transcript Link")</f>
        <v>Transcript Link</v>
      </c>
      <c r="M194" s="2" t="str">
        <f>HYPERLINK("https://files.afu.se/Downloads/Transcripts/0%20-%20Government/USA%20-%20NASA/2022 01 14 - NASA - A Major Milestone for the James Webb Space Telescope on This Week @NASA – January 14, 2022_PR7FzjwFAVY - transcript (automated).pdf","Transcript Link")</f>
        <v>Transcript Link</v>
      </c>
    </row>
    <row r="195" ht="409.5" spans="1:13">
      <c r="A195" s="1" t="s">
        <v>951</v>
      </c>
      <c r="B195" s="1" t="s">
        <v>13</v>
      </c>
      <c r="C195" s="4" t="s">
        <v>952</v>
      </c>
      <c r="D195" s="1" t="s">
        <v>953</v>
      </c>
      <c r="E195" s="1" t="s">
        <v>954</v>
      </c>
      <c r="F195" s="4" t="s">
        <v>17</v>
      </c>
      <c r="G195" s="1" t="s">
        <v>18</v>
      </c>
      <c r="H195" s="1" t="s">
        <v>19</v>
      </c>
      <c r="I195" s="1" t="s">
        <v>20</v>
      </c>
      <c r="J195" s="1" t="s">
        <v>955</v>
      </c>
      <c r="K195" s="1" t="s">
        <v>22</v>
      </c>
      <c r="L195" s="1" t="str">
        <f>HYPERLINK("https://files.afu.se/Downloads/Transcripts/0%20-%20Government/USA%20-%20NASA/2022 01 11 - NASA - ISS 2030  NASA Extends Operations of the International Space Station_a-flzdifn54 - transcript (automated).pdf","Transcript Link")</f>
        <v>Transcript Link</v>
      </c>
      <c r="M195" s="2" t="str">
        <f>HYPERLINK("https://files.afu.se/Downloads/Transcripts/0%20-%20Government/USA%20-%20NASA/2022 01 11 - NASA - ISS 2030  NASA Extends Operations of the International Space Station_a-flzdifn54 - transcript (automated).pdf","Transcript Link")</f>
        <v>Transcript Link</v>
      </c>
    </row>
    <row r="196" ht="195" spans="1:13">
      <c r="A196" s="1" t="s">
        <v>956</v>
      </c>
      <c r="B196" s="1" t="s">
        <v>13</v>
      </c>
      <c r="C196" s="4" t="s">
        <v>957</v>
      </c>
      <c r="D196" s="1" t="s">
        <v>958</v>
      </c>
      <c r="E196" s="1" t="s">
        <v>959</v>
      </c>
      <c r="F196" s="4" t="s">
        <v>17</v>
      </c>
      <c r="G196" s="1" t="s">
        <v>18</v>
      </c>
      <c r="H196" s="1" t="s">
        <v>19</v>
      </c>
      <c r="I196" s="1" t="s">
        <v>20</v>
      </c>
      <c r="J196" s="1" t="s">
        <v>960</v>
      </c>
      <c r="K196" s="1" t="s">
        <v>22</v>
      </c>
      <c r="L196" s="1" t="str">
        <f>HYPERLINK("https://files.afu.se/Downloads/Transcripts/0%20-%20Government/USA%20-%20NASA/2022 01 07 - NASA - A Week of Deployments for the James Webb Space Telescope on This Week @NASA – January 7, 2022_aUGD9YcV5qo - transcript (automated).pdf","Transcript Link")</f>
        <v>Transcript Link</v>
      </c>
      <c r="M196" s="2" t="str">
        <f>HYPERLINK("https://files.afu.se/Downloads/Transcripts/0%20-%20Government/USA%20-%20NASA/2022 01 07 - NASA - A Week of Deployments for the James Webb Space Telescope on This Week @NASA – January 7, 2022_aUGD9YcV5qo - transcript (automated).pdf","Transcript Link")</f>
        <v>Transcript Link</v>
      </c>
    </row>
    <row r="197" ht="165" spans="1:13">
      <c r="A197" s="1" t="s">
        <v>961</v>
      </c>
      <c r="B197" s="1" t="s">
        <v>13</v>
      </c>
      <c r="C197" s="4" t="s">
        <v>962</v>
      </c>
      <c r="D197" s="1" t="s">
        <v>963</v>
      </c>
      <c r="E197" s="1" t="s">
        <v>964</v>
      </c>
      <c r="F197" s="4" t="s">
        <v>17</v>
      </c>
      <c r="G197" s="1" t="s">
        <v>18</v>
      </c>
      <c r="H197" s="1" t="s">
        <v>19</v>
      </c>
      <c r="I197" s="1" t="s">
        <v>20</v>
      </c>
      <c r="J197" s="1" t="s">
        <v>965</v>
      </c>
      <c r="K197" s="1" t="s">
        <v>22</v>
      </c>
      <c r="L197" s="1" t="str">
        <f>HYPERLINK("https://files.afu.se/Downloads/Transcripts/0%20-%20Government/USA%20-%20NASA/2022 01 02 - NASA - We Asked a NASA Expert_IDahq6brsSU - transcript (automated).pdf","Transcript Link")</f>
        <v>Transcript Link</v>
      </c>
      <c r="M197" s="2" t="str">
        <f>HYPERLINK("https://files.afu.se/Downloads/Transcripts/0%20-%20Government/USA%20-%20NASA/2022 01 02 - NASA - We Asked a NASA Expert_IDahq6brsSU - transcript (automated).pdf","Transcript Link")</f>
        <v>Transcript Link</v>
      </c>
    </row>
    <row r="198" ht="409.5" spans="1:13">
      <c r="A198" s="1" t="s">
        <v>966</v>
      </c>
      <c r="B198" s="1" t="s">
        <v>13</v>
      </c>
      <c r="C198" s="4" t="s">
        <v>967</v>
      </c>
      <c r="D198" s="1" t="s">
        <v>968</v>
      </c>
      <c r="E198" s="1" t="s">
        <v>969</v>
      </c>
      <c r="F198" s="4" t="s">
        <v>17</v>
      </c>
      <c r="G198" s="1" t="s">
        <v>18</v>
      </c>
      <c r="H198" s="1" t="s">
        <v>19</v>
      </c>
      <c r="I198" s="1" t="s">
        <v>20</v>
      </c>
      <c r="J198" s="1" t="s">
        <v>970</v>
      </c>
      <c r="K198" s="1" t="s">
        <v>22</v>
      </c>
      <c r="L198" s="1" t="str">
        <f>HYPERLINK("https://files.afu.se/Downloads/Transcripts/0%20-%20Government/USA%20-%20NASA/2021 12 31 - NASA - NASA 2022  The Future is Now_el7RFWBlFDU - transcript (automated).pdf","Transcript Link")</f>
        <v>Transcript Link</v>
      </c>
      <c r="M198" s="2" t="str">
        <f>HYPERLINK("https://files.afu.se/Downloads/Transcripts/0%20-%20Government/USA%20-%20NASA/2021 12 31 - NASA - NASA 2022  The Future is Now_el7RFWBlFDU - transcript (automated).pdf","Transcript Link")</f>
        <v>Transcript Link</v>
      </c>
    </row>
    <row r="199" ht="165" spans="1:13">
      <c r="A199" s="1" t="s">
        <v>971</v>
      </c>
      <c r="B199" s="1" t="s">
        <v>13</v>
      </c>
      <c r="C199" s="4" t="s">
        <v>972</v>
      </c>
      <c r="D199" s="1" t="s">
        <v>973</v>
      </c>
      <c r="E199" s="1" t="s">
        <v>974</v>
      </c>
      <c r="F199" s="4" t="s">
        <v>17</v>
      </c>
      <c r="G199" s="1" t="s">
        <v>18</v>
      </c>
      <c r="H199" s="1" t="s">
        <v>19</v>
      </c>
      <c r="I199" s="1" t="s">
        <v>20</v>
      </c>
      <c r="J199" s="1" t="s">
        <v>975</v>
      </c>
      <c r="K199" s="1" t="s">
        <v>22</v>
      </c>
      <c r="L199" s="1" t="str">
        <f>HYPERLINK("https://files.afu.se/Downloads/Transcripts/0%20-%20Government/USA%20-%20NASA/2021 12 29 - NASA - Are There Rainbows on Mars  We Asked a NASA Expert_w_eKC0bM6-M - transcript (automated).pdf","Transcript Link")</f>
        <v>Transcript Link</v>
      </c>
      <c r="M199" s="2" t="str">
        <f>HYPERLINK("https://files.afu.se/Downloads/Transcripts/0%20-%20Government/USA%20-%20NASA/2021 12 29 - NASA - Are There Rainbows on Mars  We Asked a NASA Expert_w_eKC0bM6-M - transcript (automated).pdf","Transcript Link")</f>
        <v>Transcript Link</v>
      </c>
    </row>
    <row r="200" ht="165" spans="1:13">
      <c r="A200" s="1" t="s">
        <v>976</v>
      </c>
      <c r="B200" s="1" t="s">
        <v>13</v>
      </c>
      <c r="C200" s="4" t="s">
        <v>977</v>
      </c>
      <c r="D200" s="1" t="s">
        <v>978</v>
      </c>
      <c r="E200" s="1" t="s">
        <v>979</v>
      </c>
      <c r="F200" s="4" t="s">
        <v>17</v>
      </c>
      <c r="G200" s="1" t="s">
        <v>18</v>
      </c>
      <c r="H200" s="1" t="s">
        <v>19</v>
      </c>
      <c r="I200" s="1" t="s">
        <v>20</v>
      </c>
      <c r="J200" s="1" t="s">
        <v>980</v>
      </c>
      <c r="K200" s="1" t="s">
        <v>22</v>
      </c>
      <c r="L200" s="1" t="str">
        <f>HYPERLINK("https://files.afu.se/Downloads/Transcripts/0%20-%20Government/USA%20-%20NASA/2021 12 22 - NASA - Why Can You See the Moon During the Day  We Asked a NASA Scientist_WLhlRUnzbTM - transcript (automated).pdf","Transcript Link")</f>
        <v>Transcript Link</v>
      </c>
      <c r="M200" s="2" t="str">
        <f>HYPERLINK("https://files.afu.se/Downloads/Transcripts/0%20-%20Government/USA%20-%20NASA/2021 12 22 - NASA - Why Can You See the Moon During the Day  We Asked a NASA Scientist_WLhlRUnzbTM - transcript (automated).pdf","Transcript Link")</f>
        <v>Transcript Link</v>
      </c>
    </row>
    <row r="201" ht="375" spans="1:13">
      <c r="A201" s="1" t="s">
        <v>981</v>
      </c>
      <c r="B201" s="1" t="s">
        <v>13</v>
      </c>
      <c r="C201" s="4" t="s">
        <v>982</v>
      </c>
      <c r="D201" s="1" t="s">
        <v>983</v>
      </c>
      <c r="E201" s="1" t="s">
        <v>984</v>
      </c>
      <c r="F201" s="4" t="s">
        <v>17</v>
      </c>
      <c r="G201" s="1" t="s">
        <v>18</v>
      </c>
      <c r="H201" s="1" t="s">
        <v>19</v>
      </c>
      <c r="I201" s="1" t="s">
        <v>20</v>
      </c>
      <c r="J201" s="1" t="s">
        <v>985</v>
      </c>
      <c r="K201" s="1" t="s">
        <v>22</v>
      </c>
      <c r="L201" s="1" t="str">
        <f>HYPERLINK("https://files.afu.se/Downloads/Transcripts/0%20-%20Government/USA%20-%20NASA/2021 12 21 - NASA - We Did Some Amazing Things This Year @ NASA – December 21, 2021_bw79tvdiARI - transcript (automated).pdf","Transcript Link")</f>
        <v>Transcript Link</v>
      </c>
      <c r="M201" s="2" t="str">
        <f>HYPERLINK("https://files.afu.se/Downloads/Transcripts/0%20-%20Government/USA%20-%20NASA/2021 12 21 - NASA - We Did Some Amazing Things This Year @ NASA – December 21, 2021_bw79tvdiARI - transcript (automated).pdf","Transcript Link")</f>
        <v>Transcript Link</v>
      </c>
    </row>
    <row r="202" ht="210" spans="1:13">
      <c r="A202" s="1" t="s">
        <v>981</v>
      </c>
      <c r="B202" s="1" t="s">
        <v>13</v>
      </c>
      <c r="C202" s="4" t="s">
        <v>986</v>
      </c>
      <c r="D202" s="1" t="s">
        <v>987</v>
      </c>
      <c r="E202" s="1" t="s">
        <v>988</v>
      </c>
      <c r="F202" s="4" t="s">
        <v>17</v>
      </c>
      <c r="G202" s="1" t="s">
        <v>18</v>
      </c>
      <c r="H202" s="1" t="s">
        <v>19</v>
      </c>
      <c r="I202" s="1" t="s">
        <v>20</v>
      </c>
      <c r="J202" s="1" t="s">
        <v>989</v>
      </c>
      <c r="K202" s="1" t="s">
        <v>22</v>
      </c>
      <c r="L202" s="1" t="str">
        <f>HYPERLINK("https://files.afu.se/Downloads/Transcripts/0%20-%20Government/USA%20-%20NASA/2021 12 21 - NASA - NASA's James Webb Space Telescope – Official Mission Trailer_69uT90tEJdE - transcript (automated).pdf","Transcript Link")</f>
        <v>Transcript Link</v>
      </c>
      <c r="M202" s="2" t="str">
        <f>HYPERLINK("https://files.afu.se/Downloads/Transcripts/0%20-%20Government/USA%20-%20NASA/2021 12 21 - NASA - NASA's James Webb Space Telescope – Official Mission Trailer_69uT90tEJdE - transcript (automated).pdf","Transcript Link")</f>
        <v>Transcript Link</v>
      </c>
    </row>
    <row r="203" ht="285" spans="1:13">
      <c r="A203" s="1" t="s">
        <v>981</v>
      </c>
      <c r="B203" s="1" t="s">
        <v>13</v>
      </c>
      <c r="C203" s="4" t="s">
        <v>990</v>
      </c>
      <c r="D203" s="1" t="s">
        <v>991</v>
      </c>
      <c r="E203" s="1" t="s">
        <v>992</v>
      </c>
      <c r="F203" s="4" t="s">
        <v>17</v>
      </c>
      <c r="G203" s="1" t="s">
        <v>18</v>
      </c>
      <c r="H203" s="1" t="s">
        <v>19</v>
      </c>
      <c r="I203" s="1" t="s">
        <v>20</v>
      </c>
      <c r="J203" s="1" t="s">
        <v>993</v>
      </c>
      <c r="K203" s="1" t="s">
        <v>22</v>
      </c>
      <c r="L203" s="1" t="str">
        <f>HYPERLINK("https://files.afu.se/Downloads/Transcripts/0%20-%20Government/USA%20-%20NASA/2021 12 21 - NASA - Watch SpaceX Launch Science and Supplies to the Space Station_NVvDAbTfDaw - transcript (automated).pdf","Transcript Link")</f>
        <v>Transcript Link</v>
      </c>
      <c r="M203" s="2" t="str">
        <f>HYPERLINK("https://files.afu.se/Downloads/Transcripts/0%20-%20Government/USA%20-%20NASA/2021 12 21 - NASA - Watch SpaceX Launch Science and Supplies to the Space Station_NVvDAbTfDaw - transcript (automated).pdf","Transcript Link")</f>
        <v>Transcript Link</v>
      </c>
    </row>
    <row r="204" ht="165" spans="1:13">
      <c r="A204" s="1" t="s">
        <v>994</v>
      </c>
      <c r="B204" s="1" t="s">
        <v>13</v>
      </c>
      <c r="C204" s="4" t="s">
        <v>995</v>
      </c>
      <c r="D204" s="1" t="s">
        <v>996</v>
      </c>
      <c r="E204" s="1" t="s">
        <v>997</v>
      </c>
      <c r="F204" s="4" t="s">
        <v>17</v>
      </c>
      <c r="G204" s="1" t="s">
        <v>18</v>
      </c>
      <c r="H204" s="1" t="s">
        <v>19</v>
      </c>
      <c r="I204" s="1" t="s">
        <v>20</v>
      </c>
      <c r="J204" s="1" t="s">
        <v>998</v>
      </c>
      <c r="K204" s="1" t="s">
        <v>22</v>
      </c>
      <c r="L204" s="1" t="str">
        <f>HYPERLINK("https://files.afu.se/Downloads/Transcripts/0%20-%20Government/USA%20-%20NASA/2021 12 20 - NASA - Season’s Greetings from NASA_vidNfbTDgoE - transcript (automated).pdf","Transcript Link")</f>
        <v>Transcript Link</v>
      </c>
      <c r="M204" s="2" t="str">
        <f>HYPERLINK("https://files.afu.se/Downloads/Transcripts/0%20-%20Government/USA%20-%20NASA/2021 12 20 - NASA - Season’s Greetings from NASA_vidNfbTDgoE - transcript (automated).pdf","Transcript Link")</f>
        <v>Transcript Link</v>
      </c>
    </row>
    <row r="205" ht="225" spans="1:13">
      <c r="A205" s="1" t="s">
        <v>994</v>
      </c>
      <c r="B205" s="1" t="s">
        <v>13</v>
      </c>
      <c r="C205" s="4" t="s">
        <v>999</v>
      </c>
      <c r="D205" s="1" t="s">
        <v>1000</v>
      </c>
      <c r="E205" s="1" t="s">
        <v>1001</v>
      </c>
      <c r="F205" s="4" t="s">
        <v>17</v>
      </c>
      <c r="G205" s="1" t="s">
        <v>18</v>
      </c>
      <c r="H205" s="1" t="s">
        <v>19</v>
      </c>
      <c r="I205" s="1" t="s">
        <v>20</v>
      </c>
      <c r="J205" s="1" t="s">
        <v>1002</v>
      </c>
      <c r="K205" s="1" t="s">
        <v>22</v>
      </c>
      <c r="L205" s="1" t="str">
        <f>HYPERLINK("https://files.afu.se/Downloads/Transcripts/0%20-%20Government/USA%20-%20NASA/2021 12 20 - NASA - %23EZScience  Taking Light Apart with the James Webb Space Telescope_gRG80Wr1ETo - transcript (automated).pdf","Transcript Link")</f>
        <v>Transcript Link</v>
      </c>
      <c r="M205" s="2" t="str">
        <f>HYPERLINK("https://files.afu.se/Downloads/Transcripts/0%20-%20Government/USA%20-%20NASA/2021 12 20 - NASA - %23EZScience  Taking Light Apart with the James Webb Space Telescope_gRG80Wr1ETo - transcript (automated).pdf","Transcript Link")</f>
        <v>Transcript Link</v>
      </c>
    </row>
    <row r="206" ht="165" spans="1:13">
      <c r="A206" s="1" t="s">
        <v>1003</v>
      </c>
      <c r="B206" s="1" t="s">
        <v>13</v>
      </c>
      <c r="C206" s="4" t="s">
        <v>1004</v>
      </c>
      <c r="D206" s="1" t="s">
        <v>1005</v>
      </c>
      <c r="E206" s="1" t="s">
        <v>1006</v>
      </c>
      <c r="F206" s="4" t="s">
        <v>17</v>
      </c>
      <c r="G206" s="1" t="s">
        <v>18</v>
      </c>
      <c r="H206" s="1" t="s">
        <v>19</v>
      </c>
      <c r="I206" s="1" t="s">
        <v>20</v>
      </c>
      <c r="J206" s="1" t="s">
        <v>1007</v>
      </c>
      <c r="K206" s="1" t="s">
        <v>22</v>
      </c>
      <c r="L206" s="1" t="str">
        <f>HYPERLINK("https://files.afu.se/Downloads/Transcripts/0%20-%20Government/USA%20-%20NASA/2021 12 15 - NASA - Is There Water on Mars  We Asked a NASA Scientist_UPOQD6Pz79k - transcript (automated).pdf","Transcript Link")</f>
        <v>Transcript Link</v>
      </c>
      <c r="M206" s="2" t="str">
        <f>HYPERLINK("https://files.afu.se/Downloads/Transcripts/0%20-%20Government/USA%20-%20NASA/2021 12 15 - NASA - Is There Water on Mars  We Asked a NASA Scientist_UPOQD6Pz79k - transcript (automated).pdf","Transcript Link")</f>
        <v>Transcript Link</v>
      </c>
    </row>
    <row r="207" ht="165" spans="1:13">
      <c r="A207" s="1" t="s">
        <v>1008</v>
      </c>
      <c r="B207" s="1" t="s">
        <v>13</v>
      </c>
      <c r="C207" s="4" t="s">
        <v>1009</v>
      </c>
      <c r="D207" s="1" t="s">
        <v>1010</v>
      </c>
      <c r="E207" s="1" t="s">
        <v>1011</v>
      </c>
      <c r="F207" s="4" t="s">
        <v>17</v>
      </c>
      <c r="G207" s="1" t="s">
        <v>18</v>
      </c>
      <c r="H207" s="1" t="s">
        <v>19</v>
      </c>
      <c r="I207" s="1" t="s">
        <v>20</v>
      </c>
      <c r="J207" s="1" t="s">
        <v>1012</v>
      </c>
      <c r="K207" s="1" t="s">
        <v>22</v>
      </c>
      <c r="L207" s="1" t="str">
        <f>HYPERLINK("https://files.afu.se/Downloads/Transcripts/0%20-%20Government/USA%20-%20NASA/2021 12 10 - NASA - A New Class of Astronaut Candidates on This Week @NASA – December 10, 2021_3xbRfU_kAlM - transcript (automated).pdf","Transcript Link")</f>
        <v>Transcript Link</v>
      </c>
      <c r="M207" s="2" t="str">
        <f>HYPERLINK("https://files.afu.se/Downloads/Transcripts/0%20-%20Government/USA%20-%20NASA/2021 12 10 - NASA - A New Class of Astronaut Candidates on This Week @NASA – December 10, 2021_3xbRfU_kAlM - transcript (automated).pdf","Transcript Link")</f>
        <v>Transcript Link</v>
      </c>
    </row>
    <row r="208" ht="165" spans="1:13">
      <c r="A208" s="1" t="s">
        <v>1013</v>
      </c>
      <c r="B208" s="1" t="s">
        <v>13</v>
      </c>
      <c r="C208" s="4" t="s">
        <v>1014</v>
      </c>
      <c r="D208" s="1" t="s">
        <v>1015</v>
      </c>
      <c r="E208" s="1" t="s">
        <v>1016</v>
      </c>
      <c r="F208" s="4" t="s">
        <v>17</v>
      </c>
      <c r="G208" s="1" t="s">
        <v>18</v>
      </c>
      <c r="H208" s="1" t="s">
        <v>19</v>
      </c>
      <c r="I208" s="1" t="s">
        <v>20</v>
      </c>
      <c r="J208" s="1" t="s">
        <v>1017</v>
      </c>
      <c r="K208" s="1" t="s">
        <v>22</v>
      </c>
      <c r="L208" s="1" t="str">
        <f>HYPERLINK("https://files.afu.se/Downloads/Transcripts/0%20-%20Government/USA%20-%20NASA/2021 12 08 - NASA - Are There Oceans on Other Worlds  We Asked a NASA Expert_1p-SmukIL-M - transcript (automated).pdf","Transcript Link")</f>
        <v>Transcript Link</v>
      </c>
      <c r="M208" s="2" t="str">
        <f>HYPERLINK("https://files.afu.se/Downloads/Transcripts/0%20-%20Government/USA%20-%20NASA/2021 12 08 - NASA - Are There Oceans on Other Worlds  We Asked a NASA Expert_1p-SmukIL-M - transcript (automated).pdf","Transcript Link")</f>
        <v>Transcript Link</v>
      </c>
    </row>
    <row r="209" ht="210" spans="1:13">
      <c r="A209" s="1" t="s">
        <v>1013</v>
      </c>
      <c r="B209" s="1" t="s">
        <v>13</v>
      </c>
      <c r="C209" s="4" t="s">
        <v>1018</v>
      </c>
      <c r="D209" s="1" t="s">
        <v>1019</v>
      </c>
      <c r="E209" s="1" t="s">
        <v>1020</v>
      </c>
      <c r="F209" s="4" t="s">
        <v>17</v>
      </c>
      <c r="G209" s="1" t="s">
        <v>18</v>
      </c>
      <c r="H209" s="1" t="s">
        <v>19</v>
      </c>
      <c r="I209" s="1" t="s">
        <v>20</v>
      </c>
      <c r="J209" s="1" t="s">
        <v>1021</v>
      </c>
      <c r="K209" s="1" t="s">
        <v>22</v>
      </c>
      <c r="L209" s="1" t="str">
        <f>HYPERLINK("https://files.afu.se/Downloads/Transcripts/0%20-%20Government/USA%20-%20NASA/2021 12 08 - NASA - %23EZScience  Exploring the X-ray Universe_tBbdtV53OSc - transcript (automated).pdf","Transcript Link")</f>
        <v>Transcript Link</v>
      </c>
      <c r="M209" s="2" t="str">
        <f>HYPERLINK("https://files.afu.se/Downloads/Transcripts/0%20-%20Government/USA%20-%20NASA/2021 12 08 - NASA - %23EZScience  Exploring the X-ray Universe_tBbdtV53OSc - transcript (automated).pdf","Transcript Link")</f>
        <v>Transcript Link</v>
      </c>
    </row>
    <row r="210" ht="165" spans="1:13">
      <c r="A210" s="1" t="s">
        <v>1022</v>
      </c>
      <c r="B210" s="1" t="s">
        <v>13</v>
      </c>
      <c r="C210" s="4" t="s">
        <v>1023</v>
      </c>
      <c r="D210" s="1" t="s">
        <v>1024</v>
      </c>
      <c r="E210" s="1" t="s">
        <v>1025</v>
      </c>
      <c r="F210" s="4" t="s">
        <v>17</v>
      </c>
      <c r="G210" s="1" t="s">
        <v>18</v>
      </c>
      <c r="H210" s="1" t="s">
        <v>19</v>
      </c>
      <c r="I210" s="1" t="s">
        <v>20</v>
      </c>
      <c r="J210" s="1" t="s">
        <v>1026</v>
      </c>
      <c r="K210" s="1" t="s">
        <v>22</v>
      </c>
      <c r="L210" s="1" t="str">
        <f>HYPERLINK("https://files.afu.se/Downloads/Transcripts/0%20-%20Government/USA%20-%20NASA/2021 12 07 - NASA - Science Launching on SpaceX's 24th Cargo Resupply Mission to the Space Station_J-9rLkJfhPI - transcript (automated).pdf","Transcript Link")</f>
        <v>Transcript Link</v>
      </c>
      <c r="M210" s="2" t="str">
        <f>HYPERLINK("https://files.afu.se/Downloads/Transcripts/0%20-%20Government/USA%20-%20NASA/2021 12 07 - NASA - Science Launching on SpaceX's 24th Cargo Resupply Mission to the Space Station_J-9rLkJfhPI - transcript (automated).pdf","Transcript Link")</f>
        <v>Transcript Link</v>
      </c>
    </row>
    <row r="211" ht="225" spans="1:13">
      <c r="A211" s="1" t="s">
        <v>1027</v>
      </c>
      <c r="B211" s="1" t="s">
        <v>13</v>
      </c>
      <c r="C211" s="4" t="s">
        <v>1028</v>
      </c>
      <c r="D211" s="1" t="s">
        <v>1029</v>
      </c>
      <c r="E211" s="1" t="s">
        <v>1030</v>
      </c>
      <c r="F211" s="4" t="s">
        <v>17</v>
      </c>
      <c r="G211" s="1" t="s">
        <v>18</v>
      </c>
      <c r="H211" s="1" t="s">
        <v>19</v>
      </c>
      <c r="I211" s="1" t="s">
        <v>20</v>
      </c>
      <c r="J211" s="1" t="s">
        <v>1031</v>
      </c>
      <c r="K211" s="1" t="s">
        <v>22</v>
      </c>
      <c r="L211" s="1" t="str">
        <f>HYPERLINK("https://files.afu.se/Downloads/Transcripts/0%20-%20Government/USA%20-%20NASA/2021 12 04 - NASA - Nichelle Nichols  Woman on a NASA Mission_5wPMlKG16QY - transcript (automated).pdf","Transcript Link")</f>
        <v>Transcript Link</v>
      </c>
      <c r="M211" s="2" t="str">
        <f>HYPERLINK("https://files.afu.se/Downloads/Transcripts/0%20-%20Government/USA%20-%20NASA/2021 12 04 - NASA - Nichelle Nichols  Woman on a NASA Mission_5wPMlKG16QY - transcript (automated).pdf","Transcript Link")</f>
        <v>Transcript Link</v>
      </c>
    </row>
    <row r="212" ht="165" spans="1:13">
      <c r="A212" s="1" t="s">
        <v>1032</v>
      </c>
      <c r="B212" s="1" t="s">
        <v>13</v>
      </c>
      <c r="C212" s="4" t="s">
        <v>1033</v>
      </c>
      <c r="D212" s="1" t="s">
        <v>1034</v>
      </c>
      <c r="E212" s="1" t="s">
        <v>1035</v>
      </c>
      <c r="F212" s="4" t="s">
        <v>17</v>
      </c>
      <c r="G212" s="1" t="s">
        <v>18</v>
      </c>
      <c r="H212" s="1" t="s">
        <v>19</v>
      </c>
      <c r="I212" s="1" t="s">
        <v>20</v>
      </c>
      <c r="J212" s="1" t="s">
        <v>1036</v>
      </c>
      <c r="K212" s="1" t="s">
        <v>22</v>
      </c>
      <c r="L212" s="1" t="str">
        <f>HYPERLINK("https://files.afu.se/Downloads/Transcripts/0%20-%20Government/USA%20-%20NASA/2021 12 03 - NASA - Replacing a Space Station Communications Antenna on This Week @NASA – December 3, 2021__pzt9c0yKco - transcript (automated).pdf","Transcript Link")</f>
        <v>Transcript Link</v>
      </c>
      <c r="M212" s="2" t="str">
        <f>HYPERLINK("https://files.afu.se/Downloads/Transcripts/0%20-%20Government/USA%20-%20NASA/2021 12 03 - NASA - Replacing a Space Station Communications Antenna on This Week @NASA – December 3, 2021__pzt9c0yKco - transcript (automated).pdf","Transcript Link")</f>
        <v>Transcript Link</v>
      </c>
    </row>
    <row r="213" ht="285" spans="1:13">
      <c r="A213" s="1" t="s">
        <v>1032</v>
      </c>
      <c r="B213" s="1" t="s">
        <v>13</v>
      </c>
      <c r="C213" s="4" t="s">
        <v>1037</v>
      </c>
      <c r="D213" s="1" t="s">
        <v>1038</v>
      </c>
      <c r="E213" s="1" t="s">
        <v>1039</v>
      </c>
      <c r="F213" s="4" t="s">
        <v>17</v>
      </c>
      <c r="G213" s="1" t="s">
        <v>18</v>
      </c>
      <c r="H213" s="1" t="s">
        <v>19</v>
      </c>
      <c r="I213" s="1" t="s">
        <v>20</v>
      </c>
      <c r="J213" s="1" t="s">
        <v>1040</v>
      </c>
      <c r="K213" s="1" t="s">
        <v>22</v>
      </c>
      <c r="L213" s="1" t="str">
        <f>HYPERLINK("https://files.afu.se/Downloads/Transcripts/0%20-%20Government/USA%20-%20NASA/2021 12 03 - NASA - NASA Astronauts Read Aloud  You Are Going_KATEY1-dDh4 - transcript (automated).pdf","Transcript Link")</f>
        <v>Transcript Link</v>
      </c>
      <c r="M213" s="2" t="str">
        <f>HYPERLINK("https://files.afu.se/Downloads/Transcripts/0%20-%20Government/USA%20-%20NASA/2021 12 03 - NASA - NASA Astronauts Read Aloud  You Are Going_KATEY1-dDh4 - transcript (automated).pdf","Transcript Link")</f>
        <v>Transcript Link</v>
      </c>
    </row>
    <row r="214" ht="165" spans="1:13">
      <c r="A214" s="1" t="s">
        <v>1041</v>
      </c>
      <c r="B214" s="1" t="s">
        <v>13</v>
      </c>
      <c r="C214" s="4" t="s">
        <v>1042</v>
      </c>
      <c r="D214" s="1" t="s">
        <v>1043</v>
      </c>
      <c r="E214" s="1" t="s">
        <v>1044</v>
      </c>
      <c r="F214" s="4" t="s">
        <v>17</v>
      </c>
      <c r="G214" s="1" t="s">
        <v>18</v>
      </c>
      <c r="H214" s="1" t="s">
        <v>19</v>
      </c>
      <c r="I214" s="1" t="s">
        <v>20</v>
      </c>
      <c r="J214" s="1" t="s">
        <v>1045</v>
      </c>
      <c r="K214" s="1" t="s">
        <v>22</v>
      </c>
      <c r="L214" s="1" t="str">
        <f>HYPERLINK("https://files.afu.se/Downloads/Transcripts/0%20-%20Government/USA%20-%20NASA/2021 12 01 - NASA - What’s it Like Landing on Mars  We Asked a NASA Expert_Bj2GDeHocUA - transcript (automated).pdf","Transcript Link")</f>
        <v>Transcript Link</v>
      </c>
      <c r="M214" s="2" t="str">
        <f>HYPERLINK("https://files.afu.se/Downloads/Transcripts/0%20-%20Government/USA%20-%20NASA/2021 12 01 - NASA - What’s it Like Landing on Mars  We Asked a NASA Expert_Bj2GDeHocUA - transcript (automated).pdf","Transcript Link")</f>
        <v>Transcript Link</v>
      </c>
    </row>
    <row r="215" ht="210" spans="1:13">
      <c r="A215" s="1" t="s">
        <v>1046</v>
      </c>
      <c r="B215" s="1" t="s">
        <v>13</v>
      </c>
      <c r="C215" s="4" t="s">
        <v>1047</v>
      </c>
      <c r="D215" s="1" t="s">
        <v>1048</v>
      </c>
      <c r="E215" s="1" t="s">
        <v>1049</v>
      </c>
      <c r="F215" s="4" t="s">
        <v>17</v>
      </c>
      <c r="G215" s="1" t="s">
        <v>18</v>
      </c>
      <c r="H215" s="1" t="s">
        <v>19</v>
      </c>
      <c r="I215" s="1" t="s">
        <v>20</v>
      </c>
      <c r="J215" s="1" t="s">
        <v>1050</v>
      </c>
      <c r="K215" s="1" t="s">
        <v>22</v>
      </c>
      <c r="L215" s="1" t="str">
        <f>HYPERLINK("https://files.afu.se/Downloads/Transcripts/0%20-%20Government/USA%20-%20NASA/2021 11 26 - NASA - The Launch of Our First Planetary Defense Test Mission on This Week @NASA – November 26, 2021_x2V1YAlD8U0 - transcript (automated).pdf","Transcript Link")</f>
        <v>Transcript Link</v>
      </c>
      <c r="M215" s="2" t="str">
        <f>HYPERLINK("https://files.afu.se/Downloads/Transcripts/0%20-%20Government/USA%20-%20NASA/2021 11 26 - NASA - The Launch of Our First Planetary Defense Test Mission on This Week @NASA – November 26, 2021_x2V1YAlD8U0 - transcript (automated).pdf","Transcript Link")</f>
        <v>Transcript Link</v>
      </c>
    </row>
    <row r="216" ht="165" spans="1:13">
      <c r="A216" s="1" t="s">
        <v>1051</v>
      </c>
      <c r="B216" s="1" t="s">
        <v>13</v>
      </c>
      <c r="C216" s="4" t="s">
        <v>1052</v>
      </c>
      <c r="D216" s="1" t="s">
        <v>1053</v>
      </c>
      <c r="E216" s="1" t="s">
        <v>1054</v>
      </c>
      <c r="F216" s="4" t="s">
        <v>17</v>
      </c>
      <c r="G216" s="1" t="s">
        <v>18</v>
      </c>
      <c r="H216" s="1" t="s">
        <v>19</v>
      </c>
      <c r="I216" s="1" t="s">
        <v>20</v>
      </c>
      <c r="J216" s="1" t="s">
        <v>1055</v>
      </c>
      <c r="K216" s="1" t="s">
        <v>22</v>
      </c>
      <c r="L216" s="1" t="str">
        <f>HYPERLINK("https://files.afu.se/Downloads/Transcripts/0%20-%20Government/USA%20-%20NASA/2021 11 25 - NASA - Happy Thanksgiving from NASA!_eIufkTTj7Gs - transcript (automated).pdf","Transcript Link")</f>
        <v>Transcript Link</v>
      </c>
      <c r="M216" s="2" t="str">
        <f>HYPERLINK("https://files.afu.se/Downloads/Transcripts/0%20-%20Government/USA%20-%20NASA/2021 11 25 - NASA - Happy Thanksgiving from NASA!_eIufkTTj7Gs - transcript (automated).pdf","Transcript Link")</f>
        <v>Transcript Link</v>
      </c>
    </row>
    <row r="217" ht="165" spans="1:13">
      <c r="A217" s="1" t="s">
        <v>1056</v>
      </c>
      <c r="B217" s="1" t="s">
        <v>13</v>
      </c>
      <c r="C217" s="4" t="s">
        <v>1057</v>
      </c>
      <c r="D217" s="1" t="s">
        <v>1058</v>
      </c>
      <c r="E217" s="1" t="s">
        <v>1059</v>
      </c>
      <c r="F217" s="4" t="s">
        <v>17</v>
      </c>
      <c r="G217" s="1" t="s">
        <v>18</v>
      </c>
      <c r="H217" s="1" t="s">
        <v>19</v>
      </c>
      <c r="I217" s="1" t="s">
        <v>20</v>
      </c>
      <c r="J217" s="1" t="s">
        <v>1060</v>
      </c>
      <c r="K217" s="1" t="s">
        <v>22</v>
      </c>
      <c r="L217" s="1" t="str">
        <f>HYPERLINK("https://files.afu.se/Downloads/Transcripts/0%20-%20Government/USA%20-%20NASA/2021 11 24 - NASA - What's the Difference Between Asteroids, Comets, and Meteors  We Asked a NASA Expert__f3xzT-JPaY - transcript (automated).pdf","Transcript Link")</f>
        <v>Transcript Link</v>
      </c>
      <c r="M217" s="2" t="str">
        <f>HYPERLINK("https://files.afu.se/Downloads/Transcripts/0%20-%20Government/USA%20-%20NASA/2021 11 24 - NASA - What's the Difference Between Asteroids, Comets, and Meteors  We Asked a NASA Expert__f3xzT-JPaY - transcript (automated).pdf","Transcript Link")</f>
        <v>Transcript Link</v>
      </c>
    </row>
    <row r="218" ht="195" spans="1:13">
      <c r="A218" s="1" t="s">
        <v>1061</v>
      </c>
      <c r="B218" s="1" t="s">
        <v>13</v>
      </c>
      <c r="C218" s="4" t="s">
        <v>1062</v>
      </c>
      <c r="D218" s="1" t="s">
        <v>1063</v>
      </c>
      <c r="E218" s="1" t="s">
        <v>1064</v>
      </c>
      <c r="F218" s="4" t="s">
        <v>17</v>
      </c>
      <c r="G218" s="1" t="s">
        <v>18</v>
      </c>
      <c r="H218" s="1" t="s">
        <v>19</v>
      </c>
      <c r="I218" s="1" t="s">
        <v>20</v>
      </c>
      <c r="J218" s="1" t="s">
        <v>1065</v>
      </c>
      <c r="K218" s="1" t="s">
        <v>22</v>
      </c>
      <c r="L218" s="1" t="str">
        <f>HYPERLINK("https://files.afu.se/Downloads/Transcripts/0%20-%20Government/USA%20-%20NASA/2021 11 19 - NASA - The Space Station Crew is Safe Following a Debris Event on This Week @NASA – November 19, 2021_LBvgyXhLaWM - transcript (automated).pdf","Transcript Link")</f>
        <v>Transcript Link</v>
      </c>
      <c r="M218" s="2" t="str">
        <f>HYPERLINK("https://files.afu.se/Downloads/Transcripts/0%20-%20Government/USA%20-%20NASA/2021 11 19 - NASA - The Space Station Crew is Safe Following a Debris Event on This Week @NASA – November 19, 2021_LBvgyXhLaWM - transcript (automated).pdf","Transcript Link")</f>
        <v>Transcript Link</v>
      </c>
    </row>
    <row r="219" ht="360" spans="1:13">
      <c r="A219" s="1" t="s">
        <v>1066</v>
      </c>
      <c r="B219" s="1" t="s">
        <v>13</v>
      </c>
      <c r="C219" s="4" t="s">
        <v>1067</v>
      </c>
      <c r="D219" s="1" t="s">
        <v>1068</v>
      </c>
      <c r="E219" s="1" t="s">
        <v>1069</v>
      </c>
      <c r="F219" s="4" t="s">
        <v>17</v>
      </c>
      <c r="G219" s="1" t="s">
        <v>18</v>
      </c>
      <c r="H219" s="1" t="s">
        <v>19</v>
      </c>
      <c r="I219" s="1" t="s">
        <v>20</v>
      </c>
      <c r="J219" s="1" t="s">
        <v>1070</v>
      </c>
      <c r="K219" s="1" t="s">
        <v>22</v>
      </c>
      <c r="L219" s="1" t="str">
        <f>HYPERLINK("https://files.afu.se/Downloads/Transcripts/0%20-%20Government/USA%20-%20NASA/2021 11 17 - NASA - Launching Soon  NASA's First Asteroid Deflection Test_w85djkEERUM - transcript (automated).pdf","Transcript Link")</f>
        <v>Transcript Link</v>
      </c>
      <c r="M219" s="2" t="str">
        <f>HYPERLINK("https://files.afu.se/Downloads/Transcripts/0%20-%20Government/USA%20-%20NASA/2021 11 17 - NASA - Launching Soon  NASA's First Asteroid Deflection Test_w85djkEERUM - transcript (automated).pdf","Transcript Link")</f>
        <v>Transcript Link</v>
      </c>
    </row>
    <row r="220" ht="165" spans="1:13">
      <c r="A220" s="1" t="s">
        <v>1066</v>
      </c>
      <c r="B220" s="1" t="s">
        <v>13</v>
      </c>
      <c r="C220" s="4" t="s">
        <v>1071</v>
      </c>
      <c r="D220" s="1" t="s">
        <v>1072</v>
      </c>
      <c r="E220" s="1" t="s">
        <v>1073</v>
      </c>
      <c r="F220" s="4" t="s">
        <v>17</v>
      </c>
      <c r="G220" s="1" t="s">
        <v>18</v>
      </c>
      <c r="H220" s="1" t="s">
        <v>19</v>
      </c>
      <c r="I220" s="1" t="s">
        <v>20</v>
      </c>
      <c r="J220" s="1" t="s">
        <v>1074</v>
      </c>
      <c r="K220" s="1" t="s">
        <v>22</v>
      </c>
      <c r="L220" s="1" t="str">
        <f>HYPERLINK("https://files.afu.se/Downloads/Transcripts/0%20-%20Government/USA%20-%20NASA/2021 11 17 - NASA - Is NASA Really Crashing a Spacecraft into an Asteroid  We Asked a NASA Expert_vhpzke-2tGU - transcript (automated).pdf","Transcript Link")</f>
        <v>Transcript Link</v>
      </c>
      <c r="M220" s="2" t="str">
        <f>HYPERLINK("https://files.afu.se/Downloads/Transcripts/0%20-%20Government/USA%20-%20NASA/2021 11 17 - NASA - Is NASA Really Crashing a Spacecraft into an Asteroid  We Asked a NASA Expert_vhpzke-2tGU - transcript (automated).pdf","Transcript Link")</f>
        <v>Transcript Link</v>
      </c>
    </row>
    <row r="221" ht="255" spans="1:13">
      <c r="A221" s="1" t="s">
        <v>1075</v>
      </c>
      <c r="B221" s="1" t="s">
        <v>13</v>
      </c>
      <c r="C221" s="4" t="s">
        <v>1076</v>
      </c>
      <c r="D221" s="1" t="s">
        <v>1077</v>
      </c>
      <c r="E221" s="1" t="s">
        <v>1078</v>
      </c>
      <c r="F221" s="4" t="s">
        <v>17</v>
      </c>
      <c r="G221" s="1" t="s">
        <v>18</v>
      </c>
      <c r="H221" s="1" t="s">
        <v>19</v>
      </c>
      <c r="I221" s="1" t="s">
        <v>20</v>
      </c>
      <c r="J221" s="1" t="s">
        <v>1079</v>
      </c>
      <c r="K221" s="1" t="s">
        <v>22</v>
      </c>
      <c r="L221" s="1" t="str">
        <f>HYPERLINK("https://files.afu.se/Downloads/Transcripts/0%20-%20Government/USA%20-%20NASA/2021 11 16 - NASA - ‘Don’t Look Up’ Director Adam McKay Previews NASA’s DART Asteroid Mission_quBrcCaJvr0 - transcript (automated).pdf","Transcript Link")</f>
        <v>Transcript Link</v>
      </c>
      <c r="M221" s="2" t="str">
        <f>HYPERLINK("https://files.afu.se/Downloads/Transcripts/0%20-%20Government/USA%20-%20NASA/2021 11 16 - NASA - ‘Don’t Look Up’ Director Adam McKay Previews NASA’s DART Asteroid Mission_quBrcCaJvr0 - transcript (automated).pdf","Transcript Link")</f>
        <v>Transcript Link</v>
      </c>
    </row>
    <row r="222" ht="210" spans="1:13">
      <c r="A222" s="1" t="s">
        <v>1080</v>
      </c>
      <c r="B222" s="1" t="s">
        <v>13</v>
      </c>
      <c r="C222" s="4" t="s">
        <v>1081</v>
      </c>
      <c r="D222" s="1" t="s">
        <v>1082</v>
      </c>
      <c r="E222" s="1" t="s">
        <v>1083</v>
      </c>
      <c r="F222" s="4" t="s">
        <v>17</v>
      </c>
      <c r="G222" s="1" t="s">
        <v>18</v>
      </c>
      <c r="H222" s="1" t="s">
        <v>19</v>
      </c>
      <c r="I222" s="1" t="s">
        <v>20</v>
      </c>
      <c r="J222" s="1" t="s">
        <v>1084</v>
      </c>
      <c r="K222" s="1" t="s">
        <v>22</v>
      </c>
      <c r="L222" s="1" t="str">
        <f>HYPERLINK("https://files.afu.se/Downloads/Transcripts/0%20-%20Government/USA%20-%20NASA/2021 11 13 - NASA - Our Crew-3 Mission Launches to the Space Station on This Week @NASA – November 12, 2021__Urv5OySYWE - transcript (automated).pdf","Transcript Link")</f>
        <v>Transcript Link</v>
      </c>
      <c r="M222" s="2" t="str">
        <f>HYPERLINK("https://files.afu.se/Downloads/Transcripts/0%20-%20Government/USA%20-%20NASA/2021 11 13 - NASA - Our Crew-3 Mission Launches to the Space Station on This Week @NASA – November 12, 2021__Urv5OySYWE - transcript (automated).pdf","Transcript Link")</f>
        <v>Transcript Link</v>
      </c>
    </row>
    <row r="223" ht="255" spans="1:13">
      <c r="A223" s="1" t="s">
        <v>1085</v>
      </c>
      <c r="B223" s="1" t="s">
        <v>13</v>
      </c>
      <c r="C223" s="4" t="s">
        <v>1086</v>
      </c>
      <c r="D223" s="1" t="s">
        <v>1087</v>
      </c>
      <c r="E223" s="1" t="s">
        <v>1088</v>
      </c>
      <c r="F223" s="4" t="s">
        <v>17</v>
      </c>
      <c r="G223" s="1" t="s">
        <v>18</v>
      </c>
      <c r="H223" s="1" t="s">
        <v>19</v>
      </c>
      <c r="I223" s="1" t="s">
        <v>20</v>
      </c>
      <c r="J223" s="1" t="s">
        <v>1089</v>
      </c>
      <c r="K223" s="1" t="s">
        <v>22</v>
      </c>
      <c r="L223" s="1" t="str">
        <f>HYPERLINK("https://files.afu.se/Downloads/Transcripts/0%20-%20Government/USA%20-%20NASA/2021 11 12 - NASA - Astronauts Show How NASA's DART Mission Will Change an Asteroid's Motion in Space_wFHce6TXVTQ - transcript (automated).pdf","Transcript Link")</f>
        <v>Transcript Link</v>
      </c>
      <c r="M223" s="2" t="str">
        <f>HYPERLINK("https://files.afu.se/Downloads/Transcripts/0%20-%20Government/USA%20-%20NASA/2021 11 12 - NASA - Astronauts Show How NASA's DART Mission Will Change an Asteroid's Motion in Space_wFHce6TXVTQ - transcript (automated).pdf","Transcript Link")</f>
        <v>Transcript Link</v>
      </c>
    </row>
    <row r="224" ht="165" spans="1:13">
      <c r="A224" s="1" t="s">
        <v>1090</v>
      </c>
      <c r="B224" s="1" t="s">
        <v>13</v>
      </c>
      <c r="C224" s="4" t="s">
        <v>1091</v>
      </c>
      <c r="D224" s="1" t="s">
        <v>1092</v>
      </c>
      <c r="E224" s="1" t="s">
        <v>1093</v>
      </c>
      <c r="F224" s="4" t="s">
        <v>17</v>
      </c>
      <c r="G224" s="1" t="s">
        <v>18</v>
      </c>
      <c r="H224" s="1" t="s">
        <v>19</v>
      </c>
      <c r="I224" s="1" t="s">
        <v>20</v>
      </c>
      <c r="J224" s="1" t="s">
        <v>1094</v>
      </c>
      <c r="K224" s="1" t="s">
        <v>22</v>
      </c>
      <c r="L224" s="1" t="str">
        <f>HYPERLINK("https://files.afu.se/Downloads/Transcripts/0%20-%20Government/USA%20-%20NASA/2021 11 10 - NASA - Is NASA Aware of Any Earth-Threatening Asteroids  We Asked a NASA Expert_2CnpeAkuxOQ - transcript (automated).pdf","Transcript Link")</f>
        <v>Transcript Link</v>
      </c>
      <c r="M224" s="2" t="str">
        <f>HYPERLINK("https://files.afu.se/Downloads/Transcripts/0%20-%20Government/USA%20-%20NASA/2021 11 10 - NASA - Is NASA Aware of Any Earth-Threatening Asteroids  We Asked a NASA Expert_2CnpeAkuxOQ - transcript (automated).pdf","Transcript Link")</f>
        <v>Transcript Link</v>
      </c>
    </row>
    <row r="225" ht="195" spans="1:13">
      <c r="A225" s="1" t="s">
        <v>1095</v>
      </c>
      <c r="B225" s="1" t="s">
        <v>13</v>
      </c>
      <c r="C225" s="4" t="s">
        <v>1096</v>
      </c>
      <c r="D225" s="1" t="s">
        <v>1097</v>
      </c>
      <c r="E225" s="1" t="s">
        <v>1098</v>
      </c>
      <c r="F225" s="4" t="s">
        <v>17</v>
      </c>
      <c r="G225" s="1" t="s">
        <v>18</v>
      </c>
      <c r="H225" s="1" t="s">
        <v>19</v>
      </c>
      <c r="I225" s="1" t="s">
        <v>20</v>
      </c>
      <c r="J225" s="1" t="s">
        <v>1099</v>
      </c>
      <c r="K225" s="1" t="s">
        <v>22</v>
      </c>
      <c r="L225" s="1" t="str">
        <f>HYPERLINK("https://files.afu.se/Downloads/Transcripts/0%20-%20Government/USA%20-%20NASA/2021 11 09 - NASA - Watch NASA’s SpaceX Crew-3 Mission Launch (Trailer)_s2rt73vr5Dk - transcript (automated).pdf","Transcript Link")</f>
        <v>Transcript Link</v>
      </c>
      <c r="M225" s="2" t="str">
        <f>HYPERLINK("https://files.afu.se/Downloads/Transcripts/0%20-%20Government/USA%20-%20NASA/2021 11 09 - NASA - Watch NASA’s SpaceX Crew-3 Mission Launch (Trailer)_s2rt73vr5Dk - transcript (automated).pdf","Transcript Link")</f>
        <v>Transcript Link</v>
      </c>
    </row>
    <row r="226" ht="409.5" spans="1:13">
      <c r="A226" s="1" t="s">
        <v>1100</v>
      </c>
      <c r="B226" s="1" t="s">
        <v>13</v>
      </c>
      <c r="C226" s="4" t="s">
        <v>1101</v>
      </c>
      <c r="D226" s="1" t="s">
        <v>1102</v>
      </c>
      <c r="E226" s="1" t="s">
        <v>1103</v>
      </c>
      <c r="F226" s="4" t="s">
        <v>17</v>
      </c>
      <c r="G226" s="1" t="s">
        <v>18</v>
      </c>
      <c r="H226" s="1" t="s">
        <v>19</v>
      </c>
      <c r="I226" s="1" t="s">
        <v>20</v>
      </c>
      <c r="J226" s="1" t="s">
        <v>1104</v>
      </c>
      <c r="K226" s="1" t="s">
        <v>22</v>
      </c>
      <c r="L226" s="1" t="str">
        <f>HYPERLINK("https://files.afu.se/Downloads/Transcripts/0%20-%20Government/USA%20-%20NASA/2021 11 07 - NASA - Vice President Kamala Harris Visits NASA to See Climate Change Work_eON997EWVWA - transcript (automated).pdf","Transcript Link")</f>
        <v>Transcript Link</v>
      </c>
      <c r="M226" s="2" t="str">
        <f>HYPERLINK("https://files.afu.se/Downloads/Transcripts/0%20-%20Government/USA%20-%20NASA/2021 11 07 - NASA - Vice President Kamala Harris Visits NASA to See Climate Change Work_eON997EWVWA - transcript (automated).pdf","Transcript Link")</f>
        <v>Transcript Link</v>
      </c>
    </row>
    <row r="227" ht="165" spans="1:13">
      <c r="A227" s="1" t="s">
        <v>1105</v>
      </c>
      <c r="B227" s="1" t="s">
        <v>13</v>
      </c>
      <c r="C227" s="4" t="s">
        <v>1106</v>
      </c>
      <c r="D227" s="1" t="s">
        <v>1107</v>
      </c>
      <c r="E227" s="1" t="s">
        <v>1108</v>
      </c>
      <c r="F227" s="4" t="s">
        <v>17</v>
      </c>
      <c r="G227" s="1" t="s">
        <v>18</v>
      </c>
      <c r="H227" s="1" t="s">
        <v>19</v>
      </c>
      <c r="I227" s="1" t="s">
        <v>20</v>
      </c>
      <c r="J227" s="1" t="s">
        <v>1109</v>
      </c>
      <c r="K227" s="1" t="s">
        <v>22</v>
      </c>
      <c r="L227" s="1" t="str">
        <f>HYPERLINK("https://files.afu.se/Downloads/Transcripts/0%20-%20Government/USA%20-%20NASA/2021 11 06 - NASA - The Vice President Checks Out New Earth Science Work on This Week @NASA – November 5, 2021__tNQUKRmbCk - transcript (automated).pdf","Transcript Link")</f>
        <v>Transcript Link</v>
      </c>
      <c r="M227" s="2" t="str">
        <f>HYPERLINK("https://files.afu.se/Downloads/Transcripts/0%20-%20Government/USA%20-%20NASA/2021 11 06 - NASA - The Vice President Checks Out New Earth Science Work on This Week @NASA – November 5, 2021__tNQUKRmbCk - transcript (automated).pdf","Transcript Link")</f>
        <v>Transcript Link</v>
      </c>
    </row>
    <row r="228" ht="165" spans="1:13">
      <c r="A228" s="1" t="s">
        <v>1110</v>
      </c>
      <c r="B228" s="1" t="s">
        <v>13</v>
      </c>
      <c r="C228" s="4" t="s">
        <v>1111</v>
      </c>
      <c r="D228" s="1" t="s">
        <v>1112</v>
      </c>
      <c r="E228" s="1" t="s">
        <v>1113</v>
      </c>
      <c r="F228" s="4" t="s">
        <v>17</v>
      </c>
      <c r="G228" s="1" t="s">
        <v>18</v>
      </c>
      <c r="H228" s="1" t="s">
        <v>19</v>
      </c>
      <c r="I228" s="1" t="s">
        <v>20</v>
      </c>
      <c r="J228" s="1" t="s">
        <v>1114</v>
      </c>
      <c r="K228" s="1" t="s">
        <v>22</v>
      </c>
      <c r="L228" s="1" t="str">
        <f>HYPERLINK("https://files.afu.se/Downloads/Transcripts/0%20-%20Government/USA%20-%20NASA/2021 11 03 - NASA - When Was the Last Time an Asteroid Hit Earth  We Asked a NASA Expert_yxoua8dWoIE - transcript (automated).pdf","Transcript Link")</f>
        <v>Transcript Link</v>
      </c>
      <c r="M228" s="2" t="str">
        <f>HYPERLINK("https://files.afu.se/Downloads/Transcripts/0%20-%20Government/USA%20-%20NASA/2021 11 03 - NASA - When Was the Last Time an Asteroid Hit Earth  We Asked a NASA Expert_yxoua8dWoIE - transcript (automated).pdf","Transcript Link")</f>
        <v>Transcript Link</v>
      </c>
    </row>
    <row r="229" ht="270" spans="1:13">
      <c r="A229" s="1" t="s">
        <v>1115</v>
      </c>
      <c r="B229" s="1" t="s">
        <v>13</v>
      </c>
      <c r="C229" s="4" t="s">
        <v>1116</v>
      </c>
      <c r="D229" s="1" t="s">
        <v>1117</v>
      </c>
      <c r="E229" s="1" t="s">
        <v>1118</v>
      </c>
      <c r="F229" s="4" t="s">
        <v>17</v>
      </c>
      <c r="G229" s="1" t="s">
        <v>18</v>
      </c>
      <c r="H229" s="1" t="s">
        <v>19</v>
      </c>
      <c r="I229" s="1" t="s">
        <v>20</v>
      </c>
      <c r="J229" s="1" t="s">
        <v>1119</v>
      </c>
      <c r="K229" s="1" t="s">
        <v>22</v>
      </c>
      <c r="L229" s="1" t="str">
        <f>HYPERLINK("https://files.afu.se/Downloads/Transcripts/0%20-%20Government/USA%20-%20NASA/2021 11 02 - NASA - NASA’s SpaceX Crew-2 Astronauts Advance Research in Space_AtjR-gHufxg - transcript (automated).pdf","Transcript Link")</f>
        <v>Transcript Link</v>
      </c>
      <c r="M229" s="2" t="str">
        <f>HYPERLINK("https://files.afu.se/Downloads/Transcripts/0%20-%20Government/USA%20-%20NASA/2021 11 02 - NASA - NASA’s SpaceX Crew-2 Astronauts Advance Research in Space_AtjR-gHufxg - transcript (automated).pdf","Transcript Link")</f>
        <v>Transcript Link</v>
      </c>
    </row>
    <row r="230" ht="210" spans="1:13">
      <c r="A230" s="1" t="s">
        <v>1120</v>
      </c>
      <c r="B230" s="1" t="s">
        <v>13</v>
      </c>
      <c r="C230" s="4" t="s">
        <v>1121</v>
      </c>
      <c r="D230" s="1" t="s">
        <v>1122</v>
      </c>
      <c r="E230" s="1" t="s">
        <v>1123</v>
      </c>
      <c r="F230" s="4" t="s">
        <v>17</v>
      </c>
      <c r="G230" s="1" t="s">
        <v>18</v>
      </c>
      <c r="H230" s="1" t="s">
        <v>19</v>
      </c>
      <c r="I230" s="1" t="s">
        <v>20</v>
      </c>
      <c r="J230" s="1" t="s">
        <v>1124</v>
      </c>
      <c r="K230" s="1" t="s">
        <v>22</v>
      </c>
      <c r="L230" s="1" t="str">
        <f>HYPERLINK("https://files.afu.se/Downloads/Transcripts/0%20-%20Government/USA%20-%20NASA/2021 10 29 - NASA - The Crew-3 Astronauts Arrive at the Launch Site on This Week @NASA – October 29, 2021_larBkDpbgx0 - transcript (automated).pdf","Transcript Link")</f>
        <v>Transcript Link</v>
      </c>
      <c r="M230" s="2" t="str">
        <f>HYPERLINK("https://files.afu.se/Downloads/Transcripts/0%20-%20Government/USA%20-%20NASA/2021 10 29 - NASA - The Crew-3 Astronauts Arrive at the Launch Site on This Week @NASA – October 29, 2021_larBkDpbgx0 - transcript (automated).pdf","Transcript Link")</f>
        <v>Transcript Link</v>
      </c>
    </row>
    <row r="231" ht="165" spans="1:13">
      <c r="A231" s="1" t="s">
        <v>1125</v>
      </c>
      <c r="B231" s="1" t="s">
        <v>13</v>
      </c>
      <c r="C231" s="4" t="s">
        <v>1126</v>
      </c>
      <c r="D231" s="1" t="s">
        <v>1127</v>
      </c>
      <c r="E231" s="1" t="s">
        <v>1128</v>
      </c>
      <c r="F231" s="4" t="s">
        <v>17</v>
      </c>
      <c r="G231" s="1" t="s">
        <v>18</v>
      </c>
      <c r="H231" s="1" t="s">
        <v>19</v>
      </c>
      <c r="I231" s="1" t="s">
        <v>20</v>
      </c>
      <c r="J231" s="1" t="s">
        <v>1129</v>
      </c>
      <c r="K231" s="1" t="s">
        <v>22</v>
      </c>
      <c r="L231" s="1" t="str">
        <f>HYPERLINK("https://files.afu.se/Downloads/Transcripts/0%20-%20Government/USA%20-%20NASA/2021 10 27 - NASA - How Did Perseverance Pick its Landing Spot  We Asked a NASA Expert_Lvet4-oHR7U - transcript (automated).pdf","Transcript Link")</f>
        <v>Transcript Link</v>
      </c>
      <c r="M231" s="2" t="str">
        <f>HYPERLINK("https://files.afu.se/Downloads/Transcripts/0%20-%20Government/USA%20-%20NASA/2021 10 27 - NASA - How Did Perseverance Pick its Landing Spot  We Asked a NASA Expert_Lvet4-oHR7U - transcript (automated).pdf","Transcript Link")</f>
        <v>Transcript Link</v>
      </c>
    </row>
    <row r="232" ht="210" spans="1:13">
      <c r="A232" s="1" t="s">
        <v>1130</v>
      </c>
      <c r="B232" s="1" t="s">
        <v>13</v>
      </c>
      <c r="C232" s="4" t="s">
        <v>1131</v>
      </c>
      <c r="D232" s="1" t="s">
        <v>1132</v>
      </c>
      <c r="E232" s="1" t="s">
        <v>1133</v>
      </c>
      <c r="F232" s="4" t="s">
        <v>17</v>
      </c>
      <c r="G232" s="1" t="s">
        <v>18</v>
      </c>
      <c r="H232" s="1" t="s">
        <v>19</v>
      </c>
      <c r="I232" s="1" t="s">
        <v>20</v>
      </c>
      <c r="J232" s="1" t="s">
        <v>1134</v>
      </c>
      <c r="K232" s="1" t="s">
        <v>22</v>
      </c>
      <c r="L232" s="1" t="str">
        <f>HYPERLINK("https://files.afu.se/Downloads/Transcripts/0%20-%20Government/USA%20-%20NASA/2021 10 24 - NASA - Behind the Spacecraft  Justyna Surowiec_pm02i3uALXo - transcript (automated).pdf","Transcript Link")</f>
        <v>Transcript Link</v>
      </c>
      <c r="M232" s="2" t="str">
        <f>HYPERLINK("https://files.afu.se/Downloads/Transcripts/0%20-%20Government/USA%20-%20NASA/2021 10 24 - NASA - Behind the Spacecraft  Justyna Surowiec_pm02i3uALXo - transcript (automated).pdf","Transcript Link")</f>
        <v>Transcript Link</v>
      </c>
    </row>
    <row r="233" ht="195" spans="1:13">
      <c r="A233" s="1" t="s">
        <v>1130</v>
      </c>
      <c r="B233" s="1" t="s">
        <v>13</v>
      </c>
      <c r="C233" s="4" t="s">
        <v>1135</v>
      </c>
      <c r="D233" s="1" t="s">
        <v>1136</v>
      </c>
      <c r="E233" s="1" t="s">
        <v>1137</v>
      </c>
      <c r="F233" s="4" t="s">
        <v>17</v>
      </c>
      <c r="G233" s="1" t="s">
        <v>18</v>
      </c>
      <c r="H233" s="1" t="s">
        <v>19</v>
      </c>
      <c r="I233" s="1" t="s">
        <v>20</v>
      </c>
      <c r="J233" s="1" t="s">
        <v>1138</v>
      </c>
      <c r="K233" s="1" t="s">
        <v>22</v>
      </c>
      <c r="L233" s="1" t="str">
        <f>HYPERLINK("https://files.afu.se/Downloads/Transcripts/0%20-%20Government/USA%20-%20NASA/2021 10 24 - NASA - Behind the Spacecraft  Elena Adams_LADoWKci4hs - transcript (automated).pdf","Transcript Link")</f>
        <v>Transcript Link</v>
      </c>
      <c r="M233" s="2" t="str">
        <f>HYPERLINK("https://files.afu.se/Downloads/Transcripts/0%20-%20Government/USA%20-%20NASA/2021 10 24 - NASA - Behind the Spacecraft  Elena Adams_LADoWKci4hs - transcript (automated).pdf","Transcript Link")</f>
        <v>Transcript Link</v>
      </c>
    </row>
    <row r="234" ht="225" spans="1:13">
      <c r="A234" s="1" t="s">
        <v>1130</v>
      </c>
      <c r="B234" s="1" t="s">
        <v>13</v>
      </c>
      <c r="C234" s="4" t="s">
        <v>1139</v>
      </c>
      <c r="D234" s="1" t="s">
        <v>1140</v>
      </c>
      <c r="E234" s="1" t="s">
        <v>1141</v>
      </c>
      <c r="F234" s="4" t="s">
        <v>17</v>
      </c>
      <c r="G234" s="1" t="s">
        <v>18</v>
      </c>
      <c r="H234" s="1" t="s">
        <v>19</v>
      </c>
      <c r="I234" s="1" t="s">
        <v>20</v>
      </c>
      <c r="J234" s="1" t="s">
        <v>1142</v>
      </c>
      <c r="K234" s="1" t="s">
        <v>22</v>
      </c>
      <c r="L234" s="1" t="str">
        <f>HYPERLINK("https://files.afu.se/Downloads/Transcripts/0%20-%20Government/USA%20-%20NASA/2021 10 24 - NASA - Behind the Spacecraft  Kelly Fast_T0fHMWFMKWo - transcript (automated).pdf","Transcript Link")</f>
        <v>Transcript Link</v>
      </c>
      <c r="M234" s="2" t="str">
        <f>HYPERLINK("https://files.afu.se/Downloads/Transcripts/0%20-%20Government/USA%20-%20NASA/2021 10 24 - NASA - Behind the Spacecraft  Kelly Fast_T0fHMWFMKWo - transcript (automated).pdf","Transcript Link")</f>
        <v>Transcript Link</v>
      </c>
    </row>
    <row r="235" ht="210" spans="1:13">
      <c r="A235" s="1" t="s">
        <v>1130</v>
      </c>
      <c r="B235" s="1" t="s">
        <v>13</v>
      </c>
      <c r="C235" s="4" t="s">
        <v>1143</v>
      </c>
      <c r="D235" s="1" t="s">
        <v>1144</v>
      </c>
      <c r="E235" s="1" t="s">
        <v>1145</v>
      </c>
      <c r="F235" s="4" t="s">
        <v>17</v>
      </c>
      <c r="G235" s="1" t="s">
        <v>18</v>
      </c>
      <c r="H235" s="1" t="s">
        <v>19</v>
      </c>
      <c r="I235" s="1" t="s">
        <v>20</v>
      </c>
      <c r="J235" s="1" t="s">
        <v>1146</v>
      </c>
      <c r="K235" s="1" t="s">
        <v>22</v>
      </c>
      <c r="L235" s="1" t="str">
        <f>HYPERLINK("https://files.afu.se/Downloads/Transcripts/0%20-%20Government/USA%20-%20NASA/2021 10 24 - NASA - Behind the Spacecraft  Michelle Chen_WDWbemWdbAI - transcript (automated).pdf","Transcript Link")</f>
        <v>Transcript Link</v>
      </c>
      <c r="M235" s="2" t="str">
        <f>HYPERLINK("https://files.afu.se/Downloads/Transcripts/0%20-%20Government/USA%20-%20NASA/2021 10 24 - NASA - Behind the Spacecraft  Michelle Chen_WDWbemWdbAI - transcript (automated).pdf","Transcript Link")</f>
        <v>Transcript Link</v>
      </c>
    </row>
    <row r="236" ht="255" spans="1:13">
      <c r="A236" s="1" t="s">
        <v>1130</v>
      </c>
      <c r="B236" s="1" t="s">
        <v>13</v>
      </c>
      <c r="C236" s="4" t="s">
        <v>1147</v>
      </c>
      <c r="D236" s="1" t="s">
        <v>1148</v>
      </c>
      <c r="E236" s="1" t="s">
        <v>1149</v>
      </c>
      <c r="F236" s="4" t="s">
        <v>17</v>
      </c>
      <c r="G236" s="1" t="s">
        <v>18</v>
      </c>
      <c r="H236" s="1" t="s">
        <v>19</v>
      </c>
      <c r="I236" s="1" t="s">
        <v>20</v>
      </c>
      <c r="J236" s="1" t="s">
        <v>1150</v>
      </c>
      <c r="K236" s="1" t="s">
        <v>22</v>
      </c>
      <c r="L236" s="1" t="str">
        <f>HYPERLINK("https://files.afu.se/Downloads/Transcripts/0%20-%20Government/USA%20-%20NASA/2021 10 24 - NASA - Behind the Spacecraft  NASA's DART, the Double Asteroid Redirection Test_g7zdeQ-Uw8k - transcript (automated).pdf","Transcript Link")</f>
        <v>Transcript Link</v>
      </c>
      <c r="M236" s="2" t="str">
        <f>HYPERLINK("https://files.afu.se/Downloads/Transcripts/0%20-%20Government/USA%20-%20NASA/2021 10 24 - NASA - Behind the Spacecraft  NASA's DART, the Double Asteroid Redirection Test_g7zdeQ-Uw8k - transcript (automated).pdf","Transcript Link")</f>
        <v>Transcript Link</v>
      </c>
    </row>
    <row r="237" ht="225" spans="1:13">
      <c r="A237" s="1" t="s">
        <v>1130</v>
      </c>
      <c r="B237" s="1" t="s">
        <v>13</v>
      </c>
      <c r="C237" s="4" t="s">
        <v>1151</v>
      </c>
      <c r="D237" s="1" t="s">
        <v>1152</v>
      </c>
      <c r="E237" s="1" t="s">
        <v>1153</v>
      </c>
      <c r="F237" s="4" t="s">
        <v>17</v>
      </c>
      <c r="G237" s="1" t="s">
        <v>18</v>
      </c>
      <c r="H237" s="1" t="s">
        <v>19</v>
      </c>
      <c r="I237" s="1" t="s">
        <v>20</v>
      </c>
      <c r="J237" s="1" t="s">
        <v>1154</v>
      </c>
      <c r="K237" s="1" t="s">
        <v>22</v>
      </c>
      <c r="L237" s="1" t="str">
        <f>HYPERLINK("https://files.afu.se/Downloads/Transcripts/0%20-%20Government/USA%20-%20NASA/2021 10 24 - NASA - Behind the Spacecraft  Andy Rivkin_OnrP1FTixOw - transcript (automated).pdf","Transcript Link")</f>
        <v>Transcript Link</v>
      </c>
      <c r="M237" s="2" t="str">
        <f>HYPERLINK("https://files.afu.se/Downloads/Transcripts/0%20-%20Government/USA%20-%20NASA/2021 10 24 - NASA - Behind the Spacecraft  Andy Rivkin_OnrP1FTixOw - transcript (automated).pdf","Transcript Link")</f>
        <v>Transcript Link</v>
      </c>
    </row>
    <row r="238" ht="165" spans="1:13">
      <c r="A238" s="1" t="s">
        <v>1155</v>
      </c>
      <c r="B238" s="1" t="s">
        <v>13</v>
      </c>
      <c r="C238" s="4" t="s">
        <v>1156</v>
      </c>
      <c r="D238" s="1" t="s">
        <v>1157</v>
      </c>
      <c r="E238" s="1" t="s">
        <v>1158</v>
      </c>
      <c r="F238" s="4" t="s">
        <v>17</v>
      </c>
      <c r="G238" s="1" t="s">
        <v>18</v>
      </c>
      <c r="H238" s="1" t="s">
        <v>19</v>
      </c>
      <c r="I238" s="1" t="s">
        <v>20</v>
      </c>
      <c r="J238" s="1" t="s">
        <v>1159</v>
      </c>
      <c r="K238" s="1" t="s">
        <v>22</v>
      </c>
      <c r="L238" s="1" t="str">
        <f>HYPERLINK("https://files.afu.se/Downloads/Transcripts/0%20-%20Government/USA%20-%20NASA/2021 10 22 - NASA - The Orion Spacecraft for Artemis I Is on the Move on This Week @NASA – October 22, 2021_dP4KkSEdvjM - transcript (automated).pdf","Transcript Link")</f>
        <v>Transcript Link</v>
      </c>
      <c r="M238" s="2" t="str">
        <f>HYPERLINK("https://files.afu.se/Downloads/Transcripts/0%20-%20Government/USA%20-%20NASA/2021 10 22 - NASA - The Orion Spacecraft for Artemis I Is on the Move on This Week @NASA – October 22, 2021_dP4KkSEdvjM - transcript (automated).pdf","Transcript Link")</f>
        <v>Transcript Link</v>
      </c>
    </row>
    <row r="239" ht="255" spans="1:13">
      <c r="A239" s="1" t="s">
        <v>1160</v>
      </c>
      <c r="B239" s="1" t="s">
        <v>13</v>
      </c>
      <c r="C239" s="4" t="s">
        <v>1161</v>
      </c>
      <c r="D239" s="1" t="s">
        <v>1162</v>
      </c>
      <c r="E239" s="1" t="s">
        <v>1163</v>
      </c>
      <c r="F239" s="4" t="s">
        <v>17</v>
      </c>
      <c r="G239" s="1" t="s">
        <v>18</v>
      </c>
      <c r="H239" s="1" t="s">
        <v>19</v>
      </c>
      <c r="I239" s="1" t="s">
        <v>20</v>
      </c>
      <c r="J239" s="1" t="s">
        <v>1164</v>
      </c>
      <c r="K239" s="1" t="s">
        <v>22</v>
      </c>
      <c r="L239" s="1" t="str">
        <f>HYPERLINK("https://files.afu.se/Downloads/Transcripts/0%20-%20Government/USA%20-%20NASA/2021 10 20 - NASA - Building NASA's NEXT Generation Spacesuits_ug-FHsOYP5Y - transcript (automated).pdf","Transcript Link")</f>
        <v>Transcript Link</v>
      </c>
      <c r="M239" s="2" t="str">
        <f>HYPERLINK("https://files.afu.se/Downloads/Transcripts/0%20-%20Government/USA%20-%20NASA/2021 10 20 - NASA - Building NASA's NEXT Generation Spacesuits_ug-FHsOYP5Y - transcript (automated).pdf","Transcript Link")</f>
        <v>Transcript Link</v>
      </c>
    </row>
    <row r="240" ht="180" spans="1:13">
      <c r="A240" s="1" t="s">
        <v>1160</v>
      </c>
      <c r="B240" s="1" t="s">
        <v>13</v>
      </c>
      <c r="C240" s="4" t="s">
        <v>1165</v>
      </c>
      <c r="D240" s="1" t="s">
        <v>1166</v>
      </c>
      <c r="E240" s="1" t="s">
        <v>1167</v>
      </c>
      <c r="F240" s="4" t="s">
        <v>17</v>
      </c>
      <c r="G240" s="1" t="s">
        <v>18</v>
      </c>
      <c r="H240" s="1" t="s">
        <v>19</v>
      </c>
      <c r="I240" s="1" t="s">
        <v>20</v>
      </c>
      <c r="J240" s="1" t="s">
        <v>1168</v>
      </c>
      <c r="K240" s="1" t="s">
        <v>22</v>
      </c>
      <c r="L240" s="1" t="str">
        <f>HYPERLINK("https://files.afu.se/Downloads/Transcripts/0%20-%20Government/USA%20-%20NASA/2021 10 20 - NASA - What if an Asteroid Were Going to Hit Earth  We Asked a NASA Scientist_NwSISlnoy9w - transcript (automated).pdf","Transcript Link")</f>
        <v>Transcript Link</v>
      </c>
      <c r="M240" s="2" t="str">
        <f>HYPERLINK("https://files.afu.se/Downloads/Transcripts/0%20-%20Government/USA%20-%20NASA/2021 10 20 - NASA - What if an Asteroid Were Going to Hit Earth  We Asked a NASA Scientist_NwSISlnoy9w - transcript (automated).pdf","Transcript Link")</f>
        <v>Transcript Link</v>
      </c>
    </row>
    <row r="241" ht="195" spans="1:13">
      <c r="A241" s="1" t="s">
        <v>1169</v>
      </c>
      <c r="B241" s="1" t="s">
        <v>13</v>
      </c>
      <c r="C241" s="4" t="s">
        <v>1170</v>
      </c>
      <c r="D241" s="1" t="s">
        <v>1171</v>
      </c>
      <c r="E241" s="1" t="s">
        <v>1172</v>
      </c>
      <c r="F241" s="4" t="s">
        <v>17</v>
      </c>
      <c r="G241" s="1" t="s">
        <v>18</v>
      </c>
      <c r="H241" s="1" t="s">
        <v>19</v>
      </c>
      <c r="I241" s="1" t="s">
        <v>20</v>
      </c>
      <c r="J241" s="1" t="s">
        <v>1173</v>
      </c>
      <c r="K241" s="1" t="s">
        <v>22</v>
      </c>
      <c r="L241" s="1" t="str">
        <f>HYPERLINK("https://files.afu.se/Downloads/Transcripts/0%20-%20Government/USA%20-%20NASA/2021 10 16 - NASA - The First Mission to the Trojan Asteroids on This Week @NASA – October 16, 2021_n_aI22YkGVU - transcript (automated).pdf","Transcript Link")</f>
        <v>Transcript Link</v>
      </c>
      <c r="M241" s="2" t="str">
        <f>HYPERLINK("https://files.afu.se/Downloads/Transcripts/0%20-%20Government/USA%20-%20NASA/2021 10 16 - NASA - The First Mission to the Trojan Asteroids on This Week @NASA – October 16, 2021_n_aI22YkGVU - transcript (automated).pdf","Transcript Link")</f>
        <v>Transcript Link</v>
      </c>
    </row>
    <row r="242" ht="165" spans="1:13">
      <c r="A242" s="1" t="s">
        <v>1174</v>
      </c>
      <c r="B242" s="1" t="s">
        <v>13</v>
      </c>
      <c r="C242" s="4" t="s">
        <v>1175</v>
      </c>
      <c r="D242" s="1" t="s">
        <v>1176</v>
      </c>
      <c r="E242" s="1" t="s">
        <v>1177</v>
      </c>
      <c r="F242" s="4" t="s">
        <v>17</v>
      </c>
      <c r="G242" s="1" t="s">
        <v>18</v>
      </c>
      <c r="H242" s="1" t="s">
        <v>19</v>
      </c>
      <c r="I242" s="1" t="s">
        <v>20</v>
      </c>
      <c r="J242" s="1" t="s">
        <v>1178</v>
      </c>
      <c r="K242" s="1" t="s">
        <v>22</v>
      </c>
      <c r="L242" s="1" t="str">
        <f>HYPERLINK("https://files.afu.se/Downloads/Transcripts/0%20-%20Government/USA%20-%20NASA/2021 10 13 - NASA - Did Mars Ever Look Like Earth  We Asked a NASA Scientist_RKLGK8Co0Xo - transcript (automated).pdf","Transcript Link")</f>
        <v>Transcript Link</v>
      </c>
      <c r="M242" s="2" t="str">
        <f>HYPERLINK("https://files.afu.se/Downloads/Transcripts/0%20-%20Government/USA%20-%20NASA/2021 10 13 - NASA - Did Mars Ever Look Like Earth  We Asked a NASA Scientist_RKLGK8Co0Xo - transcript (automated).pdf","Transcript Link")</f>
        <v>Transcript Link</v>
      </c>
    </row>
    <row r="243" ht="165" spans="1:13">
      <c r="A243" s="1" t="s">
        <v>1179</v>
      </c>
      <c r="B243" s="1" t="s">
        <v>13</v>
      </c>
      <c r="C243" s="4" t="s">
        <v>1180</v>
      </c>
      <c r="D243" s="1" t="s">
        <v>1181</v>
      </c>
      <c r="E243" s="1" t="s">
        <v>1182</v>
      </c>
      <c r="F243" s="4" t="s">
        <v>17</v>
      </c>
      <c r="G243" s="1" t="s">
        <v>18</v>
      </c>
      <c r="H243" s="1" t="s">
        <v>19</v>
      </c>
      <c r="I243" s="1" t="s">
        <v>20</v>
      </c>
      <c r="J243" s="1" t="s">
        <v>1183</v>
      </c>
      <c r="K243" s="1" t="s">
        <v>22</v>
      </c>
      <c r="L243" s="1" t="str">
        <f>HYPERLINK("https://files.afu.se/Downloads/Transcripts/0%20-%20Government/USA%20-%20NASA/2021 10 08 - NASA - A Change of Command Aboard the Space Station on This Week @NASA – October 8, 2021_3tOP7olHDmU - transcript (automated).pdf","Transcript Link")</f>
        <v>Transcript Link</v>
      </c>
      <c r="M243" s="2" t="str">
        <f>HYPERLINK("https://files.afu.se/Downloads/Transcripts/0%20-%20Government/USA%20-%20NASA/2021 10 08 - NASA - A Change of Command Aboard the Space Station on This Week @NASA – October 8, 2021_3tOP7olHDmU - transcript (automated).pdf","Transcript Link")</f>
        <v>Transcript Link</v>
      </c>
    </row>
    <row r="244" ht="300" spans="1:13">
      <c r="A244" s="1" t="s">
        <v>1179</v>
      </c>
      <c r="B244" s="1" t="s">
        <v>13</v>
      </c>
      <c r="C244" s="4" t="s">
        <v>1184</v>
      </c>
      <c r="D244" s="1" t="s">
        <v>1185</v>
      </c>
      <c r="E244" s="1" t="s">
        <v>1186</v>
      </c>
      <c r="F244" s="4" t="s">
        <v>17</v>
      </c>
      <c r="G244" s="1" t="s">
        <v>18</v>
      </c>
      <c r="H244" s="1" t="s">
        <v>19</v>
      </c>
      <c r="I244" s="1" t="s">
        <v>20</v>
      </c>
      <c r="J244" s="1" t="s">
        <v>1187</v>
      </c>
      <c r="K244" s="1" t="s">
        <v>22</v>
      </c>
      <c r="L244" s="1" t="str">
        <f>HYPERLINK("https://files.afu.se/Downloads/Transcripts/0%20-%20Government/USA%20-%20NASA/2021 10 08 - NASA - Launching Lucy, NASA's First Mission to the Trojan Asteroids_35ANRDXESqw - transcript (automated).pdf","Transcript Link")</f>
        <v>Transcript Link</v>
      </c>
      <c r="M244" s="2" t="str">
        <f>HYPERLINK("https://files.afu.se/Downloads/Transcripts/0%20-%20Government/USA%20-%20NASA/2021 10 08 - NASA - Launching Lucy, NASA's First Mission to the Trojan Asteroids_35ANRDXESqw - transcript (automated).pdf","Transcript Link")</f>
        <v>Transcript Link</v>
      </c>
    </row>
    <row r="245" ht="409.5" spans="1:13">
      <c r="A245" s="1" t="s">
        <v>1188</v>
      </c>
      <c r="B245" s="1" t="s">
        <v>13</v>
      </c>
      <c r="C245" s="4" t="s">
        <v>1189</v>
      </c>
      <c r="D245" s="1" t="s">
        <v>1190</v>
      </c>
      <c r="E245" s="1" t="s">
        <v>1191</v>
      </c>
      <c r="F245" s="4" t="s">
        <v>17</v>
      </c>
      <c r="G245" s="1" t="s">
        <v>18</v>
      </c>
      <c r="H245" s="1" t="s">
        <v>19</v>
      </c>
      <c r="I245" s="1" t="s">
        <v>20</v>
      </c>
      <c r="J245" s="1" t="s">
        <v>1192</v>
      </c>
      <c r="K245" s="1" t="s">
        <v>22</v>
      </c>
      <c r="L245" s="1" t="str">
        <f>HYPERLINK("https://files.afu.se/Downloads/Transcripts/0%20-%20Government/USA%20-%20NASA/2021 10 07 - NASA - NASA Celebrates Hispanic Heritage  El Ayer y El Mañana_wFsQvxSzsA8 - transcript (automated).pdf","Transcript Link")</f>
        <v>Transcript Link</v>
      </c>
      <c r="M245" s="2" t="str">
        <f>HYPERLINK("https://files.afu.se/Downloads/Transcripts/0%20-%20Government/USA%20-%20NASA/2021 10 07 - NASA - NASA Celebrates Hispanic Heritage  El Ayer y El Mañana_wFsQvxSzsA8 - transcript (automated).pdf","Transcript Link")</f>
        <v>Transcript Link</v>
      </c>
    </row>
    <row r="246" ht="165" spans="1:13">
      <c r="A246" s="1" t="s">
        <v>1188</v>
      </c>
      <c r="B246" s="1" t="s">
        <v>13</v>
      </c>
      <c r="C246" s="4" t="s">
        <v>1193</v>
      </c>
      <c r="D246" s="1" t="s">
        <v>1194</v>
      </c>
      <c r="E246" s="1" t="s">
        <v>1195</v>
      </c>
      <c r="F246" s="4" t="s">
        <v>17</v>
      </c>
      <c r="G246" s="1" t="s">
        <v>18</v>
      </c>
      <c r="H246" s="1" t="s">
        <v>19</v>
      </c>
      <c r="I246" s="1" t="s">
        <v>20</v>
      </c>
      <c r="J246" s="1" t="s">
        <v>1196</v>
      </c>
      <c r="K246" s="1" t="s">
        <v>22</v>
      </c>
      <c r="L246" s="1" t="str">
        <f>HYPERLINK("https://files.afu.se/Downloads/Transcripts/0%20-%20Government/USA%20-%20NASA/2021 10 07 - NASA - Vice President Kamala Harris and an Astronaut  What A Day!   Get Curious with Vice President Harris_Wlxq4S-4CCY - transcript (automated).pdf","Transcript Link")</f>
        <v>Transcript Link</v>
      </c>
      <c r="M246" s="2" t="str">
        <f>HYPERLINK("https://files.afu.se/Downloads/Transcripts/0%20-%20Government/USA%20-%20NASA/2021 10 07 - NASA - Vice President Kamala Harris and an Astronaut  What A Day!   Get Curious with Vice President Harris_Wlxq4S-4CCY - transcript (automated).pdf","Transcript Link")</f>
        <v>Transcript Link</v>
      </c>
    </row>
    <row r="247" ht="255" spans="1:13">
      <c r="A247" s="1" t="s">
        <v>1197</v>
      </c>
      <c r="B247" s="1" t="s">
        <v>13</v>
      </c>
      <c r="C247" s="4" t="s">
        <v>1198</v>
      </c>
      <c r="D247" s="1" t="s">
        <v>1199</v>
      </c>
      <c r="E247" s="1" t="s">
        <v>1200</v>
      </c>
      <c r="F247" s="4" t="s">
        <v>17</v>
      </c>
      <c r="G247" s="1" t="s">
        <v>18</v>
      </c>
      <c r="H247" s="1" t="s">
        <v>19</v>
      </c>
      <c r="I247" s="1" t="s">
        <v>20</v>
      </c>
      <c r="J247" s="1" t="s">
        <v>1201</v>
      </c>
      <c r="K247" s="1" t="s">
        <v>22</v>
      </c>
      <c r="L247" s="1" t="str">
        <f>HYPERLINK("https://files.afu.se/Downloads/Transcripts/0%20-%20Government/USA%20-%20NASA/2021 10 06 - NASA - What are Lagrange Points  We Asked a NASA Scientist_fTVN19h4nMg - transcript (automated).pdf","Transcript Link")</f>
        <v>Transcript Link</v>
      </c>
      <c r="M247" s="2" t="str">
        <f>HYPERLINK("https://files.afu.se/Downloads/Transcripts/0%20-%20Government/USA%20-%20NASA/2021 10 06 - NASA - What are Lagrange Points  We Asked a NASA Scientist_fTVN19h4nMg - transcript (automated).pdf","Transcript Link")</f>
        <v>Transcript Link</v>
      </c>
    </row>
    <row r="248" ht="409.5" spans="1:13">
      <c r="A248" s="1" t="s">
        <v>1202</v>
      </c>
      <c r="B248" s="1" t="s">
        <v>13</v>
      </c>
      <c r="C248" s="4" t="s">
        <v>1203</v>
      </c>
      <c r="D248" s="1" t="s">
        <v>1204</v>
      </c>
      <c r="E248" s="1" t="s">
        <v>1205</v>
      </c>
      <c r="F248" s="4" t="s">
        <v>17</v>
      </c>
      <c r="G248" s="1" t="s">
        <v>18</v>
      </c>
      <c r="H248" s="1" t="s">
        <v>19</v>
      </c>
      <c r="I248" s="1" t="s">
        <v>20</v>
      </c>
      <c r="J248" s="1" t="s">
        <v>1206</v>
      </c>
      <c r="K248" s="1" t="s">
        <v>22</v>
      </c>
      <c r="L248" s="1" t="str">
        <f>HYPERLINK("https://files.afu.se/Downloads/Transcripts/0%20-%20Government/USA%20-%20NASA/2021 10 01 - NASA - NASA Science Live  Landsat - A Legacy of Seeing Earth from Space_y_pmDf8jKns - transcript (automated).pdf","Transcript Link")</f>
        <v>Transcript Link</v>
      </c>
      <c r="M248" s="2" t="str">
        <f>HYPERLINK("https://files.afu.se/Downloads/Transcripts/0%20-%20Government/USA%20-%20NASA/2021 10 01 - NASA - NASA Science Live  Landsat - A Legacy of Seeing Earth from Space_y_pmDf8jKns - transcript (automated).pdf","Transcript Link")</f>
        <v>Transcript Link</v>
      </c>
    </row>
    <row r="249" ht="210" spans="1:13">
      <c r="A249" s="1" t="s">
        <v>1202</v>
      </c>
      <c r="B249" s="1" t="s">
        <v>13</v>
      </c>
      <c r="C249" s="4" t="s">
        <v>1207</v>
      </c>
      <c r="D249" s="1" t="s">
        <v>1208</v>
      </c>
      <c r="E249" s="1" t="s">
        <v>1209</v>
      </c>
      <c r="F249" s="4" t="s">
        <v>17</v>
      </c>
      <c r="G249" s="1" t="s">
        <v>18</v>
      </c>
      <c r="H249" s="1" t="s">
        <v>19</v>
      </c>
      <c r="I249" s="1" t="s">
        <v>20</v>
      </c>
      <c r="J249" s="1" t="s">
        <v>1210</v>
      </c>
      <c r="K249" s="1" t="s">
        <v>22</v>
      </c>
      <c r="L249" s="1" t="str">
        <f>HYPERLINK("https://files.afu.se/Downloads/Transcripts/0%20-%20Government/USA%20-%20NASA/2021 10 01 - NASA - A New Earth-Observing Mission Launches to Space on This Week @NASA – October 1, 2021_CFY_hDUWm80 - transcript (automated).pdf","Transcript Link")</f>
        <v>Transcript Link</v>
      </c>
      <c r="M249" s="2" t="str">
        <f>HYPERLINK("https://files.afu.se/Downloads/Transcripts/0%20-%20Government/USA%20-%20NASA/2021 10 01 - NASA - A New Earth-Observing Mission Launches to Space on This Week @NASA – October 1, 2021_CFY_hDUWm80 - transcript (automated).pdf","Transcript Link")</f>
        <v>Transcript Link</v>
      </c>
    </row>
    <row r="250" ht="180" spans="1:13">
      <c r="A250" s="1" t="s">
        <v>1211</v>
      </c>
      <c r="B250" s="1" t="s">
        <v>13</v>
      </c>
      <c r="C250" s="4" t="s">
        <v>1212</v>
      </c>
      <c r="D250" s="1" t="s">
        <v>1213</v>
      </c>
      <c r="E250" s="1" t="s">
        <v>1214</v>
      </c>
      <c r="F250" s="4" t="s">
        <v>17</v>
      </c>
      <c r="G250" s="1" t="s">
        <v>18</v>
      </c>
      <c r="H250" s="1" t="s">
        <v>19</v>
      </c>
      <c r="I250" s="1" t="s">
        <v>20</v>
      </c>
      <c r="J250" s="1" t="s">
        <v>1215</v>
      </c>
      <c r="K250" s="1" t="s">
        <v>22</v>
      </c>
      <c r="L250" s="1" t="str">
        <f>HYPERLINK("https://files.afu.se/Downloads/Transcripts/0%20-%20Government/USA%20-%20NASA/2021 09 30 - NASA - What are the Trojan Asteroids  We Asked a NASA Scientist_9UFpXW018JQ - transcript (automated).pdf","Transcript Link")</f>
        <v>Transcript Link</v>
      </c>
      <c r="M250" s="2" t="str">
        <f>HYPERLINK("https://files.afu.se/Downloads/Transcripts/0%20-%20Government/USA%20-%20NASA/2021 09 30 - NASA - What are the Trojan Asteroids  We Asked a NASA Scientist_9UFpXW018JQ - transcript (automated).pdf","Transcript Link")</f>
        <v>Transcript Link</v>
      </c>
    </row>
    <row r="251" ht="195" spans="1:13">
      <c r="A251" s="1" t="s">
        <v>1216</v>
      </c>
      <c r="B251" s="1" t="s">
        <v>13</v>
      </c>
      <c r="C251" s="4" t="s">
        <v>1217</v>
      </c>
      <c r="D251" s="1" t="s">
        <v>1218</v>
      </c>
      <c r="E251" s="1" t="s">
        <v>1219</v>
      </c>
      <c r="F251" s="4" t="s">
        <v>17</v>
      </c>
      <c r="G251" s="1" t="s">
        <v>18</v>
      </c>
      <c r="H251" s="1" t="s">
        <v>19</v>
      </c>
      <c r="I251" s="1" t="s">
        <v>20</v>
      </c>
      <c r="J251" s="1" t="s">
        <v>1220</v>
      </c>
      <c r="K251" s="1" t="s">
        <v>22</v>
      </c>
      <c r="L251" s="1" t="str">
        <f>HYPERLINK("https://files.afu.se/Downloads/Transcripts/0%20-%20Government/USA%20-%20NASA/2021 09 24 - NASA - Positioning the Agency for Future Success on This Week @NASA – September 24, 2021_IZtP1vGafsM - transcript (automated).pdf","Transcript Link")</f>
        <v>Transcript Link</v>
      </c>
      <c r="M251" s="2" t="str">
        <f>HYPERLINK("https://files.afu.se/Downloads/Transcripts/0%20-%20Government/USA%20-%20NASA/2021 09 24 - NASA - Positioning the Agency for Future Success on This Week @NASA – September 24, 2021_IZtP1vGafsM - transcript (automated).pdf","Transcript Link")</f>
        <v>Transcript Link</v>
      </c>
    </row>
    <row r="252" ht="165" spans="1:13">
      <c r="A252" s="1" t="s">
        <v>1221</v>
      </c>
      <c r="B252" s="1" t="s">
        <v>13</v>
      </c>
      <c r="C252" s="4" t="s">
        <v>1222</v>
      </c>
      <c r="D252" s="1" t="s">
        <v>1223</v>
      </c>
      <c r="E252" s="1" t="s">
        <v>1224</v>
      </c>
      <c r="F252" s="4" t="s">
        <v>17</v>
      </c>
      <c r="G252" s="1" t="s">
        <v>18</v>
      </c>
      <c r="H252" s="1" t="s">
        <v>19</v>
      </c>
      <c r="I252" s="1" t="s">
        <v>20</v>
      </c>
      <c r="J252" s="1" t="s">
        <v>1225</v>
      </c>
      <c r="K252" s="1" t="s">
        <v>22</v>
      </c>
      <c r="L252" s="1" t="str">
        <f>HYPERLINK("https://files.afu.se/Downloads/Transcripts/0%20-%20Government/USA%20-%20NASA/2021 09 22 - NASA - Is There Oxygen on Mars  We Asked a NASA Technologist_n1viNk1eNnM - transcript (automated).pdf","Transcript Link")</f>
        <v>Transcript Link</v>
      </c>
      <c r="M252" s="2" t="str">
        <f>HYPERLINK("https://files.afu.se/Downloads/Transcripts/0%20-%20Government/USA%20-%20NASA/2021 09 22 - NASA - Is There Oxygen on Mars  We Asked a NASA Technologist_n1viNk1eNnM - transcript (automated).pdf","Transcript Link")</f>
        <v>Transcript Link</v>
      </c>
    </row>
    <row r="253" ht="409.5" spans="1:13">
      <c r="A253" s="1" t="s">
        <v>1226</v>
      </c>
      <c r="B253" s="1" t="s">
        <v>13</v>
      </c>
      <c r="C253" s="4" t="s">
        <v>1227</v>
      </c>
      <c r="D253" s="1" t="s">
        <v>1228</v>
      </c>
      <c r="E253" s="1" t="s">
        <v>1229</v>
      </c>
      <c r="F253" s="4" t="s">
        <v>17</v>
      </c>
      <c r="G253" s="1" t="s">
        <v>18</v>
      </c>
      <c r="H253" s="1" t="s">
        <v>19</v>
      </c>
      <c r="I253" s="1" t="s">
        <v>20</v>
      </c>
      <c r="J253" s="1" t="s">
        <v>1230</v>
      </c>
      <c r="K253" s="1" t="s">
        <v>22</v>
      </c>
      <c r="L253" s="1" t="str">
        <f>HYPERLINK("https://files.afu.se/Downloads/Transcripts/0%20-%20Government/USA%20-%20NASA/2021 09 21 - NASA - The Future of NASA_KVnYKu4_2TQ - transcript (automated).pdf","Transcript Link")</f>
        <v>Transcript Link</v>
      </c>
      <c r="M253" s="2" t="str">
        <f>HYPERLINK("https://files.afu.se/Downloads/Transcripts/0%20-%20Government/USA%20-%20NASA/2021 09 21 - NASA - The Future of NASA_KVnYKu4_2TQ - transcript (automated).pdf","Transcript Link")</f>
        <v>Transcript Link</v>
      </c>
    </row>
    <row r="254" ht="195" spans="1:13">
      <c r="A254" s="1" t="s">
        <v>1231</v>
      </c>
      <c r="B254" s="1" t="s">
        <v>13</v>
      </c>
      <c r="C254" s="4" t="s">
        <v>1232</v>
      </c>
      <c r="D254" s="1" t="s">
        <v>1233</v>
      </c>
      <c r="E254" s="1" t="s">
        <v>1234</v>
      </c>
      <c r="F254" s="4" t="s">
        <v>17</v>
      </c>
      <c r="G254" s="1" t="s">
        <v>18</v>
      </c>
      <c r="H254" s="1" t="s">
        <v>19</v>
      </c>
      <c r="I254" s="1" t="s">
        <v>20</v>
      </c>
      <c r="J254" s="1" t="s">
        <v>1235</v>
      </c>
      <c r="K254" s="1" t="s">
        <v>22</v>
      </c>
      <c r="L254" s="1" t="str">
        <f>HYPERLINK("https://files.afu.se/Downloads/Transcripts/0%20-%20Government/USA%20-%20NASA/2021 09 17 - NASA - Preparing the Space Station for a Future Power Boost on This Week @NASA – September 17, 2021_8cbPBle1ME0 - transcript (automated).pdf","Transcript Link")</f>
        <v>Transcript Link</v>
      </c>
      <c r="M254" s="2" t="str">
        <f>HYPERLINK("https://files.afu.se/Downloads/Transcripts/0%20-%20Government/USA%20-%20NASA/2021 09 17 - NASA - Preparing the Space Station for a Future Power Boost on This Week @NASA – September 17, 2021_8cbPBle1ME0 - transcript (automated).pdf","Transcript Link")</f>
        <v>Transcript Link</v>
      </c>
    </row>
    <row r="255" ht="165" spans="1:13">
      <c r="A255" s="1" t="s">
        <v>1236</v>
      </c>
      <c r="B255" s="1" t="s">
        <v>13</v>
      </c>
      <c r="C255" s="4" t="s">
        <v>1237</v>
      </c>
      <c r="D255" s="1" t="s">
        <v>1238</v>
      </c>
      <c r="E255" s="1" t="s">
        <v>1239</v>
      </c>
      <c r="F255" s="4" t="s">
        <v>17</v>
      </c>
      <c r="G255" s="1" t="s">
        <v>18</v>
      </c>
      <c r="H255" s="1" t="s">
        <v>19</v>
      </c>
      <c r="I255" s="1" t="s">
        <v>20</v>
      </c>
      <c r="J255" s="1" t="s">
        <v>1240</v>
      </c>
      <c r="K255" s="1" t="s">
        <v>22</v>
      </c>
      <c r="L255" s="1" t="str">
        <f>HYPERLINK("https://files.afu.se/Downloads/Transcripts/0%20-%20Government/USA%20-%20NASA/2021 09 15 - NASA - Does NASA Know About All the Asteroids  We Asked a NASA Scientist_DyA5PJCrxoM - transcript (automated).pdf","Transcript Link")</f>
        <v>Transcript Link</v>
      </c>
      <c r="M255" s="2" t="str">
        <f>HYPERLINK("https://files.afu.se/Downloads/Transcripts/0%20-%20Government/USA%20-%20NASA/2021 09 15 - NASA - Does NASA Know About All the Asteroids  We Asked a NASA Scientist_DyA5PJCrxoM - transcript (automated).pdf","Transcript Link")</f>
        <v>Transcript Link</v>
      </c>
    </row>
    <row r="256" ht="165" spans="1:13">
      <c r="A256" s="1" t="s">
        <v>1241</v>
      </c>
      <c r="B256" s="1" t="s">
        <v>13</v>
      </c>
      <c r="C256" s="4" t="s">
        <v>1242</v>
      </c>
      <c r="D256" s="1" t="s">
        <v>1243</v>
      </c>
      <c r="E256" s="1" t="s">
        <v>1244</v>
      </c>
      <c r="F256" s="4" t="s">
        <v>17</v>
      </c>
      <c r="G256" s="1" t="s">
        <v>18</v>
      </c>
      <c r="H256" s="1" t="s">
        <v>19</v>
      </c>
      <c r="I256" s="1" t="s">
        <v>20</v>
      </c>
      <c r="J256" s="1" t="s">
        <v>1245</v>
      </c>
      <c r="K256" s="1" t="s">
        <v>22</v>
      </c>
      <c r="L256" s="1" t="str">
        <f>HYPERLINK("https://files.afu.se/Downloads/Transcripts/0%20-%20Government/USA%20-%20NASA/2021 09 10 - NASA - An Historic Milestone for Perseverance on This Week @NASA – September 10, 2021_2MQuQB5w07w - transcript (automated).pdf","Transcript Link")</f>
        <v>Transcript Link</v>
      </c>
      <c r="M256" s="2" t="str">
        <f>HYPERLINK("https://files.afu.se/Downloads/Transcripts/0%20-%20Government/USA%20-%20NASA/2021 09 10 - NASA - An Historic Milestone for Perseverance on This Week @NASA – September 10, 2021_2MQuQB5w07w - transcript (automated).pdf","Transcript Link")</f>
        <v>Transcript Link</v>
      </c>
    </row>
    <row r="257" ht="270" spans="1:13">
      <c r="A257" s="1" t="s">
        <v>1241</v>
      </c>
      <c r="B257" s="1" t="s">
        <v>13</v>
      </c>
      <c r="C257" s="4" t="s">
        <v>1246</v>
      </c>
      <c r="D257" s="1" t="s">
        <v>1247</v>
      </c>
      <c r="E257" s="1" t="s">
        <v>1248</v>
      </c>
      <c r="F257" s="4" t="s">
        <v>17</v>
      </c>
      <c r="G257" s="1" t="s">
        <v>18</v>
      </c>
      <c r="H257" s="1" t="s">
        <v>19</v>
      </c>
      <c r="I257" s="1" t="s">
        <v>20</v>
      </c>
      <c r="J257" s="1" t="s">
        <v>1249</v>
      </c>
      <c r="K257" s="1" t="s">
        <v>22</v>
      </c>
      <c r="L257" s="1" t="str">
        <f>HYPERLINK("https://files.afu.se/Downloads/Transcripts/0%20-%20Government/USA%20-%20NASA/2021 09 10 - NASA - Priming NASA's Artemis I for Launch to the Moon_EQEPrJjk1pM - transcript (automated).pdf","Transcript Link")</f>
        <v>Transcript Link</v>
      </c>
      <c r="M257" s="2" t="str">
        <f>HYPERLINK("https://files.afu.se/Downloads/Transcripts/0%20-%20Government/USA%20-%20NASA/2021 09 10 - NASA - Priming NASA's Artemis I for Launch to the Moon_EQEPrJjk1pM - transcript (automated).pdf","Transcript Link")</f>
        <v>Transcript Link</v>
      </c>
    </row>
    <row r="258" ht="165" spans="1:13">
      <c r="A258" s="1" t="s">
        <v>1250</v>
      </c>
      <c r="B258" s="1" t="s">
        <v>13</v>
      </c>
      <c r="C258" s="4" t="s">
        <v>1251</v>
      </c>
      <c r="D258" s="1" t="s">
        <v>1252</v>
      </c>
      <c r="E258" s="1" t="s">
        <v>1253</v>
      </c>
      <c r="F258" s="4" t="s">
        <v>17</v>
      </c>
      <c r="G258" s="1" t="s">
        <v>18</v>
      </c>
      <c r="H258" s="1" t="s">
        <v>19</v>
      </c>
      <c r="I258" s="1" t="s">
        <v>20</v>
      </c>
      <c r="J258" s="1" t="s">
        <v>1254</v>
      </c>
      <c r="K258" s="1" t="s">
        <v>22</v>
      </c>
      <c r="L258" s="1" t="str">
        <f>HYPERLINK("https://files.afu.se/Downloads/Transcripts/0%20-%20Government/USA%20-%20NASA/2021 09 08 - NASA - Do Aliens Exist  We Asked a NASA Scientist_iWrTGAReUdE - transcript (automated).pdf","Transcript Link")</f>
        <v>Transcript Link</v>
      </c>
      <c r="M258" s="2" t="str">
        <f>HYPERLINK("https://files.afu.se/Downloads/Transcripts/0%20-%20Government/USA%20-%20NASA/2021 09 08 - NASA - Do Aliens Exist  We Asked a NASA Scientist_iWrTGAReUdE - transcript (automated).pdf","Transcript Link")</f>
        <v>Transcript Link</v>
      </c>
    </row>
    <row r="259" ht="195" spans="1:13">
      <c r="A259" s="1" t="s">
        <v>1250</v>
      </c>
      <c r="B259" s="1" t="s">
        <v>13</v>
      </c>
      <c r="C259" s="4" t="s">
        <v>1255</v>
      </c>
      <c r="D259" s="1" t="s">
        <v>1256</v>
      </c>
      <c r="E259" s="1" t="s">
        <v>1257</v>
      </c>
      <c r="F259" s="4" t="s">
        <v>17</v>
      </c>
      <c r="G259" s="1" t="s">
        <v>18</v>
      </c>
      <c r="H259" s="1" t="s">
        <v>19</v>
      </c>
      <c r="I259" s="1" t="s">
        <v>20</v>
      </c>
      <c r="J259" s="1" t="s">
        <v>1258</v>
      </c>
      <c r="K259" s="1" t="s">
        <v>22</v>
      </c>
      <c r="L259" s="1" t="str">
        <f>HYPERLINK("https://files.afu.se/Downloads/Transcripts/0%20-%20Government/USA%20-%20NASA/2021 09 08 - NASA - NASA Psyche Mission  Charting a Metallic World_TgVorJfM8BM - transcript (automated).pdf","Transcript Link")</f>
        <v>Transcript Link</v>
      </c>
      <c r="M259" s="2" t="str">
        <f>HYPERLINK("https://files.afu.se/Downloads/Transcripts/0%20-%20Government/USA%20-%20NASA/2021 09 08 - NASA - NASA Psyche Mission  Charting a Metallic World_TgVorJfM8BM - transcript (automated).pdf","Transcript Link")</f>
        <v>Transcript Link</v>
      </c>
    </row>
    <row r="260" ht="180" spans="1:13">
      <c r="A260" s="1" t="s">
        <v>1259</v>
      </c>
      <c r="B260" s="1" t="s">
        <v>13</v>
      </c>
      <c r="C260" s="4" t="s">
        <v>1260</v>
      </c>
      <c r="D260" s="1" t="s">
        <v>1261</v>
      </c>
      <c r="E260" s="1" t="s">
        <v>1262</v>
      </c>
      <c r="F260" s="4" t="s">
        <v>17</v>
      </c>
      <c r="G260" s="1" t="s">
        <v>18</v>
      </c>
      <c r="H260" s="1" t="s">
        <v>19</v>
      </c>
      <c r="I260" s="1" t="s">
        <v>20</v>
      </c>
      <c r="J260" s="1" t="s">
        <v>1263</v>
      </c>
      <c r="K260" s="1" t="s">
        <v>22</v>
      </c>
      <c r="L260" s="1" t="str">
        <f>HYPERLINK("https://files.afu.se/Downloads/Transcripts/0%20-%20Government/USA%20-%20NASA/2021 09 04 - NASA - A Long-Distance Call to Space on This Week @NASA – September 3, 2021_yFPWjQca9bY - transcript (automated).pdf","Transcript Link")</f>
        <v>Transcript Link</v>
      </c>
      <c r="M260" s="2" t="str">
        <f>HYPERLINK("https://files.afu.se/Downloads/Transcripts/0%20-%20Government/USA%20-%20NASA/2021 09 04 - NASA - A Long-Distance Call to Space on This Week @NASA – September 3, 2021_yFPWjQca9bY - transcript (automated).pdf","Transcript Link")</f>
        <v>Transcript Link</v>
      </c>
    </row>
    <row r="261" ht="165" spans="1:13">
      <c r="A261" s="1" t="s">
        <v>1264</v>
      </c>
      <c r="B261" s="1" t="s">
        <v>13</v>
      </c>
      <c r="C261" s="4" t="s">
        <v>1265</v>
      </c>
      <c r="D261" s="1" t="s">
        <v>1266</v>
      </c>
      <c r="E261" s="1" t="s">
        <v>1267</v>
      </c>
      <c r="F261" s="4" t="s">
        <v>17</v>
      </c>
      <c r="G261" s="1" t="s">
        <v>18</v>
      </c>
      <c r="H261" s="1" t="s">
        <v>19</v>
      </c>
      <c r="I261" s="1" t="s">
        <v>20</v>
      </c>
      <c r="J261" s="1" t="s">
        <v>1268</v>
      </c>
      <c r="K261" s="1" t="s">
        <v>22</v>
      </c>
      <c r="L261" s="1" t="str">
        <f>HYPERLINK("https://files.afu.se/Downloads/Transcripts/0%20-%20Government/USA%20-%20NASA/2021 09 01 - NASA - Is there Weather on Mars  We Asked a NASA Technologist_yegahZGsixU - transcript (automated).pdf","Transcript Link")</f>
        <v>Transcript Link</v>
      </c>
      <c r="M261" s="2" t="str">
        <f>HYPERLINK("https://files.afu.se/Downloads/Transcripts/0%20-%20Government/USA%20-%20NASA/2021 09 01 - NASA - Is there Weather on Mars  We Asked a NASA Technologist_yegahZGsixU - transcript (automated).pdf","Transcript Link")</f>
        <v>Transcript Link</v>
      </c>
    </row>
    <row r="262" ht="270" spans="1:13">
      <c r="A262" s="1" t="s">
        <v>1269</v>
      </c>
      <c r="B262" s="1" t="s">
        <v>13</v>
      </c>
      <c r="C262" s="4" t="s">
        <v>1270</v>
      </c>
      <c r="D262" s="1" t="s">
        <v>1271</v>
      </c>
      <c r="E262" s="1" t="s">
        <v>1272</v>
      </c>
      <c r="F262" s="4" t="s">
        <v>17</v>
      </c>
      <c r="G262" s="1" t="s">
        <v>18</v>
      </c>
      <c r="H262" s="1" t="s">
        <v>19</v>
      </c>
      <c r="I262" s="1" t="s">
        <v>20</v>
      </c>
      <c r="J262" s="1" t="s">
        <v>1273</v>
      </c>
      <c r="K262" s="1" t="s">
        <v>22</v>
      </c>
      <c r="L262" s="1" t="str">
        <f>HYPERLINK("https://files.afu.se/Downloads/Transcripts/0%20-%20Government/USA%20-%20NASA/2021 08 31 - NASA - Get in Astronaut, We're Going Exploring_b6r5m-IeAwQ - transcript (automated).pdf","Transcript Link")</f>
        <v>Transcript Link</v>
      </c>
      <c r="M262" s="2" t="str">
        <f>HYPERLINK("https://files.afu.se/Downloads/Transcripts/0%20-%20Government/USA%20-%20NASA/2021 08 31 - NASA - Get in Astronaut, We're Going Exploring_b6r5m-IeAwQ - transcript (automated).pdf","Transcript Link")</f>
        <v>Transcript Link</v>
      </c>
    </row>
    <row r="263" ht="165" spans="1:13">
      <c r="A263" s="1" t="s">
        <v>1274</v>
      </c>
      <c r="B263" s="1" t="s">
        <v>13</v>
      </c>
      <c r="C263" s="4" t="s">
        <v>1275</v>
      </c>
      <c r="D263" s="1" t="s">
        <v>1276</v>
      </c>
      <c r="E263" s="1" t="s">
        <v>1277</v>
      </c>
      <c r="F263" s="4" t="s">
        <v>17</v>
      </c>
      <c r="G263" s="1" t="s">
        <v>18</v>
      </c>
      <c r="H263" s="1" t="s">
        <v>19</v>
      </c>
      <c r="I263" s="1" t="s">
        <v>20</v>
      </c>
      <c r="J263" s="1" t="s">
        <v>1278</v>
      </c>
      <c r="K263" s="1" t="s">
        <v>22</v>
      </c>
      <c r="L263" s="1" t="str">
        <f>HYPERLINK("https://files.afu.se/Downloads/Transcripts/0%20-%20Government/USA%20-%20NASA/2021 08 28 - NASA - Highlighting the value of NASA on This Week @NASA – August 28, 2021_AG1y2Zdb8_c - transcript (automated).pdf","Transcript Link")</f>
        <v>Transcript Link</v>
      </c>
      <c r="M263" s="2" t="str">
        <f>HYPERLINK("https://files.afu.se/Downloads/Transcripts/0%20-%20Government/USA%20-%20NASA/2021 08 28 - NASA - Highlighting the value of NASA on This Week @NASA – August 28, 2021_AG1y2Zdb8_c - transcript (automated).pdf","Transcript Link")</f>
        <v>Transcript Link</v>
      </c>
    </row>
    <row r="264" ht="165" spans="1:13">
      <c r="A264" s="1" t="s">
        <v>1279</v>
      </c>
      <c r="B264" s="1" t="s">
        <v>13</v>
      </c>
      <c r="C264" s="4" t="s">
        <v>1280</v>
      </c>
      <c r="D264" s="1" t="s">
        <v>1281</v>
      </c>
      <c r="E264" s="1" t="s">
        <v>1282</v>
      </c>
      <c r="F264" s="4" t="s">
        <v>17</v>
      </c>
      <c r="G264" s="1" t="s">
        <v>18</v>
      </c>
      <c r="H264" s="1" t="s">
        <v>19</v>
      </c>
      <c r="I264" s="1" t="s">
        <v>20</v>
      </c>
      <c r="J264" s="1" t="s">
        <v>1283</v>
      </c>
      <c r="K264" s="1" t="s">
        <v>22</v>
      </c>
      <c r="L264" s="1" t="str">
        <f>HYPERLINK("https://files.afu.se/Downloads/Transcripts/0%20-%20Government/USA%20-%20NASA/2021 08 27 - NASA - International Space Station Crew Previews SpaceX CRS-23 Science_ixwuJfZliiY - transcript (automated).pdf","Transcript Link")</f>
        <v>Transcript Link</v>
      </c>
      <c r="M264" s="2" t="str">
        <f>HYPERLINK("https://files.afu.se/Downloads/Transcripts/0%20-%20Government/USA%20-%20NASA/2021 08 27 - NASA - International Space Station Crew Previews SpaceX CRS-23 Science_ixwuJfZliiY - transcript (automated).pdf","Transcript Link")</f>
        <v>Transcript Link</v>
      </c>
    </row>
    <row r="265" ht="165" spans="1:13">
      <c r="A265" s="1" t="s">
        <v>1284</v>
      </c>
      <c r="B265" s="1" t="s">
        <v>13</v>
      </c>
      <c r="C265" s="4" t="s">
        <v>1285</v>
      </c>
      <c r="D265" s="1" t="s">
        <v>1286</v>
      </c>
      <c r="E265" s="1" t="s">
        <v>1287</v>
      </c>
      <c r="F265" s="4" t="s">
        <v>17</v>
      </c>
      <c r="G265" s="1" t="s">
        <v>18</v>
      </c>
      <c r="H265" s="1" t="s">
        <v>19</v>
      </c>
      <c r="I265" s="1" t="s">
        <v>20</v>
      </c>
      <c r="J265" s="1" t="s">
        <v>1288</v>
      </c>
      <c r="K265" s="1" t="s">
        <v>22</v>
      </c>
      <c r="L265" s="1" t="str">
        <f>HYPERLINK("https://files.afu.se/Downloads/Transcripts/0%20-%20Government/USA%20-%20NASA/2021 08 25 - NASA - Will an Asteroid Ever Hit Earth  We Asked a NASA Scientist_cBG1KYa95JY - transcript (automated).pdf","Transcript Link")</f>
        <v>Transcript Link</v>
      </c>
      <c r="M265" s="2" t="str">
        <f>HYPERLINK("https://files.afu.se/Downloads/Transcripts/0%20-%20Government/USA%20-%20NASA/2021 08 25 - NASA - Will an Asteroid Ever Hit Earth  We Asked a NASA Scientist_cBG1KYa95JY - transcript (automated).pdf","Transcript Link")</f>
        <v>Transcript Link</v>
      </c>
    </row>
    <row r="266" ht="225" spans="1:13">
      <c r="A266" s="1" t="s">
        <v>1289</v>
      </c>
      <c r="B266" s="1" t="s">
        <v>13</v>
      </c>
      <c r="C266" s="4" t="s">
        <v>1290</v>
      </c>
      <c r="D266" s="1" t="s">
        <v>1291</v>
      </c>
      <c r="E266" s="1" t="s">
        <v>1292</v>
      </c>
      <c r="F266" s="4" t="s">
        <v>17</v>
      </c>
      <c r="G266" s="1" t="s">
        <v>18</v>
      </c>
      <c r="H266" s="1" t="s">
        <v>19</v>
      </c>
      <c r="I266" s="1" t="s">
        <v>20</v>
      </c>
      <c r="J266" s="1" t="s">
        <v>1293</v>
      </c>
      <c r="K266" s="1" t="s">
        <v>22</v>
      </c>
      <c r="L266" s="1" t="str">
        <f>HYPERLINK("https://files.afu.se/Downloads/Transcripts/0%20-%20Government/USA%20-%20NASA/2021 08 24 - NASA - Why the Moon _bmC-FwibsZg - transcript (automated).pdf","Transcript Link")</f>
        <v>Transcript Link</v>
      </c>
      <c r="M266" s="2" t="str">
        <f>HYPERLINK("https://files.afu.se/Downloads/Transcripts/0%20-%20Government/USA%20-%20NASA/2021 08 24 - NASA - Why the Moon _bmC-FwibsZg - transcript (automated).pdf","Transcript Link")</f>
        <v>Transcript Link</v>
      </c>
    </row>
    <row r="267" ht="210" spans="1:13">
      <c r="A267" s="1" t="s">
        <v>1294</v>
      </c>
      <c r="B267" s="1" t="s">
        <v>13</v>
      </c>
      <c r="C267" s="4" t="s">
        <v>1295</v>
      </c>
      <c r="D267" s="1" t="s">
        <v>1296</v>
      </c>
      <c r="E267" s="1" t="s">
        <v>1297</v>
      </c>
      <c r="F267" s="4" t="s">
        <v>17</v>
      </c>
      <c r="G267" s="1" t="s">
        <v>18</v>
      </c>
      <c r="H267" s="1" t="s">
        <v>19</v>
      </c>
      <c r="I267" s="1" t="s">
        <v>20</v>
      </c>
      <c r="J267" s="1" t="s">
        <v>1298</v>
      </c>
      <c r="K267" s="1" t="s">
        <v>22</v>
      </c>
      <c r="L267" s="1" t="str">
        <f>HYPERLINK("https://files.afu.se/Downloads/Transcripts/0%20-%20Government/USA%20-%20NASA/2021 08 20 - NASA - Highlighting an Upcoming Earth-Observing Mission on This Week @NASA – August 20, 2021_uxn3LruBDIM - transcript (automated).pdf","Transcript Link")</f>
        <v>Transcript Link</v>
      </c>
      <c r="M267" s="2" t="str">
        <f>HYPERLINK("https://files.afu.se/Downloads/Transcripts/0%20-%20Government/USA%20-%20NASA/2021 08 20 - NASA - Highlighting an Upcoming Earth-Observing Mission on This Week @NASA – August 20, 2021_uxn3LruBDIM - transcript (automated).pdf","Transcript Link")</f>
        <v>Transcript Link</v>
      </c>
    </row>
    <row r="268" ht="360" spans="1:13">
      <c r="A268" s="1" t="s">
        <v>1299</v>
      </c>
      <c r="B268" s="1" t="s">
        <v>13</v>
      </c>
      <c r="C268" s="4" t="s">
        <v>1300</v>
      </c>
      <c r="D268" s="1" t="s">
        <v>1301</v>
      </c>
      <c r="E268" s="1" t="s">
        <v>1302</v>
      </c>
      <c r="F268" s="4" t="s">
        <v>17</v>
      </c>
      <c r="G268" s="1" t="s">
        <v>18</v>
      </c>
      <c r="H268" s="1" t="s">
        <v>19</v>
      </c>
      <c r="I268" s="1" t="s">
        <v>20</v>
      </c>
      <c r="J268" s="1" t="s">
        <v>1303</v>
      </c>
      <c r="K268" s="1" t="s">
        <v>22</v>
      </c>
      <c r="L268" s="1" t="str">
        <f>HYPERLINK("https://files.afu.se/Downloads/Transcripts/0%20-%20Government/USA%20-%20NASA/2021 08 19 - NASA - Celebrating Gene Roddenberry  Star Trek's Bridge and NASA_2-3MTPMBLDw - transcript (automated).pdf","Transcript Link")</f>
        <v>Transcript Link</v>
      </c>
      <c r="M268" s="2" t="str">
        <f>HYPERLINK("https://files.afu.se/Downloads/Transcripts/0%20-%20Government/USA%20-%20NASA/2021 08 19 - NASA - Celebrating Gene Roddenberry  Star Trek's Bridge and NASA_2-3MTPMBLDw - transcript (automated).pdf","Transcript Link")</f>
        <v>Transcript Link</v>
      </c>
    </row>
    <row r="269" ht="180" spans="1:13">
      <c r="A269" s="1" t="s">
        <v>1304</v>
      </c>
      <c r="B269" s="1" t="s">
        <v>13</v>
      </c>
      <c r="C269" s="4" t="s">
        <v>1305</v>
      </c>
      <c r="D269" s="1" t="s">
        <v>1306</v>
      </c>
      <c r="E269" s="1" t="s">
        <v>1307</v>
      </c>
      <c r="F269" s="4" t="s">
        <v>17</v>
      </c>
      <c r="G269" s="1" t="s">
        <v>18</v>
      </c>
      <c r="H269" s="1" t="s">
        <v>19</v>
      </c>
      <c r="I269" s="1" t="s">
        <v>20</v>
      </c>
      <c r="J269" s="1" t="s">
        <v>1308</v>
      </c>
      <c r="K269" s="1" t="s">
        <v>22</v>
      </c>
      <c r="L269" s="1" t="str">
        <f>HYPERLINK("https://files.afu.se/Downloads/Transcripts/0%20-%20Government/USA%20-%20NASA/2021 08 16 - NASA - Science Launching on SpaceX's 23rd Cargo Resupply Mission to the Space Station_KtjhHoSigVA - transcript (automated).pdf","Transcript Link")</f>
        <v>Transcript Link</v>
      </c>
      <c r="M269" s="2" t="str">
        <f>HYPERLINK("https://files.afu.se/Downloads/Transcripts/0%20-%20Government/USA%20-%20NASA/2021 08 16 - NASA - Science Launching on SpaceX's 23rd Cargo Resupply Mission to the Space Station_KtjhHoSigVA - transcript (automated).pdf","Transcript Link")</f>
        <v>Transcript Link</v>
      </c>
    </row>
    <row r="270" ht="165" spans="1:13">
      <c r="A270" s="1" t="s">
        <v>1309</v>
      </c>
      <c r="B270" s="1" t="s">
        <v>13</v>
      </c>
      <c r="C270" s="4" t="s">
        <v>1310</v>
      </c>
      <c r="D270" s="1" t="s">
        <v>1311</v>
      </c>
      <c r="E270" s="1" t="s">
        <v>1312</v>
      </c>
      <c r="F270" s="4" t="s">
        <v>17</v>
      </c>
      <c r="G270" s="1" t="s">
        <v>18</v>
      </c>
      <c r="H270" s="1" t="s">
        <v>19</v>
      </c>
      <c r="I270" s="1" t="s">
        <v>20</v>
      </c>
      <c r="J270" s="1" t="s">
        <v>1313</v>
      </c>
      <c r="K270" s="1" t="s">
        <v>22</v>
      </c>
      <c r="L270" s="1" t="str">
        <f>HYPERLINK("https://files.afu.se/Downloads/Transcripts/0%20-%20Government/USA%20-%20NASA/2021 08 13 - NASA - A Commercial Resupply Mission to the Space Station on This Week @NASA – August 13, 2021_DU5cGnkHjPU - transcript (automated).pdf","Transcript Link")</f>
        <v>Transcript Link</v>
      </c>
      <c r="M270" s="2" t="str">
        <f>HYPERLINK("https://files.afu.se/Downloads/Transcripts/0%20-%20Government/USA%20-%20NASA/2021 08 13 - NASA - A Commercial Resupply Mission to the Space Station on This Week @NASA – August 13, 2021_DU5cGnkHjPU - transcript (automated).pdf","Transcript Link")</f>
        <v>Transcript Link</v>
      </c>
    </row>
    <row r="271" ht="409.5" spans="1:13">
      <c r="A271" s="1" t="s">
        <v>1314</v>
      </c>
      <c r="B271" s="1" t="s">
        <v>13</v>
      </c>
      <c r="C271" s="4" t="s">
        <v>1315</v>
      </c>
      <c r="D271" s="1" t="s">
        <v>1316</v>
      </c>
      <c r="E271" s="1" t="s">
        <v>1317</v>
      </c>
      <c r="F271" s="4" t="s">
        <v>17</v>
      </c>
      <c r="G271" s="1" t="s">
        <v>18</v>
      </c>
      <c r="H271" s="1" t="s">
        <v>19</v>
      </c>
      <c r="I271" s="1" t="s">
        <v>20</v>
      </c>
      <c r="J271" s="1" t="s">
        <v>1318</v>
      </c>
      <c r="K271" s="1" t="s">
        <v>22</v>
      </c>
      <c r="L271" s="1" t="str">
        <f>HYPERLINK("https://files.afu.se/Downloads/Transcripts/0%20-%20Government/USA%20-%20NASA/2021 08 12 - NASA - Dedicating The Neil A. Armstrong Facility for an American Hero__R3z_01FTG8 - transcript (automated).pdf","Transcript Link")</f>
        <v>Transcript Link</v>
      </c>
      <c r="M271" s="2" t="str">
        <f>HYPERLINK("https://files.afu.se/Downloads/Transcripts/0%20-%20Government/USA%20-%20NASA/2021 08 12 - NASA - Dedicating The Neil A. Armstrong Facility for an American Hero__R3z_01FTG8 - transcript (automated).pdf","Transcript Link")</f>
        <v>Transcript Link</v>
      </c>
    </row>
    <row r="272" ht="409.5" spans="1:13">
      <c r="A272" s="1" t="s">
        <v>1319</v>
      </c>
      <c r="B272" s="1" t="s">
        <v>13</v>
      </c>
      <c r="C272" s="4" t="s">
        <v>1320</v>
      </c>
      <c r="D272" s="1" t="s">
        <v>1321</v>
      </c>
      <c r="E272" s="1" t="s">
        <v>1322</v>
      </c>
      <c r="F272" s="4" t="s">
        <v>17</v>
      </c>
      <c r="G272" s="1" t="s">
        <v>18</v>
      </c>
      <c r="H272" s="1" t="s">
        <v>19</v>
      </c>
      <c r="I272" s="1" t="s">
        <v>20</v>
      </c>
      <c r="J272" s="1" t="s">
        <v>1323</v>
      </c>
      <c r="K272" s="1" t="s">
        <v>22</v>
      </c>
      <c r="L272" s="1" t="str">
        <f>HYPERLINK("https://files.afu.se/Downloads/Transcripts/0%20-%20Government/USA%20-%20NASA/2021 08 06 - NASA - %23Tokyo2020  Highlights from the first-ever space Olympics!_ZlPpHILyEl4 - transcript (automated).pdf","Transcript Link")</f>
        <v>Transcript Link</v>
      </c>
      <c r="M272" s="2" t="str">
        <f>HYPERLINK("https://files.afu.se/Downloads/Transcripts/0%20-%20Government/USA%20-%20NASA/2021 08 06 - NASA - %23Tokyo2020  Highlights from the first-ever space Olympics!_ZlPpHILyEl4 - transcript (automated).pdf","Transcript Link")</f>
        <v>Transcript Link</v>
      </c>
    </row>
    <row r="273" ht="165" spans="1:13">
      <c r="A273" s="1" t="s">
        <v>1319</v>
      </c>
      <c r="B273" s="1" t="s">
        <v>13</v>
      </c>
      <c r="C273" s="4" t="s">
        <v>1324</v>
      </c>
      <c r="D273" s="1" t="s">
        <v>1325</v>
      </c>
      <c r="E273" s="1" t="s">
        <v>1326</v>
      </c>
      <c r="F273" s="4" t="s">
        <v>17</v>
      </c>
      <c r="G273" s="1" t="s">
        <v>18</v>
      </c>
      <c r="H273" s="1" t="s">
        <v>19</v>
      </c>
      <c r="I273" s="1" t="s">
        <v>20</v>
      </c>
      <c r="J273" s="1" t="s">
        <v>1327</v>
      </c>
      <c r="K273" s="1" t="s">
        <v>22</v>
      </c>
      <c r="L273" s="1" t="str">
        <f>HYPERLINK("https://files.afu.se/Downloads/Transcripts/0%20-%20Government/USA%20-%20NASA/2021 08 06 - NASA - Firing Up the Engine for our Artemis Moon Rocket on This Week @NASA – August 6, 2021_7r_LULyrhbM - transcript (automated).pdf","Transcript Link")</f>
        <v>Transcript Link</v>
      </c>
      <c r="M273" s="2" t="str">
        <f>HYPERLINK("https://files.afu.se/Downloads/Transcripts/0%20-%20Government/USA%20-%20NASA/2021 08 06 - NASA - Firing Up the Engine for our Artemis Moon Rocket on This Week @NASA – August 6, 2021_7r_LULyrhbM - transcript (automated).pdf","Transcript Link")</f>
        <v>Transcript Link</v>
      </c>
    </row>
    <row r="274" ht="375" spans="1:13">
      <c r="A274" s="1" t="s">
        <v>1328</v>
      </c>
      <c r="B274" s="1" t="s">
        <v>13</v>
      </c>
      <c r="C274" s="4" t="s">
        <v>1329</v>
      </c>
      <c r="D274" s="1" t="s">
        <v>1330</v>
      </c>
      <c r="E274" s="1" t="s">
        <v>1331</v>
      </c>
      <c r="F274" s="4" t="s">
        <v>17</v>
      </c>
      <c r="G274" s="1" t="s">
        <v>18</v>
      </c>
      <c r="H274" s="1" t="s">
        <v>19</v>
      </c>
      <c r="I274" s="1" t="s">
        <v>20</v>
      </c>
      <c r="J274" s="1" t="s">
        <v>1332</v>
      </c>
      <c r="K274" s="1" t="s">
        <v>22</v>
      </c>
      <c r="L274" s="1" t="str">
        <f>HYPERLINK("https://files.afu.se/Downloads/Transcripts/0%20-%20Government/USA%20-%20NASA/2021 07 30 - NASA - The Next Commercial Crew Test Flight to the Space Station on This Week @NASA – July 30, 2021_HpeEIyfQXCc - transcript (automated).pdf","Transcript Link")</f>
        <v>Transcript Link</v>
      </c>
      <c r="M274" s="2" t="str">
        <f>HYPERLINK("https://files.afu.se/Downloads/Transcripts/0%20-%20Government/USA%20-%20NASA/2021 07 30 - NASA - The Next Commercial Crew Test Flight to the Space Station on This Week @NASA – July 30, 2021_HpeEIyfQXCc - transcript (automated).pdf","Transcript Link")</f>
        <v>Transcript Link</v>
      </c>
    </row>
    <row r="275" ht="409.5" spans="1:13">
      <c r="A275" s="1" t="s">
        <v>1333</v>
      </c>
      <c r="B275" s="1" t="s">
        <v>13</v>
      </c>
      <c r="C275" s="4" t="s">
        <v>1334</v>
      </c>
      <c r="D275" s="1" t="s">
        <v>1335</v>
      </c>
      <c r="E275" s="1" t="s">
        <v>1336</v>
      </c>
      <c r="F275" s="4" t="s">
        <v>17</v>
      </c>
      <c r="G275" s="1" t="s">
        <v>18</v>
      </c>
      <c r="H275" s="1" t="s">
        <v>19</v>
      </c>
      <c r="I275" s="1" t="s">
        <v>20</v>
      </c>
      <c r="J275" s="1" t="s">
        <v>1337</v>
      </c>
      <c r="K275" s="1" t="s">
        <v>22</v>
      </c>
      <c r="L275" s="1" t="str">
        <f>HYPERLINK("https://files.afu.se/Downloads/Transcripts/0%20-%20Government/USA%20-%20NASA/2021 07 26 - NASA - Apollo 15   Never Been on a Ride like this Before _1Mqsd0ru_pc - transcript (automated).pdf","Transcript Link")</f>
        <v>Transcript Link</v>
      </c>
      <c r="M275" s="2" t="str">
        <f>HYPERLINK("https://files.afu.se/Downloads/Transcripts/0%20-%20Government/USA%20-%20NASA/2021 07 26 - NASA - Apollo 15   Never Been on a Ride like this Before _1Mqsd0ru_pc - transcript (automated).pdf","Transcript Link")</f>
        <v>Transcript Link</v>
      </c>
    </row>
    <row r="276" ht="210" spans="1:13">
      <c r="A276" s="1" t="s">
        <v>1338</v>
      </c>
      <c r="B276" s="1" t="s">
        <v>13</v>
      </c>
      <c r="C276" s="4" t="s">
        <v>1339</v>
      </c>
      <c r="D276" s="1" t="s">
        <v>1340</v>
      </c>
      <c r="E276" s="1" t="s">
        <v>1341</v>
      </c>
      <c r="F276" s="4" t="s">
        <v>17</v>
      </c>
      <c r="G276" s="1" t="s">
        <v>18</v>
      </c>
      <c r="H276" s="1" t="s">
        <v>19</v>
      </c>
      <c r="I276" s="1" t="s">
        <v>20</v>
      </c>
      <c r="J276" s="1" t="s">
        <v>1342</v>
      </c>
      <c r="K276" s="1" t="s">
        <v>22</v>
      </c>
      <c r="L276" s="1" t="str">
        <f>HYPERLINK("https://files.afu.se/Downloads/Transcripts/0%20-%20Government/USA%20-%20NASA/2021 07 25 - NASA - Science Launching on Northrop Grumman CRS-16 Mission to the Space Station_R-jc-dTdK5g - transcript (automated).pdf","Transcript Link")</f>
        <v>Transcript Link</v>
      </c>
      <c r="M276" s="2" t="str">
        <f>HYPERLINK("https://files.afu.se/Downloads/Transcripts/0%20-%20Government/USA%20-%20NASA/2021 07 25 - NASA - Science Launching on Northrop Grumman CRS-16 Mission to the Space Station_R-jc-dTdK5g - transcript (automated).pdf","Transcript Link")</f>
        <v>Transcript Link</v>
      </c>
    </row>
    <row r="277" ht="165" spans="1:13">
      <c r="A277" s="1" t="s">
        <v>1343</v>
      </c>
      <c r="B277" s="1" t="s">
        <v>13</v>
      </c>
      <c r="C277" s="4" t="s">
        <v>1344</v>
      </c>
      <c r="D277" s="1" t="s">
        <v>1345</v>
      </c>
      <c r="E277" s="1" t="s">
        <v>1346</v>
      </c>
      <c r="F277" s="4" t="s">
        <v>17</v>
      </c>
      <c r="G277" s="1" t="s">
        <v>18</v>
      </c>
      <c r="H277" s="1" t="s">
        <v>19</v>
      </c>
      <c r="I277" s="1" t="s">
        <v>20</v>
      </c>
      <c r="J277" s="1" t="s">
        <v>1347</v>
      </c>
      <c r="K277" s="1" t="s">
        <v>22</v>
      </c>
      <c r="L277" s="1" t="str">
        <f>HYPERLINK("https://files.afu.se/Downloads/Transcripts/0%20-%20Government/USA%20-%20NASA/2021 07 23 - NASA - Relocating a Commercial Spacecraft at the Space Station on This Week @NASA – July 23, 2021_oZXkXsRtj24 - transcript (automated).pdf","Transcript Link")</f>
        <v>Transcript Link</v>
      </c>
      <c r="M277" s="2" t="str">
        <f>HYPERLINK("https://files.afu.se/Downloads/Transcripts/0%20-%20Government/USA%20-%20NASA/2021 07 23 - NASA - Relocating a Commercial Spacecraft at the Space Station on This Week @NASA – July 23, 2021_oZXkXsRtj24 - transcript (automated).pdf","Transcript Link")</f>
        <v>Transcript Link</v>
      </c>
    </row>
    <row r="278" ht="409.5" spans="1:13">
      <c r="A278" s="1" t="s">
        <v>1348</v>
      </c>
      <c r="B278" s="1" t="s">
        <v>13</v>
      </c>
      <c r="C278" s="4" t="s">
        <v>1349</v>
      </c>
      <c r="D278" s="1" t="s">
        <v>1350</v>
      </c>
      <c r="E278" s="1" t="s">
        <v>1351</v>
      </c>
      <c r="F278" s="4" t="s">
        <v>17</v>
      </c>
      <c r="G278" s="1" t="s">
        <v>18</v>
      </c>
      <c r="H278" s="1" t="s">
        <v>19</v>
      </c>
      <c r="I278" s="1" t="s">
        <v>20</v>
      </c>
      <c r="J278" s="1" t="s">
        <v>1352</v>
      </c>
      <c r="K278" s="1" t="s">
        <v>22</v>
      </c>
      <c r="L278" s="1" t="str">
        <f>HYPERLINK("https://files.afu.se/Downloads/Transcripts/0%20-%20Government/USA%20-%20NASA/2021 07 21 - NASA - The Shuttle's Last Flight   An End. A New Beginning._HskXf74S5xg - transcript (automated).pdf","Transcript Link")</f>
        <v>Transcript Link</v>
      </c>
      <c r="M278" s="2" t="str">
        <f>HYPERLINK("https://files.afu.se/Downloads/Transcripts/0%20-%20Government/USA%20-%20NASA/2021 07 21 - NASA - The Shuttle's Last Flight   An End. A New Beginning._HskXf74S5xg - transcript (automated).pdf","Transcript Link")</f>
        <v>Transcript Link</v>
      </c>
    </row>
    <row r="279" ht="390" spans="1:13">
      <c r="A279" s="1" t="s">
        <v>1353</v>
      </c>
      <c r="B279" s="1" t="s">
        <v>13</v>
      </c>
      <c r="C279" s="4" t="s">
        <v>1354</v>
      </c>
      <c r="D279" s="1" t="s">
        <v>1355</v>
      </c>
      <c r="E279" s="1" t="s">
        <v>1356</v>
      </c>
      <c r="F279" s="4" t="s">
        <v>17</v>
      </c>
      <c r="G279" s="1" t="s">
        <v>18</v>
      </c>
      <c r="H279" s="1" t="s">
        <v>19</v>
      </c>
      <c r="I279" s="1" t="s">
        <v>20</v>
      </c>
      <c r="J279" s="1" t="s">
        <v>1357</v>
      </c>
      <c r="K279" s="1" t="s">
        <v>22</v>
      </c>
      <c r="L279" s="1" t="str">
        <f>HYPERLINK("https://files.afu.se/Downloads/Transcripts/0%20-%20Government/USA%20-%20NASA/2021 07 18 - NASA - NASA Honors the 100th Anniversary of John Glenn's Birth_8QlPNKGO-m4 - transcript (automated).pdf","Transcript Link")</f>
        <v>Transcript Link</v>
      </c>
      <c r="M279" s="2" t="str">
        <f>HYPERLINK("https://files.afu.se/Downloads/Transcripts/0%20-%20Government/USA%20-%20NASA/2021 07 18 - NASA - NASA Honors the 100th Anniversary of John Glenn's Birth_8QlPNKGO-m4 - transcript (automated).pdf","Transcript Link")</f>
        <v>Transcript Link</v>
      </c>
    </row>
    <row r="280" ht="195" spans="1:13">
      <c r="A280" s="1" t="s">
        <v>1358</v>
      </c>
      <c r="B280" s="1" t="s">
        <v>13</v>
      </c>
      <c r="C280" s="4" t="s">
        <v>1359</v>
      </c>
      <c r="D280" s="1" t="s">
        <v>1360</v>
      </c>
      <c r="E280" s="1" t="s">
        <v>1361</v>
      </c>
      <c r="F280" s="4" t="s">
        <v>17</v>
      </c>
      <c r="G280" s="1" t="s">
        <v>18</v>
      </c>
      <c r="H280" s="1" t="s">
        <v>19</v>
      </c>
      <c r="I280" s="1" t="s">
        <v>20</v>
      </c>
      <c r="J280" s="1" t="s">
        <v>1362</v>
      </c>
      <c r="K280" s="1" t="s">
        <v>22</v>
      </c>
      <c r="L280" s="1" t="str">
        <f>HYPERLINK("https://files.afu.se/Downloads/Transcripts/0%20-%20Government/USA%20-%20NASA/2021 07 16 - NASA - Installing a Critical System for Our Orion Spacecraft on This Week @NASA – July 16, 2021_i2Socj4Nvhw - transcript (automated).pdf","Transcript Link")</f>
        <v>Transcript Link</v>
      </c>
      <c r="M280" s="2" t="str">
        <f>HYPERLINK("https://files.afu.se/Downloads/Transcripts/0%20-%20Government/USA%20-%20NASA/2021 07 16 - NASA - Installing a Critical System for Our Orion Spacecraft on This Week @NASA – July 16, 2021_i2Socj4Nvhw - transcript (automated).pdf","Transcript Link")</f>
        <v>Transcript Link</v>
      </c>
    </row>
    <row r="281" ht="165" spans="1:13">
      <c r="A281" s="1" t="s">
        <v>1363</v>
      </c>
      <c r="B281" s="1" t="s">
        <v>13</v>
      </c>
      <c r="C281" s="4" t="s">
        <v>1364</v>
      </c>
      <c r="D281" s="1" t="s">
        <v>1365</v>
      </c>
      <c r="E281" s="1" t="s">
        <v>1366</v>
      </c>
      <c r="F281" s="4" t="s">
        <v>17</v>
      </c>
      <c r="G281" s="1" t="s">
        <v>18</v>
      </c>
      <c r="H281" s="1" t="s">
        <v>19</v>
      </c>
      <c r="I281" s="1" t="s">
        <v>20</v>
      </c>
      <c r="J281" s="1" t="s">
        <v>1367</v>
      </c>
      <c r="K281" s="1" t="s">
        <v>22</v>
      </c>
      <c r="L281" s="1" t="str">
        <f>HYPERLINK("https://files.afu.se/Downloads/Transcripts/0%20-%20Government/USA%20-%20NASA/2021 07 15 - NASA - Mercury Rising   Discussion with NASA Administrator Bill Nelson joined author Jeff Shesol_DR4JZ3yTpo0 - transcript (automated).pdf","Transcript Link")</f>
        <v>Transcript Link</v>
      </c>
      <c r="M281" s="2" t="str">
        <f>HYPERLINK("https://files.afu.se/Downloads/Transcripts/0%20-%20Government/USA%20-%20NASA/2021 07 15 - NASA - Mercury Rising   Discussion with NASA Administrator Bill Nelson joined author Jeff Shesol_DR4JZ3yTpo0 - transcript (automated).pdf","Transcript Link")</f>
        <v>Transcript Link</v>
      </c>
    </row>
    <row r="282" ht="255" spans="1:13">
      <c r="A282" s="1" t="s">
        <v>1368</v>
      </c>
      <c r="B282" s="1" t="s">
        <v>13</v>
      </c>
      <c r="C282" s="4" t="s">
        <v>1369</v>
      </c>
      <c r="D282" s="1" t="s">
        <v>1370</v>
      </c>
      <c r="E282" s="1" t="s">
        <v>1371</v>
      </c>
      <c r="F282" s="4" t="s">
        <v>17</v>
      </c>
      <c r="G282" s="1" t="s">
        <v>18</v>
      </c>
      <c r="H282" s="1" t="s">
        <v>19</v>
      </c>
      <c r="I282" s="1" t="s">
        <v>20</v>
      </c>
      <c r="J282" s="1" t="s">
        <v>1372</v>
      </c>
      <c r="K282" s="1" t="s">
        <v>22</v>
      </c>
      <c r="L282" s="1" t="str">
        <f>HYPERLINK("https://files.afu.se/Downloads/Transcripts/0%20-%20Government/USA%20-%20NASA/2021 07 14 - NASA - Juno Flies Past the Moon Ganymede and Jupiter, With Music by Vangelis_CC7OJ7gFLvE - transcript (automated).pdf","Transcript Link")</f>
        <v>Transcript Link</v>
      </c>
      <c r="M282" s="2" t="str">
        <f>HYPERLINK("https://files.afu.se/Downloads/Transcripts/0%20-%20Government/USA%20-%20NASA/2021 07 14 - NASA - Juno Flies Past the Moon Ganymede and Jupiter, With Music by Vangelis_CC7OJ7gFLvE - transcript (automated).pdf","Transcript Link")</f>
        <v>Transcript Link</v>
      </c>
    </row>
    <row r="283" ht="409.5" spans="1:13">
      <c r="A283" s="1" t="s">
        <v>1373</v>
      </c>
      <c r="B283" s="1" t="s">
        <v>13</v>
      </c>
      <c r="C283" s="4" t="s">
        <v>1374</v>
      </c>
      <c r="D283" s="1" t="s">
        <v>1375</v>
      </c>
      <c r="E283" s="1" t="s">
        <v>1376</v>
      </c>
      <c r="F283" s="4" t="s">
        <v>17</v>
      </c>
      <c r="G283" s="1" t="s">
        <v>18</v>
      </c>
      <c r="H283" s="1" t="s">
        <v>19</v>
      </c>
      <c r="I283" s="1" t="s">
        <v>20</v>
      </c>
      <c r="J283" s="1" t="s">
        <v>1377</v>
      </c>
      <c r="K283" s="1" t="s">
        <v>22</v>
      </c>
      <c r="L283" s="1" t="str">
        <f>HYPERLINK("https://files.afu.se/Downloads/Transcripts/0%20-%20Government/USA%20-%20NASA/2021 07 13 - NASA - Mission Equity  Making NASA Accessible to All_FbaFJD5X32o - transcript (automated).pdf","Transcript Link")</f>
        <v>Transcript Link</v>
      </c>
      <c r="M283" s="2" t="str">
        <f>HYPERLINK("https://files.afu.se/Downloads/Transcripts/0%20-%20Government/USA%20-%20NASA/2021 07 13 - NASA - Mission Equity  Making NASA Accessible to All_FbaFJD5X32o - transcript (automated).pdf","Transcript Link")</f>
        <v>Transcript Link</v>
      </c>
    </row>
    <row r="284" ht="405" spans="1:13">
      <c r="A284" s="1" t="s">
        <v>1378</v>
      </c>
      <c r="B284" s="1" t="s">
        <v>13</v>
      </c>
      <c r="C284" s="4" t="s">
        <v>1379</v>
      </c>
      <c r="D284" s="1" t="s">
        <v>1380</v>
      </c>
      <c r="E284" s="1" t="s">
        <v>1381</v>
      </c>
      <c r="F284" s="4" t="s">
        <v>17</v>
      </c>
      <c r="G284" s="1" t="s">
        <v>18</v>
      </c>
      <c r="H284" s="1" t="s">
        <v>19</v>
      </c>
      <c r="I284" s="1" t="s">
        <v>20</v>
      </c>
      <c r="J284" s="1" t="s">
        <v>1382</v>
      </c>
      <c r="K284" s="1" t="s">
        <v>22</v>
      </c>
      <c r="L284" s="1" t="str">
        <f>HYPERLINK("https://files.afu.se/Downloads/Transcripts/0%20-%20Government/USA%20-%20NASA/2021 07 12 - NASA - Deputy Administrator Pam Melroy Honors Space Shuttle Closeout Crew Lead_l6j1Q6AYRS0 - transcript (automated).pdf","Transcript Link")</f>
        <v>Transcript Link</v>
      </c>
      <c r="M284" s="2" t="str">
        <f>HYPERLINK("https://files.afu.se/Downloads/Transcripts/0%20-%20Government/USA%20-%20NASA/2021 07 12 - NASA - Deputy Administrator Pam Melroy Honors Space Shuttle Closeout Crew Lead_l6j1Q6AYRS0 - transcript (automated).pdf","Transcript Link")</f>
        <v>Transcript Link</v>
      </c>
    </row>
    <row r="285" ht="240" spans="1:13">
      <c r="A285" s="1" t="s">
        <v>1383</v>
      </c>
      <c r="B285" s="1" t="s">
        <v>13</v>
      </c>
      <c r="C285" s="4" t="s">
        <v>1384</v>
      </c>
      <c r="D285" s="1" t="s">
        <v>1385</v>
      </c>
      <c r="E285" s="1" t="s">
        <v>1386</v>
      </c>
      <c r="F285" s="4" t="s">
        <v>17</v>
      </c>
      <c r="G285" s="1" t="s">
        <v>18</v>
      </c>
      <c r="H285" s="1" t="s">
        <v>19</v>
      </c>
      <c r="I285" s="1" t="s">
        <v>20</v>
      </c>
      <c r="J285" s="1" t="s">
        <v>1387</v>
      </c>
      <c r="K285" s="1" t="s">
        <v>22</v>
      </c>
      <c r="L285" s="1" t="str">
        <f>HYPERLINK("https://files.afu.se/Downloads/Transcripts/0%20-%20Government/USA%20-%20NASA/2021 07 09 - NASA - A Commercial Cargo Spacecraft Departs the Space Station on This Week @NASA – July 9, 2021_IDeMqkdT6pA - transcript (automated).pdf","Transcript Link")</f>
        <v>Transcript Link</v>
      </c>
      <c r="M285" s="2" t="str">
        <f>HYPERLINK("https://files.afu.se/Downloads/Transcripts/0%20-%20Government/USA%20-%20NASA/2021 07 09 - NASA - A Commercial Cargo Spacecraft Departs the Space Station on This Week @NASA – July 9, 2021_IDeMqkdT6pA - transcript (automated).pdf","Transcript Link")</f>
        <v>Transcript Link</v>
      </c>
    </row>
    <row r="286" ht="270" spans="1:13">
      <c r="A286" s="1" t="s">
        <v>1388</v>
      </c>
      <c r="B286" s="1" t="s">
        <v>13</v>
      </c>
      <c r="C286" s="4" t="s">
        <v>1389</v>
      </c>
      <c r="D286" s="1" t="s">
        <v>1390</v>
      </c>
      <c r="E286" s="1" t="s">
        <v>1391</v>
      </c>
      <c r="F286" s="4" t="s">
        <v>17</v>
      </c>
      <c r="G286" s="1" t="s">
        <v>18</v>
      </c>
      <c r="H286" s="1" t="s">
        <v>19</v>
      </c>
      <c r="I286" s="1" t="s">
        <v>20</v>
      </c>
      <c r="J286" s="1" t="s">
        <v>1392</v>
      </c>
      <c r="K286" s="1" t="s">
        <v>22</v>
      </c>
      <c r="L286" s="1" t="str">
        <f>HYPERLINK("https://files.afu.se/Downloads/Transcripts/0%20-%20Government/USA%20-%20NASA/2021 07 08 - NASA - NASA's Final Space Shuttle Launch 10th Anniversary Replay_7_SNFrTr_oo - transcript (automated).pdf","Transcript Link")</f>
        <v>Transcript Link</v>
      </c>
      <c r="M286" s="2" t="str">
        <f>HYPERLINK("https://files.afu.se/Downloads/Transcripts/0%20-%20Government/USA%20-%20NASA/2021 07 08 - NASA - NASA's Final Space Shuttle Launch 10th Anniversary Replay_7_SNFrTr_oo - transcript (automated).pdf","Transcript Link")</f>
        <v>Transcript Link</v>
      </c>
    </row>
    <row r="287" ht="210" spans="1:13">
      <c r="A287" s="1" t="s">
        <v>1393</v>
      </c>
      <c r="B287" s="1" t="s">
        <v>13</v>
      </c>
      <c r="C287" s="4" t="s">
        <v>1394</v>
      </c>
      <c r="D287" s="1" t="s">
        <v>1395</v>
      </c>
      <c r="E287" s="1" t="s">
        <v>1396</v>
      </c>
      <c r="F287" s="4" t="s">
        <v>17</v>
      </c>
      <c r="G287" s="1" t="s">
        <v>18</v>
      </c>
      <c r="H287" s="1" t="s">
        <v>19</v>
      </c>
      <c r="I287" s="1" t="s">
        <v>20</v>
      </c>
      <c r="J287" s="1" t="s">
        <v>1397</v>
      </c>
      <c r="K287" s="1" t="s">
        <v>22</v>
      </c>
      <c r="L287" s="1" t="str">
        <f>HYPERLINK("https://files.afu.se/Downloads/Transcripts/0%20-%20Government/USA%20-%20NASA/2021 07 02 - NASA - A U.S. Commercial Spacecraft Departs the Space Station on This Week @NASA – July 2, 2021_NOOz2U5TVgE - transcript (automated).pdf","Transcript Link")</f>
        <v>Transcript Link</v>
      </c>
      <c r="M287" s="2" t="str">
        <f>HYPERLINK("https://files.afu.se/Downloads/Transcripts/0%20-%20Government/USA%20-%20NASA/2021 07 02 - NASA - A U.S. Commercial Spacecraft Departs the Space Station on This Week @NASA – July 2, 2021_NOOz2U5TVgE - transcript (automated).pdf","Transcript Link")</f>
        <v>Transcript Link</v>
      </c>
    </row>
    <row r="288" ht="405" spans="1:13">
      <c r="A288" s="1" t="s">
        <v>1393</v>
      </c>
      <c r="B288" s="1" t="s">
        <v>13</v>
      </c>
      <c r="C288" s="4" t="s">
        <v>1398</v>
      </c>
      <c r="D288" s="1" t="s">
        <v>1399</v>
      </c>
      <c r="E288" s="1" t="s">
        <v>1400</v>
      </c>
      <c r="F288" s="4" t="s">
        <v>17</v>
      </c>
      <c r="G288" s="1" t="s">
        <v>18</v>
      </c>
      <c r="H288" s="1" t="s">
        <v>19</v>
      </c>
      <c r="I288" s="1" t="s">
        <v>20</v>
      </c>
      <c r="J288" s="1" t="s">
        <v>1401</v>
      </c>
      <c r="K288" s="1" t="s">
        <v>22</v>
      </c>
      <c r="L288" s="1" t="str">
        <f>HYPERLINK("https://files.afu.se/Downloads/Transcripts/0%20-%20Government/USA%20-%20NASA/2021 07 02 - NASA - A Message from NASA Deputy Administrator Col. Pam Melroy to the NASA Workforce_COZ5E_MsgwA - transcript (automated).pdf","Transcript Link")</f>
        <v>Transcript Link</v>
      </c>
      <c r="M288" s="2" t="str">
        <f>HYPERLINK("https://files.afu.se/Downloads/Transcripts/0%20-%20Government/USA%20-%20NASA/2021 07 02 - NASA - A Message from NASA Deputy Administrator Col. Pam Melroy to the NASA Workforce_COZ5E_MsgwA - transcript (automated).pdf","Transcript Link")</f>
        <v>Transcript Link</v>
      </c>
    </row>
    <row r="289" ht="210" spans="1:13">
      <c r="A289" s="1" t="s">
        <v>1402</v>
      </c>
      <c r="B289" s="1" t="s">
        <v>13</v>
      </c>
      <c r="C289" s="4" t="s">
        <v>1403</v>
      </c>
      <c r="D289" s="1" t="s">
        <v>1404</v>
      </c>
      <c r="E289" s="1" t="s">
        <v>1405</v>
      </c>
      <c r="F289" s="4" t="s">
        <v>17</v>
      </c>
      <c r="G289" s="1" t="s">
        <v>18</v>
      </c>
      <c r="H289" s="1" t="s">
        <v>19</v>
      </c>
      <c r="I289" s="1" t="s">
        <v>20</v>
      </c>
      <c r="J289" s="1" t="s">
        <v>1406</v>
      </c>
      <c r="K289" s="1" t="s">
        <v>22</v>
      </c>
      <c r="L289" s="1" t="str">
        <f>HYPERLINK("https://files.afu.se/Downloads/Transcripts/0%20-%20Government/USA%20-%20NASA/2021 06 30 - NASA - Meet NASA’s Psyche Team Who Will Measure the Asteroid’s Magnetic Field_uxVc2VEPff0 - transcript (automated).pdf","Transcript Link")</f>
        <v>Transcript Link</v>
      </c>
      <c r="M289" s="2" t="str">
        <f>HYPERLINK("https://files.afu.se/Downloads/Transcripts/0%20-%20Government/USA%20-%20NASA/2021 06 30 - NASA - Meet NASA’s Psyche Team Who Will Measure the Asteroid’s Magnetic Field_uxVc2VEPff0 - transcript (automated).pdf","Transcript Link")</f>
        <v>Transcript Link</v>
      </c>
    </row>
    <row r="290" ht="240" spans="1:13">
      <c r="A290" s="1" t="s">
        <v>1407</v>
      </c>
      <c r="B290" s="1" t="s">
        <v>13</v>
      </c>
      <c r="C290" s="4" t="s">
        <v>1408</v>
      </c>
      <c r="D290" s="1" t="s">
        <v>1409</v>
      </c>
      <c r="E290" s="1" t="s">
        <v>1410</v>
      </c>
      <c r="F290" s="4" t="s">
        <v>17</v>
      </c>
      <c r="G290" s="1" t="s">
        <v>18</v>
      </c>
      <c r="H290" s="1" t="s">
        <v>19</v>
      </c>
      <c r="I290" s="1" t="s">
        <v>20</v>
      </c>
      <c r="J290" s="1" t="s">
        <v>1411</v>
      </c>
      <c r="K290" s="1" t="s">
        <v>22</v>
      </c>
      <c r="L290" s="1" t="str">
        <f>HYPERLINK("https://files.afu.se/Downloads/Transcripts/0%20-%20Government/USA%20-%20NASA/2021 06 29 - NASA - The NASA Family and Your Family  Moving Forward Safely_qn09Ohs_kOw - transcript (automated).pdf","Transcript Link")</f>
        <v>Transcript Link</v>
      </c>
      <c r="M290" s="2" t="str">
        <f>HYPERLINK("https://files.afu.se/Downloads/Transcripts/0%20-%20Government/USA%20-%20NASA/2021 06 29 - NASA - The NASA Family and Your Family  Moving Forward Safely_qn09Ohs_kOw - transcript (automated).pdf","Transcript Link")</f>
        <v>Transcript Link</v>
      </c>
    </row>
    <row r="291" ht="165" spans="1:13">
      <c r="A291" s="1" t="s">
        <v>1412</v>
      </c>
      <c r="B291" s="1" t="s">
        <v>13</v>
      </c>
      <c r="C291" s="4" t="s">
        <v>1413</v>
      </c>
      <c r="D291" s="1" t="s">
        <v>1414</v>
      </c>
      <c r="E291" s="1" t="s">
        <v>1415</v>
      </c>
      <c r="F291" s="4" t="s">
        <v>17</v>
      </c>
      <c r="G291" s="1" t="s">
        <v>18</v>
      </c>
      <c r="H291" s="1" t="s">
        <v>19</v>
      </c>
      <c r="I291" s="1" t="s">
        <v>20</v>
      </c>
      <c r="J291" s="1" t="s">
        <v>1416</v>
      </c>
      <c r="K291" s="1" t="s">
        <v>22</v>
      </c>
      <c r="L291" s="1" t="str">
        <f>HYPERLINK("https://files.afu.se/Downloads/Transcripts/0%20-%20Government/USA%20-%20NASA/2021 06 25 - NASA - Spacewalking Astronauts Work Outside the Space Station on This Week @NASA – June 25, 2021_hQrm-akse7I - transcript (automated).pdf","Transcript Link")</f>
        <v>Transcript Link</v>
      </c>
      <c r="M291" s="2" t="str">
        <f>HYPERLINK("https://files.afu.se/Downloads/Transcripts/0%20-%20Government/USA%20-%20NASA/2021 06 25 - NASA - Spacewalking Astronauts Work Outside the Space Station on This Week @NASA – June 25, 2021_hQrm-akse7I - transcript (automated).pdf","Transcript Link")</f>
        <v>Transcript Link</v>
      </c>
    </row>
    <row r="292" ht="165" spans="1:13">
      <c r="A292" s="1" t="s">
        <v>1417</v>
      </c>
      <c r="B292" s="1" t="s">
        <v>13</v>
      </c>
      <c r="C292" s="4" t="s">
        <v>1418</v>
      </c>
      <c r="D292" s="1" t="s">
        <v>1419</v>
      </c>
      <c r="E292" s="1" t="s">
        <v>1420</v>
      </c>
      <c r="F292" s="4" t="s">
        <v>17</v>
      </c>
      <c r="G292" s="1" t="s">
        <v>18</v>
      </c>
      <c r="H292" s="1" t="s">
        <v>19</v>
      </c>
      <c r="I292" s="1" t="s">
        <v>20</v>
      </c>
      <c r="J292" s="1" t="s">
        <v>1421</v>
      </c>
      <c r="K292" s="1" t="s">
        <v>22</v>
      </c>
      <c r="L292" s="1" t="str">
        <f>HYPERLINK("https://files.afu.se/Downloads/Transcripts/0%20-%20Government/USA%20-%20NASA/2021 06 23 - NASA - Explore our Home Planet and the Universe with NASA_wJw_aBRKHFo - transcript (automated).pdf","Transcript Link")</f>
        <v>Transcript Link</v>
      </c>
      <c r="M292" s="2" t="str">
        <f>HYPERLINK("https://files.afu.se/Downloads/Transcripts/0%20-%20Government/USA%20-%20NASA/2021 06 23 - NASA - Explore our Home Planet and the Universe with NASA_wJw_aBRKHFo - transcript (automated).pdf","Transcript Link")</f>
        <v>Transcript Link</v>
      </c>
    </row>
    <row r="293" ht="375" spans="1:13">
      <c r="A293" s="1" t="s">
        <v>1422</v>
      </c>
      <c r="B293" s="1" t="s">
        <v>13</v>
      </c>
      <c r="C293" s="4" t="s">
        <v>1423</v>
      </c>
      <c r="D293" s="1" t="s">
        <v>1424</v>
      </c>
      <c r="E293" s="1" t="s">
        <v>1425</v>
      </c>
      <c r="F293" s="4" t="s">
        <v>17</v>
      </c>
      <c r="G293" s="1" t="s">
        <v>18</v>
      </c>
      <c r="H293" s="1" t="s">
        <v>19</v>
      </c>
      <c r="I293" s="1" t="s">
        <v>20</v>
      </c>
      <c r="J293" s="1" t="s">
        <v>1426</v>
      </c>
      <c r="K293" s="1" t="s">
        <v>22</v>
      </c>
      <c r="L293" s="1" t="str">
        <f>HYPERLINK("https://files.afu.se/Downloads/Transcripts/0%20-%20Government/USA%20-%20NASA/2021 06 21 - NASA - Pam Melroy Sworn in as NASA Deputy Administrator_8P5i9hSqHBI - transcript (automated).pdf","Transcript Link")</f>
        <v>Transcript Link</v>
      </c>
      <c r="M293" s="2" t="str">
        <f>HYPERLINK("https://files.afu.se/Downloads/Transcripts/0%20-%20Government/USA%20-%20NASA/2021 06 21 - NASA - Pam Melroy Sworn in as NASA Deputy Administrator_8P5i9hSqHBI - transcript (automated).pdf","Transcript Link")</f>
        <v>Transcript Link</v>
      </c>
    </row>
    <row r="294" ht="195" spans="1:13">
      <c r="A294" s="1" t="s">
        <v>1427</v>
      </c>
      <c r="B294" s="1" t="s">
        <v>13</v>
      </c>
      <c r="C294" s="4" t="s">
        <v>1428</v>
      </c>
      <c r="D294" s="1" t="s">
        <v>1429</v>
      </c>
      <c r="E294" s="1" t="s">
        <v>1430</v>
      </c>
      <c r="F294" s="4" t="s">
        <v>17</v>
      </c>
      <c r="G294" s="1" t="s">
        <v>18</v>
      </c>
      <c r="H294" s="1" t="s">
        <v>19</v>
      </c>
      <c r="I294" s="1" t="s">
        <v>20</v>
      </c>
      <c r="J294" s="1" t="s">
        <v>1431</v>
      </c>
      <c r="K294" s="1" t="s">
        <v>22</v>
      </c>
      <c r="L294" s="1" t="str">
        <f>HYPERLINK("https://files.afu.se/Downloads/Transcripts/0%20-%20Government/USA%20-%20NASA/2021 06 18 - NASA - Installing New Solar Arrays for the Space Station on This Week @NASA – June 18, 2021_wJESXw7SaYU - transcript (automated).pdf","Transcript Link")</f>
        <v>Transcript Link</v>
      </c>
      <c r="M294" s="2" t="str">
        <f>HYPERLINK("https://files.afu.se/Downloads/Transcripts/0%20-%20Government/USA%20-%20NASA/2021 06 18 - NASA - Installing New Solar Arrays for the Space Station on This Week @NASA – June 18, 2021_wJESXw7SaYU - transcript (automated).pdf","Transcript Link")</f>
        <v>Transcript Link</v>
      </c>
    </row>
    <row r="295" ht="300" spans="1:13">
      <c r="A295" s="1" t="s">
        <v>1432</v>
      </c>
      <c r="B295" s="1" t="s">
        <v>13</v>
      </c>
      <c r="C295" s="4" t="s">
        <v>1433</v>
      </c>
      <c r="D295" s="1" t="s">
        <v>1434</v>
      </c>
      <c r="E295" s="1" t="s">
        <v>1435</v>
      </c>
      <c r="F295" s="4" t="s">
        <v>17</v>
      </c>
      <c r="G295" s="1" t="s">
        <v>18</v>
      </c>
      <c r="H295" s="1" t="s">
        <v>19</v>
      </c>
      <c r="I295" s="1" t="s">
        <v>20</v>
      </c>
      <c r="J295" s="1" t="s">
        <v>1436</v>
      </c>
      <c r="K295" s="1" t="s">
        <v>22</v>
      </c>
      <c r="L295" s="1" t="str">
        <f>HYPERLINK("https://files.afu.se/Downloads/Transcripts/0%20-%20Government/USA%20-%20NASA/2021 06 17 - NASA - Join NASA Astronauts on Mission Equity_NJAtLrRhkfg - transcript (automated).pdf","Transcript Link")</f>
        <v>Transcript Link</v>
      </c>
      <c r="M295" s="2" t="str">
        <f>HYPERLINK("https://files.afu.se/Downloads/Transcripts/0%20-%20Government/USA%20-%20NASA/2021 06 17 - NASA - Join NASA Astronauts on Mission Equity_NJAtLrRhkfg - transcript (automated).pdf","Transcript Link")</f>
        <v>Transcript Link</v>
      </c>
    </row>
    <row r="296" ht="375" spans="1:13">
      <c r="A296" s="1" t="s">
        <v>1437</v>
      </c>
      <c r="B296" s="1" t="s">
        <v>13</v>
      </c>
      <c r="C296" s="4" t="s">
        <v>1438</v>
      </c>
      <c r="D296" s="1" t="s">
        <v>1439</v>
      </c>
      <c r="E296" s="1" t="s">
        <v>1440</v>
      </c>
      <c r="F296" s="4" t="s">
        <v>17</v>
      </c>
      <c r="G296" s="1" t="s">
        <v>18</v>
      </c>
      <c r="H296" s="1" t="s">
        <v>19</v>
      </c>
      <c r="I296" s="1" t="s">
        <v>20</v>
      </c>
      <c r="J296" s="1" t="s">
        <v>1441</v>
      </c>
      <c r="K296" s="1" t="s">
        <v>22</v>
      </c>
      <c r="L296" s="1" t="str">
        <f>HYPERLINK("https://files.afu.se/Downloads/Transcripts/0%20-%20Government/USA%20-%20NASA/2021 06 15 - NASA - Name the Artemis Moonikin_4wKrqzfrRs8 - transcript (automated).pdf","Transcript Link")</f>
        <v>Transcript Link</v>
      </c>
      <c r="M296" s="2" t="str">
        <f>HYPERLINK("https://files.afu.se/Downloads/Transcripts/0%20-%20Government/USA%20-%20NASA/2021 06 15 - NASA - Name the Artemis Moonikin_4wKrqzfrRs8 - transcript (automated).pdf","Transcript Link")</f>
        <v>Transcript Link</v>
      </c>
    </row>
    <row r="297" ht="165" spans="1:13">
      <c r="A297" s="1" t="s">
        <v>1442</v>
      </c>
      <c r="B297" s="1" t="s">
        <v>13</v>
      </c>
      <c r="C297" s="4" t="s">
        <v>1443</v>
      </c>
      <c r="D297" s="1" t="s">
        <v>1444</v>
      </c>
      <c r="E297" s="1" t="s">
        <v>1445</v>
      </c>
      <c r="F297" s="4" t="s">
        <v>17</v>
      </c>
      <c r="G297" s="1" t="s">
        <v>18</v>
      </c>
      <c r="H297" s="1" t="s">
        <v>19</v>
      </c>
      <c r="I297" s="1" t="s">
        <v>20</v>
      </c>
      <c r="J297" s="1" t="s">
        <v>1446</v>
      </c>
      <c r="K297" s="1" t="s">
        <v>22</v>
      </c>
      <c r="L297" s="1" t="str">
        <f>HYPERLINK("https://files.afu.se/Downloads/Transcripts/0%20-%20Government/USA%20-%20NASA/2021 06 11 - NASA - 'Why Does NASA Exist ' – William Shatner Reads Ray Bradbury_8xs98fr0M6M - transcript (automated).pdf","Transcript Link")</f>
        <v>Transcript Link</v>
      </c>
      <c r="M297" s="2" t="str">
        <f>HYPERLINK("https://files.afu.se/Downloads/Transcripts/0%20-%20Government/USA%20-%20NASA/2021 06 11 - NASA - 'Why Does NASA Exist ' – William Shatner Reads Ray Bradbury_8xs98fr0M6M - transcript (automated).pdf","Transcript Link")</f>
        <v>Transcript Link</v>
      </c>
    </row>
    <row r="298" ht="195" spans="1:13">
      <c r="A298" s="1" t="s">
        <v>1442</v>
      </c>
      <c r="B298" s="1" t="s">
        <v>13</v>
      </c>
      <c r="C298" s="4" t="s">
        <v>1447</v>
      </c>
      <c r="D298" s="1" t="s">
        <v>1448</v>
      </c>
      <c r="E298" s="1" t="s">
        <v>1449</v>
      </c>
      <c r="F298" s="4" t="s">
        <v>17</v>
      </c>
      <c r="G298" s="1" t="s">
        <v>18</v>
      </c>
      <c r="H298" s="1" t="s">
        <v>19</v>
      </c>
      <c r="I298" s="1" t="s">
        <v>20</v>
      </c>
      <c r="J298" s="1" t="s">
        <v>1450</v>
      </c>
      <c r="K298" s="1" t="s">
        <v>22</v>
      </c>
      <c r="L298" s="1" t="str">
        <f>HYPERLINK("https://files.afu.se/Downloads/Transcripts/0%20-%20Government/USA%20-%20NASA/2021 06 11 - NASA - Making Progress on Our Artemis Moon Rocket on This Week @NASA – June 11, 2021_vxD_iE0Uko8 - transcript (automated).pdf","Transcript Link")</f>
        <v>Transcript Link</v>
      </c>
      <c r="M298" s="2" t="str">
        <f>HYPERLINK("https://files.afu.se/Downloads/Transcripts/0%20-%20Government/USA%20-%20NASA/2021 06 11 - NASA - Making Progress on Our Artemis Moon Rocket on This Week @NASA – June 11, 2021_vxD_iE0Uko8 - transcript (automated).pdf","Transcript Link")</f>
        <v>Transcript Link</v>
      </c>
    </row>
    <row r="299" ht="195" spans="1:13">
      <c r="A299" s="1" t="s">
        <v>1451</v>
      </c>
      <c r="B299" s="1" t="s">
        <v>13</v>
      </c>
      <c r="C299" s="4" t="s">
        <v>1452</v>
      </c>
      <c r="D299" s="1" t="s">
        <v>1453</v>
      </c>
      <c r="E299" s="1" t="s">
        <v>1454</v>
      </c>
      <c r="F299" s="4" t="s">
        <v>17</v>
      </c>
      <c r="G299" s="1" t="s">
        <v>18</v>
      </c>
      <c r="H299" s="1" t="s">
        <v>19</v>
      </c>
      <c r="I299" s="1" t="s">
        <v>20</v>
      </c>
      <c r="J299" s="1" t="s">
        <v>1455</v>
      </c>
      <c r="K299" s="1" t="s">
        <v>22</v>
      </c>
      <c r="L299" s="1" t="str">
        <f>HYPERLINK("https://files.afu.se/Downloads/Transcripts/0%20-%20Government/USA%20-%20NASA/2021 06 07 - NASA - NASA  We Are American Ingenuity_HUZYnvpElk8 - transcript (automated).pdf","Transcript Link")</f>
        <v>Transcript Link</v>
      </c>
      <c r="M299" s="2" t="str">
        <f>HYPERLINK("https://files.afu.se/Downloads/Transcripts/0%20-%20Government/USA%20-%20NASA/2021 06 07 - NASA - NASA  We Are American Ingenuity_HUZYnvpElk8 - transcript (automated).pdf","Transcript Link")</f>
        <v>Transcript Link</v>
      </c>
    </row>
    <row r="300" ht="225" spans="1:13">
      <c r="A300" s="1" t="s">
        <v>1456</v>
      </c>
      <c r="B300" s="1" t="s">
        <v>13</v>
      </c>
      <c r="C300" s="4" t="s">
        <v>1457</v>
      </c>
      <c r="D300" s="1" t="s">
        <v>1458</v>
      </c>
      <c r="E300" s="1" t="s">
        <v>1459</v>
      </c>
      <c r="F300" s="4" t="s">
        <v>17</v>
      </c>
      <c r="G300" s="1" t="s">
        <v>18</v>
      </c>
      <c r="H300" s="1" t="s">
        <v>19</v>
      </c>
      <c r="I300" s="1" t="s">
        <v>20</v>
      </c>
      <c r="J300" s="1" t="s">
        <v>1460</v>
      </c>
      <c r="K300" s="1" t="s">
        <v>22</v>
      </c>
      <c r="L300" s="1" t="str">
        <f>HYPERLINK("https://files.afu.se/Downloads/Transcripts/0%20-%20Government/USA%20-%20NASA/2021 06 04 - NASA - New Venus Missions Announced on This Week @NASA – June 4, 2021_xvN3ZqS0cdg - transcript (automated).pdf","Transcript Link")</f>
        <v>Transcript Link</v>
      </c>
      <c r="M300" s="2" t="str">
        <f>HYPERLINK("https://files.afu.se/Downloads/Transcripts/0%20-%20Government/USA%20-%20NASA/2021 06 04 - NASA - New Venus Missions Announced on This Week @NASA – June 4, 2021_xvN3ZqS0cdg - transcript (automated).pdf","Transcript Link")</f>
        <v>Transcript Link</v>
      </c>
    </row>
    <row r="301" ht="360" spans="1:13">
      <c r="A301" s="1" t="s">
        <v>1456</v>
      </c>
      <c r="B301" s="1" t="s">
        <v>13</v>
      </c>
      <c r="C301" s="4" t="s">
        <v>1461</v>
      </c>
      <c r="D301" s="1" t="s">
        <v>1462</v>
      </c>
      <c r="E301" s="1" t="s">
        <v>1463</v>
      </c>
      <c r="F301" s="4" t="s">
        <v>17</v>
      </c>
      <c r="G301" s="1" t="s">
        <v>18</v>
      </c>
      <c r="H301" s="1" t="s">
        <v>19</v>
      </c>
      <c r="I301" s="1" t="s">
        <v>20</v>
      </c>
      <c r="J301" s="1" t="s">
        <v>1464</v>
      </c>
      <c r="K301" s="1" t="s">
        <v>22</v>
      </c>
      <c r="L301" s="1" t="str">
        <f>HYPERLINK("https://files.afu.se/Downloads/Transcripts/0%20-%20Government/USA%20-%20NASA/2021 06 04 - NASA - Introducing NASA’s NEW Earth System Observatory_FUq5d7dqlVY - transcript (automated).pdf","Transcript Link")</f>
        <v>Transcript Link</v>
      </c>
      <c r="M301" s="2" t="str">
        <f>HYPERLINK("https://files.afu.se/Downloads/Transcripts/0%20-%20Government/USA%20-%20NASA/2021 06 04 - NASA - Introducing NASA’s NEW Earth System Observatory_FUq5d7dqlVY - transcript (automated).pdf","Transcript Link")</f>
        <v>Transcript Link</v>
      </c>
    </row>
    <row r="302" ht="255" spans="1:13">
      <c r="A302" s="1" t="s">
        <v>1465</v>
      </c>
      <c r="B302" s="1" t="s">
        <v>13</v>
      </c>
      <c r="C302" s="4" t="s">
        <v>1466</v>
      </c>
      <c r="D302" s="1" t="s">
        <v>1467</v>
      </c>
      <c r="E302" s="1" t="s">
        <v>1468</v>
      </c>
      <c r="F302" s="4" t="s">
        <v>17</v>
      </c>
      <c r="G302" s="1" t="s">
        <v>18</v>
      </c>
      <c r="H302" s="1" t="s">
        <v>19</v>
      </c>
      <c r="I302" s="1" t="s">
        <v>20</v>
      </c>
      <c r="J302" s="1" t="s">
        <v>1469</v>
      </c>
      <c r="K302" s="1" t="s">
        <v>22</v>
      </c>
      <c r="L302" s="1" t="str">
        <f>HYPERLINK("https://files.afu.se/Downloads/Transcripts/0%20-%20Government/USA%20-%20NASA/2021 06 03 - NASA - SpaceX's CRS-22 Mission to the Space Station  What's On Board_a_veIjIazqY - transcript (automated).pdf","Transcript Link")</f>
        <v>Transcript Link</v>
      </c>
      <c r="M302" s="2" t="str">
        <f>HYPERLINK("https://files.afu.se/Downloads/Transcripts/0%20-%20Government/USA%20-%20NASA/2021 06 03 - NASA - SpaceX's CRS-22 Mission to the Space Station  What's On Board_a_veIjIazqY - transcript (automated).pdf","Transcript Link")</f>
        <v>Transcript Link</v>
      </c>
    </row>
    <row r="303" ht="195" spans="1:13">
      <c r="A303" s="1" t="s">
        <v>1470</v>
      </c>
      <c r="B303" s="1" t="s">
        <v>13</v>
      </c>
      <c r="C303" s="4" t="s">
        <v>1471</v>
      </c>
      <c r="D303" s="1" t="s">
        <v>1472</v>
      </c>
      <c r="E303" s="1" t="s">
        <v>1473</v>
      </c>
      <c r="F303" s="4" t="s">
        <v>17</v>
      </c>
      <c r="G303" s="1" t="s">
        <v>18</v>
      </c>
      <c r="H303" s="1" t="s">
        <v>19</v>
      </c>
      <c r="I303" s="1" t="s">
        <v>20</v>
      </c>
      <c r="J303" s="1" t="s">
        <v>1474</v>
      </c>
      <c r="K303" s="1" t="s">
        <v>22</v>
      </c>
      <c r="L303" s="1" t="str">
        <f>HYPERLINK("https://files.afu.se/Downloads/Transcripts/0%20-%20Government/USA%20-%20NASA/2021 06 02 - NASA - NASA's Return to Venus_Rf-nOV9LCRM - transcript (automated).pdf","Transcript Link")</f>
        <v>Transcript Link</v>
      </c>
      <c r="M303" s="2" t="str">
        <f>HYPERLINK("https://files.afu.se/Downloads/Transcripts/0%20-%20Government/USA%20-%20NASA/2021 06 02 - NASA - NASA's Return to Venus_Rf-nOV9LCRM - transcript (automated).pdf","Transcript Link")</f>
        <v>Transcript Link</v>
      </c>
    </row>
    <row r="304" ht="165" spans="1:13">
      <c r="A304" s="1" t="s">
        <v>1475</v>
      </c>
      <c r="B304" s="1" t="s">
        <v>13</v>
      </c>
      <c r="C304" s="4" t="s">
        <v>1476</v>
      </c>
      <c r="D304" s="1" t="s">
        <v>1477</v>
      </c>
      <c r="E304" s="1" t="s">
        <v>1478</v>
      </c>
      <c r="F304" s="4" t="s">
        <v>17</v>
      </c>
      <c r="G304" s="1" t="s">
        <v>18</v>
      </c>
      <c r="H304" s="1" t="s">
        <v>19</v>
      </c>
      <c r="I304" s="1" t="s">
        <v>20</v>
      </c>
      <c r="J304" s="1" t="s">
        <v>1479</v>
      </c>
      <c r="K304" s="1" t="s">
        <v>22</v>
      </c>
      <c r="L304" s="1" t="str">
        <f>HYPERLINK("https://files.afu.se/Downloads/Transcripts/0%20-%20Government/USA%20-%20NASA/2021 05 28 - NASA - The Release of NASA’s Budget Request on This Week @NASA – May 28, 2021_TgbxbIfdFug - transcript (automated).pdf","Transcript Link")</f>
        <v>Transcript Link</v>
      </c>
      <c r="M304" s="2" t="str">
        <f>HYPERLINK("https://files.afu.se/Downloads/Transcripts/0%20-%20Government/USA%20-%20NASA/2021 05 28 - NASA - The Release of NASA’s Budget Request on This Week @NASA – May 28, 2021_TgbxbIfdFug - transcript (automated).pdf","Transcript Link")</f>
        <v>Transcript Link</v>
      </c>
    </row>
    <row r="305" ht="165" spans="1:13">
      <c r="A305" s="1" t="s">
        <v>1480</v>
      </c>
      <c r="B305" s="1" t="s">
        <v>13</v>
      </c>
      <c r="C305" s="4" t="s">
        <v>1481</v>
      </c>
      <c r="D305" s="1" t="s">
        <v>1482</v>
      </c>
      <c r="E305" s="1" t="s">
        <v>1483</v>
      </c>
      <c r="F305" s="4" t="s">
        <v>17</v>
      </c>
      <c r="G305" s="1" t="s">
        <v>18</v>
      </c>
      <c r="H305" s="1" t="s">
        <v>19</v>
      </c>
      <c r="I305" s="1" t="s">
        <v>20</v>
      </c>
      <c r="J305" s="1" t="s">
        <v>1484</v>
      </c>
      <c r="K305" s="1" t="s">
        <v>22</v>
      </c>
      <c r="L305" s="1" t="str">
        <f>HYPERLINK("https://files.afu.se/Downloads/Transcripts/0%20-%20Government/USA%20-%20NASA/2021 05 21 - NASA - An Addition to a Future Commercial Crew Mission on This Week @NASA – May 21, 2021_85tvmSV8DsE - transcript (automated).pdf","Transcript Link")</f>
        <v>Transcript Link</v>
      </c>
      <c r="M305" s="2" t="str">
        <f>HYPERLINK("https://files.afu.se/Downloads/Transcripts/0%20-%20Government/USA%20-%20NASA/2021 05 21 - NASA - An Addition to a Future Commercial Crew Mission on This Week @NASA – May 21, 2021_85tvmSV8DsE - transcript (automated).pdf","Transcript Link")</f>
        <v>Transcript Link</v>
      </c>
    </row>
    <row r="306" ht="300" spans="1:13">
      <c r="A306" s="1" t="s">
        <v>1480</v>
      </c>
      <c r="B306" s="1" t="s">
        <v>13</v>
      </c>
      <c r="C306" s="4" t="s">
        <v>1485</v>
      </c>
      <c r="D306" s="1" t="s">
        <v>1486</v>
      </c>
      <c r="E306" s="1" t="s">
        <v>1487</v>
      </c>
      <c r="F306" s="4" t="s">
        <v>17</v>
      </c>
      <c r="G306" s="1" t="s">
        <v>18</v>
      </c>
      <c r="H306" s="1" t="s">
        <v>19</v>
      </c>
      <c r="I306" s="1" t="s">
        <v>20</v>
      </c>
      <c r="J306" s="1" t="s">
        <v>1488</v>
      </c>
      <c r="K306" s="1" t="s">
        <v>22</v>
      </c>
      <c r="L306" s="1" t="str">
        <f>HYPERLINK("https://files.afu.se/Downloads/Transcripts/0%20-%20Government/USA%20-%20NASA/2021 05 21 - NASA - Gravity Assist  Listening to the Universe_coFE7-E6LRg - transcript (automated).pdf","Transcript Link")</f>
        <v>Transcript Link</v>
      </c>
      <c r="M306" s="2" t="str">
        <f>HYPERLINK("https://files.afu.se/Downloads/Transcripts/0%20-%20Government/USA%20-%20NASA/2021 05 21 - NASA - Gravity Assist  Listening to the Universe_coFE7-E6LRg - transcript (automated).pdf","Transcript Link")</f>
        <v>Transcript Link</v>
      </c>
    </row>
    <row r="307" ht="210" spans="1:13">
      <c r="A307" s="1" t="s">
        <v>1480</v>
      </c>
      <c r="B307" s="1" t="s">
        <v>13</v>
      </c>
      <c r="C307" s="4" t="s">
        <v>1489</v>
      </c>
      <c r="D307" s="1" t="s">
        <v>1490</v>
      </c>
      <c r="E307" s="1" t="s">
        <v>1491</v>
      </c>
      <c r="F307" s="4" t="s">
        <v>17</v>
      </c>
      <c r="G307" s="1" t="s">
        <v>18</v>
      </c>
      <c r="H307" s="1" t="s">
        <v>19</v>
      </c>
      <c r="I307" s="1" t="s">
        <v>20</v>
      </c>
      <c r="J307" s="1" t="s">
        <v>1492</v>
      </c>
      <c r="K307" s="1" t="s">
        <v>22</v>
      </c>
      <c r="L307" s="1" t="str">
        <f>HYPERLINK("https://files.afu.se/Downloads/Transcripts/0%20-%20Government/USA%20-%20NASA/2021 05 21 - NASA - NASA Astronauts Celebrate Asian American &amp; Pacific Islander Heritage Month_tuDPzaiD6qQ - transcript (automated).pdf","Transcript Link")</f>
        <v>Transcript Link</v>
      </c>
      <c r="M307" s="2" t="str">
        <f>HYPERLINK("https://files.afu.se/Downloads/Transcripts/0%20-%20Government/USA%20-%20NASA/2021 05 21 - NASA - NASA Astronauts Celebrate Asian American &amp; Pacific Islander Heritage Month_tuDPzaiD6qQ - transcript (automated).pdf","Transcript Link")</f>
        <v>Transcript Link</v>
      </c>
    </row>
    <row r="308" ht="165" spans="1:13">
      <c r="A308" s="1" t="s">
        <v>1493</v>
      </c>
      <c r="B308" s="1" t="s">
        <v>13</v>
      </c>
      <c r="C308" s="4" t="s">
        <v>1494</v>
      </c>
      <c r="D308" s="1" t="s">
        <v>1495</v>
      </c>
      <c r="E308" s="1" t="s">
        <v>1496</v>
      </c>
      <c r="F308" s="4" t="s">
        <v>17</v>
      </c>
      <c r="G308" s="1" t="s">
        <v>18</v>
      </c>
      <c r="H308" s="1" t="s">
        <v>19</v>
      </c>
      <c r="I308" s="1" t="s">
        <v>20</v>
      </c>
      <c r="J308" s="1" t="s">
        <v>1497</v>
      </c>
      <c r="K308" s="1" t="s">
        <v>22</v>
      </c>
      <c r="L308" s="1" t="str">
        <f>HYPERLINK("https://files.afu.se/Downloads/Transcripts/0%20-%20Government/USA%20-%20NASA/2021 05 20 - NASA - Science Launching on SpaceX's 22nd Cargo Resupply Mission to the Space Station_TibXxwEZ4gY - transcript (automated).pdf","Transcript Link")</f>
        <v>Transcript Link</v>
      </c>
      <c r="M308" s="2" t="str">
        <f>HYPERLINK("https://files.afu.se/Downloads/Transcripts/0%20-%20Government/USA%20-%20NASA/2021 05 20 - NASA - Science Launching on SpaceX's 22nd Cargo Resupply Mission to the Space Station_TibXxwEZ4gY - transcript (automated).pdf","Transcript Link")</f>
        <v>Transcript Link</v>
      </c>
    </row>
    <row r="309" ht="360" spans="1:13">
      <c r="A309" s="1" t="s">
        <v>1498</v>
      </c>
      <c r="B309" s="1" t="s">
        <v>13</v>
      </c>
      <c r="C309" s="4" t="s">
        <v>1499</v>
      </c>
      <c r="D309" s="1" t="s">
        <v>1500</v>
      </c>
      <c r="E309" s="1" t="s">
        <v>1501</v>
      </c>
      <c r="F309" s="4" t="s">
        <v>17</v>
      </c>
      <c r="G309" s="1" t="s">
        <v>18</v>
      </c>
      <c r="H309" s="1" t="s">
        <v>19</v>
      </c>
      <c r="I309" s="1" t="s">
        <v>20</v>
      </c>
      <c r="J309" s="1" t="s">
        <v>1502</v>
      </c>
      <c r="K309" s="1" t="s">
        <v>22</v>
      </c>
      <c r="L309" s="1" t="str">
        <f>HYPERLINK("https://files.afu.se/Downloads/Transcripts/0%20-%20Government/USA%20-%20NASA/2021 05 15 - NASA - Samples of an Asteroid are Headed Back to Earth on This Week @NASA – May 14, 2021_mplLzUMYKuM - transcript (automated).pdf","Transcript Link")</f>
        <v>Transcript Link</v>
      </c>
      <c r="M309" s="2" t="str">
        <f>HYPERLINK("https://files.afu.se/Downloads/Transcripts/0%20-%20Government/USA%20-%20NASA/2021 05 15 - NASA - Samples of an Asteroid are Headed Back to Earth on This Week @NASA – May 14, 2021_mplLzUMYKuM - transcript (automated).pdf","Transcript Link")</f>
        <v>Transcript Link</v>
      </c>
    </row>
    <row r="310" ht="195" spans="1:13">
      <c r="A310" s="1" t="s">
        <v>1503</v>
      </c>
      <c r="B310" s="1" t="s">
        <v>13</v>
      </c>
      <c r="C310" s="4" t="s">
        <v>1504</v>
      </c>
      <c r="D310" s="1" t="s">
        <v>1505</v>
      </c>
      <c r="E310" s="1" t="s">
        <v>1506</v>
      </c>
      <c r="F310" s="4" t="s">
        <v>17</v>
      </c>
      <c r="G310" s="1" t="s">
        <v>18</v>
      </c>
      <c r="H310" s="1" t="s">
        <v>19</v>
      </c>
      <c r="I310" s="1" t="s">
        <v>20</v>
      </c>
      <c r="J310" s="1" t="s">
        <v>1507</v>
      </c>
      <c r="K310" s="1" t="s">
        <v>22</v>
      </c>
      <c r="L310" s="1" t="str">
        <f>HYPERLINK("https://files.afu.se/Downloads/Transcripts/0%20-%20Government/USA%20-%20NASA/2021 05 07 - NASA - A Record-Breaking Spaceflight for the Crew-1 Mission on This Week @NASA – May 7, 2021_4RRCD07Jips - transcript (automated).pdf","Transcript Link")</f>
        <v>Transcript Link</v>
      </c>
      <c r="M310" s="2" t="str">
        <f>HYPERLINK("https://files.afu.se/Downloads/Transcripts/0%20-%20Government/USA%20-%20NASA/2021 05 07 - NASA - A Record-Breaking Spaceflight for the Crew-1 Mission on This Week @NASA – May 7, 2021_4RRCD07Jips - transcript (automated).pdf","Transcript Link")</f>
        <v>Transcript Link</v>
      </c>
    </row>
    <row r="311" ht="240" spans="1:13">
      <c r="A311" s="1" t="s">
        <v>1508</v>
      </c>
      <c r="B311" s="1" t="s">
        <v>13</v>
      </c>
      <c r="C311" s="4" t="s">
        <v>1509</v>
      </c>
      <c r="D311" s="1" t="s">
        <v>1510</v>
      </c>
      <c r="E311" s="1" t="s">
        <v>1511</v>
      </c>
      <c r="F311" s="4" t="s">
        <v>17</v>
      </c>
      <c r="G311" s="1" t="s">
        <v>18</v>
      </c>
      <c r="H311" s="1" t="s">
        <v>19</v>
      </c>
      <c r="I311" s="1" t="s">
        <v>20</v>
      </c>
      <c r="J311" s="1" t="s">
        <v>1512</v>
      </c>
      <c r="K311" s="1" t="s">
        <v>22</v>
      </c>
      <c r="L311" s="1" t="str">
        <f>HYPERLINK("https://files.afu.se/Downloads/Transcripts/0%20-%20Government/USA%20-%20NASA/2021 05 05 - NASA - A Message from NASA Administrator Sen. Bill Nelson to the NASA Workforce_cpbKsFutOCI - transcript (automated).pdf","Transcript Link")</f>
        <v>Transcript Link</v>
      </c>
      <c r="M311" s="2" t="str">
        <f>HYPERLINK("https://files.afu.se/Downloads/Transcripts/0%20-%20Government/USA%20-%20NASA/2021 05 05 - NASA - A Message from NASA Administrator Sen. Bill Nelson to the NASA Workforce_cpbKsFutOCI - transcript (automated).pdf","Transcript Link")</f>
        <v>Transcript Link</v>
      </c>
    </row>
    <row r="312" ht="165" spans="1:13">
      <c r="A312" s="1" t="s">
        <v>1508</v>
      </c>
      <c r="B312" s="1" t="s">
        <v>13</v>
      </c>
      <c r="C312" s="4" t="s">
        <v>1513</v>
      </c>
      <c r="D312" s="1" t="s">
        <v>1514</v>
      </c>
      <c r="E312" s="1" t="s">
        <v>1515</v>
      </c>
      <c r="F312" s="4" t="s">
        <v>17</v>
      </c>
      <c r="G312" s="1" t="s">
        <v>18</v>
      </c>
      <c r="H312" s="1" t="s">
        <v>19</v>
      </c>
      <c r="I312" s="1" t="s">
        <v>20</v>
      </c>
      <c r="J312" s="1" t="s">
        <v>1516</v>
      </c>
      <c r="K312" s="1" t="s">
        <v>22</v>
      </c>
      <c r="L312" s="1" t="str">
        <f>HYPERLINK("https://files.afu.se/Downloads/Transcripts/0%20-%20Government/USA%20-%20NASA/2021 05 05 - NASA - 60 Years of Human Spaceflight  Launching The First American into Space_YMptAi6Z8io - transcript (automated).pdf","Transcript Link")</f>
        <v>Transcript Link</v>
      </c>
      <c r="M312" s="2" t="str">
        <f>HYPERLINK("https://files.afu.se/Downloads/Transcripts/0%20-%20Government/USA%20-%20NASA/2021 05 05 - NASA - 60 Years of Human Spaceflight  Launching The First American into Space_YMptAi6Z8io - transcript (automated).pdf","Transcript Link")</f>
        <v>Transcript Link</v>
      </c>
    </row>
    <row r="313" ht="165" spans="1:13">
      <c r="A313" s="1" t="s">
        <v>1517</v>
      </c>
      <c r="B313" s="1" t="s">
        <v>13</v>
      </c>
      <c r="C313" s="4" t="s">
        <v>1518</v>
      </c>
      <c r="D313" s="1" t="s">
        <v>1519</v>
      </c>
      <c r="E313" s="1" t="s">
        <v>1520</v>
      </c>
      <c r="F313" s="4" t="s">
        <v>17</v>
      </c>
      <c r="G313" s="1" t="s">
        <v>18</v>
      </c>
      <c r="H313" s="1" t="s">
        <v>19</v>
      </c>
      <c r="I313" s="1" t="s">
        <v>20</v>
      </c>
      <c r="J313" s="1" t="s">
        <v>1521</v>
      </c>
      <c r="K313" s="1" t="s">
        <v>22</v>
      </c>
      <c r="L313" s="1" t="str">
        <f>HYPERLINK("https://files.afu.se/Downloads/Transcripts/0%20-%20Government/USA%20-%20NASA/2021 05 04 - NASA - Exoplanets  Weird, Wondrous Worlds_4IXYp9Fse44 - transcript (automated).pdf","Transcript Link")</f>
        <v>Transcript Link</v>
      </c>
      <c r="M313" s="2" t="str">
        <f>HYPERLINK("https://files.afu.se/Downloads/Transcripts/0%20-%20Government/USA%20-%20NASA/2021 05 04 - NASA - Exoplanets  Weird, Wondrous Worlds_4IXYp9Fse44 - transcript (automated).pdf","Transcript Link")</f>
        <v>Transcript Link</v>
      </c>
    </row>
    <row r="314" ht="165" spans="1:13">
      <c r="A314" s="1" t="s">
        <v>1517</v>
      </c>
      <c r="B314" s="1" t="s">
        <v>13</v>
      </c>
      <c r="C314" s="4" t="s">
        <v>1522</v>
      </c>
      <c r="D314" s="1" t="s">
        <v>1523</v>
      </c>
      <c r="E314" s="1" t="s">
        <v>1524</v>
      </c>
      <c r="F314" s="4" t="s">
        <v>17</v>
      </c>
      <c r="G314" s="1" t="s">
        <v>18</v>
      </c>
      <c r="H314" s="1" t="s">
        <v>19</v>
      </c>
      <c r="I314" s="1" t="s">
        <v>20</v>
      </c>
      <c r="J314" s="1" t="s">
        <v>1525</v>
      </c>
      <c r="K314" s="1" t="s">
        <v>22</v>
      </c>
      <c r="L314" s="1" t="str">
        <f>HYPERLINK("https://files.afu.se/Downloads/Transcripts/0%20-%20Government/USA%20-%20NASA/2021 05 04 - NASA - NASA Astronauts Share Teacher Appreciation Week Message From the Space Station_0XAWja5ncI0 - transcript (automated).pdf","Transcript Link")</f>
        <v>Transcript Link</v>
      </c>
      <c r="M314" s="2" t="str">
        <f>HYPERLINK("https://files.afu.se/Downloads/Transcripts/0%20-%20Government/USA%20-%20NASA/2021 05 04 - NASA - NASA Astronauts Share Teacher Appreciation Week Message From the Space Station_0XAWja5ncI0 - transcript (automated).pdf","Transcript Link")</f>
        <v>Transcript Link</v>
      </c>
    </row>
    <row r="315" ht="405" spans="1:13">
      <c r="A315" s="1" t="s">
        <v>1517</v>
      </c>
      <c r="B315" s="1" t="s">
        <v>13</v>
      </c>
      <c r="C315" s="4" t="s">
        <v>1526</v>
      </c>
      <c r="D315" s="1" t="s">
        <v>1527</v>
      </c>
      <c r="E315" s="1" t="s">
        <v>1528</v>
      </c>
      <c r="F315" s="4" t="s">
        <v>17</v>
      </c>
      <c r="G315" s="1" t="s">
        <v>18</v>
      </c>
      <c r="H315" s="1" t="s">
        <v>19</v>
      </c>
      <c r="I315" s="1" t="s">
        <v>20</v>
      </c>
      <c r="J315" s="1" t="s">
        <v>1529</v>
      </c>
      <c r="K315" s="1" t="s">
        <v>22</v>
      </c>
      <c r="L315" s="1" t="str">
        <f>HYPERLINK("https://files.afu.se/Downloads/Transcripts/0%20-%20Government/USA%20-%20NASA/2021 05 04 - NASA - NASA Celebrates Asian American and Pacific Islander (AAPI) Heritage Month 2021_YJd3eZIT2XY - transcript (automated).pdf","Transcript Link")</f>
        <v>Transcript Link</v>
      </c>
      <c r="M315" s="2" t="str">
        <f>HYPERLINK("https://files.afu.se/Downloads/Transcripts/0%20-%20Government/USA%20-%20NASA/2021 05 04 - NASA - NASA Celebrates Asian American and Pacific Islander (AAPI) Heritage Month 2021_YJd3eZIT2XY - transcript (automated).pdf","Transcript Link")</f>
        <v>Transcript Link</v>
      </c>
    </row>
    <row r="316" ht="409.5" spans="1:13">
      <c r="A316" s="1" t="s">
        <v>1530</v>
      </c>
      <c r="B316" s="1" t="s">
        <v>13</v>
      </c>
      <c r="C316" s="4" t="s">
        <v>1531</v>
      </c>
      <c r="D316" s="1" t="s">
        <v>1532</v>
      </c>
      <c r="E316" s="1" t="s">
        <v>1533</v>
      </c>
      <c r="F316" s="4" t="s">
        <v>17</v>
      </c>
      <c r="G316" s="1" t="s">
        <v>18</v>
      </c>
      <c r="H316" s="1" t="s">
        <v>19</v>
      </c>
      <c r="I316" s="1" t="s">
        <v>20</v>
      </c>
      <c r="J316" s="1" t="s">
        <v>1534</v>
      </c>
      <c r="K316" s="1" t="s">
        <v>22</v>
      </c>
      <c r="L316" s="1" t="str">
        <f>HYPERLINK("https://files.afu.se/Downloads/Transcripts/0%20-%20Government/USA%20-%20NASA/2021 05 03 - NASA - Vice President Harris Swears in NASA Administrator Sen. Bill Nelson_4Wbcf2LCjok - transcript (automated).pdf","Transcript Link")</f>
        <v>Transcript Link</v>
      </c>
      <c r="M316" s="2" t="str">
        <f>HYPERLINK("https://files.afu.se/Downloads/Transcripts/0%20-%20Government/USA%20-%20NASA/2021 05 03 - NASA - Vice President Harris Swears in NASA Administrator Sen. Bill Nelson_4Wbcf2LCjok - transcript (automated).pdf","Transcript Link")</f>
        <v>Transcript Link</v>
      </c>
    </row>
    <row r="317" ht="195" spans="1:13">
      <c r="A317" s="1" t="s">
        <v>1535</v>
      </c>
      <c r="B317" s="1" t="s">
        <v>13</v>
      </c>
      <c r="C317" s="4" t="s">
        <v>1536</v>
      </c>
      <c r="D317" s="1" t="s">
        <v>1537</v>
      </c>
      <c r="E317" s="1" t="s">
        <v>1538</v>
      </c>
      <c r="F317" s="4" t="s">
        <v>17</v>
      </c>
      <c r="G317" s="1" t="s">
        <v>18</v>
      </c>
      <c r="H317" s="1" t="s">
        <v>19</v>
      </c>
      <c r="I317" s="1" t="s">
        <v>20</v>
      </c>
      <c r="J317" s="1" t="s">
        <v>1539</v>
      </c>
      <c r="K317" s="1" t="s">
        <v>22</v>
      </c>
      <c r="L317" s="1" t="str">
        <f>HYPERLINK("https://files.afu.se/Downloads/Transcripts/0%20-%20Government/USA%20-%20NASA/2021 05 01 - NASA - With Much Ingenuity, We Soar Together_6lEzFykAFVE - transcript (automated).pdf","Transcript Link")</f>
        <v>Transcript Link</v>
      </c>
      <c r="M317" s="2" t="str">
        <f>HYPERLINK("https://files.afu.se/Downloads/Transcripts/0%20-%20Government/USA%20-%20NASA/2021 05 01 - NASA - With Much Ingenuity, We Soar Together_6lEzFykAFVE - transcript (automated).pdf","Transcript Link")</f>
        <v>Transcript Link</v>
      </c>
    </row>
    <row r="318" ht="165" spans="1:13">
      <c r="A318" s="1" t="s">
        <v>1535</v>
      </c>
      <c r="B318" s="1" t="s">
        <v>13</v>
      </c>
      <c r="C318" s="4" t="s">
        <v>1540</v>
      </c>
      <c r="D318" s="1" t="s">
        <v>1541</v>
      </c>
      <c r="E318" s="1" t="s">
        <v>1542</v>
      </c>
      <c r="F318" s="4" t="s">
        <v>17</v>
      </c>
      <c r="G318" s="1" t="s">
        <v>18</v>
      </c>
      <c r="H318" s="1" t="s">
        <v>19</v>
      </c>
      <c r="I318" s="1" t="s">
        <v>20</v>
      </c>
      <c r="J318" s="1" t="s">
        <v>1543</v>
      </c>
      <c r="K318" s="1" t="s">
        <v>22</v>
      </c>
      <c r="L318" s="1" t="str">
        <f>HYPERLINK("https://files.afu.se/Downloads/Transcripts/0%20-%20Government/USA%20-%20NASA/2021 05 01 - NASA - Confirming the Nomination of NASA’s Next Administrator on This Week @NASA – April 30, 2021_PnEvu9jpkeE - transcript (automated).pdf","Transcript Link")</f>
        <v>Transcript Link</v>
      </c>
      <c r="M318" s="2" t="str">
        <f>HYPERLINK("https://files.afu.se/Downloads/Transcripts/0%20-%20Government/USA%20-%20NASA/2021 05 01 - NASA - Confirming the Nomination of NASA’s Next Administrator on This Week @NASA – April 30, 2021_PnEvu9jpkeE - transcript (automated).pdf","Transcript Link")</f>
        <v>Transcript Link</v>
      </c>
    </row>
    <row r="319" ht="360" spans="1:13">
      <c r="A319" s="1" t="s">
        <v>1544</v>
      </c>
      <c r="B319" s="1" t="s">
        <v>13</v>
      </c>
      <c r="C319" s="4" t="s">
        <v>1545</v>
      </c>
      <c r="D319" s="1" t="s">
        <v>1546</v>
      </c>
      <c r="E319" s="1" t="s">
        <v>1547</v>
      </c>
      <c r="F319" s="4" t="s">
        <v>17</v>
      </c>
      <c r="G319" s="1" t="s">
        <v>18</v>
      </c>
      <c r="H319" s="1" t="s">
        <v>19</v>
      </c>
      <c r="I319" s="1" t="s">
        <v>20</v>
      </c>
      <c r="J319" s="1" t="s">
        <v>1548</v>
      </c>
      <c r="K319" s="1" t="s">
        <v>22</v>
      </c>
      <c r="L319" s="1" t="str">
        <f>HYPERLINK("https://files.afu.se/Downloads/Transcripts/0%20-%20Government/USA%20-%20NASA/2021 04 29 - NASA - NASA's 100 Days_BqvDIB5pSBc - transcript (automated).pdf","Transcript Link")</f>
        <v>Transcript Link</v>
      </c>
      <c r="M319" s="2" t="str">
        <f>HYPERLINK("https://files.afu.se/Downloads/Transcripts/0%20-%20Government/USA%20-%20NASA/2021 04 29 - NASA - NASA's 100 Days_BqvDIB5pSBc - transcript (automated).pdf","Transcript Link")</f>
        <v>Transcript Link</v>
      </c>
    </row>
    <row r="320" ht="180" spans="1:13">
      <c r="A320" s="1" t="s">
        <v>1549</v>
      </c>
      <c r="B320" s="1" t="s">
        <v>13</v>
      </c>
      <c r="C320" s="4" t="s">
        <v>1550</v>
      </c>
      <c r="D320" s="1" t="s">
        <v>1551</v>
      </c>
      <c r="E320" s="1" t="s">
        <v>1552</v>
      </c>
      <c r="F320" s="4" t="s">
        <v>17</v>
      </c>
      <c r="G320" s="1" t="s">
        <v>18</v>
      </c>
      <c r="H320" s="1" t="s">
        <v>19</v>
      </c>
      <c r="I320" s="1" t="s">
        <v>20</v>
      </c>
      <c r="J320" s="1" t="s">
        <v>1553</v>
      </c>
      <c r="K320" s="1" t="s">
        <v>22</v>
      </c>
      <c r="L320" s="1" t="str">
        <f>HYPERLINK("https://files.afu.se/Downloads/Transcripts/0%20-%20Government/USA%20-%20NASA/2021 04 28 - NASA - NASA Remembers Apollo Astronaut Michael Collins_E4mnpHvK8yM - transcript (automated).pdf","Transcript Link")</f>
        <v>Transcript Link</v>
      </c>
      <c r="M320" s="2" t="str">
        <f>HYPERLINK("https://files.afu.se/Downloads/Transcripts/0%20-%20Government/USA%20-%20NASA/2021 04 28 - NASA - NASA Remembers Apollo Astronaut Michael Collins_E4mnpHvK8yM - transcript (automated).pdf","Transcript Link")</f>
        <v>Transcript Link</v>
      </c>
    </row>
    <row r="321" ht="165" spans="1:13">
      <c r="A321" s="1" t="s">
        <v>1554</v>
      </c>
      <c r="B321" s="1" t="s">
        <v>13</v>
      </c>
      <c r="C321" s="4" t="s">
        <v>1555</v>
      </c>
      <c r="D321" s="1" t="s">
        <v>1556</v>
      </c>
      <c r="E321" s="1" t="s">
        <v>1557</v>
      </c>
      <c r="F321" s="4" t="s">
        <v>17</v>
      </c>
      <c r="G321" s="1" t="s">
        <v>18</v>
      </c>
      <c r="H321" s="1" t="s">
        <v>19</v>
      </c>
      <c r="I321" s="1" t="s">
        <v>20</v>
      </c>
      <c r="J321" s="1" t="s">
        <v>1558</v>
      </c>
      <c r="K321" s="1" t="s">
        <v>22</v>
      </c>
      <c r="L321" s="1" t="str">
        <f>HYPERLINK("https://files.afu.se/Downloads/Transcripts/0%20-%20Government/USA%20-%20NASA/2021 04 26 - NASA - What Is the Habitable Zone _J04YN9azln8 - transcript (automated).pdf","Transcript Link")</f>
        <v>Transcript Link</v>
      </c>
      <c r="M321" s="2" t="str">
        <f>HYPERLINK("https://files.afu.se/Downloads/Transcripts/0%20-%20Government/USA%20-%20NASA/2021 04 26 - NASA - What Is the Habitable Zone _J04YN9azln8 - transcript (automated).pdf","Transcript Link")</f>
        <v>Transcript Link</v>
      </c>
    </row>
    <row r="322" ht="165" spans="1:13">
      <c r="A322" s="1" t="s">
        <v>1559</v>
      </c>
      <c r="B322" s="1" t="s">
        <v>13</v>
      </c>
      <c r="C322" s="4" t="s">
        <v>1560</v>
      </c>
      <c r="D322" s="1" t="s">
        <v>1561</v>
      </c>
      <c r="E322" s="1" t="s">
        <v>1562</v>
      </c>
      <c r="F322" s="4" t="s">
        <v>17</v>
      </c>
      <c r="G322" s="1" t="s">
        <v>18</v>
      </c>
      <c r="H322" s="1" t="s">
        <v>19</v>
      </c>
      <c r="I322" s="1" t="s">
        <v>20</v>
      </c>
      <c r="J322" s="1" t="s">
        <v>1563</v>
      </c>
      <c r="K322" s="1" t="s">
        <v>22</v>
      </c>
      <c r="L322" s="1" t="str">
        <f>HYPERLINK("https://files.afu.se/Downloads/Transcripts/0%20-%20Government/USA%20-%20NASA/2021 04 24 - NASA - The Next Commercial Crew Mission to The Space Station on This Week @NASA – April 24, 2021_mUdd2Sm1h_I - transcript (automated).pdf","Transcript Link")</f>
        <v>Transcript Link</v>
      </c>
      <c r="M322" s="2" t="str">
        <f>HYPERLINK("https://files.afu.se/Downloads/Transcripts/0%20-%20Government/USA%20-%20NASA/2021 04 24 - NASA - The Next Commercial Crew Mission to The Space Station on This Week @NASA – April 24, 2021_mUdd2Sm1h_I - transcript (automated).pdf","Transcript Link")</f>
        <v>Transcript Link</v>
      </c>
    </row>
    <row r="323" ht="240" spans="1:13">
      <c r="A323" s="1" t="s">
        <v>1564</v>
      </c>
      <c r="B323" s="1" t="s">
        <v>13</v>
      </c>
      <c r="C323" s="4" t="s">
        <v>1565</v>
      </c>
      <c r="D323" s="1" t="s">
        <v>1566</v>
      </c>
      <c r="E323" s="1" t="s">
        <v>1567</v>
      </c>
      <c r="F323" s="4" t="s">
        <v>17</v>
      </c>
      <c r="G323" s="1" t="s">
        <v>18</v>
      </c>
      <c r="H323" s="1" t="s">
        <v>19</v>
      </c>
      <c r="I323" s="1" t="s">
        <v>20</v>
      </c>
      <c r="J323" s="1" t="s">
        <v>1568</v>
      </c>
      <c r="K323" s="1" t="s">
        <v>22</v>
      </c>
      <c r="L323" s="1" t="str">
        <f>HYPERLINK("https://files.afu.se/Downloads/Transcripts/0%20-%20Government/USA%20-%20NASA/2021 04 23 - NASA - How Ingenuity Talks to Us From Mars__HqZn1BePqM - transcript (automated).pdf","Transcript Link")</f>
        <v>Transcript Link</v>
      </c>
      <c r="M323" s="2" t="str">
        <f>HYPERLINK("https://files.afu.se/Downloads/Transcripts/0%20-%20Government/USA%20-%20NASA/2021 04 23 - NASA - How Ingenuity Talks to Us From Mars__HqZn1BePqM - transcript (automated).pdf","Transcript Link")</f>
        <v>Transcript Link</v>
      </c>
    </row>
    <row r="324" ht="409.5" spans="1:13">
      <c r="A324" s="1" t="s">
        <v>1564</v>
      </c>
      <c r="B324" s="1" t="s">
        <v>13</v>
      </c>
      <c r="C324" s="4" t="s">
        <v>1569</v>
      </c>
      <c r="D324" s="1" t="s">
        <v>1570</v>
      </c>
      <c r="E324" s="1" t="s">
        <v>1571</v>
      </c>
      <c r="F324" s="4" t="s">
        <v>17</v>
      </c>
      <c r="G324" s="1" t="s">
        <v>18</v>
      </c>
      <c r="H324" s="1" t="s">
        <v>19</v>
      </c>
      <c r="I324" s="1" t="s">
        <v>20</v>
      </c>
      <c r="J324" s="1" t="s">
        <v>1572</v>
      </c>
      <c r="K324" s="1" t="s">
        <v>22</v>
      </c>
      <c r="L324" s="1" t="str">
        <f>HYPERLINK("https://files.afu.se/Downloads/Transcripts/0%20-%20Government/USA%20-%20NASA/2021 04 23 - NASA - NASA’s SpaceX Crew-2 Astronauts Headed to International Space Station_-4jQQu8eyUw - transcript (automated).pdf","Transcript Link")</f>
        <v>Transcript Link</v>
      </c>
      <c r="M324" s="2" t="str">
        <f>HYPERLINK("https://files.afu.se/Downloads/Transcripts/0%20-%20Government/USA%20-%20NASA/2021 04 23 - NASA - NASA’s SpaceX Crew-2 Astronauts Headed to International Space Station_-4jQQu8eyUw - transcript (automated).pdf","Transcript Link")</f>
        <v>Transcript Link</v>
      </c>
    </row>
    <row r="325" ht="180" spans="1:13">
      <c r="A325" s="1" t="s">
        <v>1564</v>
      </c>
      <c r="B325" s="1" t="s">
        <v>13</v>
      </c>
      <c r="C325" s="4" t="s">
        <v>1573</v>
      </c>
      <c r="D325" s="1" t="s">
        <v>1574</v>
      </c>
      <c r="E325" s="1" t="s">
        <v>1575</v>
      </c>
      <c r="F325" s="4" t="s">
        <v>17</v>
      </c>
      <c r="G325" s="1" t="s">
        <v>18</v>
      </c>
      <c r="H325" s="1" t="s">
        <v>19</v>
      </c>
      <c r="I325" s="1" t="s">
        <v>20</v>
      </c>
      <c r="J325" s="1" t="s">
        <v>1576</v>
      </c>
      <c r="K325" s="1" t="s">
        <v>22</v>
      </c>
      <c r="L325" s="1" t="str">
        <f>HYPERLINK("https://files.afu.se/Downloads/Transcripts/0%20-%20Government/USA%20-%20NASA/2021 04 23 - NASA - Meet Akihiko Hoshide, Crew-2 Mission Specialist_IkXIdup6vqo - transcript (automated).pdf","Transcript Link")</f>
        <v>Transcript Link</v>
      </c>
      <c r="M325" s="2" t="str">
        <f>HYPERLINK("https://files.afu.se/Downloads/Transcripts/0%20-%20Government/USA%20-%20NASA/2021 04 23 - NASA - Meet Akihiko Hoshide, Crew-2 Mission Specialist_IkXIdup6vqo - transcript (automated).pdf","Transcript Link")</f>
        <v>Transcript Link</v>
      </c>
    </row>
    <row r="326" ht="409.5" spans="1:13">
      <c r="A326" s="1" t="s">
        <v>1564</v>
      </c>
      <c r="B326" s="1" t="s">
        <v>13</v>
      </c>
      <c r="C326" s="4" t="s">
        <v>1577</v>
      </c>
      <c r="D326" s="1" t="s">
        <v>1578</v>
      </c>
      <c r="E326" s="1" t="s">
        <v>1579</v>
      </c>
      <c r="F326" s="4" t="s">
        <v>17</v>
      </c>
      <c r="G326" s="1" t="s">
        <v>18</v>
      </c>
      <c r="H326" s="1" t="s">
        <v>19</v>
      </c>
      <c r="I326" s="1" t="s">
        <v>20</v>
      </c>
      <c r="J326" s="1" t="s">
        <v>1580</v>
      </c>
      <c r="K326" s="1" t="s">
        <v>22</v>
      </c>
      <c r="L326" s="1" t="str">
        <f>HYPERLINK("https://files.afu.se/Downloads/Transcripts/0%20-%20Government/USA%20-%20NASA/2021 04 23 - NASA - Meet Thomas Pesquet, Crew-2 Mission Specialist_OCETx0Lyy2M - transcript (automated).pdf","Transcript Link")</f>
        <v>Transcript Link</v>
      </c>
      <c r="M326" s="2" t="str">
        <f>HYPERLINK("https://files.afu.se/Downloads/Transcripts/0%20-%20Government/USA%20-%20NASA/2021 04 23 - NASA - Meet Thomas Pesquet, Crew-2 Mission Specialist_OCETx0Lyy2M - transcript (automated).pdf","Transcript Link")</f>
        <v>Transcript Link</v>
      </c>
    </row>
    <row r="327" ht="240" spans="1:13">
      <c r="A327" s="1" t="s">
        <v>1564</v>
      </c>
      <c r="B327" s="1" t="s">
        <v>13</v>
      </c>
      <c r="C327" s="4" t="s">
        <v>1581</v>
      </c>
      <c r="D327" s="1" t="s">
        <v>1582</v>
      </c>
      <c r="E327" s="1" t="s">
        <v>1583</v>
      </c>
      <c r="F327" s="4" t="s">
        <v>17</v>
      </c>
      <c r="G327" s="1" t="s">
        <v>18</v>
      </c>
      <c r="H327" s="1" t="s">
        <v>19</v>
      </c>
      <c r="I327" s="1" t="s">
        <v>20</v>
      </c>
      <c r="J327" s="1" t="s">
        <v>1584</v>
      </c>
      <c r="K327" s="1" t="s">
        <v>22</v>
      </c>
      <c r="L327" s="1" t="str">
        <f>HYPERLINK("https://files.afu.se/Downloads/Transcripts/0%20-%20Government/USA%20-%20NASA/2021 04 23 - NASA - Meet Megan McArthur, Crew-2 Pilot_3elbEt0lohM - transcript (automated).pdf","Transcript Link")</f>
        <v>Transcript Link</v>
      </c>
      <c r="M327" s="2" t="str">
        <f>HYPERLINK("https://files.afu.se/Downloads/Transcripts/0%20-%20Government/USA%20-%20NASA/2021 04 23 - NASA - Meet Megan McArthur, Crew-2 Pilot_3elbEt0lohM - transcript (automated).pdf","Transcript Link")</f>
        <v>Transcript Link</v>
      </c>
    </row>
    <row r="328" ht="195" spans="1:13">
      <c r="A328" s="1" t="s">
        <v>1564</v>
      </c>
      <c r="B328" s="1" t="s">
        <v>13</v>
      </c>
      <c r="C328" s="4" t="s">
        <v>1585</v>
      </c>
      <c r="D328" s="1" t="s">
        <v>1586</v>
      </c>
      <c r="E328" s="1" t="s">
        <v>1587</v>
      </c>
      <c r="F328" s="4" t="s">
        <v>17</v>
      </c>
      <c r="G328" s="1" t="s">
        <v>18</v>
      </c>
      <c r="H328" s="1" t="s">
        <v>19</v>
      </c>
      <c r="I328" s="1" t="s">
        <v>20</v>
      </c>
      <c r="J328" s="1" t="s">
        <v>1588</v>
      </c>
      <c r="K328" s="1" t="s">
        <v>22</v>
      </c>
      <c r="L328" s="1" t="str">
        <f>HYPERLINK("https://files.afu.se/Downloads/Transcripts/0%20-%20Government/USA%20-%20NASA/2021 04 23 - NASA - Meet Shane Kimbrough, Crew-2 Commander_Fc3dV87zloY - transcript (automated).pdf","Transcript Link")</f>
        <v>Transcript Link</v>
      </c>
      <c r="M328" s="2" t="str">
        <f>HYPERLINK("https://files.afu.se/Downloads/Transcripts/0%20-%20Government/USA%20-%20NASA/2021 04 23 - NASA - Meet Shane Kimbrough, Crew-2 Commander_Fc3dV87zloY - transcript (automated).pdf","Transcript Link")</f>
        <v>Transcript Link</v>
      </c>
    </row>
    <row r="329" ht="165" spans="1:13">
      <c r="A329" s="1" t="s">
        <v>1589</v>
      </c>
      <c r="B329" s="1" t="s">
        <v>13</v>
      </c>
      <c r="C329" s="4" t="s">
        <v>1590</v>
      </c>
      <c r="D329" s="1" t="s">
        <v>1591</v>
      </c>
      <c r="E329" s="1" t="s">
        <v>1592</v>
      </c>
      <c r="F329" s="4" t="s">
        <v>17</v>
      </c>
      <c r="G329" s="1" t="s">
        <v>18</v>
      </c>
      <c r="H329" s="1" t="s">
        <v>19</v>
      </c>
      <c r="I329" s="1" t="s">
        <v>20</v>
      </c>
      <c r="J329" s="1" t="s">
        <v>1593</v>
      </c>
      <c r="K329" s="1" t="s">
        <v>22</v>
      </c>
      <c r="L329" s="1" t="str">
        <f>HYPERLINK("https://files.afu.se/Downloads/Transcripts/0%20-%20Government/USA%20-%20NASA/2021 04 22 - NASA - What Will the Crew-2 Astronauts Do on the Space Station  Science!_UnxhawYoKCI - transcript (automated).pdf","Transcript Link")</f>
        <v>Transcript Link</v>
      </c>
      <c r="M329" s="2" t="str">
        <f>HYPERLINK("https://files.afu.se/Downloads/Transcripts/0%20-%20Government/USA%20-%20NASA/2021 04 22 - NASA - What Will the Crew-2 Astronauts Do on the Space Station  Science!_UnxhawYoKCI - transcript (automated).pdf","Transcript Link")</f>
        <v>Transcript Link</v>
      </c>
    </row>
    <row r="330" ht="255" spans="1:13">
      <c r="A330" s="1" t="s">
        <v>1589</v>
      </c>
      <c r="B330" s="1" t="s">
        <v>13</v>
      </c>
      <c r="C330" s="4" t="s">
        <v>1594</v>
      </c>
      <c r="D330" s="1" t="s">
        <v>1595</v>
      </c>
      <c r="E330" s="1" t="s">
        <v>1596</v>
      </c>
      <c r="F330" s="4" t="s">
        <v>17</v>
      </c>
      <c r="G330" s="1" t="s">
        <v>18</v>
      </c>
      <c r="H330" s="1" t="s">
        <v>19</v>
      </c>
      <c r="I330" s="1" t="s">
        <v>20</v>
      </c>
      <c r="J330" s="1" t="s">
        <v>1597</v>
      </c>
      <c r="K330" s="1" t="s">
        <v>22</v>
      </c>
      <c r="L330" s="1" t="str">
        <f>HYPERLINK("https://files.afu.se/Downloads/Transcripts/0%20-%20Government/USA%20-%20NASA/2021 04 22 - NASA - Our Planet, Our Home┃ An Earth Day Perspective_8DQeFmWUyd8 - transcript (automated).pdf","Transcript Link")</f>
        <v>Transcript Link</v>
      </c>
      <c r="M330" s="2" t="str">
        <f>HYPERLINK("https://files.afu.se/Downloads/Transcripts/0%20-%20Government/USA%20-%20NASA/2021 04 22 - NASA - Our Planet, Our Home┃ An Earth Day Perspective_8DQeFmWUyd8 - transcript (automated).pdf","Transcript Link")</f>
        <v>Transcript Link</v>
      </c>
    </row>
    <row r="331" ht="225" spans="1:13">
      <c r="A331" s="1" t="s">
        <v>1598</v>
      </c>
      <c r="B331" s="1" t="s">
        <v>13</v>
      </c>
      <c r="C331" s="4" t="s">
        <v>1599</v>
      </c>
      <c r="D331" s="1" t="s">
        <v>1600</v>
      </c>
      <c r="E331" s="1" t="s">
        <v>1601</v>
      </c>
      <c r="F331" s="4" t="s">
        <v>17</v>
      </c>
      <c r="G331" s="1" t="s">
        <v>18</v>
      </c>
      <c r="H331" s="1" t="s">
        <v>19</v>
      </c>
      <c r="I331" s="1" t="s">
        <v>20</v>
      </c>
      <c r="J331" s="1" t="s">
        <v>1602</v>
      </c>
      <c r="K331" s="1" t="s">
        <v>22</v>
      </c>
      <c r="L331" s="1" t="str">
        <f>HYPERLINK("https://files.afu.se/Downloads/Transcripts/0%20-%20Government/USA%20-%20NASA/2021 04 21 - NASA - April 23, 2021  Astronauts to Launch on NASA and SpaceX Crew-2 Mission_bFUoXFbS5RI - transcript (automated).pdf","Transcript Link")</f>
        <v>Transcript Link</v>
      </c>
      <c r="M331" s="2" t="str">
        <f>HYPERLINK("https://files.afu.se/Downloads/Transcripts/0%20-%20Government/USA%20-%20NASA/2021 04 21 - NASA - April 23, 2021  Astronauts to Launch on NASA and SpaceX Crew-2 Mission_bFUoXFbS5RI - transcript (automated).pdf","Transcript Link")</f>
        <v>Transcript Link</v>
      </c>
    </row>
    <row r="332" ht="210" spans="1:13">
      <c r="A332" s="1" t="s">
        <v>1603</v>
      </c>
      <c r="B332" s="1" t="s">
        <v>13</v>
      </c>
      <c r="C332" s="4" t="s">
        <v>1604</v>
      </c>
      <c r="D332" s="1" t="s">
        <v>1605</v>
      </c>
      <c r="E332" s="1" t="s">
        <v>1606</v>
      </c>
      <c r="F332" s="4" t="s">
        <v>17</v>
      </c>
      <c r="G332" s="1" t="s">
        <v>18</v>
      </c>
      <c r="H332" s="1" t="s">
        <v>19</v>
      </c>
      <c r="I332" s="1" t="s">
        <v>20</v>
      </c>
      <c r="J332" s="1" t="s">
        <v>1607</v>
      </c>
      <c r="K332" s="1" t="s">
        <v>22</v>
      </c>
      <c r="L332" s="1" t="str">
        <f>HYPERLINK("https://files.afu.se/Downloads/Transcripts/0%20-%20Government/USA%20-%20NASA/2021 04 20 - NASA - E.Z. Science  Studying Earth from Space_WpJT54UrM00 - transcript (automated).pdf","Transcript Link")</f>
        <v>Transcript Link</v>
      </c>
      <c r="M332" s="2" t="str">
        <f>HYPERLINK("https://files.afu.se/Downloads/Transcripts/0%20-%20Government/USA%20-%20NASA/2021 04 20 - NASA - E.Z. Science  Studying Earth from Space_WpJT54UrM00 - transcript (automated).pdf","Transcript Link")</f>
        <v>Transcript Link</v>
      </c>
    </row>
    <row r="333" ht="270" spans="1:13">
      <c r="A333" s="1" t="s">
        <v>1608</v>
      </c>
      <c r="B333" s="1" t="s">
        <v>13</v>
      </c>
      <c r="C333" s="4" t="s">
        <v>1609</v>
      </c>
      <c r="D333" s="1" t="s">
        <v>1610</v>
      </c>
      <c r="E333" s="1" t="s">
        <v>1611</v>
      </c>
      <c r="F333" s="4" t="s">
        <v>17</v>
      </c>
      <c r="G333" s="1" t="s">
        <v>18</v>
      </c>
      <c r="H333" s="1" t="s">
        <v>19</v>
      </c>
      <c r="I333" s="1" t="s">
        <v>20</v>
      </c>
      <c r="J333" s="1" t="s">
        <v>1612</v>
      </c>
      <c r="K333" s="1" t="s">
        <v>22</v>
      </c>
      <c r="L333" s="1" t="str">
        <f>HYPERLINK("https://files.afu.se/Downloads/Transcripts/0%20-%20Government/USA%20-%20NASA/2021 04 18 - NASA - The International Space Station  A Laboratory in Space_TiUvXmRDwEQ - transcript (automated).pdf","Transcript Link")</f>
        <v>Transcript Link</v>
      </c>
      <c r="M333" s="2" t="str">
        <f>HYPERLINK("https://files.afu.se/Downloads/Transcripts/0%20-%20Government/USA%20-%20NASA/2021 04 18 - NASA - The International Space Station  A Laboratory in Space_TiUvXmRDwEQ - transcript (automated).pdf","Transcript Link")</f>
        <v>Transcript Link</v>
      </c>
    </row>
    <row r="334" ht="165" spans="1:13">
      <c r="A334" s="1" t="s">
        <v>1613</v>
      </c>
      <c r="B334" s="1" t="s">
        <v>13</v>
      </c>
      <c r="C334" s="4" t="s">
        <v>1614</v>
      </c>
      <c r="D334" s="1" t="s">
        <v>1615</v>
      </c>
      <c r="E334" s="1" t="s">
        <v>1616</v>
      </c>
      <c r="F334" s="4" t="s">
        <v>17</v>
      </c>
      <c r="G334" s="1" t="s">
        <v>18</v>
      </c>
      <c r="H334" s="1" t="s">
        <v>19</v>
      </c>
      <c r="I334" s="1" t="s">
        <v>20</v>
      </c>
      <c r="J334" s="1" t="s">
        <v>1617</v>
      </c>
      <c r="K334" s="1" t="s">
        <v>22</v>
      </c>
      <c r="L334" s="1" t="str">
        <f>HYPERLINK("https://files.afu.se/Downloads/Transcripts/0%20-%20Government/USA%20-%20NASA/2021 04 17 - NASA - Safe Return to Earth from the Space Station on This Week @NASA – April 17, 2021_NH44vP7R_58 - transcript (automated).pdf","Transcript Link")</f>
        <v>Transcript Link</v>
      </c>
      <c r="M334" s="2" t="str">
        <f>HYPERLINK("https://files.afu.se/Downloads/Transcripts/0%20-%20Government/USA%20-%20NASA/2021 04 17 - NASA - Safe Return to Earth from the Space Station on This Week @NASA – April 17, 2021_NH44vP7R_58 - transcript (automated).pdf","Transcript Link")</f>
        <v>Transcript Link</v>
      </c>
    </row>
    <row r="335" ht="210" spans="1:13">
      <c r="A335" s="1" t="s">
        <v>1618</v>
      </c>
      <c r="B335" s="1" t="s">
        <v>13</v>
      </c>
      <c r="C335" s="4" t="s">
        <v>1619</v>
      </c>
      <c r="D335" s="1" t="s">
        <v>1620</v>
      </c>
      <c r="E335" s="1" t="s">
        <v>1621</v>
      </c>
      <c r="F335" s="4" t="s">
        <v>17</v>
      </c>
      <c r="G335" s="1" t="s">
        <v>18</v>
      </c>
      <c r="H335" s="1" t="s">
        <v>19</v>
      </c>
      <c r="I335" s="1" t="s">
        <v>20</v>
      </c>
      <c r="J335" s="1" t="s">
        <v>1622</v>
      </c>
      <c r="K335" s="1" t="s">
        <v>22</v>
      </c>
      <c r="L335" s="1" t="str">
        <f>HYPERLINK("https://files.afu.se/Downloads/Transcripts/0%20-%20Government/USA%20-%20NASA/2021 04 16 - NASA - NASA Picks SpaceX for Artemis Human Lunar Lander Development_y-sA3R4MWjA - transcript (automated).pdf","Transcript Link")</f>
        <v>Transcript Link</v>
      </c>
      <c r="M335" s="2" t="str">
        <f>HYPERLINK("https://files.afu.se/Downloads/Transcripts/0%20-%20Government/USA%20-%20NASA/2021 04 16 - NASA - NASA Picks SpaceX for Artemis Human Lunar Lander Development_y-sA3R4MWjA - transcript (automated).pdf","Transcript Link")</f>
        <v>Transcript Link</v>
      </c>
    </row>
    <row r="336" ht="165" spans="1:13">
      <c r="A336" s="1" t="s">
        <v>1623</v>
      </c>
      <c r="B336" s="1" t="s">
        <v>13</v>
      </c>
      <c r="C336" s="4" t="s">
        <v>1624</v>
      </c>
      <c r="D336" s="1" t="s">
        <v>1625</v>
      </c>
      <c r="E336" s="1" t="s">
        <v>1626</v>
      </c>
      <c r="F336" s="4" t="s">
        <v>17</v>
      </c>
      <c r="G336" s="1" t="s">
        <v>18</v>
      </c>
      <c r="H336" s="1" t="s">
        <v>19</v>
      </c>
      <c r="I336" s="1" t="s">
        <v>20</v>
      </c>
      <c r="J336" s="1" t="s">
        <v>1627</v>
      </c>
      <c r="K336" s="1" t="s">
        <v>22</v>
      </c>
      <c r="L336" s="1" t="str">
        <f>HYPERLINK("https://files.afu.se/Downloads/Transcripts/0%20-%20Government/USA%20-%20NASA/2021 04 13 - NASA - Exoplanet Types  Worlds Beyond Our Solar System_k1UcseLVNVc - transcript (automated).pdf","Transcript Link")</f>
        <v>Transcript Link</v>
      </c>
      <c r="M336" s="2" t="str">
        <f>HYPERLINK("https://files.afu.se/Downloads/Transcripts/0%20-%20Government/USA%20-%20NASA/2021 04 13 - NASA - Exoplanet Types  Worlds Beyond Our Solar System_k1UcseLVNVc - transcript (automated).pdf","Transcript Link")</f>
        <v>Transcript Link</v>
      </c>
    </row>
    <row r="337" ht="390" spans="1:13">
      <c r="A337" s="1" t="s">
        <v>1628</v>
      </c>
      <c r="B337" s="1" t="s">
        <v>13</v>
      </c>
      <c r="C337" s="4" t="s">
        <v>1629</v>
      </c>
      <c r="D337" s="1" t="s">
        <v>1630</v>
      </c>
      <c r="E337" s="1" t="s">
        <v>1631</v>
      </c>
      <c r="F337" s="4" t="s">
        <v>17</v>
      </c>
      <c r="G337" s="1" t="s">
        <v>18</v>
      </c>
      <c r="H337" s="1" t="s">
        <v>19</v>
      </c>
      <c r="I337" s="1" t="s">
        <v>20</v>
      </c>
      <c r="J337" s="1" t="s">
        <v>1632</v>
      </c>
      <c r="K337" s="1" t="s">
        <v>22</v>
      </c>
      <c r="L337" s="1" t="str">
        <f>HYPERLINK("https://files.afu.se/Downloads/Transcripts/0%20-%20Government/USA%20-%20NASA/2021 04 12 - NASA - Space Shuttle’s 40th Anniversary   'Something Just Short of a Miracle'_XKr09ZbXYUo - transcript (automated).pdf","Transcript Link")</f>
        <v>Transcript Link</v>
      </c>
      <c r="M337" s="2" t="str">
        <f>HYPERLINK("https://files.afu.se/Downloads/Transcripts/0%20-%20Government/USA%20-%20NASA/2021 04 12 - NASA - Space Shuttle’s 40th Anniversary   'Something Just Short of a Miracle'_XKr09ZbXYUo - transcript (automated).pdf","Transcript Link")</f>
        <v>Transcript Link</v>
      </c>
    </row>
    <row r="338" ht="195" spans="1:13">
      <c r="A338" s="1" t="s">
        <v>1633</v>
      </c>
      <c r="B338" s="1" t="s">
        <v>13</v>
      </c>
      <c r="C338" s="4" t="s">
        <v>1634</v>
      </c>
      <c r="D338" s="1" t="s">
        <v>1635</v>
      </c>
      <c r="E338" s="1" t="s">
        <v>1636</v>
      </c>
      <c r="F338" s="4" t="s">
        <v>17</v>
      </c>
      <c r="G338" s="1" t="s">
        <v>18</v>
      </c>
      <c r="H338" s="1" t="s">
        <v>19</v>
      </c>
      <c r="I338" s="1" t="s">
        <v>20</v>
      </c>
      <c r="J338" s="1" t="s">
        <v>1637</v>
      </c>
      <c r="K338" s="1" t="s">
        <v>22</v>
      </c>
      <c r="L338" s="1" t="str">
        <f>HYPERLINK("https://files.afu.se/Downloads/Transcripts/0%20-%20Government/USA%20-%20NASA/2021 04 09 - NASA - The President’s Funding Request for NASA on This Week @NASA – April 9, 2021_66RYpY_adnw - transcript (automated).pdf","Transcript Link")</f>
        <v>Transcript Link</v>
      </c>
      <c r="M338" s="2" t="str">
        <f>HYPERLINK("https://files.afu.se/Downloads/Transcripts/0%20-%20Government/USA%20-%20NASA/2021 04 09 - NASA - The President’s Funding Request for NASA on This Week @NASA – April 9, 2021_66RYpY_adnw - transcript (automated).pdf","Transcript Link")</f>
        <v>Transcript Link</v>
      </c>
    </row>
    <row r="339" ht="345" spans="1:13">
      <c r="A339" s="1" t="s">
        <v>1633</v>
      </c>
      <c r="B339" s="1" t="s">
        <v>13</v>
      </c>
      <c r="C339" s="4" t="s">
        <v>1638</v>
      </c>
      <c r="D339" s="1" t="s">
        <v>1639</v>
      </c>
      <c r="E339" s="1" t="s">
        <v>1640</v>
      </c>
      <c r="F339" s="4" t="s">
        <v>17</v>
      </c>
      <c r="G339" s="1" t="s">
        <v>18</v>
      </c>
      <c r="H339" s="1" t="s">
        <v>19</v>
      </c>
      <c r="I339" s="1" t="s">
        <v>20</v>
      </c>
      <c r="J339" s="1" t="s">
        <v>1641</v>
      </c>
      <c r="K339" s="1" t="s">
        <v>22</v>
      </c>
      <c r="L339" s="1" t="str">
        <f>HYPERLINK("https://files.afu.se/Downloads/Transcripts/0%20-%20Government/USA%20-%20NASA/2021 04 09 - NASA - NASA 2022  A Year of Innovation_VdDK_eIEO-o - transcript (automated).pdf","Transcript Link")</f>
        <v>Transcript Link</v>
      </c>
      <c r="M339" s="2" t="str">
        <f>HYPERLINK("https://files.afu.se/Downloads/Transcripts/0%20-%20Government/USA%20-%20NASA/2021 04 09 - NASA - NASA 2022  A Year of Innovation_VdDK_eIEO-o - transcript (automated).pdf","Transcript Link")</f>
        <v>Transcript Link</v>
      </c>
    </row>
    <row r="340" ht="255" spans="1:13">
      <c r="A340" s="1" t="s">
        <v>1633</v>
      </c>
      <c r="B340" s="1" t="s">
        <v>13</v>
      </c>
      <c r="C340" s="4" t="s">
        <v>1642</v>
      </c>
      <c r="D340" s="1" t="s">
        <v>1643</v>
      </c>
      <c r="E340" s="1" t="s">
        <v>1644</v>
      </c>
      <c r="F340" s="4" t="s">
        <v>17</v>
      </c>
      <c r="G340" s="1" t="s">
        <v>18</v>
      </c>
      <c r="H340" s="1" t="s">
        <v>19</v>
      </c>
      <c r="I340" s="1" t="s">
        <v>20</v>
      </c>
      <c r="J340" s="1" t="s">
        <v>1645</v>
      </c>
      <c r="K340" s="1" t="s">
        <v>22</v>
      </c>
      <c r="L340" s="1" t="str">
        <f>HYPERLINK("https://files.afu.se/Downloads/Transcripts/0%20-%20Government/USA%20-%20NASA/2021 04 09 - NASA - Gravity Assist Podcast  Season 5 Trailer_4pkhD96dMdg - transcript (automated).pdf","Transcript Link")</f>
        <v>Transcript Link</v>
      </c>
      <c r="M340" s="2" t="str">
        <f>HYPERLINK("https://files.afu.se/Downloads/Transcripts/0%20-%20Government/USA%20-%20NASA/2021 04 09 - NASA - Gravity Assist Podcast  Season 5 Trailer_4pkhD96dMdg - transcript (automated).pdf","Transcript Link")</f>
        <v>Transcript Link</v>
      </c>
    </row>
    <row r="341" ht="345" spans="1:13">
      <c r="A341" s="1" t="s">
        <v>1633</v>
      </c>
      <c r="B341" s="1" t="s">
        <v>13</v>
      </c>
      <c r="C341" s="4" t="s">
        <v>1646</v>
      </c>
      <c r="D341" s="1" t="s">
        <v>1647</v>
      </c>
      <c r="E341" s="1" t="s">
        <v>1648</v>
      </c>
      <c r="F341" s="4" t="s">
        <v>17</v>
      </c>
      <c r="G341" s="1" t="s">
        <v>18</v>
      </c>
      <c r="H341" s="1" t="s">
        <v>19</v>
      </c>
      <c r="I341" s="1" t="s">
        <v>20</v>
      </c>
      <c r="J341" s="1" t="s">
        <v>1649</v>
      </c>
      <c r="K341" s="1" t="s">
        <v>22</v>
      </c>
      <c r="L341" s="1" t="str">
        <f>HYPERLINK("https://files.afu.se/Downloads/Transcripts/0%20-%20Government/USA%20-%20NASA/2021 04 09 - NASA - In the Midst of Segregation, She Persevered   Remembering Mary W. Jackson on her 100th Birthday_Xh2IU9EWwFw - transcript (automated).pdf","Transcript Link")</f>
        <v>Transcript Link</v>
      </c>
      <c r="M341" s="2" t="str">
        <f>HYPERLINK("https://files.afu.se/Downloads/Transcripts/0%20-%20Government/USA%20-%20NASA/2021 04 09 - NASA - In the Midst of Segregation, She Persevered   Remembering Mary W. Jackson on her 100th Birthday_Xh2IU9EWwFw - transcript (automated).pdf","Transcript Link")</f>
        <v>Transcript Link</v>
      </c>
    </row>
    <row r="342" ht="409.5" spans="1:13">
      <c r="A342" s="1" t="s">
        <v>1650</v>
      </c>
      <c r="B342" s="1" t="s">
        <v>13</v>
      </c>
      <c r="C342" s="4" t="s">
        <v>1651</v>
      </c>
      <c r="D342" s="1" t="s">
        <v>1652</v>
      </c>
      <c r="E342" s="1" t="s">
        <v>1653</v>
      </c>
      <c r="F342" s="4" t="s">
        <v>17</v>
      </c>
      <c r="G342" s="1" t="s">
        <v>18</v>
      </c>
      <c r="H342" s="1" t="s">
        <v>19</v>
      </c>
      <c r="I342" s="1" t="s">
        <v>20</v>
      </c>
      <c r="J342" s="1" t="s">
        <v>1654</v>
      </c>
      <c r="K342" s="1" t="s">
        <v>22</v>
      </c>
      <c r="L342" s="1" t="str">
        <f>HYPERLINK("https://files.afu.se/Downloads/Transcripts/0%20-%20Government/USA%20-%20NASA/2021 04 07 - NASA - Artemis I  NASA’s Plans to Travel Beyond the Moon_GgmRAV8HNKE - transcript (automated).pdf","Transcript Link")</f>
        <v>Transcript Link</v>
      </c>
      <c r="M342" s="2" t="str">
        <f>HYPERLINK("https://files.afu.se/Downloads/Transcripts/0%20-%20Government/USA%20-%20NASA/2021 04 07 - NASA - Artemis I  NASA’s Plans to Travel Beyond the Moon_GgmRAV8HNKE - transcript (automated).pdf","Transcript Link")</f>
        <v>Transcript Link</v>
      </c>
    </row>
    <row r="343" ht="165" spans="1:13">
      <c r="A343" s="1" t="s">
        <v>1655</v>
      </c>
      <c r="B343" s="1" t="s">
        <v>13</v>
      </c>
      <c r="C343" s="4" t="s">
        <v>1656</v>
      </c>
      <c r="D343" s="1" t="s">
        <v>1657</v>
      </c>
      <c r="E343" s="1" t="s">
        <v>1658</v>
      </c>
      <c r="F343" s="4" t="s">
        <v>17</v>
      </c>
      <c r="G343" s="1" t="s">
        <v>18</v>
      </c>
      <c r="H343" s="1" t="s">
        <v>19</v>
      </c>
      <c r="I343" s="1" t="s">
        <v>20</v>
      </c>
      <c r="J343" s="1" t="s">
        <v>1659</v>
      </c>
      <c r="K343" s="1" t="s">
        <v>22</v>
      </c>
      <c r="L343" s="1" t="str">
        <f>HYPERLINK("https://files.afu.se/Downloads/Transcripts/0%20-%20Government/USA%20-%20NASA/2021 04 05 - NASA - What Is an Exoplanet _0ZOhJe_7GrE - transcript (automated).pdf","Transcript Link")</f>
        <v>Transcript Link</v>
      </c>
      <c r="M343" s="2" t="str">
        <f>HYPERLINK("https://files.afu.se/Downloads/Transcripts/0%20-%20Government/USA%20-%20NASA/2021 04 05 - NASA - What Is an Exoplanet _0ZOhJe_7GrE - transcript (automated).pdf","Transcript Link")</f>
        <v>Transcript Link</v>
      </c>
    </row>
    <row r="344" ht="165" spans="1:13">
      <c r="A344" s="1" t="s">
        <v>1660</v>
      </c>
      <c r="B344" s="1" t="s">
        <v>13</v>
      </c>
      <c r="C344" s="4" t="s">
        <v>1661</v>
      </c>
      <c r="D344" s="1" t="s">
        <v>1662</v>
      </c>
      <c r="E344" s="1" t="s">
        <v>1663</v>
      </c>
      <c r="F344" s="4" t="s">
        <v>17</v>
      </c>
      <c r="G344" s="1" t="s">
        <v>18</v>
      </c>
      <c r="H344" s="1" t="s">
        <v>19</v>
      </c>
      <c r="I344" s="1" t="s">
        <v>20</v>
      </c>
      <c r="J344" s="1" t="s">
        <v>1664</v>
      </c>
      <c r="K344" s="1" t="s">
        <v>22</v>
      </c>
      <c r="L344" s="1" t="str">
        <f>HYPERLINK("https://files.afu.se/Downloads/Transcripts/0%20-%20Government/USA%20-%20NASA/2021 04 02 - NASA - Preparing a Small Satellite to Conduct Some Big Science on This Week @NASA – April 2, 2021_g4tld6ppv7Q - transcript (automated).pdf","Transcript Link")</f>
        <v>Transcript Link</v>
      </c>
      <c r="M344" s="2" t="str">
        <f>HYPERLINK("https://files.afu.se/Downloads/Transcripts/0%20-%20Government/USA%20-%20NASA/2021 04 02 - NASA - Preparing a Small Satellite to Conduct Some Big Science on This Week @NASA – April 2, 2021_g4tld6ppv7Q - transcript (automated).pdf","Transcript Link")</f>
        <v>Transcript Link</v>
      </c>
    </row>
    <row r="345" ht="165" spans="1:13">
      <c r="A345" s="1" t="s">
        <v>1665</v>
      </c>
      <c r="B345" s="1" t="s">
        <v>13</v>
      </c>
      <c r="C345" s="4" t="s">
        <v>1666</v>
      </c>
      <c r="D345" s="1" t="s">
        <v>1667</v>
      </c>
      <c r="E345" s="1" t="s">
        <v>1668</v>
      </c>
      <c r="F345" s="4" t="s">
        <v>17</v>
      </c>
      <c r="G345" s="1" t="s">
        <v>18</v>
      </c>
      <c r="H345" s="1" t="s">
        <v>19</v>
      </c>
      <c r="I345" s="1" t="s">
        <v>20</v>
      </c>
      <c r="J345" s="1" t="s">
        <v>1669</v>
      </c>
      <c r="K345" s="1" t="s">
        <v>22</v>
      </c>
      <c r="L345" s="1" t="str">
        <f>HYPERLINK("https://files.afu.se/Downloads/Transcripts/0%20-%20Government/USA%20-%20NASA/2021 03 26 - NASA - Preparing for First Flight on Mars on This Week @NASA – March 26, 2021_qTtP9NKuxxY - transcript (automated).pdf","Transcript Link")</f>
        <v>Transcript Link</v>
      </c>
      <c r="M345" s="2" t="str">
        <f>HYPERLINK("https://files.afu.se/Downloads/Transcripts/0%20-%20Government/USA%20-%20NASA/2021 03 26 - NASA - Preparing for First Flight on Mars on This Week @NASA – March 26, 2021_qTtP9NKuxxY - transcript (automated).pdf","Transcript Link")</f>
        <v>Transcript Link</v>
      </c>
    </row>
    <row r="346" ht="225" spans="1:13">
      <c r="A346" s="1" t="s">
        <v>1670</v>
      </c>
      <c r="B346" s="1" t="s">
        <v>13</v>
      </c>
      <c r="C346" s="4" t="s">
        <v>1671</v>
      </c>
      <c r="D346" s="1" t="s">
        <v>1672</v>
      </c>
      <c r="E346" s="1" t="s">
        <v>1673</v>
      </c>
      <c r="F346" s="4" t="s">
        <v>17</v>
      </c>
      <c r="G346" s="1" t="s">
        <v>18</v>
      </c>
      <c r="H346" s="1" t="s">
        <v>19</v>
      </c>
      <c r="I346" s="1" t="s">
        <v>20</v>
      </c>
      <c r="J346" s="1" t="s">
        <v>1674</v>
      </c>
      <c r="K346" s="1" t="s">
        <v>22</v>
      </c>
      <c r="L346" s="1" t="str">
        <f>HYPERLINK("https://files.afu.se/Downloads/Transcripts/0%20-%20Government/USA%20-%20NASA/2021 03 25 - NASA - %23EZScience  Women in Astronomy_cr4nZkw0k28 - transcript (automated).pdf","Transcript Link")</f>
        <v>Transcript Link</v>
      </c>
      <c r="M346" s="2" t="str">
        <f>HYPERLINK("https://files.afu.se/Downloads/Transcripts/0%20-%20Government/USA%20-%20NASA/2021 03 25 - NASA - %23EZScience  Women in Astronomy_cr4nZkw0k28 - transcript (automated).pdf","Transcript Link")</f>
        <v>Transcript Link</v>
      </c>
    </row>
    <row r="347" ht="360" spans="1:13">
      <c r="A347" s="1" t="s">
        <v>1675</v>
      </c>
      <c r="B347" s="1" t="s">
        <v>13</v>
      </c>
      <c r="C347" s="4" t="s">
        <v>1676</v>
      </c>
      <c r="D347" s="1" t="s">
        <v>1677</v>
      </c>
      <c r="E347" s="1" t="s">
        <v>1678</v>
      </c>
      <c r="F347" s="4" t="s">
        <v>17</v>
      </c>
      <c r="G347" s="1" t="s">
        <v>18</v>
      </c>
      <c r="H347" s="1" t="s">
        <v>19</v>
      </c>
      <c r="I347" s="1" t="s">
        <v>20</v>
      </c>
      <c r="J347" s="1" t="s">
        <v>1679</v>
      </c>
      <c r="K347" s="1" t="s">
        <v>22</v>
      </c>
      <c r="L347" s="1" t="str">
        <f>HYPERLINK("https://files.afu.se/Downloads/Transcripts/0%20-%20Government/USA%20-%20NASA/2021 03 24 - NASA - Vice President Kamala Harris Calls NASA Astronauts Shannon Walker and Kate Rubins_dpQUTSPGz-0 - transcript (automated).pdf","Transcript Link")</f>
        <v>Transcript Link</v>
      </c>
      <c r="M347" s="2" t="str">
        <f>HYPERLINK("https://files.afu.se/Downloads/Transcripts/0%20-%20Government/USA%20-%20NASA/2021 03 24 - NASA - Vice President Kamala Harris Calls NASA Astronauts Shannon Walker and Kate Rubins_dpQUTSPGz-0 - transcript (automated).pdf","Transcript Link")</f>
        <v>Transcript Link</v>
      </c>
    </row>
    <row r="348" ht="240" spans="1:13">
      <c r="A348" s="1" t="s">
        <v>1680</v>
      </c>
      <c r="B348" s="1" t="s">
        <v>13</v>
      </c>
      <c r="C348" s="4" t="s">
        <v>1681</v>
      </c>
      <c r="D348" s="1" t="s">
        <v>1682</v>
      </c>
      <c r="E348" s="1" t="s">
        <v>1683</v>
      </c>
      <c r="F348" s="4" t="s">
        <v>17</v>
      </c>
      <c r="G348" s="1" t="s">
        <v>18</v>
      </c>
      <c r="H348" s="1" t="s">
        <v>19</v>
      </c>
      <c r="I348" s="1" t="s">
        <v>20</v>
      </c>
      <c r="J348" s="1" t="s">
        <v>1684</v>
      </c>
      <c r="K348" s="1" t="s">
        <v>22</v>
      </c>
      <c r="L348" s="1" t="str">
        <f>HYPERLINK("https://files.afu.se/Downloads/Transcripts/0%20-%20Government/USA%20-%20NASA/2021 03 20 - NASA - Firing up the Rocket for the Artemis Moon Missions on This Week @NASA – March 19, 2021_nPmQbhlVeMs - transcript (automated).pdf","Transcript Link")</f>
        <v>Transcript Link</v>
      </c>
      <c r="M348" s="2" t="str">
        <f>HYPERLINK("https://files.afu.se/Downloads/Transcripts/0%20-%20Government/USA%20-%20NASA/2021 03 20 - NASA - Firing up the Rocket for the Artemis Moon Missions on This Week @NASA – March 19, 2021_nPmQbhlVeMs - transcript (automated).pdf","Transcript Link")</f>
        <v>Transcript Link</v>
      </c>
    </row>
    <row r="349" ht="255" spans="1:13">
      <c r="A349" s="1" t="s">
        <v>1680</v>
      </c>
      <c r="B349" s="1" t="s">
        <v>13</v>
      </c>
      <c r="C349" s="4" t="s">
        <v>1685</v>
      </c>
      <c r="D349" s="1" t="s">
        <v>1686</v>
      </c>
      <c r="E349" s="1" t="s">
        <v>1687</v>
      </c>
      <c r="F349" s="4" t="s">
        <v>17</v>
      </c>
      <c r="G349" s="1" t="s">
        <v>18</v>
      </c>
      <c r="H349" s="1" t="s">
        <v>19</v>
      </c>
      <c r="I349" s="1" t="s">
        <v>20</v>
      </c>
      <c r="J349" s="1" t="s">
        <v>1688</v>
      </c>
      <c r="K349" s="1" t="s">
        <v>22</v>
      </c>
      <c r="L349" s="1" t="str">
        <f>HYPERLINK("https://files.afu.se/Downloads/Transcripts/0%20-%20Government/USA%20-%20NASA/2021 03 20 - NASA - NASA Remembers Legendary Flight Director Glynn Lunney_t_oorb24lrg - transcript (automated).pdf","Transcript Link")</f>
        <v>Transcript Link</v>
      </c>
      <c r="M349" s="2" t="str">
        <f>HYPERLINK("https://files.afu.se/Downloads/Transcripts/0%20-%20Government/USA%20-%20NASA/2021 03 20 - NASA - NASA Remembers Legendary Flight Director Glynn Lunney_t_oorb24lrg - transcript (automated).pdf","Transcript Link")</f>
        <v>Transcript Link</v>
      </c>
    </row>
    <row r="350" ht="409.5" spans="1:13">
      <c r="A350" s="1" t="s">
        <v>1689</v>
      </c>
      <c r="B350" s="1" t="s">
        <v>13</v>
      </c>
      <c r="C350" s="4" t="s">
        <v>1690</v>
      </c>
      <c r="D350" s="1" t="s">
        <v>1691</v>
      </c>
      <c r="E350" s="1" t="s">
        <v>1692</v>
      </c>
      <c r="F350" s="4" t="s">
        <v>17</v>
      </c>
      <c r="G350" s="1" t="s">
        <v>18</v>
      </c>
      <c r="H350" s="1" t="s">
        <v>19</v>
      </c>
      <c r="I350" s="1" t="s">
        <v>20</v>
      </c>
      <c r="J350" s="1" t="s">
        <v>1693</v>
      </c>
      <c r="K350" s="1" t="s">
        <v>22</v>
      </c>
      <c r="L350" s="1" t="str">
        <f>HYPERLINK("https://files.afu.se/Downloads/Transcripts/0%20-%20Government/USA%20-%20NASA/2021 03 18 - NASA - Smoke &amp; Fire! NASA Tests the World's Most Powerful Rocket_OvzeB1TI5qw - transcript (automated).pdf","Transcript Link")</f>
        <v>Transcript Link</v>
      </c>
      <c r="M350" s="2" t="str">
        <f>HYPERLINK("https://files.afu.se/Downloads/Transcripts/0%20-%20Government/USA%20-%20NASA/2021 03 18 - NASA - Smoke &amp; Fire! NASA Tests the World's Most Powerful Rocket_OvzeB1TI5qw - transcript (automated).pdf","Transcript Link")</f>
        <v>Transcript Link</v>
      </c>
    </row>
    <row r="351" ht="240" spans="1:13">
      <c r="A351" s="1" t="s">
        <v>1694</v>
      </c>
      <c r="B351" s="1" t="s">
        <v>13</v>
      </c>
      <c r="C351" s="4" t="s">
        <v>1695</v>
      </c>
      <c r="D351" s="1" t="s">
        <v>1696</v>
      </c>
      <c r="E351" s="1" t="s">
        <v>1697</v>
      </c>
      <c r="F351" s="4" t="s">
        <v>17</v>
      </c>
      <c r="G351" s="1" t="s">
        <v>18</v>
      </c>
      <c r="H351" s="1" t="s">
        <v>19</v>
      </c>
      <c r="I351" s="1" t="s">
        <v>20</v>
      </c>
      <c r="J351" s="1" t="s">
        <v>1698</v>
      </c>
      <c r="K351" s="1" t="s">
        <v>22</v>
      </c>
      <c r="L351" s="1" t="str">
        <f>HYPERLINK("https://files.afu.se/Downloads/Transcripts/0%20-%20Government/USA%20-%20NASA/2021 03 15 - NASA - %23AskNASA​​┃ What’s Out There _t2AgFb4jL1M - transcript (automated).pdf","Transcript Link")</f>
        <v>Transcript Link</v>
      </c>
      <c r="M351" s="2" t="str">
        <f>HYPERLINK("https://files.afu.se/Downloads/Transcripts/0%20-%20Government/USA%20-%20NASA/2021 03 15 - NASA - %23AskNASA​​┃ What’s Out There _t2AgFb4jL1M - transcript (automated).pdf","Transcript Link")</f>
        <v>Transcript Link</v>
      </c>
    </row>
    <row r="352" ht="195" spans="1:13">
      <c r="A352" s="1" t="s">
        <v>1699</v>
      </c>
      <c r="B352" s="1" t="s">
        <v>13</v>
      </c>
      <c r="C352" s="4" t="s">
        <v>1700</v>
      </c>
      <c r="D352" s="1" t="s">
        <v>1701</v>
      </c>
      <c r="E352" s="1" t="s">
        <v>1702</v>
      </c>
      <c r="F352" s="4" t="s">
        <v>17</v>
      </c>
      <c r="G352" s="1" t="s">
        <v>18</v>
      </c>
      <c r="H352" s="1" t="s">
        <v>19</v>
      </c>
      <c r="I352" s="1" t="s">
        <v>20</v>
      </c>
      <c r="J352" s="1" t="s">
        <v>1703</v>
      </c>
      <c r="K352" s="1" t="s">
        <v>22</v>
      </c>
      <c r="L352" s="1" t="str">
        <f>HYPERLINK("https://files.afu.se/Downloads/Transcripts/0%20-%20Government/USA%20-%20NASA/2021 03 12 - NASA - Perseverance Sends More Sounds From Mars on This Week @NASA – March 12, 2021_b__IE2vtInQ - transcript (automated).pdf","Transcript Link")</f>
        <v>Transcript Link</v>
      </c>
      <c r="M352" s="2" t="str">
        <f>HYPERLINK("https://files.afu.se/Downloads/Transcripts/0%20-%20Government/USA%20-%20NASA/2021 03 12 - NASA - Perseverance Sends More Sounds From Mars on This Week @NASA – March 12, 2021_b__IE2vtInQ - transcript (automated).pdf","Transcript Link")</f>
        <v>Transcript Link</v>
      </c>
    </row>
    <row r="353" ht="285" spans="1:13">
      <c r="A353" s="1" t="s">
        <v>1699</v>
      </c>
      <c r="B353" s="1" t="s">
        <v>13</v>
      </c>
      <c r="C353" s="4" t="s">
        <v>1704</v>
      </c>
      <c r="D353" s="1" t="s">
        <v>1705</v>
      </c>
      <c r="E353" s="1" t="s">
        <v>1706</v>
      </c>
      <c r="F353" s="4" t="s">
        <v>17</v>
      </c>
      <c r="G353" s="1" t="s">
        <v>18</v>
      </c>
      <c r="H353" s="1" t="s">
        <v>19</v>
      </c>
      <c r="I353" s="1" t="s">
        <v>20</v>
      </c>
      <c r="J353" s="1" t="s">
        <v>1707</v>
      </c>
      <c r="K353" s="1" t="s">
        <v>22</v>
      </c>
      <c r="L353" s="1" t="str">
        <f>HYPERLINK("https://files.afu.se/Downloads/Transcripts/0%20-%20Government/USA%20-%20NASA/2021 03 12 - NASA - WE ARE RESILIENT  A Message from NASA Astronauts_bxqoMwUTcj0 - transcript (automated).pdf","Transcript Link")</f>
        <v>Transcript Link</v>
      </c>
      <c r="M353" s="2" t="str">
        <f>HYPERLINK("https://files.afu.se/Downloads/Transcripts/0%20-%20Government/USA%20-%20NASA/2021 03 12 - NASA - WE ARE RESILIENT  A Message from NASA Astronauts_bxqoMwUTcj0 - transcript (automated).pdf","Transcript Link")</f>
        <v>Transcript Link</v>
      </c>
    </row>
    <row r="354" ht="195" spans="1:13">
      <c r="A354" s="1" t="s">
        <v>1708</v>
      </c>
      <c r="B354" s="1" t="s">
        <v>13</v>
      </c>
      <c r="C354" s="4" t="s">
        <v>1709</v>
      </c>
      <c r="D354" s="1" t="s">
        <v>1710</v>
      </c>
      <c r="E354" s="1" t="s">
        <v>1711</v>
      </c>
      <c r="F354" s="4" t="s">
        <v>17</v>
      </c>
      <c r="G354" s="1" t="s">
        <v>18</v>
      </c>
      <c r="H354" s="1" t="s">
        <v>19</v>
      </c>
      <c r="I354" s="1" t="s">
        <v>20</v>
      </c>
      <c r="J354" s="1" t="s">
        <v>1712</v>
      </c>
      <c r="K354" s="1" t="s">
        <v>22</v>
      </c>
      <c r="L354" s="1" t="str">
        <f>HYPERLINK("https://files.afu.se/Downloads/Transcripts/0%20-%20Government/USA%20-%20NASA/2021 03 06 - NASA - Presidential Congratulations for Perseverance Rover Team This Week @NASA – March 5, 2021_Dqk3HbwNo1g - transcript (automated).pdf","Transcript Link")</f>
        <v>Transcript Link</v>
      </c>
      <c r="M354" s="2" t="str">
        <f>HYPERLINK("https://files.afu.se/Downloads/Transcripts/0%20-%20Government/USA%20-%20NASA/2021 03 06 - NASA - Presidential Congratulations for Perseverance Rover Team This Week @NASA – March 5, 2021_Dqk3HbwNo1g - transcript (automated).pdf","Transcript Link")</f>
        <v>Transcript Link</v>
      </c>
    </row>
    <row r="355" ht="165" spans="1:13">
      <c r="A355" s="1" t="s">
        <v>1713</v>
      </c>
      <c r="B355" s="1" t="s">
        <v>13</v>
      </c>
      <c r="C355" s="4" t="s">
        <v>1714</v>
      </c>
      <c r="D355" s="1" t="s">
        <v>1715</v>
      </c>
      <c r="E355" s="1" t="s">
        <v>1716</v>
      </c>
      <c r="F355" s="4" t="s">
        <v>17</v>
      </c>
      <c r="G355" s="1" t="s">
        <v>18</v>
      </c>
      <c r="H355" s="1" t="s">
        <v>19</v>
      </c>
      <c r="I355" s="1" t="s">
        <v>20</v>
      </c>
      <c r="J355" s="1" t="s">
        <v>1717</v>
      </c>
      <c r="K355" s="1" t="s">
        <v>22</v>
      </c>
      <c r="L355" s="1" t="str">
        <f>HYPERLINK("https://files.afu.se/Downloads/Transcripts/0%20-%20Government/USA%20-%20NASA/2021 03 02 - NASA - Artemis  We Are Focused_OsIhTw0CK8U - transcript (automated).pdf","Transcript Link")</f>
        <v>Transcript Link</v>
      </c>
      <c r="M355" s="2" t="str">
        <f>HYPERLINK("https://files.afu.se/Downloads/Transcripts/0%20-%20Government/USA%20-%20NASA/2021 03 02 - NASA - Artemis  We Are Focused_OsIhTw0CK8U - transcript (automated).pdf","Transcript Link")</f>
        <v>Transcript Link</v>
      </c>
    </row>
    <row r="356" ht="165" spans="1:13">
      <c r="A356" s="1" t="s">
        <v>1718</v>
      </c>
      <c r="B356" s="1" t="s">
        <v>13</v>
      </c>
      <c r="C356" s="4" t="s">
        <v>1719</v>
      </c>
      <c r="D356" s="1" t="s">
        <v>1720</v>
      </c>
      <c r="E356" s="1" t="s">
        <v>1721</v>
      </c>
      <c r="F356" s="4" t="s">
        <v>17</v>
      </c>
      <c r="G356" s="1" t="s">
        <v>18</v>
      </c>
      <c r="H356" s="1" t="s">
        <v>19</v>
      </c>
      <c r="I356" s="1" t="s">
        <v>20</v>
      </c>
      <c r="J356" s="1" t="s">
        <v>1722</v>
      </c>
      <c r="K356" s="1" t="s">
        <v>22</v>
      </c>
      <c r="L356" s="1" t="str">
        <f>HYPERLINK("https://files.afu.se/Downloads/Transcripts/0%20-%20Government/USA%20-%20NASA/2021 03 01 - NASA - Women of NASA Drive Exploration and Discovery_fIvSACh46YM - transcript (automated).pdf","Transcript Link")</f>
        <v>Transcript Link</v>
      </c>
      <c r="M356" s="2" t="str">
        <f>HYPERLINK("https://files.afu.se/Downloads/Transcripts/0%20-%20Government/USA%20-%20NASA/2021 03 01 - NASA - Women of NASA Drive Exploration and Discovery_fIvSACh46YM - transcript (automated).pdf","Transcript Link")</f>
        <v>Transcript Link</v>
      </c>
    </row>
    <row r="357" ht="165" spans="1:13">
      <c r="A357" s="1" t="s">
        <v>1723</v>
      </c>
      <c r="B357" s="1" t="s">
        <v>13</v>
      </c>
      <c r="C357" s="4" t="s">
        <v>1724</v>
      </c>
      <c r="D357" s="1" t="s">
        <v>1725</v>
      </c>
      <c r="E357" s="1" t="s">
        <v>1726</v>
      </c>
      <c r="F357" s="4" t="s">
        <v>17</v>
      </c>
      <c r="G357" s="1" t="s">
        <v>18</v>
      </c>
      <c r="H357" s="1" t="s">
        <v>19</v>
      </c>
      <c r="I357" s="1" t="s">
        <v>20</v>
      </c>
      <c r="J357" s="1" t="s">
        <v>1727</v>
      </c>
      <c r="K357" s="1" t="s">
        <v>22</v>
      </c>
      <c r="L357" s="1" t="str">
        <f>HYPERLINK("https://files.afu.se/Downloads/Transcripts/0%20-%20Government/USA%20-%20NASA/2021 02 28 - NASA - How it Looks to Land on Mars on This Week @NASA – February 27, 2021_ldRl10hMm9U - transcript (automated).pdf","Transcript Link")</f>
        <v>Transcript Link</v>
      </c>
      <c r="M357" s="2" t="str">
        <f>HYPERLINK("https://files.afu.se/Downloads/Transcripts/0%20-%20Government/USA%20-%20NASA/2021 02 28 - NASA - How it Looks to Land on Mars on This Week @NASA – February 27, 2021_ldRl10hMm9U - transcript (automated).pdf","Transcript Link")</f>
        <v>Transcript Link</v>
      </c>
    </row>
    <row r="358" ht="300" spans="1:13">
      <c r="A358" s="1" t="s">
        <v>1728</v>
      </c>
      <c r="B358" s="1" t="s">
        <v>13</v>
      </c>
      <c r="C358" s="4" t="s">
        <v>1729</v>
      </c>
      <c r="D358" s="1" t="s">
        <v>1730</v>
      </c>
      <c r="E358" s="1" t="s">
        <v>1731</v>
      </c>
      <c r="F358" s="4" t="s">
        <v>17</v>
      </c>
      <c r="G358" s="1" t="s">
        <v>18</v>
      </c>
      <c r="H358" s="1" t="s">
        <v>19</v>
      </c>
      <c r="I358" s="1" t="s">
        <v>20</v>
      </c>
      <c r="J358" s="1" t="s">
        <v>1732</v>
      </c>
      <c r="K358" s="1" t="s">
        <v>22</v>
      </c>
      <c r="L358" s="1" t="str">
        <f>HYPERLINK("https://files.afu.se/Downloads/Transcripts/0%20-%20Government/USA%20-%20NASA/2021 02 27 - NASA - Vice President Kamala Harris Calls NASA Astronaut Victor Glover_-A58krE7bBE - transcript (automated).pdf","Transcript Link")</f>
        <v>Transcript Link</v>
      </c>
      <c r="M358" s="2" t="str">
        <f>HYPERLINK("https://files.afu.se/Downloads/Transcripts/0%20-%20Government/USA%20-%20NASA/2021 02 27 - NASA - Vice President Kamala Harris Calls NASA Astronaut Victor Glover_-A58krE7bBE - transcript (automated).pdf","Transcript Link")</f>
        <v>Transcript Link</v>
      </c>
    </row>
    <row r="359" ht="360" spans="1:13">
      <c r="A359" s="1" t="s">
        <v>1733</v>
      </c>
      <c r="B359" s="1" t="s">
        <v>13</v>
      </c>
      <c r="C359" s="4" t="s">
        <v>1734</v>
      </c>
      <c r="D359" s="1" t="s">
        <v>1735</v>
      </c>
      <c r="E359" s="1" t="s">
        <v>1736</v>
      </c>
      <c r="F359" s="4" t="s">
        <v>17</v>
      </c>
      <c r="G359" s="1" t="s">
        <v>18</v>
      </c>
      <c r="H359" s="1" t="s">
        <v>19</v>
      </c>
      <c r="I359" s="1" t="s">
        <v>20</v>
      </c>
      <c r="J359" s="1" t="s">
        <v>1737</v>
      </c>
      <c r="K359" s="1" t="s">
        <v>22</v>
      </c>
      <c r="L359" s="1" t="str">
        <f>HYPERLINK("https://files.afu.se/Downloads/Transcripts/0%20-%20Government/USA%20-%20NASA/2021 02 26 - NASA - NASA Headquarters Unveils New Name  Mary W. Jackson Headquarters Building_JPqjGLcGbyU - transcript (automated).pdf","Transcript Link")</f>
        <v>Transcript Link</v>
      </c>
      <c r="M359" s="2" t="str">
        <f>HYPERLINK("https://files.afu.se/Downloads/Transcripts/0%20-%20Government/USA%20-%20NASA/2021 02 26 - NASA - NASA Headquarters Unveils New Name  Mary W. Jackson Headquarters Building_JPqjGLcGbyU - transcript (automated).pdf","Transcript Link")</f>
        <v>Transcript Link</v>
      </c>
    </row>
    <row r="360" ht="409.5" spans="1:13">
      <c r="A360" s="1" t="s">
        <v>1738</v>
      </c>
      <c r="B360" s="1" t="s">
        <v>13</v>
      </c>
      <c r="C360" s="4" t="s">
        <v>1739</v>
      </c>
      <c r="D360" s="1" t="s">
        <v>1740</v>
      </c>
      <c r="E360" s="1" t="s">
        <v>1741</v>
      </c>
      <c r="F360" s="4" t="s">
        <v>17</v>
      </c>
      <c r="G360" s="1" t="s">
        <v>18</v>
      </c>
      <c r="H360" s="1" t="s">
        <v>19</v>
      </c>
      <c r="I360" s="1" t="s">
        <v>20</v>
      </c>
      <c r="J360" s="1" t="s">
        <v>1742</v>
      </c>
      <c r="K360" s="1" t="s">
        <v>22</v>
      </c>
      <c r="L360" s="1" t="str">
        <f>HYPERLINK("https://files.afu.se/Downloads/Transcripts/0%20-%20Government/USA%20-%20NASA/2021 02 24 - NASA - Honoring a 'Hidden Figure'  NASA to Unveil the Mary W. Jackson Headquarters Building_-kaysm_xhM8 - transcript (automated).pdf","Transcript Link")</f>
        <v>Transcript Link</v>
      </c>
      <c r="M360" s="2" t="str">
        <f>HYPERLINK("https://files.afu.se/Downloads/Transcripts/0%20-%20Government/USA%20-%20NASA/2021 02 24 - NASA - Honoring a 'Hidden Figure'  NASA to Unveil the Mary W. Jackson Headquarters Building_-kaysm_xhM8 - transcript (automated).pdf","Transcript Link")</f>
        <v>Transcript Link</v>
      </c>
    </row>
    <row r="361" ht="255" spans="1:13">
      <c r="A361" s="1" t="s">
        <v>1743</v>
      </c>
      <c r="B361" s="1" t="s">
        <v>13</v>
      </c>
      <c r="C361" s="4" t="s">
        <v>1744</v>
      </c>
      <c r="D361" s="1" t="s">
        <v>1745</v>
      </c>
      <c r="E361" s="1" t="s">
        <v>1746</v>
      </c>
      <c r="F361" s="4" t="s">
        <v>17</v>
      </c>
      <c r="G361" s="1" t="s">
        <v>18</v>
      </c>
      <c r="H361" s="1" t="s">
        <v>19</v>
      </c>
      <c r="I361" s="1" t="s">
        <v>20</v>
      </c>
      <c r="J361" s="1" t="s">
        <v>1747</v>
      </c>
      <c r="K361" s="1" t="s">
        <v>22</v>
      </c>
      <c r="L361" s="1" t="str">
        <f>HYPERLINK("https://files.afu.se/Downloads/Transcripts/0%20-%20Government/USA%20-%20NASA/2021 02 23 - NASA - Watch NASA's Perseverance Rover Land   Video from Mars!_GUqsH5y1j1M - transcript (automated).pdf","Transcript Link")</f>
        <v>Transcript Link</v>
      </c>
      <c r="M361" s="2" t="str">
        <f>HYPERLINK("https://files.afu.se/Downloads/Transcripts/0%20-%20Government/USA%20-%20NASA/2021 02 23 - NASA - Watch NASA's Perseverance Rover Land   Video from Mars!_GUqsH5y1j1M - transcript (automated).pdf","Transcript Link")</f>
        <v>Transcript Link</v>
      </c>
    </row>
    <row r="362" ht="409.5" spans="1:13">
      <c r="A362" s="1" t="s">
        <v>1748</v>
      </c>
      <c r="B362" s="1" t="s">
        <v>13</v>
      </c>
      <c r="C362" s="4" t="s">
        <v>1749</v>
      </c>
      <c r="D362" s="1" t="s">
        <v>1750</v>
      </c>
      <c r="E362" s="1" t="s">
        <v>1751</v>
      </c>
      <c r="F362" s="4" t="s">
        <v>17</v>
      </c>
      <c r="G362" s="1" t="s">
        <v>18</v>
      </c>
      <c r="H362" s="1" t="s">
        <v>19</v>
      </c>
      <c r="I362" s="1" t="s">
        <v>20</v>
      </c>
      <c r="J362" s="1" t="s">
        <v>1752</v>
      </c>
      <c r="K362" s="1" t="s">
        <v>22</v>
      </c>
      <c r="L362" s="1" t="str">
        <f>HYPERLINK("https://files.afu.se/Downloads/Transcripts/0%20-%20Government/USA%20-%20NASA/2021 02 22 - NASA - Panorama of Mars from Perseverance Rover_irbigpycU8w - transcript (automated).pdf","Transcript Link")</f>
        <v>Transcript Link</v>
      </c>
      <c r="M362" s="2" t="str">
        <f>HYPERLINK("https://files.afu.se/Downloads/Transcripts/0%20-%20Government/USA%20-%20NASA/2021 02 22 - NASA - Panorama of Mars from Perseverance Rover_irbigpycU8w - transcript (automated).pdf","Transcript Link")</f>
        <v>Transcript Link</v>
      </c>
    </row>
    <row r="363" ht="285" spans="1:13">
      <c r="A363" s="1" t="s">
        <v>1748</v>
      </c>
      <c r="B363" s="1" t="s">
        <v>13</v>
      </c>
      <c r="C363" s="4" t="s">
        <v>1753</v>
      </c>
      <c r="D363" s="1" t="s">
        <v>1754</v>
      </c>
      <c r="E363" s="1" t="s">
        <v>1755</v>
      </c>
      <c r="F363" s="4" t="s">
        <v>17</v>
      </c>
      <c r="G363" s="1" t="s">
        <v>18</v>
      </c>
      <c r="H363" s="1" t="s">
        <v>19</v>
      </c>
      <c r="I363" s="1" t="s">
        <v>20</v>
      </c>
      <c r="J363" s="1" t="s">
        <v>1756</v>
      </c>
      <c r="K363" s="1" t="s">
        <v>22</v>
      </c>
      <c r="L363" s="1" t="str">
        <f>HYPERLINK("https://files.afu.se/Downloads/Transcripts/0%20-%20Government/USA%20-%20NASA/2021 02 22 - NASA - Perseverance Rover’s Descent and Touchdown on Mars (Official NASA Video)_4czjS9h4Fpg - transcript (automated).pdf","Transcript Link")</f>
        <v>Transcript Link</v>
      </c>
      <c r="M363" s="2" t="str">
        <f>HYPERLINK("https://files.afu.se/Downloads/Transcripts/0%20-%20Government/USA%20-%20NASA/2021 02 22 - NASA - Perseverance Rover’s Descent and Touchdown on Mars (Official NASA Video)_4czjS9h4Fpg - transcript (automated).pdf","Transcript Link")</f>
        <v>Transcript Link</v>
      </c>
    </row>
    <row r="364" ht="165" spans="1:13">
      <c r="A364" s="1" t="s">
        <v>1757</v>
      </c>
      <c r="B364" s="1" t="s">
        <v>13</v>
      </c>
      <c r="C364" s="4" t="s">
        <v>1758</v>
      </c>
      <c r="D364" s="1" t="s">
        <v>1759</v>
      </c>
      <c r="E364" s="1" t="s">
        <v>1760</v>
      </c>
      <c r="F364" s="4" t="s">
        <v>17</v>
      </c>
      <c r="G364" s="1" t="s">
        <v>18</v>
      </c>
      <c r="H364" s="1" t="s">
        <v>19</v>
      </c>
      <c r="I364" s="1" t="s">
        <v>20</v>
      </c>
      <c r="J364" s="1" t="s">
        <v>1761</v>
      </c>
      <c r="K364" s="1" t="s">
        <v>22</v>
      </c>
      <c r="L364" s="1" t="str">
        <f>HYPERLINK("https://files.afu.se/Downloads/Transcripts/0%20-%20Government/USA%20-%20NASA/2021 02 21 - NASA - Our Perseverance Rover Takes up Residence on Mars on This Week @NASA – February 20, 2021_vaB7eZ5jNn4 - transcript (automated).pdf","Transcript Link")</f>
        <v>Transcript Link</v>
      </c>
      <c r="M364" s="2" t="str">
        <f>HYPERLINK("https://files.afu.se/Downloads/Transcripts/0%20-%20Government/USA%20-%20NASA/2021 02 21 - NASA - Our Perseverance Rover Takes up Residence on Mars on This Week @NASA – February 20, 2021_vaB7eZ5jNn4 - transcript (automated).pdf","Transcript Link")</f>
        <v>Transcript Link</v>
      </c>
    </row>
    <row r="365" ht="165" spans="1:13">
      <c r="A365" s="1" t="s">
        <v>1762</v>
      </c>
      <c r="B365" s="1" t="s">
        <v>13</v>
      </c>
      <c r="C365" s="4" t="s">
        <v>1763</v>
      </c>
      <c r="D365" s="1" t="s">
        <v>1764</v>
      </c>
      <c r="E365" s="1" t="s">
        <v>1765</v>
      </c>
      <c r="F365" s="4" t="s">
        <v>17</v>
      </c>
      <c r="G365" s="1" t="s">
        <v>18</v>
      </c>
      <c r="H365" s="1" t="s">
        <v>19</v>
      </c>
      <c r="I365" s="1" t="s">
        <v>20</v>
      </c>
      <c r="J365" s="1" t="s">
        <v>1766</v>
      </c>
      <c r="K365" s="1" t="s">
        <v>22</v>
      </c>
      <c r="L365" s="1" t="str">
        <f>HYPERLINK("https://files.afu.se/Downloads/Transcripts/0%20-%20Government/USA%20-%20NASA/2021 02 20 - NASA - President Biden Congratulates NASA on the Perseverance Mars Rover Touchdown_TIHDSfOlSKc - transcript (automated).pdf","Transcript Link")</f>
        <v>Transcript Link</v>
      </c>
      <c r="M365" s="2" t="str">
        <f>HYPERLINK("https://files.afu.se/Downloads/Transcripts/0%20-%20Government/USA%20-%20NASA/2021 02 20 - NASA - President Biden Congratulates NASA on the Perseverance Mars Rover Touchdown_TIHDSfOlSKc - transcript (automated).pdf","Transcript Link")</f>
        <v>Transcript Link</v>
      </c>
    </row>
    <row r="366" ht="165" spans="1:13">
      <c r="A366" s="1" t="s">
        <v>1767</v>
      </c>
      <c r="B366" s="1" t="s">
        <v>13</v>
      </c>
      <c r="C366" s="4" t="s">
        <v>1768</v>
      </c>
      <c r="D366" s="1" t="s">
        <v>1769</v>
      </c>
      <c r="E366" s="1" t="s">
        <v>1770</v>
      </c>
      <c r="F366" s="4" t="s">
        <v>17</v>
      </c>
      <c r="G366" s="1" t="s">
        <v>18</v>
      </c>
      <c r="H366" s="1" t="s">
        <v>19</v>
      </c>
      <c r="I366" s="1" t="s">
        <v>20</v>
      </c>
      <c r="J366" s="1" t="s">
        <v>1771</v>
      </c>
      <c r="K366" s="1" t="s">
        <v>22</v>
      </c>
      <c r="L366" s="1" t="str">
        <f>HYPERLINK("https://files.afu.se/Downloads/Transcripts/0%20-%20Government/USA%20-%20NASA/2021 02 19 - NASA - Is Mars Habitable  We Asked a NASA Scientist_AKA9FeqX_ns - transcript (automated).pdf","Transcript Link")</f>
        <v>Transcript Link</v>
      </c>
      <c r="M366" s="2" t="str">
        <f>HYPERLINK("https://files.afu.se/Downloads/Transcripts/0%20-%20Government/USA%20-%20NASA/2021 02 19 - NASA - Is Mars Habitable  We Asked a NASA Scientist_AKA9FeqX_ns - transcript (automated).pdf","Transcript Link")</f>
        <v>Transcript Link</v>
      </c>
    </row>
    <row r="367" ht="210" spans="1:13">
      <c r="A367" s="1" t="s">
        <v>1772</v>
      </c>
      <c r="B367" s="1" t="s">
        <v>13</v>
      </c>
      <c r="C367" s="4" t="s">
        <v>1773</v>
      </c>
      <c r="D367" s="1" t="s">
        <v>1774</v>
      </c>
      <c r="E367" s="1" t="s">
        <v>1775</v>
      </c>
      <c r="F367" s="4" t="s">
        <v>17</v>
      </c>
      <c r="G367" s="1" t="s">
        <v>18</v>
      </c>
      <c r="H367" s="1" t="s">
        <v>19</v>
      </c>
      <c r="I367" s="1" t="s">
        <v>20</v>
      </c>
      <c r="J367" s="1" t="s">
        <v>1776</v>
      </c>
      <c r="K367" s="1" t="s">
        <v>22</v>
      </c>
      <c r="L367" s="1" t="str">
        <f>HYPERLINK("https://files.afu.se/Downloads/Transcripts/0%20-%20Government/USA%20-%20NASA/2021 02 18 - NASA - Q A  International Partnerships are Getting Perseverance to Mars, Here's How_5peaq6aKIvI - transcript (automated).pdf","Transcript Link")</f>
        <v>Transcript Link</v>
      </c>
      <c r="M367" s="2" t="str">
        <f>HYPERLINK("https://files.afu.se/Downloads/Transcripts/0%20-%20Government/USA%20-%20NASA/2021 02 18 - NASA - Q A  International Partnerships are Getting Perseverance to Mars, Here's How_5peaq6aKIvI - transcript (automated).pdf","Transcript Link")</f>
        <v>Transcript Link</v>
      </c>
    </row>
    <row r="368" ht="180" spans="1:13">
      <c r="A368" s="1" t="s">
        <v>1772</v>
      </c>
      <c r="B368" s="1" t="s">
        <v>13</v>
      </c>
      <c r="C368" s="4" t="s">
        <v>1777</v>
      </c>
      <c r="D368" s="1" t="s">
        <v>1778</v>
      </c>
      <c r="E368" s="1" t="s">
        <v>1779</v>
      </c>
      <c r="F368" s="4" t="s">
        <v>17</v>
      </c>
      <c r="G368" s="1" t="s">
        <v>18</v>
      </c>
      <c r="H368" s="1" t="s">
        <v>19</v>
      </c>
      <c r="I368" s="1" t="s">
        <v>20</v>
      </c>
      <c r="J368" s="1" t="s">
        <v>1780</v>
      </c>
      <c r="K368" s="1" t="s">
        <v>22</v>
      </c>
      <c r="L368" s="1" t="str">
        <f>HYPERLINK("https://files.afu.se/Downloads/Transcripts/0%20-%20Government/USA%20-%20NASA/2021 02 18 - NASA - 60 Years of Mars Exploration Has Led to This_RmQpLuc0MtE - transcript (automated).pdf","Transcript Link")</f>
        <v>Transcript Link</v>
      </c>
      <c r="M368" s="2" t="str">
        <f>HYPERLINK("https://files.afu.se/Downloads/Transcripts/0%20-%20Government/USA%20-%20NASA/2021 02 18 - NASA - 60 Years of Mars Exploration Has Led to This_RmQpLuc0MtE - transcript (automated).pdf","Transcript Link")</f>
        <v>Transcript Link</v>
      </c>
    </row>
    <row r="369" ht="165" spans="1:13">
      <c r="A369" s="1" t="s">
        <v>1781</v>
      </c>
      <c r="B369" s="1" t="s">
        <v>13</v>
      </c>
      <c r="C369" s="4" t="s">
        <v>1782</v>
      </c>
      <c r="D369" s="1" t="s">
        <v>1783</v>
      </c>
      <c r="E369" s="1" t="s">
        <v>1784</v>
      </c>
      <c r="F369" s="4" t="s">
        <v>17</v>
      </c>
      <c r="G369" s="1" t="s">
        <v>18</v>
      </c>
      <c r="H369" s="1" t="s">
        <v>19</v>
      </c>
      <c r="I369" s="1" t="s">
        <v>20</v>
      </c>
      <c r="J369" s="1" t="s">
        <v>1785</v>
      </c>
      <c r="K369" s="1" t="s">
        <v>22</v>
      </c>
      <c r="L369" s="1" t="str">
        <f>HYPERLINK("https://files.afu.se/Downloads/Transcripts/0%20-%20Government/USA%20-%20NASA/2021 02 17 - NASA - Feb. 18  Our Perseverance Rover &amp; Ingenuity Helicopter Arrive at Mars_TgcI8ur72x0 - transcript (automated).pdf","Transcript Link")</f>
        <v>Transcript Link</v>
      </c>
      <c r="M369" s="2" t="str">
        <f>HYPERLINK("https://files.afu.se/Downloads/Transcripts/0%20-%20Government/USA%20-%20NASA/2021 02 17 - NASA - Feb. 18  Our Perseverance Rover &amp; Ingenuity Helicopter Arrive at Mars_TgcI8ur72x0 - transcript (automated).pdf","Transcript Link")</f>
        <v>Transcript Link</v>
      </c>
    </row>
    <row r="370" ht="165" spans="1:13">
      <c r="A370" s="1" t="s">
        <v>1786</v>
      </c>
      <c r="B370" s="1" t="s">
        <v>13</v>
      </c>
      <c r="C370" s="4" t="s">
        <v>1787</v>
      </c>
      <c r="D370" s="1" t="s">
        <v>1788</v>
      </c>
      <c r="E370" s="1" t="s">
        <v>1789</v>
      </c>
      <c r="F370" s="4" t="s">
        <v>17</v>
      </c>
      <c r="G370" s="1" t="s">
        <v>18</v>
      </c>
      <c r="H370" s="1" t="s">
        <v>19</v>
      </c>
      <c r="I370" s="1" t="s">
        <v>20</v>
      </c>
      <c r="J370" s="1" t="s">
        <v>1790</v>
      </c>
      <c r="K370" s="1" t="s">
        <v>22</v>
      </c>
      <c r="L370" s="1" t="str">
        <f>HYPERLINK("https://files.afu.se/Downloads/Transcripts/0%20-%20Government/USA%20-%20NASA/2021 02 16 - NASA - Could Microbes Survive a Trip to Mars  We Asked a NASA Scientist_uMjXb7T-evE - transcript (automated).pdf","Transcript Link")</f>
        <v>Transcript Link</v>
      </c>
      <c r="M370" s="2" t="str">
        <f>HYPERLINK("https://files.afu.se/Downloads/Transcripts/0%20-%20Government/USA%20-%20NASA/2021 02 16 - NASA - Could Microbes Survive a Trip to Mars  We Asked a NASA Scientist_uMjXb7T-evE - transcript (automated).pdf","Transcript Link")</f>
        <v>Transcript Link</v>
      </c>
    </row>
    <row r="371" ht="180" spans="1:13">
      <c r="A371" s="1" t="s">
        <v>1791</v>
      </c>
      <c r="B371" s="1" t="s">
        <v>13</v>
      </c>
      <c r="C371" s="4" t="s">
        <v>1792</v>
      </c>
      <c r="D371" s="1" t="s">
        <v>1793</v>
      </c>
      <c r="E371" s="1" t="s">
        <v>1794</v>
      </c>
      <c r="F371" s="4" t="s">
        <v>17</v>
      </c>
      <c r="G371" s="1" t="s">
        <v>18</v>
      </c>
      <c r="H371" s="1" t="s">
        <v>19</v>
      </c>
      <c r="I371" s="1" t="s">
        <v>20</v>
      </c>
      <c r="J371" s="1" t="s">
        <v>1795</v>
      </c>
      <c r="K371" s="1" t="s">
        <v>22</v>
      </c>
      <c r="L371" s="1" t="str">
        <f>HYPERLINK("https://files.afu.se/Downloads/Transcripts/0%20-%20Government/USA%20-%20NASA/2021 02 15 - NASA - Feb. 18  We're Landing a Rover on Mars!_8MbcriX4dks - transcript (automated).pdf","Transcript Link")</f>
        <v>Transcript Link</v>
      </c>
      <c r="M371" s="2" t="str">
        <f>HYPERLINK("https://files.afu.se/Downloads/Transcripts/0%20-%20Government/USA%20-%20NASA/2021 02 15 - NASA - Feb. 18  We're Landing a Rover on Mars!_8MbcriX4dks - transcript (automated).pdf","Transcript Link")</f>
        <v>Transcript Link</v>
      </c>
    </row>
    <row r="372" ht="165" spans="1:13">
      <c r="A372" s="1" t="s">
        <v>1796</v>
      </c>
      <c r="B372" s="1" t="s">
        <v>13</v>
      </c>
      <c r="C372" s="4" t="s">
        <v>1797</v>
      </c>
      <c r="D372" s="1" t="s">
        <v>1798</v>
      </c>
      <c r="E372" s="1" t="s">
        <v>1799</v>
      </c>
      <c r="F372" s="4" t="s">
        <v>17</v>
      </c>
      <c r="G372" s="1" t="s">
        <v>18</v>
      </c>
      <c r="H372" s="1" t="s">
        <v>19</v>
      </c>
      <c r="I372" s="1" t="s">
        <v>20</v>
      </c>
      <c r="J372" s="1" t="s">
        <v>1800</v>
      </c>
      <c r="K372" s="1" t="s">
        <v>22</v>
      </c>
      <c r="L372" s="1" t="str">
        <f>HYPERLINK("https://files.afu.se/Downloads/Transcripts/0%20-%20Government/USA%20-%20NASA/2021 02 12 - NASA - Tracking Our Next Mars Landing on This Week @NASA – February 12, 2021_AK0blY50X5c - transcript (automated).pdf","Transcript Link")</f>
        <v>Transcript Link</v>
      </c>
      <c r="M372" s="2" t="str">
        <f>HYPERLINK("https://files.afu.se/Downloads/Transcripts/0%20-%20Government/USA%20-%20NASA/2021 02 12 - NASA - Tracking Our Next Mars Landing on This Week @NASA – February 12, 2021_AK0blY50X5c - transcript (automated).pdf","Transcript Link")</f>
        <v>Transcript Link</v>
      </c>
    </row>
    <row r="373" ht="285" spans="1:13">
      <c r="A373" s="1" t="s">
        <v>1801</v>
      </c>
      <c r="B373" s="1" t="s">
        <v>13</v>
      </c>
      <c r="C373" s="4" t="s">
        <v>1802</v>
      </c>
      <c r="D373" s="1" t="s">
        <v>1803</v>
      </c>
      <c r="E373" s="1" t="s">
        <v>1804</v>
      </c>
      <c r="F373" s="4" t="s">
        <v>17</v>
      </c>
      <c r="G373" s="1" t="s">
        <v>18</v>
      </c>
      <c r="H373" s="1" t="s">
        <v>19</v>
      </c>
      <c r="I373" s="1" t="s">
        <v>20</v>
      </c>
      <c r="J373" s="1" t="s">
        <v>1805</v>
      </c>
      <c r="K373" s="1" t="s">
        <v>22</v>
      </c>
      <c r="L373" s="1" t="str">
        <f>HYPERLINK("https://files.afu.se/Downloads/Transcripts/0%20-%20Government/USA%20-%20NASA/2021 02 10 - NASA - The Power of African American Leadership in NASA_iqRRWse9DaY - transcript (automated).pdf","Transcript Link")</f>
        <v>Transcript Link</v>
      </c>
      <c r="M373" s="2" t="str">
        <f>HYPERLINK("https://files.afu.se/Downloads/Transcripts/0%20-%20Government/USA%20-%20NASA/2021 02 10 - NASA - The Power of African American Leadership in NASA_iqRRWse9DaY - transcript (automated).pdf","Transcript Link")</f>
        <v>Transcript Link</v>
      </c>
    </row>
    <row r="374" ht="315" spans="1:13">
      <c r="A374" s="1" t="s">
        <v>1806</v>
      </c>
      <c r="B374" s="1" t="s">
        <v>13</v>
      </c>
      <c r="C374" s="4" t="s">
        <v>1807</v>
      </c>
      <c r="D374" s="1" t="s">
        <v>1808</v>
      </c>
      <c r="E374" s="1" t="s">
        <v>1809</v>
      </c>
      <c r="F374" s="4" t="s">
        <v>17</v>
      </c>
      <c r="G374" s="1" t="s">
        <v>18</v>
      </c>
      <c r="H374" s="1" t="s">
        <v>19</v>
      </c>
      <c r="I374" s="1" t="s">
        <v>20</v>
      </c>
      <c r="J374" s="1" t="s">
        <v>1810</v>
      </c>
      <c r="K374" s="1" t="s">
        <v>22</v>
      </c>
      <c r="L374" s="1" t="str">
        <f>HYPERLINK("https://files.afu.se/Downloads/Transcripts/0%20-%20Government/USA%20-%20NASA/2021 02 07 - NASA - Spot the Station Over the Super Bowl_iHlMyvBvVTE - transcript (automated).pdf","Transcript Link")</f>
        <v>Transcript Link</v>
      </c>
      <c r="M374" s="2" t="str">
        <f>HYPERLINK("https://files.afu.se/Downloads/Transcripts/0%20-%20Government/USA%20-%20NASA/2021 02 07 - NASA - Spot the Station Over the Super Bowl_iHlMyvBvVTE - transcript (automated).pdf","Transcript Link")</f>
        <v>Transcript Link</v>
      </c>
    </row>
    <row r="375" ht="195" spans="1:13">
      <c r="A375" s="1" t="s">
        <v>1811</v>
      </c>
      <c r="B375" s="1" t="s">
        <v>13</v>
      </c>
      <c r="C375" s="4" t="s">
        <v>1812</v>
      </c>
      <c r="D375" s="1" t="s">
        <v>1813</v>
      </c>
      <c r="E375" s="1" t="s">
        <v>1814</v>
      </c>
      <c r="F375" s="4" t="s">
        <v>17</v>
      </c>
      <c r="G375" s="1" t="s">
        <v>18</v>
      </c>
      <c r="H375" s="1" t="s">
        <v>19</v>
      </c>
      <c r="I375" s="1" t="s">
        <v>20</v>
      </c>
      <c r="J375" s="1" t="s">
        <v>1815</v>
      </c>
      <c r="K375" s="1" t="s">
        <v>22</v>
      </c>
      <c r="L375" s="1" t="str">
        <f>HYPERLINK("https://files.afu.se/Downloads/Transcripts/0%20-%20Government/USA%20-%20NASA/2021 02 06 - NASA - We are Family  NASA Honors Black History Month_vwfe-KQJwNc - transcript (automated).pdf","Transcript Link")</f>
        <v>Transcript Link</v>
      </c>
      <c r="M375" s="2" t="str">
        <f>HYPERLINK("https://files.afu.se/Downloads/Transcripts/0%20-%20Government/USA%20-%20NASA/2021 02 06 - NASA - We are Family  NASA Honors Black History Month_vwfe-KQJwNc - transcript (automated).pdf","Transcript Link")</f>
        <v>Transcript Link</v>
      </c>
    </row>
    <row r="376" ht="165" spans="1:13">
      <c r="A376" s="1" t="s">
        <v>1816</v>
      </c>
      <c r="B376" s="1" t="s">
        <v>13</v>
      </c>
      <c r="C376" s="4" t="s">
        <v>1817</v>
      </c>
      <c r="D376" s="1" t="s">
        <v>1818</v>
      </c>
      <c r="E376" s="1" t="s">
        <v>1819</v>
      </c>
      <c r="F376" s="4" t="s">
        <v>17</v>
      </c>
      <c r="G376" s="1" t="s">
        <v>18</v>
      </c>
      <c r="H376" s="1" t="s">
        <v>19</v>
      </c>
      <c r="I376" s="1" t="s">
        <v>20</v>
      </c>
      <c r="J376" s="1" t="s">
        <v>1820</v>
      </c>
      <c r="K376" s="1" t="s">
        <v>22</v>
      </c>
      <c r="L376" s="1" t="str">
        <f>HYPERLINK("https://files.afu.se/Downloads/Transcripts/0%20-%20Government/USA%20-%20NASA/2021 02 05 - NASA - A New Source of Power for the Space Station on This Week @NASA – February 5, 2021_UnRwCRWeLqw - transcript (automated).pdf","Transcript Link")</f>
        <v>Transcript Link</v>
      </c>
      <c r="M376" s="2" t="str">
        <f>HYPERLINK("https://files.afu.se/Downloads/Transcripts/0%20-%20Government/USA%20-%20NASA/2021 02 05 - NASA - A New Source of Power for the Space Station on This Week @NASA – February 5, 2021_UnRwCRWeLqw - transcript (automated).pdf","Transcript Link")</f>
        <v>Transcript Link</v>
      </c>
    </row>
    <row r="377" ht="315" spans="1:13">
      <c r="A377" s="1" t="s">
        <v>1821</v>
      </c>
      <c r="B377" s="1" t="s">
        <v>13</v>
      </c>
      <c r="C377" s="4" t="s">
        <v>1822</v>
      </c>
      <c r="D377" s="1" t="s">
        <v>1823</v>
      </c>
      <c r="E377" s="1" t="s">
        <v>1824</v>
      </c>
      <c r="F377" s="4" t="s">
        <v>17</v>
      </c>
      <c r="G377" s="1" t="s">
        <v>18</v>
      </c>
      <c r="H377" s="1" t="s">
        <v>19</v>
      </c>
      <c r="I377" s="1" t="s">
        <v>20</v>
      </c>
      <c r="J377" s="1" t="s">
        <v>1825</v>
      </c>
      <c r="K377" s="1" t="s">
        <v>22</v>
      </c>
      <c r="L377" s="1" t="str">
        <f>HYPERLINK("https://files.afu.se/Downloads/Transcripts/0%20-%20Government/USA%20-%20NASA/2021 02 04 - NASA - Science Launching on Northrop Grumman's 15th Resupply Mission_7xXWHklpOqI - transcript (automated).pdf","Transcript Link")</f>
        <v>Transcript Link</v>
      </c>
      <c r="M377" s="2" t="str">
        <f>HYPERLINK("https://files.afu.se/Downloads/Transcripts/0%20-%20Government/USA%20-%20NASA/2021 02 04 - NASA - Science Launching on Northrop Grumman's 15th Resupply Mission_7xXWHklpOqI - transcript (automated).pdf","Transcript Link")</f>
        <v>Transcript Link</v>
      </c>
    </row>
    <row r="378" ht="409.5" spans="1:13">
      <c r="A378" s="1" t="s">
        <v>1826</v>
      </c>
      <c r="B378" s="1" t="s">
        <v>13</v>
      </c>
      <c r="C378" s="4" t="s">
        <v>1827</v>
      </c>
      <c r="D378" s="1" t="s">
        <v>1828</v>
      </c>
      <c r="E378" s="1" t="s">
        <v>1829</v>
      </c>
      <c r="F378" s="4" t="s">
        <v>17</v>
      </c>
      <c r="G378" s="1" t="s">
        <v>18</v>
      </c>
      <c r="H378" s="1" t="s">
        <v>19</v>
      </c>
      <c r="I378" s="1" t="s">
        <v>20</v>
      </c>
      <c r="J378" s="1" t="s">
        <v>1830</v>
      </c>
      <c r="K378" s="1" t="s">
        <v>22</v>
      </c>
      <c r="L378" s="1" t="str">
        <f>HYPERLINK("https://files.afu.se/Downloads/Transcripts/0%20-%20Government/USA%20-%20NASA/2021 01 31 - NASA - Apollo 14  ‘A Wild Place Up Here’_l7MMTm1-DAA - transcript (automated).pdf","Transcript Link")</f>
        <v>Transcript Link</v>
      </c>
      <c r="M378" s="2" t="str">
        <f>HYPERLINK("https://files.afu.se/Downloads/Transcripts/0%20-%20Government/USA%20-%20NASA/2021 01 31 - NASA - Apollo 14  ‘A Wild Place Up Here’_l7MMTm1-DAA - transcript (automated).pdf","Transcript Link")</f>
        <v>Transcript Link</v>
      </c>
    </row>
    <row r="379" ht="165" spans="1:13">
      <c r="A379" s="1" t="s">
        <v>1831</v>
      </c>
      <c r="B379" s="1" t="s">
        <v>13</v>
      </c>
      <c r="C379" s="4" t="s">
        <v>1832</v>
      </c>
      <c r="D379" s="1" t="s">
        <v>1833</v>
      </c>
      <c r="E379" s="1" t="s">
        <v>1834</v>
      </c>
      <c r="F379" s="4" t="s">
        <v>17</v>
      </c>
      <c r="G379" s="1" t="s">
        <v>18</v>
      </c>
      <c r="H379" s="1" t="s">
        <v>19</v>
      </c>
      <c r="I379" s="1" t="s">
        <v>20</v>
      </c>
      <c r="J379" s="1" t="s">
        <v>1835</v>
      </c>
      <c r="K379" s="1" t="s">
        <v>22</v>
      </c>
      <c r="L379" s="1" t="str">
        <f>HYPERLINK("https://files.afu.se/Downloads/Transcripts/0%20-%20Government/USA%20-%20NASA/2021 01 29 - NASA - The First Space Station Spacewalk of the New Year on This Week @NASA – January 29, 2021_KA-aYSyeBB0 - transcript (automated).pdf","Transcript Link")</f>
        <v>Transcript Link</v>
      </c>
      <c r="M379" s="2" t="str">
        <f>HYPERLINK("https://files.afu.se/Downloads/Transcripts/0%20-%20Government/USA%20-%20NASA/2021 01 29 - NASA - The First Space Station Spacewalk of the New Year on This Week @NASA – January 29, 2021_KA-aYSyeBB0 - transcript (automated).pdf","Transcript Link")</f>
        <v>Transcript Link</v>
      </c>
    </row>
    <row r="380" ht="195" spans="1:13">
      <c r="A380" s="1" t="s">
        <v>1831</v>
      </c>
      <c r="B380" s="1" t="s">
        <v>13</v>
      </c>
      <c r="C380" s="4" t="s">
        <v>1836</v>
      </c>
      <c r="D380" s="1" t="s">
        <v>1837</v>
      </c>
      <c r="E380" s="1" t="s">
        <v>1838</v>
      </c>
      <c r="F380" s="4" t="s">
        <v>17</v>
      </c>
      <c r="G380" s="1" t="s">
        <v>18</v>
      </c>
      <c r="H380" s="1" t="s">
        <v>19</v>
      </c>
      <c r="I380" s="1" t="s">
        <v>20</v>
      </c>
      <c r="J380" s="1" t="s">
        <v>1839</v>
      </c>
      <c r="K380" s="1" t="s">
        <v>22</v>
      </c>
      <c r="L380" s="1" t="str">
        <f>HYPERLINK("https://files.afu.se/Downloads/Transcripts/0%20-%20Government/USA%20-%20NASA/2021 01 29 - NASA - NASA Day of Remembrance at Arlington National Cemetery_t3uLFB5IxRk - transcript (automated).pdf","Transcript Link")</f>
        <v>Transcript Link</v>
      </c>
      <c r="M380" s="2" t="str">
        <f>HYPERLINK("https://files.afu.se/Downloads/Transcripts/0%20-%20Government/USA%20-%20NASA/2021 01 29 - NASA - NASA Day of Remembrance at Arlington National Cemetery_t3uLFB5IxRk - transcript (automated).pdf","Transcript Link")</f>
        <v>Transcript Link</v>
      </c>
    </row>
    <row r="381" ht="165" spans="1:13">
      <c r="A381" s="1" t="s">
        <v>1840</v>
      </c>
      <c r="B381" s="1" t="s">
        <v>13</v>
      </c>
      <c r="C381" s="4" t="s">
        <v>1841</v>
      </c>
      <c r="D381" s="1" t="s">
        <v>1842</v>
      </c>
      <c r="E381" s="1" t="s">
        <v>1843</v>
      </c>
      <c r="F381" s="4" t="s">
        <v>17</v>
      </c>
      <c r="G381" s="1" t="s">
        <v>18</v>
      </c>
      <c r="H381" s="1" t="s">
        <v>19</v>
      </c>
      <c r="I381" s="1" t="s">
        <v>20</v>
      </c>
      <c r="J381" s="1" t="s">
        <v>1844</v>
      </c>
      <c r="K381" s="1" t="s">
        <v>22</v>
      </c>
      <c r="L381" s="1" t="str">
        <f>HYPERLINK("https://files.afu.se/Downloads/Transcripts/0%20-%20Government/USA%20-%20NASA/2021 01 26 - NASA - NASA Astronauts Share Inauguration Message From the Space Station_jhbL9JtTIQg - transcript (automated).pdf","Transcript Link")</f>
        <v>Transcript Link</v>
      </c>
      <c r="M381" s="2" t="str">
        <f>HYPERLINK("https://files.afu.se/Downloads/Transcripts/0%20-%20Government/USA%20-%20NASA/2021 01 26 - NASA - NASA Astronauts Share Inauguration Message From the Space Station_jhbL9JtTIQg - transcript (automated).pdf","Transcript Link")</f>
        <v>Transcript Link</v>
      </c>
    </row>
    <row r="382" ht="195" spans="1:13">
      <c r="A382" s="1" t="s">
        <v>1845</v>
      </c>
      <c r="B382" s="1" t="s">
        <v>13</v>
      </c>
      <c r="C382" s="4" t="s">
        <v>1846</v>
      </c>
      <c r="D382" s="1" t="s">
        <v>1847</v>
      </c>
      <c r="E382" s="1" t="s">
        <v>1848</v>
      </c>
      <c r="F382" s="4" t="s">
        <v>17</v>
      </c>
      <c r="G382" s="1" t="s">
        <v>18</v>
      </c>
      <c r="H382" s="1" t="s">
        <v>19</v>
      </c>
      <c r="I382" s="1" t="s">
        <v>20</v>
      </c>
      <c r="J382" s="1" t="s">
        <v>1849</v>
      </c>
      <c r="K382" s="1" t="s">
        <v>22</v>
      </c>
      <c r="L382" s="1" t="str">
        <f>HYPERLINK("https://files.afu.se/Downloads/Transcripts/0%20-%20Government/USA%20-%20NASA/2021 01 22 - NASA - An Update on the Recent Green Run Hot Fire Test on This Week @NASA – January 22, 2021_0hSdAvJhpm4 - transcript (automated).pdf","Transcript Link")</f>
        <v>Transcript Link</v>
      </c>
      <c r="M382" s="2" t="str">
        <f>HYPERLINK("https://files.afu.se/Downloads/Transcripts/0%20-%20Government/USA%20-%20NASA/2021 01 22 - NASA - An Update on the Recent Green Run Hot Fire Test on This Week @NASA – January 22, 2021_0hSdAvJhpm4 - transcript (automated).pdf","Transcript Link")</f>
        <v>Transcript Link</v>
      </c>
    </row>
    <row r="383" ht="195" spans="1:13">
      <c r="A383" s="1" t="s">
        <v>1850</v>
      </c>
      <c r="B383" s="1" t="s">
        <v>13</v>
      </c>
      <c r="C383" s="4" t="s">
        <v>1851</v>
      </c>
      <c r="D383" s="1" t="s">
        <v>1852</v>
      </c>
      <c r="E383" s="1" t="s">
        <v>1853</v>
      </c>
      <c r="F383" s="4" t="s">
        <v>17</v>
      </c>
      <c r="G383" s="1" t="s">
        <v>18</v>
      </c>
      <c r="H383" s="1" t="s">
        <v>19</v>
      </c>
      <c r="I383" s="1" t="s">
        <v>20</v>
      </c>
      <c r="J383" s="1" t="s">
        <v>1854</v>
      </c>
      <c r="K383" s="1" t="s">
        <v>22</v>
      </c>
      <c r="L383" s="1" t="str">
        <f>HYPERLINK("https://files.afu.se/Downloads/Transcripts/0%20-%20Government/USA%20-%20NASA/2021 01 15 - NASA - The Annual Assessment of Global Temperatures on This Week @NASA – January 15, 2021_sxajQGQp4-s - transcript (automated).pdf","Transcript Link")</f>
        <v>Transcript Link</v>
      </c>
      <c r="M383" s="2" t="str">
        <f>HYPERLINK("https://files.afu.se/Downloads/Transcripts/0%20-%20Government/USA%20-%20NASA/2021 01 15 - NASA - The Annual Assessment of Global Temperatures on This Week @NASA – January 15, 2021_sxajQGQp4-s - transcript (automated).pdf","Transcript Link")</f>
        <v>Transcript Link</v>
      </c>
    </row>
    <row r="384" ht="165" spans="1:13">
      <c r="A384" s="1" t="s">
        <v>1850</v>
      </c>
      <c r="B384" s="1" t="s">
        <v>13</v>
      </c>
      <c r="C384" s="4" t="s">
        <v>1855</v>
      </c>
      <c r="D384" s="1" t="s">
        <v>1856</v>
      </c>
      <c r="E384" s="1" t="s">
        <v>1857</v>
      </c>
      <c r="F384" s="4" t="s">
        <v>17</v>
      </c>
      <c r="G384" s="1" t="s">
        <v>18</v>
      </c>
      <c r="H384" s="1" t="s">
        <v>19</v>
      </c>
      <c r="I384" s="1" t="s">
        <v>20</v>
      </c>
      <c r="J384" s="1" t="s">
        <v>1858</v>
      </c>
      <c r="K384" s="1" t="s">
        <v>22</v>
      </c>
      <c r="L384" s="1" t="str">
        <f>HYPERLINK("https://files.afu.se/Downloads/Transcripts/0%20-%20Government/USA%20-%20NASA/2021 01 15 - NASA - NASA Administrator Jim Bridenstine  A Look Back_iZ3pNJlozLY - transcript (automated).pdf","Transcript Link")</f>
        <v>Transcript Link</v>
      </c>
      <c r="M384" s="2" t="str">
        <f>HYPERLINK("https://files.afu.se/Downloads/Transcripts/0%20-%20Government/USA%20-%20NASA/2021 01 15 - NASA - NASA Administrator Jim Bridenstine  A Look Back_iZ3pNJlozLY - transcript (automated).pdf","Transcript Link")</f>
        <v>Transcript Link</v>
      </c>
    </row>
    <row r="385" ht="285" spans="1:13">
      <c r="A385" s="1" t="s">
        <v>1859</v>
      </c>
      <c r="B385" s="1" t="s">
        <v>13</v>
      </c>
      <c r="C385" s="4" t="s">
        <v>1860</v>
      </c>
      <c r="D385" s="1" t="s">
        <v>1861</v>
      </c>
      <c r="E385" s="1" t="s">
        <v>1862</v>
      </c>
      <c r="F385" s="4" t="s">
        <v>17</v>
      </c>
      <c r="G385" s="1" t="s">
        <v>18</v>
      </c>
      <c r="H385" s="1" t="s">
        <v>19</v>
      </c>
      <c r="I385" s="1" t="s">
        <v>20</v>
      </c>
      <c r="J385" s="1" t="s">
        <v>1863</v>
      </c>
      <c r="K385" s="1" t="s">
        <v>22</v>
      </c>
      <c r="L385" s="1" t="str">
        <f>HYPERLINK("https://files.afu.se/Downloads/Transcripts/0%20-%20Government/USA%20-%20NASA/2021 01 12 - NASA - Jan. 16  Artemis I Hot Fire Test_PapBjpzRhnA - transcript (automated).pdf","Transcript Link")</f>
        <v>Transcript Link</v>
      </c>
      <c r="M385" s="2" t="str">
        <f>HYPERLINK("https://files.afu.se/Downloads/Transcripts/0%20-%20Government/USA%20-%20NASA/2021 01 12 - NASA - Jan. 16  Artemis I Hot Fire Test_PapBjpzRhnA - transcript (automated).pdf","Transcript Link")</f>
        <v>Transcript Link</v>
      </c>
    </row>
    <row r="386" ht="195" spans="1:13">
      <c r="A386" s="1" t="s">
        <v>1864</v>
      </c>
      <c r="B386" s="1" t="s">
        <v>13</v>
      </c>
      <c r="C386" s="4" t="s">
        <v>1865</v>
      </c>
      <c r="D386" s="1" t="s">
        <v>1866</v>
      </c>
      <c r="E386" s="1" t="s">
        <v>1867</v>
      </c>
      <c r="F386" s="4" t="s">
        <v>17</v>
      </c>
      <c r="G386" s="1" t="s">
        <v>18</v>
      </c>
      <c r="H386" s="1" t="s">
        <v>19</v>
      </c>
      <c r="I386" s="1" t="s">
        <v>20</v>
      </c>
      <c r="J386" s="1" t="s">
        <v>1868</v>
      </c>
      <c r="K386" s="1" t="s">
        <v>22</v>
      </c>
      <c r="L386" s="1" t="str">
        <f>HYPERLINK("https://files.afu.se/Downloads/Transcripts/0%20-%20Government/USA%20-%20NASA/2021 01 08 - NASA - An Update on the Green Run Hot Fire Test for Artemis I on This Week @NASA – January 8, 2021_aDhvP6qEvVM - transcript (automated).pdf","Transcript Link")</f>
        <v>Transcript Link</v>
      </c>
      <c r="M386" s="2" t="str">
        <f>HYPERLINK("https://files.afu.se/Downloads/Transcripts/0%20-%20Government/USA%20-%20NASA/2021 01 08 - NASA - An Update on the Green Run Hot Fire Test for Artemis I on This Week @NASA – January 8, 2021_aDhvP6qEvVM - transcript (automated).pdf","Transcript Link")</f>
        <v>Transcript Link</v>
      </c>
    </row>
    <row r="387" ht="165" spans="1:13">
      <c r="A387" s="1" t="s">
        <v>1869</v>
      </c>
      <c r="B387" s="1" t="s">
        <v>13</v>
      </c>
      <c r="C387" s="4" t="s">
        <v>1870</v>
      </c>
      <c r="D387" s="1" t="s">
        <v>1871</v>
      </c>
      <c r="E387" s="1" t="s">
        <v>1872</v>
      </c>
      <c r="F387" s="4" t="s">
        <v>17</v>
      </c>
      <c r="G387" s="1" t="s">
        <v>18</v>
      </c>
      <c r="H387" s="1" t="s">
        <v>19</v>
      </c>
      <c r="I387" s="1" t="s">
        <v>20</v>
      </c>
      <c r="J387" s="1" t="s">
        <v>1873</v>
      </c>
      <c r="K387" s="1" t="s">
        <v>22</v>
      </c>
      <c r="L387" s="1" t="str">
        <f>HYPERLINK("https://files.afu.se/Downloads/Transcripts/0%20-%20Government/USA%20-%20NASA/2021 01 01 - NASA - Down to Earth  The Astronaut’s Perspective_DIkqs9_FK28 - transcript (automated).pdf","Transcript Link")</f>
        <v>Transcript Link</v>
      </c>
      <c r="M387" s="2" t="str">
        <f>HYPERLINK("https://files.afu.se/Downloads/Transcripts/0%20-%20Government/USA%20-%20NASA/2021 01 01 - NASA - Down to Earth  The Astronaut’s Perspective_DIkqs9_FK28 - transcript (automated).pdf","Transcript Link")</f>
        <v>Transcript Link</v>
      </c>
    </row>
    <row r="388" ht="409.5" spans="1:13">
      <c r="A388" s="1" t="s">
        <v>1874</v>
      </c>
      <c r="B388" s="1" t="s">
        <v>13</v>
      </c>
      <c r="C388" s="4" t="s">
        <v>1875</v>
      </c>
      <c r="D388" s="1" t="s">
        <v>1876</v>
      </c>
      <c r="E388" s="1" t="s">
        <v>1877</v>
      </c>
      <c r="F388" s="4" t="s">
        <v>17</v>
      </c>
      <c r="G388" s="1" t="s">
        <v>18</v>
      </c>
      <c r="H388" s="1" t="s">
        <v>19</v>
      </c>
      <c r="I388" s="1" t="s">
        <v>20</v>
      </c>
      <c r="J388" s="1" t="s">
        <v>1878</v>
      </c>
      <c r="K388" s="1" t="s">
        <v>22</v>
      </c>
      <c r="L388" s="1" t="str">
        <f>HYPERLINK("https://files.afu.se/Downloads/Transcripts/0%20-%20Government/USA%20-%20NASA/2020 12 31 - NASA - NASA 2021  Let's Go to the Moon__fRSaLAEW2s - transcript (automated).pdf","Transcript Link")</f>
        <v>Transcript Link</v>
      </c>
      <c r="M388" s="2" t="str">
        <f>HYPERLINK("https://files.afu.se/Downloads/Transcripts/0%20-%20Government/USA%20-%20NASA/2020 12 31 - NASA - NASA 2021  Let's Go to the Moon__fRSaLAEW2s - transcript (automated).pdf","Transcript Link")</f>
        <v>Transcript Link</v>
      </c>
    </row>
    <row r="389" ht="195" spans="1:13">
      <c r="A389" s="1" t="s">
        <v>1879</v>
      </c>
      <c r="B389" s="1" t="s">
        <v>13</v>
      </c>
      <c r="C389" s="4" t="s">
        <v>1880</v>
      </c>
      <c r="D389" s="1" t="s">
        <v>1881</v>
      </c>
      <c r="E389" s="1" t="s">
        <v>1882</v>
      </c>
      <c r="F389" s="4" t="s">
        <v>17</v>
      </c>
      <c r="G389" s="1" t="s">
        <v>18</v>
      </c>
      <c r="H389" s="1" t="s">
        <v>19</v>
      </c>
      <c r="I389" s="1" t="s">
        <v>20</v>
      </c>
      <c r="J389" s="1" t="s">
        <v>1883</v>
      </c>
      <c r="K389" s="1" t="s">
        <v>22</v>
      </c>
      <c r="L389" s="1" t="str">
        <f>HYPERLINK("https://files.afu.se/Downloads/Transcripts/0%20-%20Government/USA%20-%20NASA/2020 12 29 - NASA - What You Need to Know from NASA_I5c0a6mBF8k - transcript (automated).pdf","Transcript Link")</f>
        <v>Transcript Link</v>
      </c>
      <c r="M389" s="2" t="str">
        <f>HYPERLINK("https://files.afu.se/Downloads/Transcripts/0%20-%20Government/USA%20-%20NASA/2020 12 29 - NASA - What You Need to Know from NASA_I5c0a6mBF8k - transcript (automated).pdf","Transcript Link")</f>
        <v>Transcript Link</v>
      </c>
    </row>
    <row r="390" ht="165" spans="1:13">
      <c r="A390" s="1" t="s">
        <v>1884</v>
      </c>
      <c r="B390" s="1" t="s">
        <v>13</v>
      </c>
      <c r="C390" s="4" t="s">
        <v>1885</v>
      </c>
      <c r="D390" s="1" t="s">
        <v>1886</v>
      </c>
      <c r="E390" s="1" t="s">
        <v>1887</v>
      </c>
      <c r="F390" s="4" t="s">
        <v>17</v>
      </c>
      <c r="G390" s="1" t="s">
        <v>18</v>
      </c>
      <c r="H390" s="1" t="s">
        <v>19</v>
      </c>
      <c r="I390" s="1" t="s">
        <v>20</v>
      </c>
      <c r="J390" s="1" t="s">
        <v>1888</v>
      </c>
      <c r="K390" s="1" t="s">
        <v>22</v>
      </c>
      <c r="L390" s="1" t="str">
        <f>HYPERLINK("https://files.afu.se/Downloads/Transcripts/0%20-%20Government/USA%20-%20NASA/2020 12 28 - NASA - Season's Greetings from NASA_49-2VDRBRX4 - transcript (automated).pdf","Transcript Link")</f>
        <v>Transcript Link</v>
      </c>
      <c r="M390" s="2" t="str">
        <f>HYPERLINK("https://files.afu.se/Downloads/Transcripts/0%20-%20Government/USA%20-%20NASA/2020 12 28 - NASA - Season's Greetings from NASA_49-2VDRBRX4 - transcript (automated).pdf","Transcript Link")</f>
        <v>Transcript Link</v>
      </c>
    </row>
    <row r="391" ht="255" spans="1:13">
      <c r="A391" s="1" t="s">
        <v>1889</v>
      </c>
      <c r="B391" s="1" t="s">
        <v>13</v>
      </c>
      <c r="C391" s="4" t="s">
        <v>1890</v>
      </c>
      <c r="D391" s="1" t="s">
        <v>1891</v>
      </c>
      <c r="E391" s="1" t="s">
        <v>1892</v>
      </c>
      <c r="F391" s="4" t="s">
        <v>17</v>
      </c>
      <c r="G391" s="1" t="s">
        <v>18</v>
      </c>
      <c r="H391" s="1" t="s">
        <v>19</v>
      </c>
      <c r="I391" s="1" t="s">
        <v>20</v>
      </c>
      <c r="J391" s="1" t="s">
        <v>1893</v>
      </c>
      <c r="K391" s="1" t="s">
        <v>22</v>
      </c>
      <c r="L391" s="1" t="str">
        <f>HYPERLINK("https://files.afu.se/Downloads/Transcripts/0%20-%20Government/USA%20-%20NASA/2020 12 21 - NASA - We Persevered This Year @NASA – December 21, 2020_HgHr_1DOrrU - transcript (automated).pdf","Transcript Link")</f>
        <v>Transcript Link</v>
      </c>
      <c r="M391" s="2" t="str">
        <f>HYPERLINK("https://files.afu.se/Downloads/Transcripts/0%20-%20Government/USA%20-%20NASA/2020 12 21 - NASA - We Persevered This Year @NASA – December 21, 2020_HgHr_1DOrrU - transcript (automated).pdf","Transcript Link")</f>
        <v>Transcript Link</v>
      </c>
    </row>
    <row r="392" ht="255" spans="1:13">
      <c r="A392" s="1" t="s">
        <v>1894</v>
      </c>
      <c r="B392" s="1" t="s">
        <v>13</v>
      </c>
      <c r="C392" s="4" t="s">
        <v>1895</v>
      </c>
      <c r="D392" s="1" t="s">
        <v>1896</v>
      </c>
      <c r="E392" s="1" t="s">
        <v>1897</v>
      </c>
      <c r="F392" s="4" t="s">
        <v>17</v>
      </c>
      <c r="G392" s="1" t="s">
        <v>18</v>
      </c>
      <c r="H392" s="1" t="s">
        <v>19</v>
      </c>
      <c r="I392" s="1" t="s">
        <v>20</v>
      </c>
      <c r="J392" s="1" t="s">
        <v>1898</v>
      </c>
      <c r="K392" s="1" t="s">
        <v>22</v>
      </c>
      <c r="L392" s="1" t="str">
        <f>HYPERLINK("https://files.afu.se/Downloads/Transcripts/0%20-%20Government/USA%20-%20NASA/2020 12 19 - NASA - Gravity Assist  The Bright Spot of the Asteroid Belt, with Britney Schmidt_GtgxGhXLDBQ - transcript (automated).pdf","Transcript Link")</f>
        <v>Transcript Link</v>
      </c>
      <c r="M392" s="2" t="str">
        <f>HYPERLINK("https://files.afu.se/Downloads/Transcripts/0%20-%20Government/USA%20-%20NASA/2020 12 19 - NASA - Gravity Assist  The Bright Spot of the Asteroid Belt, with Britney Schmidt_GtgxGhXLDBQ - transcript (automated).pdf","Transcript Link")</f>
        <v>Transcript Link</v>
      </c>
    </row>
    <row r="393" ht="375" spans="1:13">
      <c r="A393" s="1" t="s">
        <v>1899</v>
      </c>
      <c r="B393" s="1" t="s">
        <v>13</v>
      </c>
      <c r="C393" s="4" t="s">
        <v>1900</v>
      </c>
      <c r="D393" s="1" t="s">
        <v>1901</v>
      </c>
      <c r="E393" s="1" t="s">
        <v>1902</v>
      </c>
      <c r="F393" s="4" t="s">
        <v>17</v>
      </c>
      <c r="G393" s="1" t="s">
        <v>18</v>
      </c>
      <c r="H393" s="1" t="s">
        <v>19</v>
      </c>
      <c r="I393" s="1" t="s">
        <v>20</v>
      </c>
      <c r="J393" s="1" t="s">
        <v>1903</v>
      </c>
      <c r="K393" s="1" t="s">
        <v>22</v>
      </c>
      <c r="L393" s="1" t="str">
        <f>HYPERLINK("https://files.afu.se/Downloads/Transcripts/0%20-%20Government/USA%20-%20NASA/2020 12 18 - NASA - The International Space Station  International Partnerships_3yumLKlB_Ww - transcript (automated).pdf","Transcript Link")</f>
        <v>Transcript Link</v>
      </c>
      <c r="M393" s="2" t="str">
        <f>HYPERLINK("https://files.afu.se/Downloads/Transcripts/0%20-%20Government/USA%20-%20NASA/2020 12 18 - NASA - The International Space Station  International Partnerships_3yumLKlB_Ww - transcript (automated).pdf","Transcript Link")</f>
        <v>Transcript Link</v>
      </c>
    </row>
    <row r="394" ht="165" spans="1:13">
      <c r="A394" s="1" t="s">
        <v>1904</v>
      </c>
      <c r="B394" s="1" t="s">
        <v>13</v>
      </c>
      <c r="C394" s="4" t="s">
        <v>1905</v>
      </c>
      <c r="D394" s="1" t="s">
        <v>1906</v>
      </c>
      <c r="E394" s="1" t="s">
        <v>1907</v>
      </c>
      <c r="F394" s="4" t="s">
        <v>17</v>
      </c>
      <c r="G394" s="1" t="s">
        <v>18</v>
      </c>
      <c r="H394" s="1" t="s">
        <v>19</v>
      </c>
      <c r="I394" s="1" t="s">
        <v>20</v>
      </c>
      <c r="J394" s="1" t="s">
        <v>1908</v>
      </c>
      <c r="K394" s="1" t="s">
        <v>22</v>
      </c>
      <c r="L394" s="1" t="str">
        <f>HYPERLINK("https://files.afu.se/Downloads/Transcripts/0%20-%20Government/USA%20-%20NASA/2020 12 16 - NASA - NASA Science Live  You Too Can Do NASA Science_TURJhJB9F-Y - transcript (automated).pdf","Transcript Link")</f>
        <v>Transcript Link</v>
      </c>
      <c r="M394" s="2" t="str">
        <f>HYPERLINK("https://files.afu.se/Downloads/Transcripts/0%20-%20Government/USA%20-%20NASA/2020 12 16 - NASA - NASA Science Live  You Too Can Do NASA Science_TURJhJB9F-Y - transcript (automated).pdf","Transcript Link")</f>
        <v>Transcript Link</v>
      </c>
    </row>
    <row r="395" ht="165" spans="1:13">
      <c r="A395" s="1" t="s">
        <v>1909</v>
      </c>
      <c r="B395" s="1" t="s">
        <v>13</v>
      </c>
      <c r="C395" s="4" t="s">
        <v>1910</v>
      </c>
      <c r="D395" s="1" t="s">
        <v>1911</v>
      </c>
      <c r="E395" s="1" t="s">
        <v>1912</v>
      </c>
      <c r="F395" s="4" t="s">
        <v>17</v>
      </c>
      <c r="G395" s="1" t="s">
        <v>18</v>
      </c>
      <c r="H395" s="1" t="s">
        <v>19</v>
      </c>
      <c r="I395" s="1" t="s">
        <v>20</v>
      </c>
      <c r="J395" s="1" t="s">
        <v>1913</v>
      </c>
      <c r="K395" s="1" t="s">
        <v>22</v>
      </c>
      <c r="L395" s="1" t="str">
        <f>HYPERLINK("https://files.afu.se/Downloads/Transcripts/0%20-%20Government/USA%20-%20NASA/2020 12 15 - NASA - What You Need to Know About Trojan Asteroids_YSXIOxFhLiM - transcript (automated).pdf","Transcript Link")</f>
        <v>Transcript Link</v>
      </c>
      <c r="M395" s="2" t="str">
        <f>HYPERLINK("https://files.afu.se/Downloads/Transcripts/0%20-%20Government/USA%20-%20NASA/2020 12 15 - NASA - What You Need to Know About Trojan Asteroids_YSXIOxFhLiM - transcript (automated).pdf","Transcript Link")</f>
        <v>Transcript Link</v>
      </c>
    </row>
    <row r="396" ht="165" spans="1:13">
      <c r="A396" s="1" t="s">
        <v>1914</v>
      </c>
      <c r="B396" s="1" t="s">
        <v>13</v>
      </c>
      <c r="C396" s="4" t="s">
        <v>1915</v>
      </c>
      <c r="D396" s="1" t="s">
        <v>1916</v>
      </c>
      <c r="E396" s="1" t="s">
        <v>1917</v>
      </c>
      <c r="F396" s="4" t="s">
        <v>17</v>
      </c>
      <c r="G396" s="1" t="s">
        <v>18</v>
      </c>
      <c r="H396" s="1" t="s">
        <v>19</v>
      </c>
      <c r="I396" s="1" t="s">
        <v>20</v>
      </c>
      <c r="J396" s="1" t="s">
        <v>1918</v>
      </c>
      <c r="K396" s="1" t="s">
        <v>22</v>
      </c>
      <c r="L396" s="1" t="str">
        <f>HYPERLINK("https://files.afu.se/Downloads/Transcripts/0%20-%20Government/USA%20-%20NASA/2020 12 11 - NASA - Introducing the Artemis Team of Astronauts on This Week @NASA – December 11, 2020_kbS6gzmvrpY - transcript (automated).pdf","Transcript Link")</f>
        <v>Transcript Link</v>
      </c>
      <c r="M396" s="2" t="str">
        <f>HYPERLINK("https://files.afu.se/Downloads/Transcripts/0%20-%20Government/USA%20-%20NASA/2020 12 11 - NASA - Introducing the Artemis Team of Astronauts on This Week @NASA – December 11, 2020_kbS6gzmvrpY - transcript (automated).pdf","Transcript Link")</f>
        <v>Transcript Link</v>
      </c>
    </row>
    <row r="397" ht="345" spans="1:13">
      <c r="A397" s="1" t="s">
        <v>1914</v>
      </c>
      <c r="B397" s="1" t="s">
        <v>13</v>
      </c>
      <c r="C397" s="4" t="s">
        <v>1919</v>
      </c>
      <c r="D397" s="1" t="s">
        <v>1920</v>
      </c>
      <c r="E397" s="1" t="s">
        <v>1921</v>
      </c>
      <c r="F397" s="4" t="s">
        <v>17</v>
      </c>
      <c r="G397" s="1" t="s">
        <v>18</v>
      </c>
      <c r="H397" s="1" t="s">
        <v>19</v>
      </c>
      <c r="I397" s="1" t="s">
        <v>20</v>
      </c>
      <c r="J397" s="1" t="s">
        <v>1922</v>
      </c>
      <c r="K397" s="1" t="s">
        <v>22</v>
      </c>
      <c r="L397" s="1" t="str">
        <f>HYPERLINK("https://files.afu.se/Downloads/Transcripts/0%20-%20Government/USA%20-%20NASA/2020 12 11 - NASA - Meet Artemis Team Member Kate Rubins_iIlAkbUKHKU - transcript (automated).pdf","Transcript Link")</f>
        <v>Transcript Link</v>
      </c>
      <c r="M397" s="2" t="str">
        <f>HYPERLINK("https://files.afu.se/Downloads/Transcripts/0%20-%20Government/USA%20-%20NASA/2020 12 11 - NASA - Meet Artemis Team Member Kate Rubins_iIlAkbUKHKU - transcript (automated).pdf","Transcript Link")</f>
        <v>Transcript Link</v>
      </c>
    </row>
    <row r="398" ht="165" spans="1:13">
      <c r="A398" s="1" t="s">
        <v>1923</v>
      </c>
      <c r="B398" s="1" t="s">
        <v>13</v>
      </c>
      <c r="C398" s="4" t="s">
        <v>1924</v>
      </c>
      <c r="D398" s="1" t="s">
        <v>1925</v>
      </c>
      <c r="E398" s="1" t="s">
        <v>1926</v>
      </c>
      <c r="F398" s="4" t="s">
        <v>17</v>
      </c>
      <c r="G398" s="1" t="s">
        <v>18</v>
      </c>
      <c r="H398" s="1" t="s">
        <v>19</v>
      </c>
      <c r="I398" s="1" t="s">
        <v>20</v>
      </c>
      <c r="J398" s="1" t="s">
        <v>1927</v>
      </c>
      <c r="K398" s="1" t="s">
        <v>22</v>
      </c>
      <c r="L398" s="1" t="str">
        <f>HYPERLINK("https://files.afu.se/Downloads/Transcripts/0%20-%20Government/USA%20-%20NASA/2020 12 10 - NASA - NASA Science Live  Lucy in the Sky with Asteroids_180pFU_h5Eg - transcript (automated).pdf","Transcript Link")</f>
        <v>Transcript Link</v>
      </c>
      <c r="M398" s="2" t="str">
        <f>HYPERLINK("https://files.afu.se/Downloads/Transcripts/0%20-%20Government/USA%20-%20NASA/2020 12 10 - NASA - NASA Science Live  Lucy in the Sky with Asteroids_180pFU_h5Eg - transcript (automated).pdf","Transcript Link")</f>
        <v>Transcript Link</v>
      </c>
    </row>
    <row r="399" ht="405" spans="1:13">
      <c r="A399" s="1" t="s">
        <v>1928</v>
      </c>
      <c r="B399" s="1" t="s">
        <v>13</v>
      </c>
      <c r="C399" s="4" t="s">
        <v>1929</v>
      </c>
      <c r="D399" s="1" t="s">
        <v>1930</v>
      </c>
      <c r="E399" s="1" t="s">
        <v>1931</v>
      </c>
      <c r="F399" s="4" t="s">
        <v>17</v>
      </c>
      <c r="G399" s="1" t="s">
        <v>18</v>
      </c>
      <c r="H399" s="1" t="s">
        <v>19</v>
      </c>
      <c r="I399" s="1" t="s">
        <v>20</v>
      </c>
      <c r="J399" s="1" t="s">
        <v>1932</v>
      </c>
      <c r="K399" s="1" t="s">
        <v>22</v>
      </c>
      <c r="L399" s="1" t="str">
        <f>HYPERLINK("https://files.afu.se/Downloads/Transcripts/0%20-%20Government/USA%20-%20NASA/2020 12 09 - NASA - Meet Artemis Team Member Raja Chari_8WO2JzzJPVQ - transcript (automated).pdf","Transcript Link")</f>
        <v>Transcript Link</v>
      </c>
      <c r="M399" s="2" t="str">
        <f>HYPERLINK("https://files.afu.se/Downloads/Transcripts/0%20-%20Government/USA%20-%20NASA/2020 12 09 - NASA - Meet Artemis Team Member Raja Chari_8WO2JzzJPVQ - transcript (automated).pdf","Transcript Link")</f>
        <v>Transcript Link</v>
      </c>
    </row>
    <row r="400" ht="409.5" spans="1:13">
      <c r="A400" s="1" t="s">
        <v>1928</v>
      </c>
      <c r="B400" s="1" t="s">
        <v>13</v>
      </c>
      <c r="C400" s="4" t="s">
        <v>1933</v>
      </c>
      <c r="D400" s="1" t="s">
        <v>1934</v>
      </c>
      <c r="E400" s="1" t="s">
        <v>1935</v>
      </c>
      <c r="F400" s="4" t="s">
        <v>17</v>
      </c>
      <c r="G400" s="1" t="s">
        <v>18</v>
      </c>
      <c r="H400" s="1" t="s">
        <v>19</v>
      </c>
      <c r="I400" s="1" t="s">
        <v>20</v>
      </c>
      <c r="J400" s="1" t="s">
        <v>1936</v>
      </c>
      <c r="K400" s="1" t="s">
        <v>22</v>
      </c>
      <c r="L400" s="1" t="str">
        <f>HYPERLINK("https://files.afu.se/Downloads/Transcripts/0%20-%20Government/USA%20-%20NASA/2020 12 09 - NASA - Meet Artemis Team Member Christina Koch_IdP-RFD9Plc - transcript (automated).pdf","Transcript Link")</f>
        <v>Transcript Link</v>
      </c>
      <c r="M400" s="2" t="str">
        <f>HYPERLINK("https://files.afu.se/Downloads/Transcripts/0%20-%20Government/USA%20-%20NASA/2020 12 09 - NASA - Meet Artemis Team Member Christina Koch_IdP-RFD9Plc - transcript (automated).pdf","Transcript Link")</f>
        <v>Transcript Link</v>
      </c>
    </row>
    <row r="401" ht="405" spans="1:13">
      <c r="A401" s="1" t="s">
        <v>1928</v>
      </c>
      <c r="B401" s="1" t="s">
        <v>13</v>
      </c>
      <c r="C401" s="4" t="s">
        <v>1937</v>
      </c>
      <c r="D401" s="1" t="s">
        <v>1938</v>
      </c>
      <c r="E401" s="1" t="s">
        <v>1939</v>
      </c>
      <c r="F401" s="4" t="s">
        <v>17</v>
      </c>
      <c r="G401" s="1" t="s">
        <v>18</v>
      </c>
      <c r="H401" s="1" t="s">
        <v>19</v>
      </c>
      <c r="I401" s="1" t="s">
        <v>20</v>
      </c>
      <c r="J401" s="1" t="s">
        <v>1940</v>
      </c>
      <c r="K401" s="1" t="s">
        <v>22</v>
      </c>
      <c r="L401" s="1" t="str">
        <f>HYPERLINK("https://files.afu.se/Downloads/Transcripts/0%20-%20Government/USA%20-%20NASA/2020 12 09 - NASA - Meet Artemis Team Member Jonny Kim_szkJlHqriDY - transcript (automated).pdf","Transcript Link")</f>
        <v>Transcript Link</v>
      </c>
      <c r="M401" s="2" t="str">
        <f>HYPERLINK("https://files.afu.se/Downloads/Transcripts/0%20-%20Government/USA%20-%20NASA/2020 12 09 - NASA - Meet Artemis Team Member Jonny Kim_szkJlHqriDY - transcript (automated).pdf","Transcript Link")</f>
        <v>Transcript Link</v>
      </c>
    </row>
    <row r="402" ht="409.5" spans="1:13">
      <c r="A402" s="1" t="s">
        <v>1928</v>
      </c>
      <c r="B402" s="1" t="s">
        <v>13</v>
      </c>
      <c r="C402" s="4" t="s">
        <v>1941</v>
      </c>
      <c r="D402" s="1" t="s">
        <v>1942</v>
      </c>
      <c r="E402" s="1" t="s">
        <v>1943</v>
      </c>
      <c r="F402" s="4" t="s">
        <v>17</v>
      </c>
      <c r="G402" s="1" t="s">
        <v>18</v>
      </c>
      <c r="H402" s="1" t="s">
        <v>19</v>
      </c>
      <c r="I402" s="1" t="s">
        <v>20</v>
      </c>
      <c r="J402" s="1" t="s">
        <v>1944</v>
      </c>
      <c r="K402" s="1" t="s">
        <v>22</v>
      </c>
      <c r="L402" s="1" t="str">
        <f>HYPERLINK("https://files.afu.se/Downloads/Transcripts/0%20-%20Government/USA%20-%20NASA/2020 12 09 - NASA - Meet Artemis Team Member Matthew Dominick_3jQuovAcUm4 - transcript (automated).pdf","Transcript Link")</f>
        <v>Transcript Link</v>
      </c>
      <c r="M402" s="2" t="str">
        <f>HYPERLINK("https://files.afu.se/Downloads/Transcripts/0%20-%20Government/USA%20-%20NASA/2020 12 09 - NASA - Meet Artemis Team Member Matthew Dominick_3jQuovAcUm4 - transcript (automated).pdf","Transcript Link")</f>
        <v>Transcript Link</v>
      </c>
    </row>
    <row r="403" ht="409.5" spans="1:13">
      <c r="A403" s="1" t="s">
        <v>1928</v>
      </c>
      <c r="B403" s="1" t="s">
        <v>13</v>
      </c>
      <c r="C403" s="4" t="s">
        <v>1945</v>
      </c>
      <c r="D403" s="1" t="s">
        <v>1946</v>
      </c>
      <c r="E403" s="1" t="s">
        <v>1947</v>
      </c>
      <c r="F403" s="4" t="s">
        <v>17</v>
      </c>
      <c r="G403" s="1" t="s">
        <v>18</v>
      </c>
      <c r="H403" s="1" t="s">
        <v>19</v>
      </c>
      <c r="I403" s="1" t="s">
        <v>20</v>
      </c>
      <c r="J403" s="1" t="s">
        <v>1948</v>
      </c>
      <c r="K403" s="1" t="s">
        <v>22</v>
      </c>
      <c r="L403" s="1" t="str">
        <f>HYPERLINK("https://files.afu.se/Downloads/Transcripts/0%20-%20Government/USA%20-%20NASA/2020 12 09 - NASA - Meet Artemis Team Member Kjell Lindgren_5VEkTuD3NIk - transcript (automated).pdf","Transcript Link")</f>
        <v>Transcript Link</v>
      </c>
      <c r="M403" s="2" t="str">
        <f>HYPERLINK("https://files.afu.se/Downloads/Transcripts/0%20-%20Government/USA%20-%20NASA/2020 12 09 - NASA - Meet Artemis Team Member Kjell Lindgren_5VEkTuD3NIk - transcript (automated).pdf","Transcript Link")</f>
        <v>Transcript Link</v>
      </c>
    </row>
    <row r="404" ht="240" spans="1:13">
      <c r="A404" s="1" t="s">
        <v>1928</v>
      </c>
      <c r="B404" s="1" t="s">
        <v>13</v>
      </c>
      <c r="C404" s="4" t="s">
        <v>1949</v>
      </c>
      <c r="D404" s="1" t="s">
        <v>1950</v>
      </c>
      <c r="E404" s="1" t="s">
        <v>1951</v>
      </c>
      <c r="F404" s="4" t="s">
        <v>17</v>
      </c>
      <c r="G404" s="1" t="s">
        <v>18</v>
      </c>
      <c r="H404" s="1" t="s">
        <v>19</v>
      </c>
      <c r="I404" s="1" t="s">
        <v>20</v>
      </c>
      <c r="J404" s="1" t="s">
        <v>1952</v>
      </c>
      <c r="K404" s="1" t="s">
        <v>22</v>
      </c>
      <c r="L404" s="1" t="str">
        <f>HYPERLINK("https://files.afu.se/Downloads/Transcripts/0%20-%20Government/USA%20-%20NASA/2020 12 09 - NASA - Meet the Artemis Team_BC5khqpKovU - transcript (automated).pdf","Transcript Link")</f>
        <v>Transcript Link</v>
      </c>
      <c r="M404" s="2" t="str">
        <f>HYPERLINK("https://files.afu.se/Downloads/Transcripts/0%20-%20Government/USA%20-%20NASA/2020 12 09 - NASA - Meet the Artemis Team_BC5khqpKovU - transcript (automated).pdf","Transcript Link")</f>
        <v>Transcript Link</v>
      </c>
    </row>
    <row r="405" ht="405" spans="1:13">
      <c r="A405" s="1" t="s">
        <v>1928</v>
      </c>
      <c r="B405" s="1" t="s">
        <v>13</v>
      </c>
      <c r="C405" s="4" t="s">
        <v>1953</v>
      </c>
      <c r="D405" s="1" t="s">
        <v>1954</v>
      </c>
      <c r="E405" s="1" t="s">
        <v>1955</v>
      </c>
      <c r="F405" s="4" t="s">
        <v>17</v>
      </c>
      <c r="G405" s="1" t="s">
        <v>18</v>
      </c>
      <c r="H405" s="1" t="s">
        <v>19</v>
      </c>
      <c r="I405" s="1" t="s">
        <v>20</v>
      </c>
      <c r="J405" s="1" t="s">
        <v>1956</v>
      </c>
      <c r="K405" s="1" t="s">
        <v>22</v>
      </c>
      <c r="L405" s="1" t="str">
        <f>HYPERLINK("https://files.afu.se/Downloads/Transcripts/0%20-%20Government/USA%20-%20NASA/2020 12 09 - NASA - Meet Artemis Team Member Frank Rubio_CW5-q-JxC3o - transcript (automated).pdf","Transcript Link")</f>
        <v>Transcript Link</v>
      </c>
      <c r="M405" s="2" t="str">
        <f>HYPERLINK("https://files.afu.se/Downloads/Transcripts/0%20-%20Government/USA%20-%20NASA/2020 12 09 - NASA - Meet Artemis Team Member Frank Rubio_CW5-q-JxC3o - transcript (automated).pdf","Transcript Link")</f>
        <v>Transcript Link</v>
      </c>
    </row>
    <row r="406" ht="405" spans="1:13">
      <c r="A406" s="1" t="s">
        <v>1928</v>
      </c>
      <c r="B406" s="1" t="s">
        <v>13</v>
      </c>
      <c r="C406" s="4" t="s">
        <v>1957</v>
      </c>
      <c r="D406" s="1" t="s">
        <v>1958</v>
      </c>
      <c r="E406" s="1" t="s">
        <v>1959</v>
      </c>
      <c r="F406" s="4" t="s">
        <v>17</v>
      </c>
      <c r="G406" s="1" t="s">
        <v>18</v>
      </c>
      <c r="H406" s="1" t="s">
        <v>19</v>
      </c>
      <c r="I406" s="1" t="s">
        <v>20</v>
      </c>
      <c r="J406" s="1" t="s">
        <v>1960</v>
      </c>
      <c r="K406" s="1" t="s">
        <v>22</v>
      </c>
      <c r="L406" s="1" t="str">
        <f>HYPERLINK("https://files.afu.se/Downloads/Transcripts/0%20-%20Government/USA%20-%20NASA/2020 12 09 - NASA - Meet Artemis Team Member Scott Tingle_GqAheEDtWK4 - transcript (automated).pdf","Transcript Link")</f>
        <v>Transcript Link</v>
      </c>
      <c r="M406" s="2" t="str">
        <f>HYPERLINK("https://files.afu.se/Downloads/Transcripts/0%20-%20Government/USA%20-%20NASA/2020 12 09 - NASA - Meet Artemis Team Member Scott Tingle_GqAheEDtWK4 - transcript (automated).pdf","Transcript Link")</f>
        <v>Transcript Link</v>
      </c>
    </row>
    <row r="407" ht="409.5" spans="1:13">
      <c r="A407" s="1" t="s">
        <v>1928</v>
      </c>
      <c r="B407" s="1" t="s">
        <v>13</v>
      </c>
      <c r="C407" s="4" t="s">
        <v>1961</v>
      </c>
      <c r="D407" s="1" t="s">
        <v>1962</v>
      </c>
      <c r="E407" s="1" t="s">
        <v>1963</v>
      </c>
      <c r="F407" s="4" t="s">
        <v>17</v>
      </c>
      <c r="G407" s="1" t="s">
        <v>18</v>
      </c>
      <c r="H407" s="1" t="s">
        <v>19</v>
      </c>
      <c r="I407" s="1" t="s">
        <v>20</v>
      </c>
      <c r="J407" s="1" t="s">
        <v>1964</v>
      </c>
      <c r="K407" s="1" t="s">
        <v>22</v>
      </c>
      <c r="L407" s="1" t="str">
        <f>HYPERLINK("https://files.afu.se/Downloads/Transcripts/0%20-%20Government/USA%20-%20NASA/2020 12 09 - NASA - Meet Artemis Team Member Victor Glover_M_UBqIsUL1A - transcript (automated).pdf","Transcript Link")</f>
        <v>Transcript Link</v>
      </c>
      <c r="M407" s="2" t="str">
        <f>HYPERLINK("https://files.afu.se/Downloads/Transcripts/0%20-%20Government/USA%20-%20NASA/2020 12 09 - NASA - Meet Artemis Team Member Victor Glover_M_UBqIsUL1A - transcript (automated).pdf","Transcript Link")</f>
        <v>Transcript Link</v>
      </c>
    </row>
    <row r="408" ht="409.5" spans="1:13">
      <c r="A408" s="1" t="s">
        <v>1928</v>
      </c>
      <c r="B408" s="1" t="s">
        <v>13</v>
      </c>
      <c r="C408" s="4" t="s">
        <v>1965</v>
      </c>
      <c r="D408" s="1" t="s">
        <v>1966</v>
      </c>
      <c r="E408" s="1" t="s">
        <v>1967</v>
      </c>
      <c r="F408" s="4" t="s">
        <v>17</v>
      </c>
      <c r="G408" s="1" t="s">
        <v>18</v>
      </c>
      <c r="H408" s="1" t="s">
        <v>19</v>
      </c>
      <c r="I408" s="1" t="s">
        <v>20</v>
      </c>
      <c r="J408" s="1" t="s">
        <v>1968</v>
      </c>
      <c r="K408" s="1" t="s">
        <v>22</v>
      </c>
      <c r="L408" s="1" t="str">
        <f>HYPERLINK("https://files.afu.se/Downloads/Transcripts/0%20-%20Government/USA%20-%20NASA/2020 12 09 - NASA - Meet Artemis Team Member Kayla Barron_N7mz_xz5RN0 - transcript (automated).pdf","Transcript Link")</f>
        <v>Transcript Link</v>
      </c>
      <c r="M408" s="2" t="str">
        <f>HYPERLINK("https://files.afu.se/Downloads/Transcripts/0%20-%20Government/USA%20-%20NASA/2020 12 09 - NASA - Meet Artemis Team Member Kayla Barron_N7mz_xz5RN0 - transcript (automated).pdf","Transcript Link")</f>
        <v>Transcript Link</v>
      </c>
    </row>
    <row r="409" ht="409.5" spans="1:13">
      <c r="A409" s="1" t="s">
        <v>1928</v>
      </c>
      <c r="B409" s="1" t="s">
        <v>13</v>
      </c>
      <c r="C409" s="4" t="s">
        <v>1969</v>
      </c>
      <c r="D409" s="1" t="s">
        <v>1970</v>
      </c>
      <c r="E409" s="1" t="s">
        <v>1971</v>
      </c>
      <c r="F409" s="4" t="s">
        <v>17</v>
      </c>
      <c r="G409" s="1" t="s">
        <v>18</v>
      </c>
      <c r="H409" s="1" t="s">
        <v>19</v>
      </c>
      <c r="I409" s="1" t="s">
        <v>20</v>
      </c>
      <c r="J409" s="1" t="s">
        <v>1972</v>
      </c>
      <c r="K409" s="1" t="s">
        <v>22</v>
      </c>
      <c r="L409" s="1" t="str">
        <f>HYPERLINK("https://files.afu.se/Downloads/Transcripts/0%20-%20Government/USA%20-%20NASA/2020 12 09 - NASA - Meet Artemis Team Member Jasmin Moghbeli_NcMCxIbPyws - transcript (automated).pdf","Transcript Link")</f>
        <v>Transcript Link</v>
      </c>
      <c r="M409" s="2" t="str">
        <f>HYPERLINK("https://files.afu.se/Downloads/Transcripts/0%20-%20Government/USA%20-%20NASA/2020 12 09 - NASA - Meet Artemis Team Member Jasmin Moghbeli_NcMCxIbPyws - transcript (automated).pdf","Transcript Link")</f>
        <v>Transcript Link</v>
      </c>
    </row>
    <row r="410" ht="409.5" spans="1:13">
      <c r="A410" s="1" t="s">
        <v>1928</v>
      </c>
      <c r="B410" s="1" t="s">
        <v>13</v>
      </c>
      <c r="C410" s="4" t="s">
        <v>1973</v>
      </c>
      <c r="D410" s="1" t="s">
        <v>1974</v>
      </c>
      <c r="E410" s="1" t="s">
        <v>1975</v>
      </c>
      <c r="F410" s="4" t="s">
        <v>17</v>
      </c>
      <c r="G410" s="1" t="s">
        <v>18</v>
      </c>
      <c r="H410" s="1" t="s">
        <v>19</v>
      </c>
      <c r="I410" s="1" t="s">
        <v>20</v>
      </c>
      <c r="J410" s="1" t="s">
        <v>1976</v>
      </c>
      <c r="K410" s="1" t="s">
        <v>22</v>
      </c>
      <c r="L410" s="1" t="str">
        <f>HYPERLINK("https://files.afu.se/Downloads/Transcripts/0%20-%20Government/USA%20-%20NASA/2020 12 09 - NASA - Meet Artemis Team Member Anne McClain_bSKc8xvvd80 - transcript (automated).pdf","Transcript Link")</f>
        <v>Transcript Link</v>
      </c>
      <c r="M410" s="2" t="str">
        <f>HYPERLINK("https://files.afu.se/Downloads/Transcripts/0%20-%20Government/USA%20-%20NASA/2020 12 09 - NASA - Meet Artemis Team Member Anne McClain_bSKc8xvvd80 - transcript (automated).pdf","Transcript Link")</f>
        <v>Transcript Link</v>
      </c>
    </row>
    <row r="411" ht="409.5" spans="1:13">
      <c r="A411" s="1" t="s">
        <v>1928</v>
      </c>
      <c r="B411" s="1" t="s">
        <v>13</v>
      </c>
      <c r="C411" s="4" t="s">
        <v>1977</v>
      </c>
      <c r="D411" s="1" t="s">
        <v>1978</v>
      </c>
      <c r="E411" s="1" t="s">
        <v>1979</v>
      </c>
      <c r="F411" s="4" t="s">
        <v>17</v>
      </c>
      <c r="G411" s="1" t="s">
        <v>18</v>
      </c>
      <c r="H411" s="1" t="s">
        <v>19</v>
      </c>
      <c r="I411" s="1" t="s">
        <v>20</v>
      </c>
      <c r="J411" s="1" t="s">
        <v>1980</v>
      </c>
      <c r="K411" s="1" t="s">
        <v>22</v>
      </c>
      <c r="L411" s="1" t="str">
        <f>HYPERLINK("https://files.afu.se/Downloads/Transcripts/0%20-%20Government/USA%20-%20NASA/2020 12 09 - NASA - Meet Artemis Team Member Nicole Mann_cyePTXNJ1p4 - transcript (automated).pdf","Transcript Link")</f>
        <v>Transcript Link</v>
      </c>
      <c r="M411" s="2" t="str">
        <f>HYPERLINK("https://files.afu.se/Downloads/Transcripts/0%20-%20Government/USA%20-%20NASA/2020 12 09 - NASA - Meet Artemis Team Member Nicole Mann_cyePTXNJ1p4 - transcript (automated).pdf","Transcript Link")</f>
        <v>Transcript Link</v>
      </c>
    </row>
    <row r="412" ht="409.5" spans="1:13">
      <c r="A412" s="1" t="s">
        <v>1928</v>
      </c>
      <c r="B412" s="1" t="s">
        <v>13</v>
      </c>
      <c r="C412" s="4" t="s">
        <v>1981</v>
      </c>
      <c r="D412" s="1" t="s">
        <v>1982</v>
      </c>
      <c r="E412" s="1" t="s">
        <v>1983</v>
      </c>
      <c r="F412" s="4" t="s">
        <v>17</v>
      </c>
      <c r="G412" s="1" t="s">
        <v>18</v>
      </c>
      <c r="H412" s="1" t="s">
        <v>19</v>
      </c>
      <c r="I412" s="1" t="s">
        <v>20</v>
      </c>
      <c r="J412" s="1" t="s">
        <v>1984</v>
      </c>
      <c r="K412" s="1" t="s">
        <v>22</v>
      </c>
      <c r="L412" s="1" t="str">
        <f>HYPERLINK("https://files.afu.se/Downloads/Transcripts/0%20-%20Government/USA%20-%20NASA/2020 12 09 - NASA - Meet Artemis Team Member Jessica Watkins_jo-TeN2_lxE - transcript (automated).pdf","Transcript Link")</f>
        <v>Transcript Link</v>
      </c>
      <c r="M412" s="2" t="str">
        <f>HYPERLINK("https://files.afu.se/Downloads/Transcripts/0%20-%20Government/USA%20-%20NASA/2020 12 09 - NASA - Meet Artemis Team Member Jessica Watkins_jo-TeN2_lxE - transcript (automated).pdf","Transcript Link")</f>
        <v>Transcript Link</v>
      </c>
    </row>
    <row r="413" ht="409.5" spans="1:13">
      <c r="A413" s="1" t="s">
        <v>1928</v>
      </c>
      <c r="B413" s="1" t="s">
        <v>13</v>
      </c>
      <c r="C413" s="4" t="s">
        <v>1985</v>
      </c>
      <c r="D413" s="1" t="s">
        <v>1986</v>
      </c>
      <c r="E413" s="1" t="s">
        <v>1987</v>
      </c>
      <c r="F413" s="4" t="s">
        <v>17</v>
      </c>
      <c r="G413" s="1" t="s">
        <v>18</v>
      </c>
      <c r="H413" s="1" t="s">
        <v>19</v>
      </c>
      <c r="I413" s="1" t="s">
        <v>20</v>
      </c>
      <c r="J413" s="1" t="s">
        <v>1988</v>
      </c>
      <c r="K413" s="1" t="s">
        <v>22</v>
      </c>
      <c r="L413" s="1" t="str">
        <f>HYPERLINK("https://files.afu.se/Downloads/Transcripts/0%20-%20Government/USA%20-%20NASA/2020 12 09 - NASA - Meet Artemis Team Member Stephanie Wilson_pyGrcfUK2Ts - transcript (automated).pdf","Transcript Link")</f>
        <v>Transcript Link</v>
      </c>
      <c r="M413" s="2" t="str">
        <f>HYPERLINK("https://files.afu.se/Downloads/Transcripts/0%20-%20Government/USA%20-%20NASA/2020 12 09 - NASA - Meet Artemis Team Member Stephanie Wilson_pyGrcfUK2Ts - transcript (automated).pdf","Transcript Link")</f>
        <v>Transcript Link</v>
      </c>
    </row>
    <row r="414" ht="405" spans="1:13">
      <c r="A414" s="1" t="s">
        <v>1928</v>
      </c>
      <c r="B414" s="1" t="s">
        <v>13</v>
      </c>
      <c r="C414" s="4" t="s">
        <v>1989</v>
      </c>
      <c r="D414" s="1" t="s">
        <v>1990</v>
      </c>
      <c r="E414" s="1" t="s">
        <v>1991</v>
      </c>
      <c r="F414" s="4" t="s">
        <v>17</v>
      </c>
      <c r="G414" s="1" t="s">
        <v>18</v>
      </c>
      <c r="H414" s="1" t="s">
        <v>19</v>
      </c>
      <c r="I414" s="1" t="s">
        <v>20</v>
      </c>
      <c r="J414" s="1" t="s">
        <v>1992</v>
      </c>
      <c r="K414" s="1" t="s">
        <v>22</v>
      </c>
      <c r="L414" s="1" t="str">
        <f>HYPERLINK("https://files.afu.se/Downloads/Transcripts/0%20-%20Government/USA%20-%20NASA/2020 12 09 - NASA - Meet Artemis Team Member Woody Hoburg_lSKw3R0e97Y - transcript (automated).pdf","Transcript Link")</f>
        <v>Transcript Link</v>
      </c>
      <c r="M414" s="2" t="str">
        <f>HYPERLINK("https://files.afu.se/Downloads/Transcripts/0%20-%20Government/USA%20-%20NASA/2020 12 09 - NASA - Meet Artemis Team Member Woody Hoburg_lSKw3R0e97Y - transcript (automated).pdf","Transcript Link")</f>
        <v>Transcript Link</v>
      </c>
    </row>
    <row r="415" ht="409.5" spans="1:13">
      <c r="A415" s="1" t="s">
        <v>1928</v>
      </c>
      <c r="B415" s="1" t="s">
        <v>13</v>
      </c>
      <c r="C415" s="4" t="s">
        <v>1993</v>
      </c>
      <c r="D415" s="1" t="s">
        <v>1994</v>
      </c>
      <c r="E415" s="1" t="s">
        <v>1995</v>
      </c>
      <c r="F415" s="4" t="s">
        <v>17</v>
      </c>
      <c r="G415" s="1" t="s">
        <v>18</v>
      </c>
      <c r="H415" s="1" t="s">
        <v>19</v>
      </c>
      <c r="I415" s="1" t="s">
        <v>20</v>
      </c>
      <c r="J415" s="1" t="s">
        <v>1996</v>
      </c>
      <c r="K415" s="1" t="s">
        <v>22</v>
      </c>
      <c r="L415" s="1" t="str">
        <f>HYPERLINK("https://files.afu.se/Downloads/Transcripts/0%20-%20Government/USA%20-%20NASA/2020 12 09 - NASA - Meet Artemis Team Member Jessica Meir_u1stIxjQV-Q - transcript (automated).pdf","Transcript Link")</f>
        <v>Transcript Link</v>
      </c>
      <c r="M415" s="2" t="str">
        <f>HYPERLINK("https://files.afu.se/Downloads/Transcripts/0%20-%20Government/USA%20-%20NASA/2020 12 09 - NASA - Meet Artemis Team Member Jessica Meir_u1stIxjQV-Q - transcript (automated).pdf","Transcript Link")</f>
        <v>Transcript Link</v>
      </c>
    </row>
    <row r="416" ht="405" spans="1:13">
      <c r="A416" s="1" t="s">
        <v>1928</v>
      </c>
      <c r="B416" s="1" t="s">
        <v>13</v>
      </c>
      <c r="C416" s="4" t="s">
        <v>1997</v>
      </c>
      <c r="D416" s="1" t="s">
        <v>1998</v>
      </c>
      <c r="E416" s="1" t="s">
        <v>1999</v>
      </c>
      <c r="F416" s="4" t="s">
        <v>17</v>
      </c>
      <c r="G416" s="1" t="s">
        <v>18</v>
      </c>
      <c r="H416" s="1" t="s">
        <v>19</v>
      </c>
      <c r="I416" s="1" t="s">
        <v>20</v>
      </c>
      <c r="J416" s="1" t="s">
        <v>2000</v>
      </c>
      <c r="K416" s="1" t="s">
        <v>22</v>
      </c>
      <c r="L416" s="1" t="str">
        <f>HYPERLINK("https://files.afu.se/Downloads/Transcripts/0%20-%20Government/USA%20-%20NASA/2020 12 09 - NASA - Meet Artemis Team Member Joe Acaba_xJpbemMjqQo - transcript (automated).pdf","Transcript Link")</f>
        <v>Transcript Link</v>
      </c>
      <c r="M416" s="2" t="str">
        <f>HYPERLINK("https://files.afu.se/Downloads/Transcripts/0%20-%20Government/USA%20-%20NASA/2020 12 09 - NASA - Meet Artemis Team Member Joe Acaba_xJpbemMjqQo - transcript (automated).pdf","Transcript Link")</f>
        <v>Transcript Link</v>
      </c>
    </row>
    <row r="417" ht="165" spans="1:13">
      <c r="A417" s="1" t="s">
        <v>2001</v>
      </c>
      <c r="B417" s="1" t="s">
        <v>13</v>
      </c>
      <c r="C417" s="4" t="s">
        <v>2002</v>
      </c>
      <c r="D417" s="1" t="s">
        <v>2003</v>
      </c>
      <c r="E417" s="1" t="s">
        <v>2004</v>
      </c>
      <c r="F417" s="4" t="s">
        <v>17</v>
      </c>
      <c r="G417" s="1" t="s">
        <v>18</v>
      </c>
      <c r="H417" s="1" t="s">
        <v>19</v>
      </c>
      <c r="I417" s="1" t="s">
        <v>20</v>
      </c>
      <c r="J417" s="1" t="s">
        <v>2005</v>
      </c>
      <c r="K417" s="1" t="s">
        <v>22</v>
      </c>
      <c r="L417" s="1" t="str">
        <f>HYPERLINK("https://files.afu.se/Downloads/Transcripts/0%20-%20Government/USA%20-%20NASA/2020 12 05 - NASA - Critical Cargo on the Next Space Station Resupply Mission on This Week @NASA – December 5, 2020_ydRjW7keLGo - transcript (automated).pdf","Transcript Link")</f>
        <v>Transcript Link</v>
      </c>
      <c r="M417" s="2" t="str">
        <f>HYPERLINK("https://files.afu.se/Downloads/Transcripts/0%20-%20Government/USA%20-%20NASA/2020 12 05 - NASA - Critical Cargo on the Next Space Station Resupply Mission on This Week @NASA – December 5, 2020_ydRjW7keLGo - transcript (automated).pdf","Transcript Link")</f>
        <v>Transcript Link</v>
      </c>
    </row>
    <row r="418" ht="240" spans="1:13">
      <c r="A418" s="1" t="s">
        <v>2006</v>
      </c>
      <c r="B418" s="1" t="s">
        <v>13</v>
      </c>
      <c r="C418" s="4" t="s">
        <v>2007</v>
      </c>
      <c r="D418" s="1" t="s">
        <v>2008</v>
      </c>
      <c r="E418" s="1" t="s">
        <v>2009</v>
      </c>
      <c r="F418" s="4" t="s">
        <v>17</v>
      </c>
      <c r="G418" s="1" t="s">
        <v>18</v>
      </c>
      <c r="H418" s="1" t="s">
        <v>19</v>
      </c>
      <c r="I418" s="1" t="s">
        <v>20</v>
      </c>
      <c r="J418" s="1" t="s">
        <v>2010</v>
      </c>
      <c r="K418" s="1" t="s">
        <v>22</v>
      </c>
      <c r="L418" s="1" t="str">
        <f>HYPERLINK("https://files.afu.se/Downloads/Transcripts/0%20-%20Government/USA%20-%20NASA/2020 12 04 - NASA - Gravity Assist  Set Sail for Europa_9Xx0IRlh4hw - transcript (automated).pdf","Transcript Link")</f>
        <v>Transcript Link</v>
      </c>
      <c r="M418" s="2" t="str">
        <f>HYPERLINK("https://files.afu.se/Downloads/Transcripts/0%20-%20Government/USA%20-%20NASA/2020 12 04 - NASA - Gravity Assist  Set Sail for Europa_9Xx0IRlh4hw - transcript (automated).pdf","Transcript Link")</f>
        <v>Transcript Link</v>
      </c>
    </row>
    <row r="419" ht="165" spans="1:13">
      <c r="A419" s="1" t="s">
        <v>2011</v>
      </c>
      <c r="B419" s="1" t="s">
        <v>13</v>
      </c>
      <c r="C419" s="4" t="s">
        <v>2012</v>
      </c>
      <c r="D419" s="1" t="s">
        <v>2013</v>
      </c>
      <c r="E419" s="1" t="s">
        <v>2014</v>
      </c>
      <c r="F419" s="4" t="s">
        <v>17</v>
      </c>
      <c r="G419" s="1" t="s">
        <v>18</v>
      </c>
      <c r="H419" s="1" t="s">
        <v>19</v>
      </c>
      <c r="I419" s="1" t="s">
        <v>20</v>
      </c>
      <c r="J419" s="1" t="s">
        <v>2015</v>
      </c>
      <c r="K419" s="1" t="s">
        <v>22</v>
      </c>
      <c r="L419" s="1" t="str">
        <f>HYPERLINK("https://files.afu.se/Downloads/Transcripts/0%20-%20Government/USA%20-%20NASA/2020 12 01 - NASA - What You Need to Know About Organic Molecules_orXKd7kTWiw - transcript (automated).pdf","Transcript Link")</f>
        <v>Transcript Link</v>
      </c>
      <c r="M419" s="2" t="str">
        <f>HYPERLINK("https://files.afu.se/Downloads/Transcripts/0%20-%20Government/USA%20-%20NASA/2020 12 01 - NASA - What You Need to Know About Organic Molecules_orXKd7kTWiw - transcript (automated).pdf","Transcript Link")</f>
        <v>Transcript Link</v>
      </c>
    </row>
    <row r="420" ht="210" spans="1:13">
      <c r="A420" s="1" t="s">
        <v>2016</v>
      </c>
      <c r="B420" s="1" t="s">
        <v>13</v>
      </c>
      <c r="C420" s="4" t="s">
        <v>2017</v>
      </c>
      <c r="D420" s="1" t="s">
        <v>2018</v>
      </c>
      <c r="E420" s="1" t="s">
        <v>2019</v>
      </c>
      <c r="F420" s="4" t="s">
        <v>17</v>
      </c>
      <c r="G420" s="1" t="s">
        <v>18</v>
      </c>
      <c r="H420" s="1" t="s">
        <v>19</v>
      </c>
      <c r="I420" s="1" t="s">
        <v>20</v>
      </c>
      <c r="J420" s="1" t="s">
        <v>2020</v>
      </c>
      <c r="K420" s="1" t="s">
        <v>22</v>
      </c>
      <c r="L420" s="1" t="str">
        <f>HYPERLINK("https://files.afu.se/Downloads/Transcripts/0%20-%20Government/USA%20-%20NASA/2020 11 27 - NASA - Making Ready for the First Artemis Mission Around the Moon on This Week @NASA – November 27, 2020_zMYbirKXmSY - transcript (automated).pdf","Transcript Link")</f>
        <v>Transcript Link</v>
      </c>
      <c r="M420" s="2" t="str">
        <f>HYPERLINK("https://files.afu.se/Downloads/Transcripts/0%20-%20Government/USA%20-%20NASA/2020 11 27 - NASA - Making Ready for the First Artemis Mission Around the Moon on This Week @NASA – November 27, 2020_zMYbirKXmSY - transcript (automated).pdf","Transcript Link")</f>
        <v>Transcript Link</v>
      </c>
    </row>
    <row r="421" ht="165" spans="1:13">
      <c r="A421" s="1" t="s">
        <v>2021</v>
      </c>
      <c r="B421" s="1" t="s">
        <v>13</v>
      </c>
      <c r="C421" s="4" t="s">
        <v>2022</v>
      </c>
      <c r="D421" s="1" t="s">
        <v>2023</v>
      </c>
      <c r="E421" s="1" t="s">
        <v>2024</v>
      </c>
      <c r="F421" s="4" t="s">
        <v>17</v>
      </c>
      <c r="G421" s="1" t="s">
        <v>18</v>
      </c>
      <c r="H421" s="1" t="s">
        <v>19</v>
      </c>
      <c r="I421" s="1" t="s">
        <v>20</v>
      </c>
      <c r="J421" s="1" t="s">
        <v>2025</v>
      </c>
      <c r="K421" s="1" t="s">
        <v>22</v>
      </c>
      <c r="L421" s="1" t="str">
        <f>HYPERLINK("https://files.afu.se/Downloads/Transcripts/0%20-%20Government/USA%20-%20NASA/2020 11 26 - NASA - Thanksgiving in Zero-G  Preparing Meals at the International Space Station_UeIcDAhcQA8 - transcript (automated).pdf","Transcript Link")</f>
        <v>Transcript Link</v>
      </c>
      <c r="M421" s="2" t="str">
        <f>HYPERLINK("https://files.afu.se/Downloads/Transcripts/0%20-%20Government/USA%20-%20NASA/2020 11 26 - NASA - Thanksgiving in Zero-G  Preparing Meals at the International Space Station_UeIcDAhcQA8 - transcript (automated).pdf","Transcript Link")</f>
        <v>Transcript Link</v>
      </c>
    </row>
    <row r="422" ht="165" spans="1:13">
      <c r="A422" s="1" t="s">
        <v>2026</v>
      </c>
      <c r="B422" s="1" t="s">
        <v>13</v>
      </c>
      <c r="C422" s="4" t="s">
        <v>2027</v>
      </c>
      <c r="D422" s="1" t="s">
        <v>2028</v>
      </c>
      <c r="E422" s="1" t="s">
        <v>2029</v>
      </c>
      <c r="F422" s="4" t="s">
        <v>17</v>
      </c>
      <c r="G422" s="1" t="s">
        <v>18</v>
      </c>
      <c r="H422" s="1" t="s">
        <v>19</v>
      </c>
      <c r="I422" s="1" t="s">
        <v>20</v>
      </c>
      <c r="J422" s="1" t="s">
        <v>2030</v>
      </c>
      <c r="K422" s="1" t="s">
        <v>22</v>
      </c>
      <c r="L422" s="1" t="str">
        <f>HYPERLINK("https://files.afu.se/Downloads/Transcripts/0%20-%20Government/USA%20-%20NASA/2020 11 25 - NASA - What You Need to Know About Saturn's Moon Titan_lr4r70DWShk - transcript (automated).pdf","Transcript Link")</f>
        <v>Transcript Link</v>
      </c>
      <c r="M422" s="2" t="str">
        <f>HYPERLINK("https://files.afu.se/Downloads/Transcripts/0%20-%20Government/USA%20-%20NASA/2020 11 25 - NASA - What You Need to Know About Saturn's Moon Titan_lr4r70DWShk - transcript (automated).pdf","Transcript Link")</f>
        <v>Transcript Link</v>
      </c>
    </row>
    <row r="423" ht="195" spans="1:13">
      <c r="A423" s="1" t="s">
        <v>2031</v>
      </c>
      <c r="B423" s="1" t="s">
        <v>13</v>
      </c>
      <c r="C423" s="4" t="s">
        <v>2032</v>
      </c>
      <c r="D423" s="1" t="s">
        <v>2033</v>
      </c>
      <c r="E423" s="1" t="s">
        <v>2034</v>
      </c>
      <c r="F423" s="4" t="s">
        <v>17</v>
      </c>
      <c r="G423" s="1" t="s">
        <v>18</v>
      </c>
      <c r="H423" s="1" t="s">
        <v>19</v>
      </c>
      <c r="I423" s="1" t="s">
        <v>20</v>
      </c>
      <c r="J423" s="1" t="s">
        <v>2035</v>
      </c>
      <c r="K423" s="1" t="s">
        <v>22</v>
      </c>
      <c r="L423" s="1" t="str">
        <f>HYPERLINK("https://files.afu.se/Downloads/Transcripts/0%20-%20Government/USA%20-%20NASA/2020 11 21 - NASA - The Journey of Resilience to The Space Station on This Week @NASA – November 21, 2020_qzpct7J4wfo - transcript (automated).pdf","Transcript Link")</f>
        <v>Transcript Link</v>
      </c>
      <c r="M423" s="2" t="str">
        <f>HYPERLINK("https://files.afu.se/Downloads/Transcripts/0%20-%20Government/USA%20-%20NASA/2020 11 21 - NASA - The Journey of Resilience to The Space Station on This Week @NASA – November 21, 2020_qzpct7J4wfo - transcript (automated).pdf","Transcript Link")</f>
        <v>Transcript Link</v>
      </c>
    </row>
    <row r="424" ht="165" spans="1:13">
      <c r="A424" s="1" t="s">
        <v>2031</v>
      </c>
      <c r="B424" s="1" t="s">
        <v>13</v>
      </c>
      <c r="C424" s="4" t="s">
        <v>2036</v>
      </c>
      <c r="D424" s="1" t="s">
        <v>2037</v>
      </c>
      <c r="E424" s="1" t="s">
        <v>2038</v>
      </c>
      <c r="F424" s="4" t="s">
        <v>17</v>
      </c>
      <c r="G424" s="1" t="s">
        <v>18</v>
      </c>
      <c r="H424" s="1" t="s">
        <v>19</v>
      </c>
      <c r="I424" s="1" t="s">
        <v>20</v>
      </c>
      <c r="J424" s="1" t="s">
        <v>2039</v>
      </c>
      <c r="K424" s="1" t="s">
        <v>22</v>
      </c>
      <c r="L424" s="1" t="str">
        <f>HYPERLINK("https://files.afu.se/Downloads/Transcripts/0%20-%20Government/USA%20-%20NASA/2020 11 21 - NASA - Launch of Sentinel-6 Michael Freilich Satellite_G3yNvuCWDtU - transcript (automated).pdf","Transcript Link")</f>
        <v>Transcript Link</v>
      </c>
      <c r="M424" s="2" t="str">
        <f>HYPERLINK("https://files.afu.se/Downloads/Transcripts/0%20-%20Government/USA%20-%20NASA/2020 11 21 - NASA - Launch of Sentinel-6 Michael Freilich Satellite_G3yNvuCWDtU - transcript (automated).pdf","Transcript Link")</f>
        <v>Transcript Link</v>
      </c>
    </row>
    <row r="425" ht="165" spans="1:13">
      <c r="A425" s="1" t="s">
        <v>2040</v>
      </c>
      <c r="B425" s="1" t="s">
        <v>13</v>
      </c>
      <c r="C425" s="4" t="s">
        <v>2041</v>
      </c>
      <c r="D425" s="1" t="s">
        <v>2042</v>
      </c>
      <c r="E425" s="1" t="s">
        <v>2043</v>
      </c>
      <c r="F425" s="4" t="s">
        <v>17</v>
      </c>
      <c r="G425" s="1" t="s">
        <v>18</v>
      </c>
      <c r="H425" s="1" t="s">
        <v>19</v>
      </c>
      <c r="I425" s="1" t="s">
        <v>20</v>
      </c>
      <c r="J425" s="1" t="s">
        <v>2044</v>
      </c>
      <c r="K425" s="1" t="s">
        <v>22</v>
      </c>
      <c r="L425" s="1" t="str">
        <f>HYPERLINK("https://files.afu.se/Downloads/Transcripts/0%20-%20Government/USA%20-%20NASA/2020 11 17 - NASA - SpaceX's CRS-21 Mission to the Space Station  What's On Board_Dcy4yZb13fE - transcript (automated).pdf","Transcript Link")</f>
        <v>Transcript Link</v>
      </c>
      <c r="M425" s="2" t="str">
        <f>HYPERLINK("https://files.afu.se/Downloads/Transcripts/0%20-%20Government/USA%20-%20NASA/2020 11 17 - NASA - SpaceX's CRS-21 Mission to the Space Station  What's On Board_Dcy4yZb13fE - transcript (automated).pdf","Transcript Link")</f>
        <v>Transcript Link</v>
      </c>
    </row>
    <row r="426" ht="345" spans="1:13">
      <c r="A426" s="1" t="s">
        <v>2040</v>
      </c>
      <c r="B426" s="1" t="s">
        <v>13</v>
      </c>
      <c r="C426" s="4" t="s">
        <v>2045</v>
      </c>
      <c r="D426" s="1" t="s">
        <v>2046</v>
      </c>
      <c r="E426" s="1" t="s">
        <v>2047</v>
      </c>
      <c r="F426" s="4" t="s">
        <v>17</v>
      </c>
      <c r="G426" s="1" t="s">
        <v>18</v>
      </c>
      <c r="H426" s="1" t="s">
        <v>19</v>
      </c>
      <c r="I426" s="1" t="s">
        <v>20</v>
      </c>
      <c r="J426" s="1" t="s">
        <v>2048</v>
      </c>
      <c r="K426" s="1" t="s">
        <v>22</v>
      </c>
      <c r="L426" s="1" t="str">
        <f>HYPERLINK("https://files.afu.se/Downloads/Transcripts/0%20-%20Government/USA%20-%20NASA/2020 11 17 - NASA - NASA's SpaceX Crew-1 Launch_QgPXtQQnQ-k - transcript (automated).pdf","Transcript Link")</f>
        <v>Transcript Link</v>
      </c>
      <c r="M426" s="2" t="str">
        <f>HYPERLINK("https://files.afu.se/Downloads/Transcripts/0%20-%20Government/USA%20-%20NASA/2020 11 17 - NASA - NASA's SpaceX Crew-1 Launch_QgPXtQQnQ-k - transcript (automated).pdf","Transcript Link")</f>
        <v>Transcript Link</v>
      </c>
    </row>
    <row r="427" ht="165" spans="1:13">
      <c r="A427" s="1" t="s">
        <v>2040</v>
      </c>
      <c r="B427" s="1" t="s">
        <v>13</v>
      </c>
      <c r="C427" s="4" t="s">
        <v>2049</v>
      </c>
      <c r="D427" s="1" t="s">
        <v>2050</v>
      </c>
      <c r="E427" s="1" t="s">
        <v>2051</v>
      </c>
      <c r="F427" s="4" t="s">
        <v>17</v>
      </c>
      <c r="G427" s="1" t="s">
        <v>18</v>
      </c>
      <c r="H427" s="1" t="s">
        <v>19</v>
      </c>
      <c r="I427" s="1" t="s">
        <v>20</v>
      </c>
      <c r="J427" s="1" t="s">
        <v>2052</v>
      </c>
      <c r="K427" s="1" t="s">
        <v>22</v>
      </c>
      <c r="L427" s="1" t="str">
        <f>HYPERLINK("https://files.afu.se/Downloads/Transcripts/0%20-%20Government/USA%20-%20NASA/2020 11 17 - NASA - NASA Science Live  Rising Seas_rOvt25CYSb4 - transcript (automated).pdf","Transcript Link")</f>
        <v>Transcript Link</v>
      </c>
      <c r="M427" s="2" t="str">
        <f>HYPERLINK("https://files.afu.se/Downloads/Transcripts/0%20-%20Government/USA%20-%20NASA/2020 11 17 - NASA - NASA Science Live  Rising Seas_rOvt25CYSb4 - transcript (automated).pdf","Transcript Link")</f>
        <v>Transcript Link</v>
      </c>
    </row>
    <row r="428" ht="165" spans="1:13">
      <c r="A428" s="1" t="s">
        <v>2053</v>
      </c>
      <c r="B428" s="1" t="s">
        <v>13</v>
      </c>
      <c r="C428" s="4" t="s">
        <v>2054</v>
      </c>
      <c r="D428" s="1" t="s">
        <v>2055</v>
      </c>
      <c r="E428" s="1" t="s">
        <v>2056</v>
      </c>
      <c r="F428" s="4" t="s">
        <v>17</v>
      </c>
      <c r="G428" s="1" t="s">
        <v>18</v>
      </c>
      <c r="H428" s="1" t="s">
        <v>19</v>
      </c>
      <c r="I428" s="1" t="s">
        <v>20</v>
      </c>
      <c r="J428" s="1" t="s">
        <v>2057</v>
      </c>
      <c r="K428" s="1" t="s">
        <v>22</v>
      </c>
      <c r="L428" s="1" t="str">
        <f>HYPERLINK("https://files.afu.se/Downloads/Transcripts/0%20-%20Government/USA%20-%20NASA/2020 11 16 - NASA - Liftoff of NASA's SpaceX Crew-1 Mission_PYLhLA_sv6E - transcript (automated).pdf","Transcript Link")</f>
        <v>Transcript Link</v>
      </c>
      <c r="M428" s="2" t="str">
        <f>HYPERLINK("https://files.afu.se/Downloads/Transcripts/0%20-%20Government/USA%20-%20NASA/2020 11 16 - NASA - Liftoff of NASA's SpaceX Crew-1 Mission_PYLhLA_sv6E - transcript (automated).pdf","Transcript Link")</f>
        <v>Transcript Link</v>
      </c>
    </row>
    <row r="429" ht="195" spans="1:13">
      <c r="A429" s="1" t="s">
        <v>2058</v>
      </c>
      <c r="B429" s="1" t="s">
        <v>13</v>
      </c>
      <c r="C429" s="4" t="s">
        <v>2059</v>
      </c>
      <c r="D429" s="1" t="s">
        <v>2060</v>
      </c>
      <c r="E429" s="1" t="s">
        <v>2061</v>
      </c>
      <c r="F429" s="4" t="s">
        <v>17</v>
      </c>
      <c r="G429" s="1" t="s">
        <v>18</v>
      </c>
      <c r="H429" s="1" t="s">
        <v>19</v>
      </c>
      <c r="I429" s="1" t="s">
        <v>20</v>
      </c>
      <c r="J429" s="1" t="s">
        <v>2062</v>
      </c>
      <c r="K429" s="1" t="s">
        <v>22</v>
      </c>
      <c r="L429" s="1" t="str">
        <f>HYPERLINK("https://files.afu.se/Downloads/Transcripts/0%20-%20Government/USA%20-%20NASA/2020 11 15 - NASA - Meet Mike Hopkins, Crew-1 Commander_jAXm_J0KALc - transcript (automated).pdf","Transcript Link")</f>
        <v>Transcript Link</v>
      </c>
      <c r="M429" s="2" t="str">
        <f>HYPERLINK("https://files.afu.se/Downloads/Transcripts/0%20-%20Government/USA%20-%20NASA/2020 11 15 - NASA - Meet Mike Hopkins, Crew-1 Commander_jAXm_J0KALc - transcript (automated).pdf","Transcript Link")</f>
        <v>Transcript Link</v>
      </c>
    </row>
    <row r="430" ht="165" spans="1:13">
      <c r="A430" s="1" t="s">
        <v>2058</v>
      </c>
      <c r="B430" s="1" t="s">
        <v>13</v>
      </c>
      <c r="C430" s="4" t="s">
        <v>2063</v>
      </c>
      <c r="D430" s="1" t="s">
        <v>2064</v>
      </c>
      <c r="E430" s="1" t="s">
        <v>2065</v>
      </c>
      <c r="F430" s="4" t="s">
        <v>17</v>
      </c>
      <c r="G430" s="1" t="s">
        <v>18</v>
      </c>
      <c r="H430" s="1" t="s">
        <v>19</v>
      </c>
      <c r="I430" s="1" t="s">
        <v>20</v>
      </c>
      <c r="J430" s="1" t="s">
        <v>2066</v>
      </c>
      <c r="K430" s="1" t="s">
        <v>22</v>
      </c>
      <c r="L430" s="1" t="str">
        <f>HYPERLINK("https://files.afu.se/Downloads/Transcripts/0%20-%20Government/USA%20-%20NASA/2020 11 15 - NASA - Meet Victor Glover, Crew-1 Pilot_jD0QlR_J8vE - transcript (automated).pdf","Transcript Link")</f>
        <v>Transcript Link</v>
      </c>
      <c r="M430" s="2" t="str">
        <f>HYPERLINK("https://files.afu.se/Downloads/Transcripts/0%20-%20Government/USA%20-%20NASA/2020 11 15 - NASA - Meet Victor Glover, Crew-1 Pilot_jD0QlR_J8vE - transcript (automated).pdf","Transcript Link")</f>
        <v>Transcript Link</v>
      </c>
    </row>
    <row r="431" ht="180" spans="1:13">
      <c r="A431" s="1" t="s">
        <v>2058</v>
      </c>
      <c r="B431" s="1" t="s">
        <v>13</v>
      </c>
      <c r="C431" s="4" t="s">
        <v>2067</v>
      </c>
      <c r="D431" s="1" t="s">
        <v>2068</v>
      </c>
      <c r="E431" s="1" t="s">
        <v>2069</v>
      </c>
      <c r="F431" s="4" t="s">
        <v>17</v>
      </c>
      <c r="G431" s="1" t="s">
        <v>18</v>
      </c>
      <c r="H431" s="1" t="s">
        <v>19</v>
      </c>
      <c r="I431" s="1" t="s">
        <v>20</v>
      </c>
      <c r="J431" s="1" t="s">
        <v>2070</v>
      </c>
      <c r="K431" s="1" t="s">
        <v>22</v>
      </c>
      <c r="L431" s="1" t="str">
        <f>HYPERLINK("https://files.afu.se/Downloads/Transcripts/0%20-%20Government/USA%20-%20NASA/2020 11 15 - NASA - Meet Shannon Walker, Crew-1 Mission Specialist_9zj5-KzHJrY - transcript (automated).pdf","Transcript Link")</f>
        <v>Transcript Link</v>
      </c>
      <c r="M431" s="2" t="str">
        <f>HYPERLINK("https://files.afu.se/Downloads/Transcripts/0%20-%20Government/USA%20-%20NASA/2020 11 15 - NASA - Meet Shannon Walker, Crew-1 Mission Specialist_9zj5-KzHJrY - transcript (automated).pdf","Transcript Link")</f>
        <v>Transcript Link</v>
      </c>
    </row>
    <row r="432" ht="165" spans="1:13">
      <c r="A432" s="1" t="s">
        <v>2058</v>
      </c>
      <c r="B432" s="1" t="s">
        <v>13</v>
      </c>
      <c r="C432" s="4" t="s">
        <v>2071</v>
      </c>
      <c r="D432" s="1" t="s">
        <v>2072</v>
      </c>
      <c r="E432" s="1" t="s">
        <v>2073</v>
      </c>
      <c r="F432" s="4" t="s">
        <v>17</v>
      </c>
      <c r="G432" s="1" t="s">
        <v>18</v>
      </c>
      <c r="H432" s="1" t="s">
        <v>19</v>
      </c>
      <c r="I432" s="1" t="s">
        <v>20</v>
      </c>
      <c r="J432" s="1" t="s">
        <v>2074</v>
      </c>
      <c r="K432" s="1" t="s">
        <v>22</v>
      </c>
      <c r="L432" s="1" t="str">
        <f>HYPERLINK("https://files.afu.se/Downloads/Transcripts/0%20-%20Government/USA%20-%20NASA/2020 11 15 - NASA - Meet Soichi Noguchi, Crew-1 Mission Specialist_FWPyBmd1Cv0 - transcript (automated).pdf","Transcript Link")</f>
        <v>Transcript Link</v>
      </c>
      <c r="M432" s="2" t="str">
        <f>HYPERLINK("https://files.afu.se/Downloads/Transcripts/0%20-%20Government/USA%20-%20NASA/2020 11 15 - NASA - Meet Soichi Noguchi, Crew-1 Mission Specialist_FWPyBmd1Cv0 - transcript (automated).pdf","Transcript Link")</f>
        <v>Transcript Link</v>
      </c>
    </row>
    <row r="433" ht="165" spans="1:13">
      <c r="A433" s="1" t="s">
        <v>2075</v>
      </c>
      <c r="B433" s="1" t="s">
        <v>13</v>
      </c>
      <c r="C433" s="4" t="s">
        <v>2076</v>
      </c>
      <c r="D433" s="1" t="s">
        <v>2077</v>
      </c>
      <c r="E433" s="1" t="s">
        <v>2078</v>
      </c>
      <c r="F433" s="4" t="s">
        <v>17</v>
      </c>
      <c r="G433" s="1" t="s">
        <v>18</v>
      </c>
      <c r="H433" s="1" t="s">
        <v>19</v>
      </c>
      <c r="I433" s="1" t="s">
        <v>20</v>
      </c>
      <c r="J433" s="1" t="s">
        <v>2079</v>
      </c>
      <c r="K433" s="1" t="s">
        <v>22</v>
      </c>
      <c r="L433" s="1" t="str">
        <f>HYPERLINK("https://files.afu.se/Downloads/Transcripts/0%20-%20Government/USA%20-%20NASA/2020 11 13 - NASA - The Next Space Station Crew Launching From America on This Week @NASA – November 13, 2020_zYGnnfhq8ek - transcript (automated).pdf","Transcript Link")</f>
        <v>Transcript Link</v>
      </c>
      <c r="M433" s="2" t="str">
        <f>HYPERLINK("https://files.afu.se/Downloads/Transcripts/0%20-%20Government/USA%20-%20NASA/2020 11 13 - NASA - The Next Space Station Crew Launching From America on This Week @NASA – November 13, 2020_zYGnnfhq8ek - transcript (automated).pdf","Transcript Link")</f>
        <v>Transcript Link</v>
      </c>
    </row>
    <row r="434" ht="285" spans="1:13">
      <c r="A434" s="1" t="s">
        <v>2075</v>
      </c>
      <c r="B434" s="1" t="s">
        <v>13</v>
      </c>
      <c r="C434" s="4" t="s">
        <v>2080</v>
      </c>
      <c r="D434" s="1" t="s">
        <v>2081</v>
      </c>
      <c r="E434" s="1" t="s">
        <v>2082</v>
      </c>
      <c r="F434" s="4" t="s">
        <v>17</v>
      </c>
      <c r="G434" s="1" t="s">
        <v>18</v>
      </c>
      <c r="H434" s="1" t="s">
        <v>19</v>
      </c>
      <c r="I434" s="1" t="s">
        <v>20</v>
      </c>
      <c r="J434" s="1" t="s">
        <v>2083</v>
      </c>
      <c r="K434" s="1" t="s">
        <v>22</v>
      </c>
      <c r="L434" s="1" t="str">
        <f>HYPERLINK("https://files.afu.se/Downloads/Transcripts/0%20-%20Government/USA%20-%20NASA/2020 11 13 - NASA - Mars Takes a Breath, with Jen Eigenbrode_RzDFkmqbZBA - transcript (automated).pdf","Transcript Link")</f>
        <v>Transcript Link</v>
      </c>
      <c r="M434" s="2" t="str">
        <f>HYPERLINK("https://files.afu.se/Downloads/Transcripts/0%20-%20Government/USA%20-%20NASA/2020 11 13 - NASA - Mars Takes a Breath, with Jen Eigenbrode_RzDFkmqbZBA - transcript (automated).pdf","Transcript Link")</f>
        <v>Transcript Link</v>
      </c>
    </row>
    <row r="435" ht="210" spans="1:13">
      <c r="A435" s="1" t="s">
        <v>2075</v>
      </c>
      <c r="B435" s="1" t="s">
        <v>13</v>
      </c>
      <c r="C435" s="4" t="s">
        <v>2084</v>
      </c>
      <c r="D435" s="1" t="s">
        <v>2085</v>
      </c>
      <c r="E435" s="1" t="s">
        <v>2086</v>
      </c>
      <c r="F435" s="4" t="s">
        <v>17</v>
      </c>
      <c r="G435" s="1" t="s">
        <v>18</v>
      </c>
      <c r="H435" s="1" t="s">
        <v>19</v>
      </c>
      <c r="I435" s="1" t="s">
        <v>20</v>
      </c>
      <c r="J435" s="1" t="s">
        <v>2087</v>
      </c>
      <c r="K435" s="1" t="s">
        <v>22</v>
      </c>
      <c r="L435" s="1" t="str">
        <f>HYPERLINK("https://files.afu.se/Downloads/Transcripts/0%20-%20Government/USA%20-%20NASA/2020 11 13 - NASA - Thank You For Sharing Your %23NASAMoonKit With Us!_T0_RJ4fbWA4 - transcript (automated).pdf","Transcript Link")</f>
        <v>Transcript Link</v>
      </c>
      <c r="M435" s="2" t="str">
        <f>HYPERLINK("https://files.afu.se/Downloads/Transcripts/0%20-%20Government/USA%20-%20NASA/2020 11 13 - NASA - Thank You For Sharing Your %23NASAMoonKit With Us!_T0_RJ4fbWA4 - transcript (automated).pdf","Transcript Link")</f>
        <v>Transcript Link</v>
      </c>
    </row>
    <row r="436" ht="409.5" spans="1:13">
      <c r="A436" s="1" t="s">
        <v>2088</v>
      </c>
      <c r="B436" s="1" t="s">
        <v>13</v>
      </c>
      <c r="C436" s="4" t="s">
        <v>2089</v>
      </c>
      <c r="D436" s="1" t="s">
        <v>2090</v>
      </c>
      <c r="E436" s="1" t="s">
        <v>2091</v>
      </c>
      <c r="F436" s="4" t="s">
        <v>17</v>
      </c>
      <c r="G436" s="1" t="s">
        <v>18</v>
      </c>
      <c r="H436" s="1" t="s">
        <v>19</v>
      </c>
      <c r="I436" s="1" t="s">
        <v>20</v>
      </c>
      <c r="J436" s="1" t="s">
        <v>2092</v>
      </c>
      <c r="K436" s="1" t="s">
        <v>22</v>
      </c>
      <c r="L436" s="1" t="str">
        <f>HYPERLINK("https://files.afu.se/Downloads/Transcripts/0%20-%20Government/USA%20-%20NASA/2020 11 10 - NASA - All Aboard Crew-1  Get Your %23LaunchAmerica Boarding Pass_k2MSw-_hxgg - transcript (automated).pdf","Transcript Link")</f>
        <v>Transcript Link</v>
      </c>
      <c r="M436" s="2" t="str">
        <f>HYPERLINK("https://files.afu.se/Downloads/Transcripts/0%20-%20Government/USA%20-%20NASA/2020 11 10 - NASA - All Aboard Crew-1  Get Your %23LaunchAmerica Boarding Pass_k2MSw-_hxgg - transcript (automated).pdf","Transcript Link")</f>
        <v>Transcript Link</v>
      </c>
    </row>
    <row r="437" ht="165" spans="1:13">
      <c r="A437" s="1" t="s">
        <v>2093</v>
      </c>
      <c r="B437" s="1" t="s">
        <v>13</v>
      </c>
      <c r="C437" s="4" t="s">
        <v>2094</v>
      </c>
      <c r="D437" s="1" t="s">
        <v>2095</v>
      </c>
      <c r="E437" s="1" t="s">
        <v>2096</v>
      </c>
      <c r="F437" s="4" t="s">
        <v>17</v>
      </c>
      <c r="G437" s="1" t="s">
        <v>18</v>
      </c>
      <c r="H437" s="1" t="s">
        <v>19</v>
      </c>
      <c r="I437" s="1" t="s">
        <v>20</v>
      </c>
      <c r="J437" s="1" t="s">
        <v>2097</v>
      </c>
      <c r="K437" s="1" t="s">
        <v>22</v>
      </c>
      <c r="L437" s="1" t="str">
        <f>HYPERLINK("https://files.afu.se/Downloads/Transcripts/0%20-%20Government/USA%20-%20NASA/2020 11 06 - NASA - Marking 20 Years of Humans Aboard the Space Station on This Week @NASA – November 6, 2020_X2XJm8LfaP8 - transcript (automated).pdf","Transcript Link")</f>
        <v>Transcript Link</v>
      </c>
      <c r="M437" s="2" t="str">
        <f>HYPERLINK("https://files.afu.se/Downloads/Transcripts/0%20-%20Government/USA%20-%20NASA/2020 11 06 - NASA - Marking 20 Years of Humans Aboard the Space Station on This Week @NASA – November 6, 2020_X2XJm8LfaP8 - transcript (automated).pdf","Transcript Link")</f>
        <v>Transcript Link</v>
      </c>
    </row>
    <row r="438" ht="225" spans="1:13">
      <c r="A438" s="1" t="s">
        <v>2098</v>
      </c>
      <c r="B438" s="1" t="s">
        <v>13</v>
      </c>
      <c r="C438" s="4" t="s">
        <v>2099</v>
      </c>
      <c r="D438" s="1" t="s">
        <v>2100</v>
      </c>
      <c r="E438" s="1" t="s">
        <v>2101</v>
      </c>
      <c r="F438" s="4" t="s">
        <v>17</v>
      </c>
      <c r="G438" s="1" t="s">
        <v>18</v>
      </c>
      <c r="H438" s="1" t="s">
        <v>19</v>
      </c>
      <c r="I438" s="1" t="s">
        <v>20</v>
      </c>
      <c r="J438" s="1" t="s">
        <v>2102</v>
      </c>
      <c r="K438" s="1" t="s">
        <v>22</v>
      </c>
      <c r="L438" s="1" t="str">
        <f>HYPERLINK("https://files.afu.se/Downloads/Transcripts/0%20-%20Government/USA%20-%20NASA/2020 11 04 - NASA - %23LaunchAmerica  Ready for the Next NASA and SpaceX Mission _6Wj-5d3mE9U - transcript (automated).pdf","Transcript Link")</f>
        <v>Transcript Link</v>
      </c>
      <c r="M438" s="2" t="str">
        <f>HYPERLINK("https://files.afu.se/Downloads/Transcripts/0%20-%20Government/USA%20-%20NASA/2020 11 04 - NASA - %23LaunchAmerica  Ready for the Next NASA and SpaceX Mission _6Wj-5d3mE9U - transcript (automated).pdf","Transcript Link")</f>
        <v>Transcript Link</v>
      </c>
    </row>
    <row r="439" ht="165" spans="1:13">
      <c r="A439" s="1" t="s">
        <v>2103</v>
      </c>
      <c r="B439" s="1" t="s">
        <v>13</v>
      </c>
      <c r="C439" s="4" t="s">
        <v>2104</v>
      </c>
      <c r="D439" s="1" t="s">
        <v>2105</v>
      </c>
      <c r="E439" s="1" t="s">
        <v>2106</v>
      </c>
      <c r="F439" s="4" t="s">
        <v>17</v>
      </c>
      <c r="G439" s="1" t="s">
        <v>18</v>
      </c>
      <c r="H439" s="1" t="s">
        <v>19</v>
      </c>
      <c r="I439" s="1" t="s">
        <v>20</v>
      </c>
      <c r="J439" s="1" t="s">
        <v>2107</v>
      </c>
      <c r="K439" s="1" t="s">
        <v>22</v>
      </c>
      <c r="L439" s="1" t="str">
        <f>HYPERLINK("https://files.afu.se/Downloads/Transcripts/0%20-%20Government/USA%20-%20NASA/2020 10 30 - NASA - An International Agreement to Collaborate on Artemis on This Week @NASA – October 30, 2020_XkzB4UZe1JE - transcript (automated).pdf","Transcript Link")</f>
        <v>Transcript Link</v>
      </c>
      <c r="M439" s="2" t="str">
        <f>HYPERLINK("https://files.afu.se/Downloads/Transcripts/0%20-%20Government/USA%20-%20NASA/2020 10 30 - NASA - An International Agreement to Collaborate on Artemis on This Week @NASA – October 30, 2020_XkzB4UZe1JE - transcript (automated).pdf","Transcript Link")</f>
        <v>Transcript Link</v>
      </c>
    </row>
    <row r="440" ht="255" spans="1:13">
      <c r="A440" s="1" t="s">
        <v>2103</v>
      </c>
      <c r="B440" s="1" t="s">
        <v>13</v>
      </c>
      <c r="C440" s="4" t="s">
        <v>2108</v>
      </c>
      <c r="D440" s="1" t="s">
        <v>2109</v>
      </c>
      <c r="E440" s="1" t="s">
        <v>2110</v>
      </c>
      <c r="F440" s="4" t="s">
        <v>17</v>
      </c>
      <c r="G440" s="1" t="s">
        <v>18</v>
      </c>
      <c r="H440" s="1" t="s">
        <v>19</v>
      </c>
      <c r="I440" s="1" t="s">
        <v>20</v>
      </c>
      <c r="J440" s="1" t="s">
        <v>2111</v>
      </c>
      <c r="K440" s="1" t="s">
        <v>22</v>
      </c>
      <c r="L440" s="1" t="str">
        <f>HYPERLINK("https://files.afu.se/Downloads/Transcripts/0%20-%20Government/USA%20-%20NASA/2020 10 30 - NASA - How To Make Your Own Falcon 9 Straw Rocket_v2GJwEOUsM4 - transcript (automated).pdf","Transcript Link")</f>
        <v>Transcript Link</v>
      </c>
      <c r="M440" s="2" t="str">
        <f>HYPERLINK("https://files.afu.se/Downloads/Transcripts/0%20-%20Government/USA%20-%20NASA/2020 10 30 - NASA - How To Make Your Own Falcon 9 Straw Rocket_v2GJwEOUsM4 - transcript (automated).pdf","Transcript Link")</f>
        <v>Transcript Link</v>
      </c>
    </row>
    <row r="441" ht="390" spans="1:13">
      <c r="A441" s="1" t="s">
        <v>2103</v>
      </c>
      <c r="B441" s="1" t="s">
        <v>13</v>
      </c>
      <c r="C441" s="4" t="s">
        <v>2112</v>
      </c>
      <c r="D441" s="1" t="s">
        <v>2113</v>
      </c>
      <c r="E441" s="1" t="s">
        <v>2114</v>
      </c>
      <c r="F441" s="4" t="s">
        <v>17</v>
      </c>
      <c r="G441" s="1" t="s">
        <v>18</v>
      </c>
      <c r="H441" s="1" t="s">
        <v>19</v>
      </c>
      <c r="I441" s="1" t="s">
        <v>20</v>
      </c>
      <c r="J441" s="1" t="s">
        <v>2115</v>
      </c>
      <c r="K441" s="1" t="s">
        <v>22</v>
      </c>
      <c r="L441" s="1" t="str">
        <f>HYPERLINK("https://files.afu.se/Downloads/Transcripts/0%20-%20Government/USA%20-%20NASA/2020 10 30 - NASA - Gravity Assist  The History of the Future, with Steven Dick_2st9aoYj1ZM - transcript (automated).pdf","Transcript Link")</f>
        <v>Transcript Link</v>
      </c>
      <c r="M441" s="2" t="str">
        <f>HYPERLINK("https://files.afu.se/Downloads/Transcripts/0%20-%20Government/USA%20-%20NASA/2020 10 30 - NASA - Gravity Assist  The History of the Future, with Steven Dick_2st9aoYj1ZM - transcript (automated).pdf","Transcript Link")</f>
        <v>Transcript Link</v>
      </c>
    </row>
    <row r="442" ht="195" spans="1:13">
      <c r="A442" s="1" t="s">
        <v>2116</v>
      </c>
      <c r="B442" s="1" t="s">
        <v>13</v>
      </c>
      <c r="C442" s="4" t="s">
        <v>2117</v>
      </c>
      <c r="D442" s="1" t="s">
        <v>2118</v>
      </c>
      <c r="E442" s="1" t="s">
        <v>2119</v>
      </c>
      <c r="F442" s="4" t="s">
        <v>17</v>
      </c>
      <c r="G442" s="1" t="s">
        <v>18</v>
      </c>
      <c r="H442" s="1" t="s">
        <v>19</v>
      </c>
      <c r="I442" s="1" t="s">
        <v>20</v>
      </c>
      <c r="J442" s="1" t="s">
        <v>2120</v>
      </c>
      <c r="K442" s="1" t="s">
        <v>22</v>
      </c>
      <c r="L442" s="1" t="str">
        <f>HYPERLINK("https://files.afu.se/Downloads/Transcripts/0%20-%20Government/USA%20-%20NASA/2020 10 29 - NASA - International Space Station Expedition 1  The Beginning_3OpDe4v9MbI - transcript (automated).pdf","Transcript Link")</f>
        <v>Transcript Link</v>
      </c>
      <c r="M442" s="2" t="str">
        <f>HYPERLINK("https://files.afu.se/Downloads/Transcripts/0%20-%20Government/USA%20-%20NASA/2020 10 29 - NASA - International Space Station Expedition 1  The Beginning_3OpDe4v9MbI - transcript (automated).pdf","Transcript Link")</f>
        <v>Transcript Link</v>
      </c>
    </row>
    <row r="443" ht="240" spans="1:13">
      <c r="A443" s="1" t="s">
        <v>2121</v>
      </c>
      <c r="B443" s="1" t="s">
        <v>13</v>
      </c>
      <c r="C443" s="4" t="s">
        <v>2122</v>
      </c>
      <c r="D443" s="1" t="s">
        <v>2123</v>
      </c>
      <c r="E443" s="1" t="s">
        <v>2124</v>
      </c>
      <c r="F443" s="4" t="s">
        <v>17</v>
      </c>
      <c r="G443" s="1" t="s">
        <v>18</v>
      </c>
      <c r="H443" s="1" t="s">
        <v>19</v>
      </c>
      <c r="I443" s="1" t="s">
        <v>20</v>
      </c>
      <c r="J443" s="1" t="s">
        <v>2125</v>
      </c>
      <c r="K443" s="1" t="s">
        <v>22</v>
      </c>
      <c r="L443" s="1" t="str">
        <f>HYPERLINK("https://files.afu.se/Downloads/Transcripts/0%20-%20Government/USA%20-%20NASA/2020 10 28 - NASA - Nov. 14, 2020  Astronauts to Launch on NASA and SpaceX Crew-1 Mission_zjJc8vSPNyk - transcript (automated).pdf","Transcript Link")</f>
        <v>Transcript Link</v>
      </c>
      <c r="M443" s="2" t="str">
        <f>HYPERLINK("https://files.afu.se/Downloads/Transcripts/0%20-%20Government/USA%20-%20NASA/2020 10 28 - NASA - Nov. 14, 2020  Astronauts to Launch on NASA and SpaceX Crew-1 Mission_zjJc8vSPNyk - transcript (automated).pdf","Transcript Link")</f>
        <v>Transcript Link</v>
      </c>
    </row>
    <row r="444" ht="165" spans="1:13">
      <c r="A444" s="1" t="s">
        <v>2121</v>
      </c>
      <c r="B444" s="1" t="s">
        <v>13</v>
      </c>
      <c r="C444" s="4" t="s">
        <v>2126</v>
      </c>
      <c r="D444" s="1" t="s">
        <v>2127</v>
      </c>
      <c r="E444" s="1" t="s">
        <v>2128</v>
      </c>
      <c r="F444" s="4" t="s">
        <v>17</v>
      </c>
      <c r="G444" s="1" t="s">
        <v>18</v>
      </c>
      <c r="H444" s="1" t="s">
        <v>19</v>
      </c>
      <c r="I444" s="1" t="s">
        <v>20</v>
      </c>
      <c r="J444" s="1" t="s">
        <v>2129</v>
      </c>
      <c r="K444" s="1" t="s">
        <v>22</v>
      </c>
      <c r="L444" s="1" t="str">
        <f>HYPERLINK("https://files.afu.se/Downloads/Transcripts/0%20-%20Government/USA%20-%20NASA/2020 10 28 - NASA - International Space Station Flyover of Hurricane Zeta_ipxY_1Q2MWo - transcript (automated).pdf","Transcript Link")</f>
        <v>Transcript Link</v>
      </c>
      <c r="M444" s="2" t="str">
        <f>HYPERLINK("https://files.afu.se/Downloads/Transcripts/0%20-%20Government/USA%20-%20NASA/2020 10 28 - NASA - International Space Station Flyover of Hurricane Zeta_ipxY_1Q2MWo - transcript (automated).pdf","Transcript Link")</f>
        <v>Transcript Link</v>
      </c>
    </row>
    <row r="445" ht="210" spans="1:13">
      <c r="A445" s="1" t="s">
        <v>2121</v>
      </c>
      <c r="B445" s="1" t="s">
        <v>13</v>
      </c>
      <c r="C445" s="4" t="s">
        <v>2130</v>
      </c>
      <c r="D445" s="1" t="s">
        <v>2131</v>
      </c>
      <c r="E445" s="1" t="s">
        <v>2132</v>
      </c>
      <c r="F445" s="4" t="s">
        <v>17</v>
      </c>
      <c r="G445" s="1" t="s">
        <v>18</v>
      </c>
      <c r="H445" s="1" t="s">
        <v>19</v>
      </c>
      <c r="I445" s="1" t="s">
        <v>20</v>
      </c>
      <c r="J445" s="1" t="s">
        <v>2133</v>
      </c>
      <c r="K445" s="1" t="s">
        <v>22</v>
      </c>
      <c r="L445" s="1" t="str">
        <f>HYPERLINK("https://files.afu.se/Downloads/Transcripts/0%20-%20Government/USA%20-%20NASA/2020 10 28 - NASA - %23EZScience  International Space Station – Our Home in Space for 20 Years_0K61rP6t0L8 - transcript (automated).pdf","Transcript Link")</f>
        <v>Transcript Link</v>
      </c>
      <c r="M445" s="2" t="str">
        <f>HYPERLINK("https://files.afu.se/Downloads/Transcripts/0%20-%20Government/USA%20-%20NASA/2020 10 28 - NASA - %23EZScience  International Space Station – Our Home in Space for 20 Years_0K61rP6t0L8 - transcript (automated).pdf","Transcript Link")</f>
        <v>Transcript Link</v>
      </c>
    </row>
    <row r="446" ht="165" spans="1:13">
      <c r="A446" s="1" t="s">
        <v>2134</v>
      </c>
      <c r="B446" s="1" t="s">
        <v>13</v>
      </c>
      <c r="C446" s="4" t="s">
        <v>2135</v>
      </c>
      <c r="D446" s="1" t="s">
        <v>2136</v>
      </c>
      <c r="E446" s="1" t="s">
        <v>2137</v>
      </c>
      <c r="F446" s="4" t="s">
        <v>17</v>
      </c>
      <c r="G446" s="1" t="s">
        <v>18</v>
      </c>
      <c r="H446" s="1" t="s">
        <v>19</v>
      </c>
      <c r="I446" s="1" t="s">
        <v>20</v>
      </c>
      <c r="J446" s="1" t="s">
        <v>2138</v>
      </c>
      <c r="K446" s="1" t="s">
        <v>22</v>
      </c>
      <c r="L446" s="1" t="str">
        <f>HYPERLINK("https://files.afu.se/Downloads/Transcripts/0%20-%20Government/USA%20-%20NASA/2020 10 26 - NASA - NASA Science Live  Our First Attempt to Sample Asteroid Bennu___OCgKch7AI - transcript (automated).pdf","Transcript Link")</f>
        <v>Transcript Link</v>
      </c>
      <c r="M446" s="2" t="str">
        <f>HYPERLINK("https://files.afu.se/Downloads/Transcripts/0%20-%20Government/USA%20-%20NASA/2020 10 26 - NASA - NASA Science Live  Our First Attempt to Sample Asteroid Bennu___OCgKch7AI - transcript (automated).pdf","Transcript Link")</f>
        <v>Transcript Link</v>
      </c>
    </row>
    <row r="447" ht="165" spans="1:13">
      <c r="A447" s="1" t="s">
        <v>2139</v>
      </c>
      <c r="B447" s="1" t="s">
        <v>13</v>
      </c>
      <c r="C447" s="4" t="s">
        <v>2140</v>
      </c>
      <c r="D447" s="1" t="s">
        <v>2141</v>
      </c>
      <c r="E447" s="1" t="s">
        <v>2142</v>
      </c>
      <c r="F447" s="4" t="s">
        <v>17</v>
      </c>
      <c r="G447" s="1" t="s">
        <v>18</v>
      </c>
      <c r="H447" s="1" t="s">
        <v>19</v>
      </c>
      <c r="I447" s="1" t="s">
        <v>20</v>
      </c>
      <c r="J447" s="1" t="s">
        <v>2143</v>
      </c>
      <c r="K447" s="1" t="s">
        <v>22</v>
      </c>
      <c r="L447" s="1" t="str">
        <f>HYPERLINK("https://files.afu.se/Downloads/Transcripts/0%20-%20Government/USA%20-%20NASA/2020 10 23 - NASA - A Touch of History for Asteroid Sample Return Mission on This Week @NASA – October 23, 2020_fvjfhFNN4M8 - transcript (automated).pdf","Transcript Link")</f>
        <v>Transcript Link</v>
      </c>
      <c r="M447" s="2" t="str">
        <f>HYPERLINK("https://files.afu.se/Downloads/Transcripts/0%20-%20Government/USA%20-%20NASA/2020 10 23 - NASA - A Touch of History for Asteroid Sample Return Mission on This Week @NASA – October 23, 2020_fvjfhFNN4M8 - transcript (automated).pdf","Transcript Link")</f>
        <v>Transcript Link</v>
      </c>
    </row>
    <row r="448" ht="165" spans="1:13">
      <c r="A448" s="1" t="s">
        <v>2144</v>
      </c>
      <c r="B448" s="1" t="s">
        <v>13</v>
      </c>
      <c r="C448" s="4" t="s">
        <v>2145</v>
      </c>
      <c r="D448" s="1" t="s">
        <v>2146</v>
      </c>
      <c r="E448" s="1" t="s">
        <v>2147</v>
      </c>
      <c r="F448" s="4" t="s">
        <v>17</v>
      </c>
      <c r="G448" s="1" t="s">
        <v>18</v>
      </c>
      <c r="H448" s="1" t="s">
        <v>19</v>
      </c>
      <c r="I448" s="1" t="s">
        <v>20</v>
      </c>
      <c r="J448" s="1" t="s">
        <v>2148</v>
      </c>
      <c r="K448" s="1" t="s">
        <v>22</v>
      </c>
      <c r="L448" s="1" t="str">
        <f>HYPERLINK("https://files.afu.se/Downloads/Transcripts/0%20-%20Government/USA%20-%20NASA/2020 10 18 - NASA - Show Us Your %23NASAMoonKit_FnYDx1RvtIc - transcript (automated).pdf","Transcript Link")</f>
        <v>Transcript Link</v>
      </c>
      <c r="M448" s="2" t="str">
        <f>HYPERLINK("https://files.afu.se/Downloads/Transcripts/0%20-%20Government/USA%20-%20NASA/2020 10 18 - NASA - Show Us Your %23NASAMoonKit_FnYDx1RvtIc - transcript (automated).pdf","Transcript Link")</f>
        <v>Transcript Link</v>
      </c>
    </row>
    <row r="449" ht="195" spans="1:13">
      <c r="A449" s="1" t="s">
        <v>2149</v>
      </c>
      <c r="B449" s="1" t="s">
        <v>13</v>
      </c>
      <c r="C449" s="4" t="s">
        <v>2150</v>
      </c>
      <c r="D449" s="1" t="s">
        <v>2151</v>
      </c>
      <c r="E449" s="1" t="s">
        <v>2152</v>
      </c>
      <c r="F449" s="4" t="s">
        <v>17</v>
      </c>
      <c r="G449" s="1" t="s">
        <v>18</v>
      </c>
      <c r="H449" s="1" t="s">
        <v>19</v>
      </c>
      <c r="I449" s="1" t="s">
        <v>20</v>
      </c>
      <c r="J449" s="1" t="s">
        <v>2153</v>
      </c>
      <c r="K449" s="1" t="s">
        <v>22</v>
      </c>
      <c r="L449" s="1" t="str">
        <f>HYPERLINK("https://files.afu.se/Downloads/Transcripts/0%20-%20Government/USA%20-%20NASA/2020 10 16 - NASA - New Crew Safely Aboard the Space Station on This Week @NASA – October 16, 2020_vDb3g_r0DfE - transcript (automated).pdf","Transcript Link")</f>
        <v>Transcript Link</v>
      </c>
      <c r="M449" s="2" t="str">
        <f>HYPERLINK("https://files.afu.se/Downloads/Transcripts/0%20-%20Government/USA%20-%20NASA/2020 10 16 - NASA - New Crew Safely Aboard the Space Station on This Week @NASA – October 16, 2020_vDb3g_r0DfE - transcript (automated).pdf","Transcript Link")</f>
        <v>Transcript Link</v>
      </c>
    </row>
    <row r="450" ht="315" spans="1:13">
      <c r="A450" s="1" t="s">
        <v>2154</v>
      </c>
      <c r="B450" s="1" t="s">
        <v>13</v>
      </c>
      <c r="C450" s="4" t="s">
        <v>2155</v>
      </c>
      <c r="D450" s="1" t="s">
        <v>2156</v>
      </c>
      <c r="E450" s="1" t="s">
        <v>2157</v>
      </c>
      <c r="F450" s="4" t="s">
        <v>17</v>
      </c>
      <c r="G450" s="1" t="s">
        <v>18</v>
      </c>
      <c r="H450" s="1" t="s">
        <v>19</v>
      </c>
      <c r="I450" s="1" t="s">
        <v>20</v>
      </c>
      <c r="J450" s="1" t="s">
        <v>2158</v>
      </c>
      <c r="K450" s="1" t="s">
        <v>22</v>
      </c>
      <c r="L450" s="1" t="str">
        <f>HYPERLINK("https://files.afu.se/Downloads/Transcripts/0%20-%20Government/USA%20-%20NASA/2020 10 14 - NASA - NASA and International Partners Sign Artemis Accords_XEAXTrtsu_0 - transcript (automated).pdf","Transcript Link")</f>
        <v>Transcript Link</v>
      </c>
      <c r="M450" s="2" t="str">
        <f>HYPERLINK("https://files.afu.se/Downloads/Transcripts/0%20-%20Government/USA%20-%20NASA/2020 10 14 - NASA - NASA and International Partners Sign Artemis Accords_XEAXTrtsu_0 - transcript (automated).pdf","Transcript Link")</f>
        <v>Transcript Link</v>
      </c>
    </row>
    <row r="451" ht="195" spans="1:13">
      <c r="A451" s="1" t="s">
        <v>2159</v>
      </c>
      <c r="B451" s="1" t="s">
        <v>13</v>
      </c>
      <c r="C451" s="4" t="s">
        <v>2160</v>
      </c>
      <c r="D451" s="1" t="s">
        <v>2161</v>
      </c>
      <c r="E451" s="1" t="s">
        <v>2162</v>
      </c>
      <c r="F451" s="4" t="s">
        <v>17</v>
      </c>
      <c r="G451" s="1" t="s">
        <v>18</v>
      </c>
      <c r="H451" s="1" t="s">
        <v>19</v>
      </c>
      <c r="I451" s="1" t="s">
        <v>20</v>
      </c>
      <c r="J451" s="1" t="s">
        <v>2163</v>
      </c>
      <c r="K451" s="1" t="s">
        <v>22</v>
      </c>
      <c r="L451" s="1" t="str">
        <f>HYPERLINK("https://files.afu.se/Downloads/Transcripts/0%20-%20Government/USA%20-%20NASA/2020 10 09 - NASA - Prelaunch Preparations for the Next Space Station Crew on This Week @NASA – October 9, 2020_jszJbVoczEc - transcript (automated).pdf","Transcript Link")</f>
        <v>Transcript Link</v>
      </c>
      <c r="M451" s="2" t="str">
        <f>HYPERLINK("https://files.afu.se/Downloads/Transcripts/0%20-%20Government/USA%20-%20NASA/2020 10 09 - NASA - Prelaunch Preparations for the Next Space Station Crew on This Week @NASA – October 9, 2020_jszJbVoczEc - transcript (automated).pdf","Transcript Link")</f>
        <v>Transcript Link</v>
      </c>
    </row>
    <row r="452" ht="285" spans="1:13">
      <c r="A452" s="1" t="s">
        <v>2159</v>
      </c>
      <c r="B452" s="1" t="s">
        <v>13</v>
      </c>
      <c r="C452" s="4" t="s">
        <v>2164</v>
      </c>
      <c r="D452" s="1" t="s">
        <v>2165</v>
      </c>
      <c r="E452" s="1" t="s">
        <v>2166</v>
      </c>
      <c r="F452" s="4" t="s">
        <v>17</v>
      </c>
      <c r="G452" s="1" t="s">
        <v>18</v>
      </c>
      <c r="H452" s="1" t="s">
        <v>19</v>
      </c>
      <c r="I452" s="1" t="s">
        <v>20</v>
      </c>
      <c r="J452" s="1" t="s">
        <v>2167</v>
      </c>
      <c r="K452" s="1" t="s">
        <v>22</v>
      </c>
      <c r="L452" s="1" t="str">
        <f>HYPERLINK("https://files.afu.se/Downloads/Transcripts/0%20-%20Government/USA%20-%20NASA/2020 10 09 - NASA - Gravity Assist  Life in the Clouds_g2mNoksl9CU - transcript (automated).pdf","Transcript Link")</f>
        <v>Transcript Link</v>
      </c>
      <c r="M452" s="2" t="str">
        <f>HYPERLINK("https://files.afu.se/Downloads/Transcripts/0%20-%20Government/USA%20-%20NASA/2020 10 09 - NASA - Gravity Assist  Life in the Clouds_g2mNoksl9CU - transcript (automated).pdf","Transcript Link")</f>
        <v>Transcript Link</v>
      </c>
    </row>
    <row r="453" ht="210" spans="1:13">
      <c r="A453" s="1" t="s">
        <v>2168</v>
      </c>
      <c r="B453" s="1" t="s">
        <v>13</v>
      </c>
      <c r="C453" s="4" t="s">
        <v>2169</v>
      </c>
      <c r="D453" s="1" t="s">
        <v>2170</v>
      </c>
      <c r="E453" s="1" t="s">
        <v>2171</v>
      </c>
      <c r="F453" s="4" t="s">
        <v>17</v>
      </c>
      <c r="G453" s="1" t="s">
        <v>18</v>
      </c>
      <c r="H453" s="1" t="s">
        <v>19</v>
      </c>
      <c r="I453" s="1" t="s">
        <v>20</v>
      </c>
      <c r="J453" s="1" t="s">
        <v>2172</v>
      </c>
      <c r="K453" s="1" t="s">
        <v>22</v>
      </c>
      <c r="L453" s="1" t="str">
        <f>HYPERLINK("https://files.afu.se/Downloads/Transcripts/0%20-%20Government/USA%20-%20NASA/2020 10 07 - NASA - NASA Celebrates Hispanic Heritage Month_zG3J57jMidk - transcript (automated).pdf","Transcript Link")</f>
        <v>Transcript Link</v>
      </c>
      <c r="M453" s="2" t="str">
        <f>HYPERLINK("https://files.afu.se/Downloads/Transcripts/0%20-%20Government/USA%20-%20NASA/2020 10 07 - NASA - NASA Celebrates Hispanic Heritage Month_zG3J57jMidk - transcript (automated).pdf","Transcript Link")</f>
        <v>Transcript Link</v>
      </c>
    </row>
    <row r="454" ht="240" spans="1:13">
      <c r="A454" s="1" t="s">
        <v>2173</v>
      </c>
      <c r="B454" s="1" t="s">
        <v>13</v>
      </c>
      <c r="C454" s="4" t="s">
        <v>2174</v>
      </c>
      <c r="D454" s="1" t="s">
        <v>2175</v>
      </c>
      <c r="E454" s="1" t="s">
        <v>2176</v>
      </c>
      <c r="F454" s="4" t="s">
        <v>17</v>
      </c>
      <c r="G454" s="1" t="s">
        <v>18</v>
      </c>
      <c r="H454" s="1" t="s">
        <v>19</v>
      </c>
      <c r="I454" s="1" t="s">
        <v>20</v>
      </c>
      <c r="J454" s="1" t="s">
        <v>2177</v>
      </c>
      <c r="K454" s="1" t="s">
        <v>22</v>
      </c>
      <c r="L454" s="1" t="str">
        <f>HYPERLINK("https://files.afu.se/Downloads/Transcripts/0%20-%20Government/USA%20-%20NASA/2020 10 04 - NASA - What's in Your %23NASAMoonKit _17ItVJG7fVE - transcript (automated).pdf","Transcript Link")</f>
        <v>Transcript Link</v>
      </c>
      <c r="M454" s="2" t="str">
        <f>HYPERLINK("https://files.afu.se/Downloads/Transcripts/0%20-%20Government/USA%20-%20NASA/2020 10 04 - NASA - What's in Your %23NASAMoonKit _17ItVJG7fVE - transcript (automated).pdf","Transcript Link")</f>
        <v>Transcript Link</v>
      </c>
    </row>
    <row r="455" ht="195" spans="1:13">
      <c r="A455" s="1" t="s">
        <v>2178</v>
      </c>
      <c r="B455" s="1" t="s">
        <v>13</v>
      </c>
      <c r="C455" s="4" t="s">
        <v>2179</v>
      </c>
      <c r="D455" s="1" t="s">
        <v>2180</v>
      </c>
      <c r="E455" s="1" t="s">
        <v>2181</v>
      </c>
      <c r="F455" s="4" t="s">
        <v>17</v>
      </c>
      <c r="G455" s="1" t="s">
        <v>18</v>
      </c>
      <c r="H455" s="1" t="s">
        <v>19</v>
      </c>
      <c r="I455" s="1" t="s">
        <v>20</v>
      </c>
      <c r="J455" s="1" t="s">
        <v>2182</v>
      </c>
      <c r="K455" s="1" t="s">
        <v>22</v>
      </c>
      <c r="L455" s="1" t="str">
        <f>HYPERLINK("https://files.afu.se/Downloads/Transcripts/0%20-%20Government/USA%20-%20NASA/2020 10 03 - NASA - The Space Station’s Next Crew Heads to Launch Site on This Week @NASA – October 2, 2020_QfrLK9xFpYg - transcript (automated).pdf","Transcript Link")</f>
        <v>Transcript Link</v>
      </c>
      <c r="M455" s="2" t="str">
        <f>HYPERLINK("https://files.afu.se/Downloads/Transcripts/0%20-%20Government/USA%20-%20NASA/2020 10 03 - NASA - The Space Station’s Next Crew Heads to Launch Site on This Week @NASA – October 2, 2020_QfrLK9xFpYg - transcript (automated).pdf","Transcript Link")</f>
        <v>Transcript Link</v>
      </c>
    </row>
    <row r="456" ht="180" spans="1:13">
      <c r="A456" s="1" t="s">
        <v>2183</v>
      </c>
      <c r="B456" s="1" t="s">
        <v>13</v>
      </c>
      <c r="C456" s="4" t="s">
        <v>2184</v>
      </c>
      <c r="D456" s="1" t="s">
        <v>2185</v>
      </c>
      <c r="E456" s="1" t="s">
        <v>2186</v>
      </c>
      <c r="F456" s="4" t="s">
        <v>17</v>
      </c>
      <c r="G456" s="1" t="s">
        <v>18</v>
      </c>
      <c r="H456" s="1" t="s">
        <v>19</v>
      </c>
      <c r="I456" s="1" t="s">
        <v>20</v>
      </c>
      <c r="J456" s="1" t="s">
        <v>2187</v>
      </c>
      <c r="K456" s="1" t="s">
        <v>22</v>
      </c>
      <c r="L456" s="1" t="str">
        <f>HYPERLINK("https://files.afu.se/Downloads/Transcripts/0%20-%20Government/USA%20-%20NASA/2020 10 02 - NASA - %23EZScience  OSIRIS-REx Touches Down On Bennu_N_737VvWq-Q - transcript (automated).pdf","Transcript Link")</f>
        <v>Transcript Link</v>
      </c>
      <c r="M456" s="2" t="str">
        <f>HYPERLINK("https://files.afu.se/Downloads/Transcripts/0%20-%20Government/USA%20-%20NASA/2020 10 02 - NASA - %23EZScience  OSIRIS-REx Touches Down On Bennu_N_737VvWq-Q - transcript (automated).pdf","Transcript Link")</f>
        <v>Transcript Link</v>
      </c>
    </row>
    <row r="457" ht="409.5" spans="1:13">
      <c r="A457" s="1" t="s">
        <v>2188</v>
      </c>
      <c r="B457" s="1" t="s">
        <v>13</v>
      </c>
      <c r="C457" s="4" t="s">
        <v>2189</v>
      </c>
      <c r="D457" s="1" t="s">
        <v>2190</v>
      </c>
      <c r="E457" s="1" t="s">
        <v>2191</v>
      </c>
      <c r="F457" s="4" t="s">
        <v>17</v>
      </c>
      <c r="G457" s="1" t="s">
        <v>18</v>
      </c>
      <c r="H457" s="1" t="s">
        <v>19</v>
      </c>
      <c r="I457" s="1" t="s">
        <v>20</v>
      </c>
      <c r="J457" s="1" t="s">
        <v>2192</v>
      </c>
      <c r="K457" s="1" t="s">
        <v>22</v>
      </c>
      <c r="L457" s="1" t="str">
        <f>HYPERLINK("https://files.afu.se/Downloads/Transcripts/0%20-%20Government/USA%20-%20NASA/2020 10 01 - NASA - %23AskNASA┃ How Do Astronauts Use the Potty in Space _u80H3FpTezA - transcript (automated).pdf","Transcript Link")</f>
        <v>Transcript Link</v>
      </c>
      <c r="M457" s="2" t="str">
        <f>HYPERLINK("https://files.afu.se/Downloads/Transcripts/0%20-%20Government/USA%20-%20NASA/2020 10 01 - NASA - %23AskNASA┃ How Do Astronauts Use the Potty in Space _u80H3FpTezA - transcript (automated).pdf","Transcript Link")</f>
        <v>Transcript Link</v>
      </c>
    </row>
    <row r="458" ht="180" spans="1:13">
      <c r="A458" s="1" t="s">
        <v>2193</v>
      </c>
      <c r="B458" s="1" t="s">
        <v>13</v>
      </c>
      <c r="C458" s="4" t="s">
        <v>2194</v>
      </c>
      <c r="D458" s="1" t="s">
        <v>2195</v>
      </c>
      <c r="E458" s="1" t="s">
        <v>2196</v>
      </c>
      <c r="F458" s="4" t="s">
        <v>17</v>
      </c>
      <c r="G458" s="1" t="s">
        <v>18</v>
      </c>
      <c r="H458" s="1" t="s">
        <v>19</v>
      </c>
      <c r="I458" s="1" t="s">
        <v>20</v>
      </c>
      <c r="J458" s="1" t="s">
        <v>2197</v>
      </c>
      <c r="K458" s="1" t="s">
        <v>22</v>
      </c>
      <c r="L458" s="1" t="str">
        <f>HYPERLINK("https://files.afu.se/Downloads/Transcripts/0%20-%20Government/USA%20-%20NASA/2020 09 30 - NASA - NASA Science Live  Celebrating Hispanic Heritage_xWmtxizuntI - transcript (automated).pdf","Transcript Link")</f>
        <v>Transcript Link</v>
      </c>
      <c r="M458" s="2" t="str">
        <f>HYPERLINK("https://files.afu.se/Downloads/Transcripts/0%20-%20Government/USA%20-%20NASA/2020 09 30 - NASA - NASA Science Live  Celebrating Hispanic Heritage_xWmtxizuntI - transcript (automated).pdf","Transcript Link")</f>
        <v>Transcript Link</v>
      </c>
    </row>
    <row r="459" ht="405" spans="1:13">
      <c r="A459" s="1" t="s">
        <v>2198</v>
      </c>
      <c r="B459" s="1" t="s">
        <v>13</v>
      </c>
      <c r="C459" s="4" t="s">
        <v>2199</v>
      </c>
      <c r="D459" s="1" t="s">
        <v>2200</v>
      </c>
      <c r="E459" s="1" t="s">
        <v>2201</v>
      </c>
      <c r="F459" s="4" t="s">
        <v>17</v>
      </c>
      <c r="G459" s="1" t="s">
        <v>18</v>
      </c>
      <c r="H459" s="1" t="s">
        <v>19</v>
      </c>
      <c r="I459" s="1" t="s">
        <v>20</v>
      </c>
      <c r="J459" s="1" t="s">
        <v>2202</v>
      </c>
      <c r="K459" s="1" t="s">
        <v>22</v>
      </c>
      <c r="L459" s="1" t="str">
        <f>HYPERLINK("https://files.afu.se/Downloads/Transcripts/0%20-%20Government/USA%20-%20NASA/2020 09 25 - NASA - International Observe the Moon Night - Sept. 26 2020_uxtZwSSUJHw - transcript (automated).pdf","Transcript Link")</f>
        <v>Transcript Link</v>
      </c>
      <c r="M459" s="2" t="str">
        <f>HYPERLINK("https://files.afu.se/Downloads/Transcripts/0%20-%20Government/USA%20-%20NASA/2020 09 25 - NASA - International Observe the Moon Night - Sept. 26 2020_uxtZwSSUJHw - transcript (automated).pdf","Transcript Link")</f>
        <v>Transcript Link</v>
      </c>
    </row>
    <row r="460" ht="165" spans="1:13">
      <c r="A460" s="1" t="s">
        <v>2198</v>
      </c>
      <c r="B460" s="1" t="s">
        <v>13</v>
      </c>
      <c r="C460" s="4" t="s">
        <v>2203</v>
      </c>
      <c r="D460" s="1" t="s">
        <v>2204</v>
      </c>
      <c r="E460" s="1" t="s">
        <v>2205</v>
      </c>
      <c r="F460" s="4" t="s">
        <v>17</v>
      </c>
      <c r="G460" s="1" t="s">
        <v>18</v>
      </c>
      <c r="H460" s="1" t="s">
        <v>19</v>
      </c>
      <c r="I460" s="1" t="s">
        <v>20</v>
      </c>
      <c r="J460" s="1" t="s">
        <v>2206</v>
      </c>
      <c r="K460" s="1" t="s">
        <v>22</v>
      </c>
      <c r="L460" s="1" t="str">
        <f>HYPERLINK("https://files.afu.se/Downloads/Transcripts/0%20-%20Government/USA%20-%20NASA/2020 09 25 - NASA - An Update to Plans for Artemis on This Week @NASA – September 25, 2020_LkK2jLJ59As - transcript (automated).pdf","Transcript Link")</f>
        <v>Transcript Link</v>
      </c>
      <c r="M460" s="2" t="str">
        <f>HYPERLINK("https://files.afu.se/Downloads/Transcripts/0%20-%20Government/USA%20-%20NASA/2020 09 25 - NASA - An Update to Plans for Artemis on This Week @NASA – September 25, 2020_LkK2jLJ59As - transcript (automated).pdf","Transcript Link")</f>
        <v>Transcript Link</v>
      </c>
    </row>
    <row r="461" ht="315" spans="1:13">
      <c r="A461" s="1" t="s">
        <v>2198</v>
      </c>
      <c r="B461" s="1" t="s">
        <v>13</v>
      </c>
      <c r="C461" s="4" t="s">
        <v>2207</v>
      </c>
      <c r="D461" s="1" t="s">
        <v>2208</v>
      </c>
      <c r="E461" s="1" t="s">
        <v>2209</v>
      </c>
      <c r="F461" s="4" t="s">
        <v>17</v>
      </c>
      <c r="G461" s="1" t="s">
        <v>18</v>
      </c>
      <c r="H461" s="1" t="s">
        <v>19</v>
      </c>
      <c r="I461" s="1" t="s">
        <v>20</v>
      </c>
      <c r="J461" s="1" t="s">
        <v>2210</v>
      </c>
      <c r="K461" s="1" t="s">
        <v>22</v>
      </c>
      <c r="L461" s="1" t="str">
        <f>HYPERLINK("https://files.afu.se/Downloads/Transcripts/0%20-%20Government/USA%20-%20NASA/2020 09 25 - NASA - Gravity Assist  Why Icy Moons are So Juicy, with Athena Coustenis_4fdbfLJYYgI - transcript (automated).pdf","Transcript Link")</f>
        <v>Transcript Link</v>
      </c>
      <c r="M461" s="2" t="str">
        <f>HYPERLINK("https://files.afu.se/Downloads/Transcripts/0%20-%20Government/USA%20-%20NASA/2020 09 25 - NASA - Gravity Assist  Why Icy Moons are So Juicy, with Athena Coustenis_4fdbfLJYYgI - transcript (automated).pdf","Transcript Link")</f>
        <v>Transcript Link</v>
      </c>
    </row>
    <row r="462" ht="195" spans="1:13">
      <c r="A462" s="1" t="s">
        <v>2211</v>
      </c>
      <c r="B462" s="1" t="s">
        <v>13</v>
      </c>
      <c r="C462" s="4" t="s">
        <v>2212</v>
      </c>
      <c r="D462" s="1" t="s">
        <v>2213</v>
      </c>
      <c r="E462" s="1" t="s">
        <v>2214</v>
      </c>
      <c r="F462" s="4" t="s">
        <v>17</v>
      </c>
      <c r="G462" s="1" t="s">
        <v>18</v>
      </c>
      <c r="H462" s="1" t="s">
        <v>19</v>
      </c>
      <c r="I462" s="1" t="s">
        <v>20</v>
      </c>
      <c r="J462" s="1" t="s">
        <v>2215</v>
      </c>
      <c r="K462" s="1" t="s">
        <v>22</v>
      </c>
      <c r="L462" s="1" t="str">
        <f>HYPERLINK("https://files.afu.se/Downloads/Transcripts/0%20-%20Government/USA%20-%20NASA/2020 09 22 - NASA - Northrop Grumman's CRS-14 Mission to the International Space Station  What's on Board_mlTUDZX4oas - transcript (automated).pdf","Transcript Link")</f>
        <v>Transcript Link</v>
      </c>
      <c r="M462" s="2" t="str">
        <f>HYPERLINK("https://files.afu.se/Downloads/Transcripts/0%20-%20Government/USA%20-%20NASA/2020 09 22 - NASA - Northrop Grumman's CRS-14 Mission to the International Space Station  What's on Board_mlTUDZX4oas - transcript (automated).pdf","Transcript Link")</f>
        <v>Transcript Link</v>
      </c>
    </row>
    <row r="463" ht="195" spans="1:13">
      <c r="A463" s="1" t="s">
        <v>2216</v>
      </c>
      <c r="B463" s="1" t="s">
        <v>13</v>
      </c>
      <c r="C463" s="4" t="s">
        <v>2217</v>
      </c>
      <c r="D463" s="1" t="s">
        <v>2218</v>
      </c>
      <c r="E463" s="1" t="s">
        <v>2219</v>
      </c>
      <c r="F463" s="4" t="s">
        <v>17</v>
      </c>
      <c r="G463" s="1" t="s">
        <v>18</v>
      </c>
      <c r="H463" s="1" t="s">
        <v>19</v>
      </c>
      <c r="I463" s="1" t="s">
        <v>20</v>
      </c>
      <c r="J463" s="1" t="s">
        <v>2220</v>
      </c>
      <c r="K463" s="1" t="s">
        <v>22</v>
      </c>
      <c r="L463" s="1" t="str">
        <f>HYPERLINK("https://files.afu.se/Downloads/Transcripts/0%20-%20Government/USA%20-%20NASA/2020 09 18 - NASA - Observing a Record Atlantic Storm Season from Space on This Week @NASA – September 18, 2020_rrzHZhZANXU - transcript (automated).pdf","Transcript Link")</f>
        <v>Transcript Link</v>
      </c>
      <c r="M463" s="2" t="str">
        <f>HYPERLINK("https://files.afu.se/Downloads/Transcripts/0%20-%20Government/USA%20-%20NASA/2020 09 18 - NASA - Observing a Record Atlantic Storm Season from Space on This Week @NASA – September 18, 2020_rrzHZhZANXU - transcript (automated).pdf","Transcript Link")</f>
        <v>Transcript Link</v>
      </c>
    </row>
    <row r="464" ht="300" spans="1:13">
      <c r="A464" s="1" t="s">
        <v>2221</v>
      </c>
      <c r="B464" s="1" t="s">
        <v>13</v>
      </c>
      <c r="C464" s="4" t="s">
        <v>2222</v>
      </c>
      <c r="D464" s="1" t="s">
        <v>2223</v>
      </c>
      <c r="E464" s="1" t="s">
        <v>2224</v>
      </c>
      <c r="F464" s="4" t="s">
        <v>17</v>
      </c>
      <c r="G464" s="1" t="s">
        <v>18</v>
      </c>
      <c r="H464" s="1" t="s">
        <v>19</v>
      </c>
      <c r="I464" s="1" t="s">
        <v>20</v>
      </c>
      <c r="J464" s="1" t="s">
        <v>2225</v>
      </c>
      <c r="K464" s="1" t="s">
        <v>22</v>
      </c>
      <c r="L464" s="1" t="str">
        <f>HYPERLINK("https://files.afu.se/Downloads/Transcripts/0%20-%20Government/USA%20-%20NASA/2020 09 17 - NASA - Happy 90th Birthday General Tom Stafford_-DmUZkJ9dnk - transcript (automated).pdf","Transcript Link")</f>
        <v>Transcript Link</v>
      </c>
      <c r="M464" s="2" t="str">
        <f>HYPERLINK("https://files.afu.se/Downloads/Transcripts/0%20-%20Government/USA%20-%20NASA/2020 09 17 - NASA - Happy 90th Birthday General Tom Stafford_-DmUZkJ9dnk - transcript (automated).pdf","Transcript Link")</f>
        <v>Transcript Link</v>
      </c>
    </row>
    <row r="465" ht="165" spans="1:13">
      <c r="A465" s="1" t="s">
        <v>2226</v>
      </c>
      <c r="B465" s="1" t="s">
        <v>13</v>
      </c>
      <c r="C465" s="4" t="s">
        <v>2227</v>
      </c>
      <c r="D465" s="1" t="s">
        <v>2228</v>
      </c>
      <c r="E465" s="1" t="s">
        <v>2229</v>
      </c>
      <c r="F465" s="4" t="s">
        <v>17</v>
      </c>
      <c r="G465" s="1" t="s">
        <v>18</v>
      </c>
      <c r="H465" s="1" t="s">
        <v>19</v>
      </c>
      <c r="I465" s="1" t="s">
        <v>20</v>
      </c>
      <c r="J465" s="1" t="s">
        <v>2230</v>
      </c>
      <c r="K465" s="1" t="s">
        <v>22</v>
      </c>
      <c r="L465" s="1" t="str">
        <f>HYPERLINK("https://files.afu.se/Downloads/Transcripts/0%20-%20Government/USA%20-%20NASA/2020 09 14 - NASA - Countdown to Mars  A Story of Perseverance_o2t5mbpscfQ - transcript (automated).pdf","Transcript Link")</f>
        <v>Transcript Link</v>
      </c>
      <c r="M465" s="2" t="str">
        <f>HYPERLINK("https://files.afu.se/Downloads/Transcripts/0%20-%20Government/USA%20-%20NASA/2020 09 14 - NASA - Countdown to Mars  A Story of Perseverance_o2t5mbpscfQ - transcript (automated).pdf","Transcript Link")</f>
        <v>Transcript Link</v>
      </c>
    </row>
    <row r="466" ht="195" spans="1:13">
      <c r="A466" s="1" t="s">
        <v>2231</v>
      </c>
      <c r="B466" s="1" t="s">
        <v>13</v>
      </c>
      <c r="C466" s="4" t="s">
        <v>2232</v>
      </c>
      <c r="D466" s="1" t="s">
        <v>2233</v>
      </c>
      <c r="E466" s="1" t="s">
        <v>2234</v>
      </c>
      <c r="F466" s="4" t="s">
        <v>17</v>
      </c>
      <c r="G466" s="1" t="s">
        <v>18</v>
      </c>
      <c r="H466" s="1" t="s">
        <v>19</v>
      </c>
      <c r="I466" s="1" t="s">
        <v>20</v>
      </c>
      <c r="J466" s="1" t="s">
        <v>2235</v>
      </c>
      <c r="K466" s="1" t="s">
        <v>22</v>
      </c>
      <c r="L466" s="1" t="str">
        <f>HYPERLINK("https://files.afu.se/Downloads/Transcripts/0%20-%20Government/USA%20-%20NASA/2020 09 11 - NASA - A Step Toward Sustainable Lunar Exploration on This Week @NASA – September 11, 2020_3NOmU06Vs6o - transcript (automated).pdf","Transcript Link")</f>
        <v>Transcript Link</v>
      </c>
      <c r="M466" s="2" t="str">
        <f>HYPERLINK("https://files.afu.se/Downloads/Transcripts/0%20-%20Government/USA%20-%20NASA/2020 09 11 - NASA - A Step Toward Sustainable Lunar Exploration on This Week @NASA – September 11, 2020_3NOmU06Vs6o - transcript (automated).pdf","Transcript Link")</f>
        <v>Transcript Link</v>
      </c>
    </row>
    <row r="467" ht="255" spans="1:13">
      <c r="A467" s="1" t="s">
        <v>2231</v>
      </c>
      <c r="B467" s="1" t="s">
        <v>13</v>
      </c>
      <c r="C467" s="4" t="s">
        <v>2236</v>
      </c>
      <c r="D467" s="1" t="s">
        <v>2237</v>
      </c>
      <c r="E467" s="1" t="s">
        <v>2238</v>
      </c>
      <c r="F467" s="4" t="s">
        <v>17</v>
      </c>
      <c r="G467" s="1" t="s">
        <v>18</v>
      </c>
      <c r="H467" s="1" t="s">
        <v>19</v>
      </c>
      <c r="I467" s="1" t="s">
        <v>20</v>
      </c>
      <c r="J467" s="1" t="s">
        <v>2239</v>
      </c>
      <c r="K467" s="1" t="s">
        <v>22</v>
      </c>
      <c r="L467" s="1" t="str">
        <f>HYPERLINK("https://files.afu.se/Downloads/Transcripts/0%20-%20Government/USA%20-%20NASA/2020 09 11 - NASA - Gravity Assist  Is Artificial Intelligence the Future of Life _afw7dMIrw6I - transcript (automated).pdf","Transcript Link")</f>
        <v>Transcript Link</v>
      </c>
      <c r="M467" s="2" t="str">
        <f>HYPERLINK("https://files.afu.se/Downloads/Transcripts/0%20-%20Government/USA%20-%20NASA/2020 09 11 - NASA - Gravity Assist  Is Artificial Intelligence the Future of Life _afw7dMIrw6I - transcript (automated).pdf","Transcript Link")</f>
        <v>Transcript Link</v>
      </c>
    </row>
    <row r="468" ht="409.5" spans="1:13">
      <c r="A468" s="1" t="s">
        <v>2240</v>
      </c>
      <c r="B468" s="1" t="s">
        <v>13</v>
      </c>
      <c r="C468" s="4" t="s">
        <v>2241</v>
      </c>
      <c r="D468" s="1" t="s">
        <v>2242</v>
      </c>
      <c r="E468" s="1" t="s">
        <v>2243</v>
      </c>
      <c r="F468" s="4" t="s">
        <v>17</v>
      </c>
      <c r="G468" s="1" t="s">
        <v>18</v>
      </c>
      <c r="H468" s="1" t="s">
        <v>19</v>
      </c>
      <c r="I468" s="1" t="s">
        <v>20</v>
      </c>
      <c r="J468" s="1" t="s">
        <v>2244</v>
      </c>
      <c r="K468" s="1" t="s">
        <v>22</v>
      </c>
      <c r="L468" s="1" t="str">
        <f>HYPERLINK("https://files.afu.se/Downloads/Transcripts/0%20-%20Government/USA%20-%20NASA/2020 09 10 - NASA - NASA Asks Commercial Companies to Collect Moon Rocks_V7bhhKOON_o - transcript (automated).pdf","Transcript Link")</f>
        <v>Transcript Link</v>
      </c>
      <c r="M468" s="2" t="str">
        <f>HYPERLINK("https://files.afu.se/Downloads/Transcripts/0%20-%20Government/USA%20-%20NASA/2020 09 10 - NASA - NASA Asks Commercial Companies to Collect Moon Rocks_V7bhhKOON_o - transcript (automated).pdf","Transcript Link")</f>
        <v>Transcript Link</v>
      </c>
    </row>
    <row r="469" ht="300" spans="1:13">
      <c r="A469" s="1" t="s">
        <v>2245</v>
      </c>
      <c r="B469" s="1" t="s">
        <v>13</v>
      </c>
      <c r="C469" s="4" t="s">
        <v>2246</v>
      </c>
      <c r="D469" s="1" t="s">
        <v>2247</v>
      </c>
      <c r="E469" s="1" t="s">
        <v>2248</v>
      </c>
      <c r="F469" s="4" t="s">
        <v>17</v>
      </c>
      <c r="G469" s="1" t="s">
        <v>18</v>
      </c>
      <c r="H469" s="1" t="s">
        <v>19</v>
      </c>
      <c r="I469" s="1" t="s">
        <v>20</v>
      </c>
      <c r="J469" s="1" t="s">
        <v>2249</v>
      </c>
      <c r="K469" s="1" t="s">
        <v>22</v>
      </c>
      <c r="L469" s="1" t="str">
        <f>HYPERLINK("https://files.afu.se/Downloads/Transcripts/0%20-%20Government/USA%20-%20NASA/2020 09 09 - NASA - 20 Years of Science  NASA Explorers S4 Bonus_-pJcbKr7iA4 - transcript (automated).pdf","Transcript Link")</f>
        <v>Transcript Link</v>
      </c>
      <c r="M469" s="2" t="str">
        <f>HYPERLINK("https://files.afu.se/Downloads/Transcripts/0%20-%20Government/USA%20-%20NASA/2020 09 09 - NASA - 20 Years of Science  NASA Explorers S4 Bonus_-pJcbKr7iA4 - transcript (automated).pdf","Transcript Link")</f>
        <v>Transcript Link</v>
      </c>
    </row>
    <row r="470" ht="180" spans="1:13">
      <c r="A470" s="1" t="s">
        <v>2250</v>
      </c>
      <c r="B470" s="1" t="s">
        <v>13</v>
      </c>
      <c r="C470" s="4" t="s">
        <v>2251</v>
      </c>
      <c r="D470" s="1" t="s">
        <v>2252</v>
      </c>
      <c r="E470" s="1" t="s">
        <v>2253</v>
      </c>
      <c r="F470" s="4" t="s">
        <v>17</v>
      </c>
      <c r="G470" s="1" t="s">
        <v>18</v>
      </c>
      <c r="H470" s="1" t="s">
        <v>19</v>
      </c>
      <c r="I470" s="1" t="s">
        <v>20</v>
      </c>
      <c r="J470" s="1" t="s">
        <v>2254</v>
      </c>
      <c r="K470" s="1" t="s">
        <v>22</v>
      </c>
      <c r="L470" s="1" t="str">
        <f>HYPERLINK("https://files.afu.se/Downloads/Transcripts/0%20-%20Government/USA%20-%20NASA/2020 09 04 - NASA - Firing Up a Rocket Booster for Artemis on This Week @NASA – September 4, 2020_CqiIX5cE6BY - transcript (automated).pdf","Transcript Link")</f>
        <v>Transcript Link</v>
      </c>
      <c r="M470" s="2" t="str">
        <f>HYPERLINK("https://files.afu.se/Downloads/Transcripts/0%20-%20Government/USA%20-%20NASA/2020 09 04 - NASA - Firing Up a Rocket Booster for Artemis on This Week @NASA – September 4, 2020_CqiIX5cE6BY - transcript (automated).pdf","Transcript Link")</f>
        <v>Transcript Link</v>
      </c>
    </row>
    <row r="471" ht="409.5" spans="1:13">
      <c r="A471" s="1" t="s">
        <v>2255</v>
      </c>
      <c r="B471" s="1" t="s">
        <v>13</v>
      </c>
      <c r="C471" s="4" t="s">
        <v>2256</v>
      </c>
      <c r="D471" s="1" t="s">
        <v>2257</v>
      </c>
      <c r="E471" s="1" t="s">
        <v>2258</v>
      </c>
      <c r="F471" s="4" t="s">
        <v>17</v>
      </c>
      <c r="G471" s="1" t="s">
        <v>18</v>
      </c>
      <c r="H471" s="1" t="s">
        <v>19</v>
      </c>
      <c r="I471" s="1" t="s">
        <v>20</v>
      </c>
      <c r="J471" s="1" t="s">
        <v>2259</v>
      </c>
      <c r="K471" s="1" t="s">
        <v>22</v>
      </c>
      <c r="L471" s="1" t="str">
        <f>HYPERLINK("https://files.afu.se/Downloads/Transcripts/0%20-%20Government/USA%20-%20NASA/2020 09 02 - NASA - NASA Tests Space Launch System Rocket Booster for Artemis Missions_gHJDD02Jwms - transcript (automated).pdf","Transcript Link")</f>
        <v>Transcript Link</v>
      </c>
      <c r="M471" s="2" t="str">
        <f>HYPERLINK("https://files.afu.se/Downloads/Transcripts/0%20-%20Government/USA%20-%20NASA/2020 09 02 - NASA - NASA Tests Space Launch System Rocket Booster for Artemis Missions_gHJDD02Jwms - transcript (automated).pdf","Transcript Link")</f>
        <v>Transcript Link</v>
      </c>
    </row>
    <row r="472" ht="195" spans="1:13">
      <c r="A472" s="1" t="s">
        <v>2260</v>
      </c>
      <c r="B472" s="1" t="s">
        <v>13</v>
      </c>
      <c r="C472" s="4" t="s">
        <v>2261</v>
      </c>
      <c r="D472" s="1" t="s">
        <v>2262</v>
      </c>
      <c r="E472" s="1" t="s">
        <v>2263</v>
      </c>
      <c r="F472" s="4" t="s">
        <v>17</v>
      </c>
      <c r="G472" s="1" t="s">
        <v>18</v>
      </c>
      <c r="H472" s="1" t="s">
        <v>19</v>
      </c>
      <c r="I472" s="1" t="s">
        <v>20</v>
      </c>
      <c r="J472" s="1" t="s">
        <v>2264</v>
      </c>
      <c r="K472" s="1" t="s">
        <v>22</v>
      </c>
      <c r="L472" s="1" t="str">
        <f>HYPERLINK("https://files.afu.se/Downloads/Transcripts/0%20-%20Government/USA%20-%20NASA/2020 08 28 - NASA - The First Element of the Spacecraft For Artemis III on This Week @NASA – August 28, 2020_PNop2HoNrbY - transcript (automated).pdf","Transcript Link")</f>
        <v>Transcript Link</v>
      </c>
      <c r="M472" s="2" t="str">
        <f>HYPERLINK("https://files.afu.se/Downloads/Transcripts/0%20-%20Government/USA%20-%20NASA/2020 08 28 - NASA - The First Element of the Spacecraft For Artemis III on This Week @NASA – August 28, 2020_PNop2HoNrbY - transcript (automated).pdf","Transcript Link")</f>
        <v>Transcript Link</v>
      </c>
    </row>
    <row r="473" ht="409.5" spans="1:13">
      <c r="A473" s="1" t="s">
        <v>2265</v>
      </c>
      <c r="B473" s="1" t="s">
        <v>13</v>
      </c>
      <c r="C473" s="4" t="s">
        <v>2266</v>
      </c>
      <c r="D473" s="1" t="s">
        <v>2267</v>
      </c>
      <c r="E473" s="1" t="s">
        <v>2268</v>
      </c>
      <c r="F473" s="4" t="s">
        <v>17</v>
      </c>
      <c r="G473" s="1" t="s">
        <v>18</v>
      </c>
      <c r="H473" s="1" t="s">
        <v>19</v>
      </c>
      <c r="I473" s="1" t="s">
        <v>20</v>
      </c>
      <c r="J473" s="1" t="s">
        <v>2269</v>
      </c>
      <c r="K473" s="1" t="s">
        <v>22</v>
      </c>
      <c r="L473" s="1" t="str">
        <f>HYPERLINK("https://files.afu.se/Downloads/Transcripts/0%20-%20Government/USA%20-%20NASA/2020 08 26 - NASA - Past, Present, and Future of Women in Space_IXKzwwdcUlE - transcript (automated).pdf","Transcript Link")</f>
        <v>Transcript Link</v>
      </c>
      <c r="M473" s="2" t="str">
        <f>HYPERLINK("https://files.afu.se/Downloads/Transcripts/0%20-%20Government/USA%20-%20NASA/2020 08 26 - NASA - Past, Present, and Future of Women in Space_IXKzwwdcUlE - transcript (automated).pdf","Transcript Link")</f>
        <v>Transcript Link</v>
      </c>
    </row>
    <row r="474" ht="165" spans="1:13">
      <c r="A474" s="1" t="s">
        <v>2270</v>
      </c>
      <c r="B474" s="1" t="s">
        <v>13</v>
      </c>
      <c r="C474" s="4" t="s">
        <v>2271</v>
      </c>
      <c r="D474" s="1" t="s">
        <v>2272</v>
      </c>
      <c r="E474" s="1" t="s">
        <v>2273</v>
      </c>
      <c r="F474" s="4" t="s">
        <v>17</v>
      </c>
      <c r="G474" s="1" t="s">
        <v>18</v>
      </c>
      <c r="H474" s="1" t="s">
        <v>19</v>
      </c>
      <c r="I474" s="1" t="s">
        <v>20</v>
      </c>
      <c r="J474" s="1" t="s">
        <v>2274</v>
      </c>
      <c r="K474" s="1" t="s">
        <v>22</v>
      </c>
      <c r="L474" s="1" t="str">
        <f>HYPERLINK("https://files.afu.se/Downloads/Transcripts/0%20-%20Government/USA%20-%20NASA/2020 08 24 - NASA - Tropical Storm Laura From Space on August 24, 2020_fnZ6G7hT-9I - transcript (automated).pdf","Transcript Link")</f>
        <v>Transcript Link</v>
      </c>
      <c r="M474" s="2" t="str">
        <f>HYPERLINK("https://files.afu.se/Downloads/Transcripts/0%20-%20Government/USA%20-%20NASA/2020 08 24 - NASA - Tropical Storm Laura From Space on August 24, 2020_fnZ6G7hT-9I - transcript (automated).pdf","Transcript Link")</f>
        <v>Transcript Link</v>
      </c>
    </row>
    <row r="475" ht="165" spans="1:13">
      <c r="A475" s="1" t="s">
        <v>2275</v>
      </c>
      <c r="B475" s="1" t="s">
        <v>13</v>
      </c>
      <c r="C475" s="4" t="s">
        <v>2276</v>
      </c>
      <c r="D475" s="1" t="s">
        <v>2277</v>
      </c>
      <c r="E475" s="1" t="s">
        <v>2278</v>
      </c>
      <c r="F475" s="4" t="s">
        <v>17</v>
      </c>
      <c r="G475" s="1" t="s">
        <v>18</v>
      </c>
      <c r="H475" s="1" t="s">
        <v>19</v>
      </c>
      <c r="I475" s="1" t="s">
        <v>20</v>
      </c>
      <c r="J475" s="1" t="s">
        <v>2279</v>
      </c>
      <c r="K475" s="1" t="s">
        <v>22</v>
      </c>
      <c r="L475" s="1" t="str">
        <f>HYPERLINK("https://files.afu.se/Downloads/Transcripts/0%20-%20Government/USA%20-%20NASA/2020 08 21 - NASA - Targeting the Next U.S. Launch of Astronauts on This Week @NASA – August 21, 2020_aKPE_WwN7Yc - transcript (automated).pdf","Transcript Link")</f>
        <v>Transcript Link</v>
      </c>
      <c r="M475" s="2" t="str">
        <f>HYPERLINK("https://files.afu.se/Downloads/Transcripts/0%20-%20Government/USA%20-%20NASA/2020 08 21 - NASA - Targeting the Next U.S. Launch of Astronauts on This Week @NASA – August 21, 2020_aKPE_WwN7Yc - transcript (automated).pdf","Transcript Link")</f>
        <v>Transcript Link</v>
      </c>
    </row>
    <row r="476" ht="165" spans="1:13">
      <c r="A476" s="1" t="s">
        <v>2275</v>
      </c>
      <c r="B476" s="1" t="s">
        <v>13</v>
      </c>
      <c r="C476" s="4" t="s">
        <v>2280</v>
      </c>
      <c r="D476" s="1" t="s">
        <v>2281</v>
      </c>
      <c r="E476" s="1" t="s">
        <v>2282</v>
      </c>
      <c r="F476" s="4" t="s">
        <v>17</v>
      </c>
      <c r="G476" s="1" t="s">
        <v>18</v>
      </c>
      <c r="H476" s="1" t="s">
        <v>19</v>
      </c>
      <c r="I476" s="1" t="s">
        <v>20</v>
      </c>
      <c r="J476" s="1" t="s">
        <v>2283</v>
      </c>
      <c r="K476" s="1" t="s">
        <v>22</v>
      </c>
      <c r="L476" s="1" t="str">
        <f>HYPERLINK("https://files.afu.se/Downloads/Transcripts/0%20-%20Government/USA%20-%20NASA/2020 08 21 - NASA - What You Need to Know About Enceladus_PQSagzssvUQ - transcript (automated).pdf","Transcript Link")</f>
        <v>Transcript Link</v>
      </c>
      <c r="M476" s="2" t="str">
        <f>HYPERLINK("https://files.afu.se/Downloads/Transcripts/0%20-%20Government/USA%20-%20NASA/2020 08 21 - NASA - What You Need to Know About Enceladus_PQSagzssvUQ - transcript (automated).pdf","Transcript Link")</f>
        <v>Transcript Link</v>
      </c>
    </row>
    <row r="477" ht="409.5" spans="1:13">
      <c r="A477" s="1" t="s">
        <v>2284</v>
      </c>
      <c r="B477" s="1" t="s">
        <v>13</v>
      </c>
      <c r="C477" s="4" t="s">
        <v>2285</v>
      </c>
      <c r="D477" s="1" t="s">
        <v>2286</v>
      </c>
      <c r="E477" s="1" t="s">
        <v>2287</v>
      </c>
      <c r="F477" s="4" t="s">
        <v>17</v>
      </c>
      <c r="G477" s="1" t="s">
        <v>18</v>
      </c>
      <c r="H477" s="1" t="s">
        <v>19</v>
      </c>
      <c r="I477" s="1" t="s">
        <v>20</v>
      </c>
      <c r="J477" s="1" t="s">
        <v>2288</v>
      </c>
      <c r="K477" s="1" t="s">
        <v>22</v>
      </c>
      <c r="L477" s="1" t="str">
        <f>HYPERLINK("https://files.afu.se/Downloads/Transcripts/0%20-%20Government/USA%20-%20NASA/2020 08 20 - NASA - %23AskNASA┃ What Do Beck, NASA and Artificial Intelligence Have in Common _kz_UTSOfs7o - transcript (automated).pdf","Transcript Link")</f>
        <v>Transcript Link</v>
      </c>
      <c r="M477" s="2" t="str">
        <f>HYPERLINK("https://files.afu.se/Downloads/Transcripts/0%20-%20Government/USA%20-%20NASA/2020 08 20 - NASA - %23AskNASA┃ What Do Beck, NASA and Artificial Intelligence Have in Common _kz_UTSOfs7o - transcript (automated).pdf","Transcript Link")</f>
        <v>Transcript Link</v>
      </c>
    </row>
    <row r="478" ht="165" spans="1:13">
      <c r="A478" s="1" t="s">
        <v>2289</v>
      </c>
      <c r="B478" s="1" t="s">
        <v>13</v>
      </c>
      <c r="C478" s="4" t="s">
        <v>2290</v>
      </c>
      <c r="D478" s="1" t="s">
        <v>2291</v>
      </c>
      <c r="E478" s="1" t="s">
        <v>2292</v>
      </c>
      <c r="F478" s="4" t="s">
        <v>17</v>
      </c>
      <c r="G478" s="1" t="s">
        <v>18</v>
      </c>
      <c r="H478" s="1" t="s">
        <v>19</v>
      </c>
      <c r="I478" s="1" t="s">
        <v>20</v>
      </c>
      <c r="J478" s="1" t="s">
        <v>2293</v>
      </c>
      <c r="K478" s="1" t="s">
        <v>22</v>
      </c>
      <c r="L478" s="1" t="str">
        <f>HYPERLINK("https://files.afu.se/Downloads/Transcripts/0%20-%20Government/USA%20-%20NASA/2020 08 17 - NASA - What You Need to Know About Ocean Worlds__9AYw2EQm8s - transcript (automated).pdf","Transcript Link")</f>
        <v>Transcript Link</v>
      </c>
      <c r="M478" s="2" t="str">
        <f>HYPERLINK("https://files.afu.se/Downloads/Transcripts/0%20-%20Government/USA%20-%20NASA/2020 08 17 - NASA - What You Need to Know About Ocean Worlds__9AYw2EQm8s - transcript (automated).pdf","Transcript Link")</f>
        <v>Transcript Link</v>
      </c>
    </row>
    <row r="479" ht="165" spans="1:13">
      <c r="A479" s="1" t="s">
        <v>2294</v>
      </c>
      <c r="B479" s="1" t="s">
        <v>13</v>
      </c>
      <c r="C479" s="4" t="s">
        <v>2295</v>
      </c>
      <c r="D479" s="1" t="s">
        <v>2296</v>
      </c>
      <c r="E479" s="1" t="s">
        <v>2297</v>
      </c>
      <c r="F479" s="4" t="s">
        <v>17</v>
      </c>
      <c r="G479" s="1" t="s">
        <v>18</v>
      </c>
      <c r="H479" s="1" t="s">
        <v>19</v>
      </c>
      <c r="I479" s="1" t="s">
        <v>20</v>
      </c>
      <c r="J479" s="1" t="s">
        <v>2298</v>
      </c>
      <c r="K479" s="1" t="s">
        <v>22</v>
      </c>
      <c r="L479" s="1" t="str">
        <f>HYPERLINK("https://files.afu.se/Downloads/Transcripts/0%20-%20Government/USA%20-%20NASA/2020 08 14 - NASA - Closing in On a Hot Fire Test for Artemis I on This Week @NASA – August 14, 2020_nHv5lQDwSVM - transcript (automated).pdf","Transcript Link")</f>
        <v>Transcript Link</v>
      </c>
      <c r="M479" s="2" t="str">
        <f>HYPERLINK("https://files.afu.se/Downloads/Transcripts/0%20-%20Government/USA%20-%20NASA/2020 08 14 - NASA - Closing in On a Hot Fire Test for Artemis I on This Week @NASA – August 14, 2020_nHv5lQDwSVM - transcript (automated).pdf","Transcript Link")</f>
        <v>Transcript Link</v>
      </c>
    </row>
    <row r="480" ht="409.5" spans="1:13">
      <c r="A480" s="1" t="s">
        <v>2294</v>
      </c>
      <c r="B480" s="1" t="s">
        <v>13</v>
      </c>
      <c r="C480" s="4" t="s">
        <v>2299</v>
      </c>
      <c r="D480" s="1" t="s">
        <v>2300</v>
      </c>
      <c r="E480" s="1" t="s">
        <v>2301</v>
      </c>
      <c r="F480" s="4" t="s">
        <v>17</v>
      </c>
      <c r="G480" s="1" t="s">
        <v>18</v>
      </c>
      <c r="H480" s="1" t="s">
        <v>19</v>
      </c>
      <c r="I480" s="1" t="s">
        <v>20</v>
      </c>
      <c r="J480" s="1" t="s">
        <v>2302</v>
      </c>
      <c r="K480" s="1" t="s">
        <v>22</v>
      </c>
      <c r="L480" s="1" t="str">
        <f>HYPERLINK("https://files.afu.se/Downloads/Transcripts/0%20-%20Government/USA%20-%20NASA/2020 08 14 - NASA - Gravity Assist Podcast  Looking For Life in Ancient Lakes_8XFZfgjePlE - transcript (automated).pdf","Transcript Link")</f>
        <v>Transcript Link</v>
      </c>
      <c r="M480" s="2" t="str">
        <f>HYPERLINK("https://files.afu.se/Downloads/Transcripts/0%20-%20Government/USA%20-%20NASA/2020 08 14 - NASA - Gravity Assist Podcast  Looking For Life in Ancient Lakes_8XFZfgjePlE - transcript (automated).pdf","Transcript Link")</f>
        <v>Transcript Link</v>
      </c>
    </row>
    <row r="481" ht="165" spans="1:13">
      <c r="A481" s="1" t="s">
        <v>2303</v>
      </c>
      <c r="B481" s="1" t="s">
        <v>13</v>
      </c>
      <c r="C481" s="4" t="s">
        <v>2304</v>
      </c>
      <c r="D481" s="1" t="s">
        <v>2305</v>
      </c>
      <c r="E481" s="1" t="s">
        <v>2306</v>
      </c>
      <c r="F481" s="4" t="s">
        <v>17</v>
      </c>
      <c r="G481" s="1" t="s">
        <v>18</v>
      </c>
      <c r="H481" s="1" t="s">
        <v>19</v>
      </c>
      <c r="I481" s="1" t="s">
        <v>20</v>
      </c>
      <c r="J481" s="1" t="s">
        <v>2307</v>
      </c>
      <c r="K481" s="1" t="s">
        <v>22</v>
      </c>
      <c r="L481" s="1" t="str">
        <f>HYPERLINK("https://files.afu.se/Downloads/Transcripts/0%20-%20Government/USA%20-%20NASA/2020 08 10 - NASA - A Bridge Above  20 Years of the International Space Station_OyaXBrttBFQ - transcript (automated).pdf","Transcript Link")</f>
        <v>Transcript Link</v>
      </c>
      <c r="M481" s="2" t="str">
        <f>HYPERLINK("https://files.afu.se/Downloads/Transcripts/0%20-%20Government/USA%20-%20NASA/2020 08 10 - NASA - A Bridge Above  20 Years of the International Space Station_OyaXBrttBFQ - transcript (automated).pdf","Transcript Link")</f>
        <v>Transcript Link</v>
      </c>
    </row>
    <row r="482" ht="255" spans="1:13">
      <c r="A482" s="1" t="s">
        <v>2308</v>
      </c>
      <c r="B482" s="1" t="s">
        <v>13</v>
      </c>
      <c r="C482" s="4" t="s">
        <v>2309</v>
      </c>
      <c r="D482" s="1" t="s">
        <v>2310</v>
      </c>
      <c r="E482" s="1" t="s">
        <v>2311</v>
      </c>
      <c r="F482" s="4" t="s">
        <v>17</v>
      </c>
      <c r="G482" s="1" t="s">
        <v>18</v>
      </c>
      <c r="H482" s="1" t="s">
        <v>19</v>
      </c>
      <c r="I482" s="1" t="s">
        <v>20</v>
      </c>
      <c r="J482" s="1" t="s">
        <v>2312</v>
      </c>
      <c r="K482" s="1" t="s">
        <v>22</v>
      </c>
      <c r="L482" s="1" t="str">
        <f>HYPERLINK("https://files.afu.se/Downloads/Transcripts/0%20-%20Government/USA%20-%20NASA/2020 08 09 - NASA - Welcome Home Bob &amp; Doug  Social Media Welcomes %23LaunchAmerica Astronauts Home_Ps_HtCYOFBk - transcript (automated).pdf","Transcript Link")</f>
        <v>Transcript Link</v>
      </c>
      <c r="M482" s="2" t="str">
        <f>HYPERLINK("https://files.afu.se/Downloads/Transcripts/0%20-%20Government/USA%20-%20NASA/2020 08 09 - NASA - Welcome Home Bob &amp; Doug  Social Media Welcomes %23LaunchAmerica Astronauts Home_Ps_HtCYOFBk - transcript (automated).pdf","Transcript Link")</f>
        <v>Transcript Link</v>
      </c>
    </row>
    <row r="483" ht="195" spans="1:13">
      <c r="A483" s="1" t="s">
        <v>2313</v>
      </c>
      <c r="B483" s="1" t="s">
        <v>13</v>
      </c>
      <c r="C483" s="4" t="s">
        <v>2314</v>
      </c>
      <c r="D483" s="1" t="s">
        <v>2315</v>
      </c>
      <c r="E483" s="1" t="s">
        <v>2316</v>
      </c>
      <c r="F483" s="4" t="s">
        <v>17</v>
      </c>
      <c r="G483" s="1" t="s">
        <v>18</v>
      </c>
      <c r="H483" s="1" t="s">
        <v>19</v>
      </c>
      <c r="I483" s="1" t="s">
        <v>20</v>
      </c>
      <c r="J483" s="1" t="s">
        <v>2317</v>
      </c>
      <c r="K483" s="1" t="s">
        <v>22</v>
      </c>
      <c r="L483" s="1" t="str">
        <f>HYPERLINK("https://files.afu.se/Downloads/Transcripts/0%20-%20Government/USA%20-%20NASA/2020 08 07 - NASA - A Safe Splashdown for an Historic Test Flight on This Week @NASA – August 7, 2020_oEwwC9CakYU - transcript (automated).pdf","Transcript Link")</f>
        <v>Transcript Link</v>
      </c>
      <c r="M483" s="2" t="str">
        <f>HYPERLINK("https://files.afu.se/Downloads/Transcripts/0%20-%20Government/USA%20-%20NASA/2020 08 07 - NASA - A Safe Splashdown for an Historic Test Flight on This Week @NASA – August 7, 2020_oEwwC9CakYU - transcript (automated).pdf","Transcript Link")</f>
        <v>Transcript Link</v>
      </c>
    </row>
    <row r="484" ht="405" spans="1:13">
      <c r="A484" s="1" t="s">
        <v>2318</v>
      </c>
      <c r="B484" s="1" t="s">
        <v>13</v>
      </c>
      <c r="C484" s="4" t="s">
        <v>2319</v>
      </c>
      <c r="D484" s="1" t="s">
        <v>2320</v>
      </c>
      <c r="E484" s="1" t="s">
        <v>2321</v>
      </c>
      <c r="F484" s="4" t="s">
        <v>17</v>
      </c>
      <c r="G484" s="1" t="s">
        <v>18</v>
      </c>
      <c r="H484" s="1" t="s">
        <v>19</v>
      </c>
      <c r="I484" s="1" t="s">
        <v>20</v>
      </c>
      <c r="J484" s="1" t="s">
        <v>2322</v>
      </c>
      <c r="K484" s="1" t="s">
        <v>22</v>
      </c>
      <c r="L484" s="1" t="str">
        <f>HYPERLINK("https://files.afu.se/Downloads/Transcripts/0%20-%20Government/USA%20-%20NASA/2020 08 05 - NASA - %23AskNASA┃  How Do We Launch Astronauts from the United States to the Space Station _xwElqBcisMY - transcript (automated).pdf","Transcript Link")</f>
        <v>Transcript Link</v>
      </c>
      <c r="M484" s="2" t="str">
        <f>HYPERLINK("https://files.afu.se/Downloads/Transcripts/0%20-%20Government/USA%20-%20NASA/2020 08 05 - NASA - %23AskNASA┃  How Do We Launch Astronauts from the United States to the Space Station _xwElqBcisMY - transcript (automated).pdf","Transcript Link")</f>
        <v>Transcript Link</v>
      </c>
    </row>
    <row r="485" ht="210" spans="1:13">
      <c r="A485" s="1" t="s">
        <v>2323</v>
      </c>
      <c r="B485" s="1" t="s">
        <v>13</v>
      </c>
      <c r="C485" s="4" t="s">
        <v>2324</v>
      </c>
      <c r="D485" s="1" t="s">
        <v>2325</v>
      </c>
      <c r="E485" s="1" t="s">
        <v>2326</v>
      </c>
      <c r="F485" s="4" t="s">
        <v>17</v>
      </c>
      <c r="G485" s="1" t="s">
        <v>18</v>
      </c>
      <c r="H485" s="1" t="s">
        <v>19</v>
      </c>
      <c r="I485" s="1" t="s">
        <v>20</v>
      </c>
      <c r="J485" s="1" t="s">
        <v>2327</v>
      </c>
      <c r="K485" s="1" t="s">
        <v>22</v>
      </c>
      <c r="L485" s="1" t="str">
        <f>HYPERLINK("https://files.afu.se/Downloads/Transcripts/0%20-%20Government/USA%20-%20NASA/2020 08 03 - NASA - SpaceX Dragon Endeavour Splashdown in 4K_PLc3_vxTNmM - transcript (automated).pdf","Transcript Link")</f>
        <v>Transcript Link</v>
      </c>
      <c r="M485" s="2" t="str">
        <f>HYPERLINK("https://files.afu.se/Downloads/Transcripts/0%20-%20Government/USA%20-%20NASA/2020 08 03 - NASA - SpaceX Dragon Endeavour Splashdown in 4K_PLc3_vxTNmM - transcript (automated).pdf","Transcript Link")</f>
        <v>Transcript Link</v>
      </c>
    </row>
    <row r="486" ht="409.5" spans="1:13">
      <c r="A486" s="1" t="s">
        <v>2328</v>
      </c>
      <c r="B486" s="1" t="s">
        <v>13</v>
      </c>
      <c r="C486" s="4" t="s">
        <v>2329</v>
      </c>
      <c r="D486" s="1" t="s">
        <v>2330</v>
      </c>
      <c r="E486" s="1" t="s">
        <v>2331</v>
      </c>
      <c r="F486" s="4" t="s">
        <v>17</v>
      </c>
      <c r="G486" s="1" t="s">
        <v>18</v>
      </c>
      <c r="H486" s="1" t="s">
        <v>19</v>
      </c>
      <c r="I486" s="1" t="s">
        <v>20</v>
      </c>
      <c r="J486" s="1" t="s">
        <v>2332</v>
      </c>
      <c r="K486" s="1" t="s">
        <v>22</v>
      </c>
      <c r="L486" s="1" t="str">
        <f>HYPERLINK("https://files.afu.se/Downloads/Transcripts/0%20-%20Government/USA%20-%20NASA/2020 08 02 - NASA - Splashdown Recap  Bob &amp; Doug Come Home_qDjvuBah3K0 - transcript (automated).pdf","Transcript Link")</f>
        <v>Transcript Link</v>
      </c>
      <c r="M486" s="2" t="str">
        <f>HYPERLINK("https://files.afu.se/Downloads/Transcripts/0%20-%20Government/USA%20-%20NASA/2020 08 02 - NASA - Splashdown Recap  Bob &amp; Doug Come Home_qDjvuBah3K0 - transcript (automated).pdf","Transcript Link")</f>
        <v>Transcript Link</v>
      </c>
    </row>
    <row r="487" ht="240" spans="1:13">
      <c r="A487" s="1" t="s">
        <v>2333</v>
      </c>
      <c r="B487" s="1" t="s">
        <v>13</v>
      </c>
      <c r="C487" s="4" t="s">
        <v>2334</v>
      </c>
      <c r="D487" s="1" t="s">
        <v>2335</v>
      </c>
      <c r="E487" s="1" t="s">
        <v>2336</v>
      </c>
      <c r="F487" s="4" t="s">
        <v>17</v>
      </c>
      <c r="G487" s="1" t="s">
        <v>18</v>
      </c>
      <c r="H487" s="1" t="s">
        <v>19</v>
      </c>
      <c r="I487" s="1" t="s">
        <v>20</v>
      </c>
      <c r="J487" s="1" t="s">
        <v>2337</v>
      </c>
      <c r="K487" s="1" t="s">
        <v>22</v>
      </c>
      <c r="L487" s="1" t="str">
        <f>HYPERLINK("https://files.afu.se/Downloads/Transcripts/0%20-%20Government/USA%20-%20NASA/2020 08 01 - NASA - Views of Planet Earth — As Seen by NASA Astronauts in Space_TUKA7ToC8R0 - transcript (automated).pdf","Transcript Link")</f>
        <v>Transcript Link</v>
      </c>
      <c r="M487" s="2" t="str">
        <f>HYPERLINK("https://files.afu.se/Downloads/Transcripts/0%20-%20Government/USA%20-%20NASA/2020 08 01 - NASA - Views of Planet Earth — As Seen by NASA Astronauts in Space_TUKA7ToC8R0 - transcript (automated).pdf","Transcript Link")</f>
        <v>Transcript Link</v>
      </c>
    </row>
    <row r="488" ht="240" spans="1:13">
      <c r="A488" s="1" t="s">
        <v>2333</v>
      </c>
      <c r="B488" s="1" t="s">
        <v>13</v>
      </c>
      <c r="C488" s="4" t="s">
        <v>2338</v>
      </c>
      <c r="D488" s="1" t="s">
        <v>2339</v>
      </c>
      <c r="E488" s="1" t="s">
        <v>2340</v>
      </c>
      <c r="F488" s="4" t="s">
        <v>17</v>
      </c>
      <c r="G488" s="1" t="s">
        <v>18</v>
      </c>
      <c r="H488" s="1" t="s">
        <v>19</v>
      </c>
      <c r="I488" s="1" t="s">
        <v>20</v>
      </c>
      <c r="J488" s="1" t="s">
        <v>2341</v>
      </c>
      <c r="K488" s="1" t="s">
        <v>22</v>
      </c>
      <c r="L488" s="1" t="str">
        <f>HYPERLINK("https://files.afu.se/Downloads/Transcripts/0%20-%20Government/USA%20-%20NASA/2020 08 01 - NASA - NASA Astronauts Robert Behnken and Douglas Hurley’s Scientific Journeys aboard the Space Station_mwQvcGE0kPI - transcript (automated).pdf","Transcript Link")</f>
        <v>Transcript Link</v>
      </c>
      <c r="M488" s="2" t="str">
        <f>HYPERLINK("https://files.afu.se/Downloads/Transcripts/0%20-%20Government/USA%20-%20NASA/2020 08 01 - NASA - NASA Astronauts Robert Behnken and Douglas Hurley’s Scientific Journeys aboard the Space Station_mwQvcGE0kPI - transcript (automated).pdf","Transcript Link")</f>
        <v>Transcript Link</v>
      </c>
    </row>
    <row r="489" ht="180" spans="1:13">
      <c r="A489" s="1" t="s">
        <v>2342</v>
      </c>
      <c r="B489" s="1" t="s">
        <v>13</v>
      </c>
      <c r="C489" s="4" t="s">
        <v>2343</v>
      </c>
      <c r="D489" s="1" t="s">
        <v>2344</v>
      </c>
      <c r="E489" s="1" t="s">
        <v>2345</v>
      </c>
      <c r="F489" s="4" t="s">
        <v>17</v>
      </c>
      <c r="G489" s="1" t="s">
        <v>18</v>
      </c>
      <c r="H489" s="1" t="s">
        <v>19</v>
      </c>
      <c r="I489" s="1" t="s">
        <v>20</v>
      </c>
      <c r="J489" s="1" t="s">
        <v>2346</v>
      </c>
      <c r="K489" s="1" t="s">
        <v>22</v>
      </c>
      <c r="L489" s="1" t="str">
        <f>HYPERLINK("https://files.afu.se/Downloads/Transcripts/0%20-%20Government/USA%20-%20NASA/2020 07 31 - NASA - NASA Astronauts Robert Behnken and Douglas Hurley Are Coming Home!_J3VuLKFnvlQ - transcript (automated).pdf","Transcript Link")</f>
        <v>Transcript Link</v>
      </c>
      <c r="M489" s="2" t="str">
        <f>HYPERLINK("https://files.afu.se/Downloads/Transcripts/0%20-%20Government/USA%20-%20NASA/2020 07 31 - NASA - NASA Astronauts Robert Behnken and Douglas Hurley Are Coming Home!_J3VuLKFnvlQ - transcript (automated).pdf","Transcript Link")</f>
        <v>Transcript Link</v>
      </c>
    </row>
    <row r="490" ht="165" spans="1:13">
      <c r="A490" s="1" t="s">
        <v>2342</v>
      </c>
      <c r="B490" s="1" t="s">
        <v>13</v>
      </c>
      <c r="C490" s="4" t="s">
        <v>2347</v>
      </c>
      <c r="D490" s="1" t="s">
        <v>2348</v>
      </c>
      <c r="E490" s="1" t="s">
        <v>2349</v>
      </c>
      <c r="F490" s="4" t="s">
        <v>17</v>
      </c>
      <c r="G490" s="1" t="s">
        <v>18</v>
      </c>
      <c r="H490" s="1" t="s">
        <v>19</v>
      </c>
      <c r="I490" s="1" t="s">
        <v>20</v>
      </c>
      <c r="J490" s="1" t="s">
        <v>2350</v>
      </c>
      <c r="K490" s="1" t="s">
        <v>22</v>
      </c>
      <c r="L490" s="1" t="str">
        <f>HYPERLINK("https://files.afu.se/Downloads/Transcripts/0%20-%20Government/USA%20-%20NASA/2020 07 31 - NASA - Our Next Mars Rover is Headed to The Red Planet on This Week @NASA – July 31, 2020_KAegwr_ToJI - transcript (automated).pdf","Transcript Link")</f>
        <v>Transcript Link</v>
      </c>
      <c r="M490" s="2" t="str">
        <f>HYPERLINK("https://files.afu.se/Downloads/Transcripts/0%20-%20Government/USA%20-%20NASA/2020 07 31 - NASA - Our Next Mars Rover is Headed to The Red Planet on This Week @NASA – July 31, 2020_KAegwr_ToJI - transcript (automated).pdf","Transcript Link")</f>
        <v>Transcript Link</v>
      </c>
    </row>
    <row r="491" ht="165" spans="1:13">
      <c r="A491" s="1" t="s">
        <v>2351</v>
      </c>
      <c r="B491" s="1" t="s">
        <v>13</v>
      </c>
      <c r="C491" s="4" t="s">
        <v>2352</v>
      </c>
      <c r="D491" s="1" t="s">
        <v>2353</v>
      </c>
      <c r="E491" s="1" t="s">
        <v>2354</v>
      </c>
      <c r="F491" s="4" t="s">
        <v>17</v>
      </c>
      <c r="G491" s="1" t="s">
        <v>18</v>
      </c>
      <c r="H491" s="1" t="s">
        <v>19</v>
      </c>
      <c r="I491" s="1" t="s">
        <v>20</v>
      </c>
      <c r="J491" s="1" t="s">
        <v>2355</v>
      </c>
      <c r="K491" s="1" t="s">
        <v>22</v>
      </c>
      <c r="L491" s="1" t="str">
        <f>HYPERLINK("https://files.afu.se/Downloads/Transcripts/0%20-%20Government/USA%20-%20NASA/2020 07 30 - NASA - Space Agency Leaders Send Congratulations to Mars Perseverance_NHW_gq7dyXc - transcript (automated).pdf","Transcript Link")</f>
        <v>Transcript Link</v>
      </c>
      <c r="M491" s="2" t="str">
        <f>HYPERLINK("https://files.afu.se/Downloads/Transcripts/0%20-%20Government/USA%20-%20NASA/2020 07 30 - NASA - Space Agency Leaders Send Congratulations to Mars Perseverance_NHW_gq7dyXc - transcript (automated).pdf","Transcript Link")</f>
        <v>Transcript Link</v>
      </c>
    </row>
    <row r="492" ht="210" spans="1:13">
      <c r="A492" s="1" t="s">
        <v>2356</v>
      </c>
      <c r="B492" s="1" t="s">
        <v>13</v>
      </c>
      <c r="C492" s="4" t="s">
        <v>2357</v>
      </c>
      <c r="D492" s="1" t="s">
        <v>2358</v>
      </c>
      <c r="E492" s="1" t="s">
        <v>2359</v>
      </c>
      <c r="F492" s="4" t="s">
        <v>17</v>
      </c>
      <c r="G492" s="1" t="s">
        <v>18</v>
      </c>
      <c r="H492" s="1" t="s">
        <v>19</v>
      </c>
      <c r="I492" s="1" t="s">
        <v>20</v>
      </c>
      <c r="J492" s="1" t="s">
        <v>2360</v>
      </c>
      <c r="K492" s="1" t="s">
        <v>22</v>
      </c>
      <c r="L492" s="1" t="str">
        <f>HYPERLINK("https://files.afu.se/Downloads/Transcripts/0%20-%20Government/USA%20-%20NASA/2020 07 29 - NASA - %23EZScience  Preparing to Launch the Perseverance Rover to Mars_ZRCTK5LpZXA - transcript (automated).pdf","Transcript Link")</f>
        <v>Transcript Link</v>
      </c>
      <c r="M492" s="2" t="str">
        <f>HYPERLINK("https://files.afu.se/Downloads/Transcripts/0%20-%20Government/USA%20-%20NASA/2020 07 29 - NASA - %23EZScience  Preparing to Launch the Perseverance Rover to Mars_ZRCTK5LpZXA - transcript (automated).pdf","Transcript Link")</f>
        <v>Transcript Link</v>
      </c>
    </row>
    <row r="493" ht="210" spans="1:13">
      <c r="A493" s="1" t="s">
        <v>2361</v>
      </c>
      <c r="B493" s="1" t="s">
        <v>13</v>
      </c>
      <c r="C493" s="4" t="s">
        <v>2362</v>
      </c>
      <c r="D493" s="1" t="s">
        <v>2363</v>
      </c>
      <c r="E493" s="1" t="s">
        <v>2364</v>
      </c>
      <c r="F493" s="4" t="s">
        <v>17</v>
      </c>
      <c r="G493" s="1" t="s">
        <v>18</v>
      </c>
      <c r="H493" s="1" t="s">
        <v>19</v>
      </c>
      <c r="I493" s="1" t="s">
        <v>20</v>
      </c>
      <c r="J493" s="1" t="s">
        <v>2365</v>
      </c>
      <c r="K493" s="1" t="s">
        <v>22</v>
      </c>
      <c r="L493" s="1" t="str">
        <f>HYPERLINK("https://files.afu.se/Downloads/Transcripts/0%20-%20Government/USA%20-%20NASA/2020 07 28 - NASA - %23EZScience  Mars Perseverance Rover Will Look for Signs of Ancient Life_McqMigM_YG8 - transcript (automated).pdf","Transcript Link")</f>
        <v>Transcript Link</v>
      </c>
      <c r="M493" s="2" t="str">
        <f>HYPERLINK("https://files.afu.se/Downloads/Transcripts/0%20-%20Government/USA%20-%20NASA/2020 07 28 - NASA - %23EZScience  Mars Perseverance Rover Will Look for Signs of Ancient Life_McqMigM_YG8 - transcript (automated).pdf","Transcript Link")</f>
        <v>Transcript Link</v>
      </c>
    </row>
    <row r="494" ht="285" spans="1:13">
      <c r="A494" s="1" t="s">
        <v>2366</v>
      </c>
      <c r="B494" s="1" t="s">
        <v>13</v>
      </c>
      <c r="C494" s="4" t="s">
        <v>2367</v>
      </c>
      <c r="D494" s="1" t="s">
        <v>2368</v>
      </c>
      <c r="E494" s="1" t="s">
        <v>2369</v>
      </c>
      <c r="F494" s="4" t="s">
        <v>17</v>
      </c>
      <c r="G494" s="1" t="s">
        <v>18</v>
      </c>
      <c r="H494" s="1" t="s">
        <v>19</v>
      </c>
      <c r="I494" s="1" t="s">
        <v>20</v>
      </c>
      <c r="J494" s="1" t="s">
        <v>2370</v>
      </c>
      <c r="K494" s="1" t="s">
        <v>22</v>
      </c>
      <c r="L494" s="1" t="str">
        <f>HYPERLINK("https://files.afu.se/Downloads/Transcripts/0%20-%20Government/USA%20-%20NASA/2020 07 27 - NASA - %23AskNASA┃ How Do You Build a Mars Rover _yNlAFzG44ko - transcript (automated).pdf","Transcript Link")</f>
        <v>Transcript Link</v>
      </c>
      <c r="M494" s="2" t="str">
        <f>HYPERLINK("https://files.afu.se/Downloads/Transcripts/0%20-%20Government/USA%20-%20NASA/2020 07 27 - NASA - %23AskNASA┃ How Do You Build a Mars Rover _yNlAFzG44ko - transcript (automated).pdf","Transcript Link")</f>
        <v>Transcript Link</v>
      </c>
    </row>
    <row r="495" ht="165" spans="1:13">
      <c r="A495" s="1" t="s">
        <v>2371</v>
      </c>
      <c r="B495" s="1" t="s">
        <v>13</v>
      </c>
      <c r="C495" s="4" t="s">
        <v>2372</v>
      </c>
      <c r="D495" s="1" t="s">
        <v>2373</v>
      </c>
      <c r="E495" s="1" t="s">
        <v>2374</v>
      </c>
      <c r="F495" s="4" t="s">
        <v>17</v>
      </c>
      <c r="G495" s="1" t="s">
        <v>18</v>
      </c>
      <c r="H495" s="1" t="s">
        <v>19</v>
      </c>
      <c r="I495" s="1" t="s">
        <v>20</v>
      </c>
      <c r="J495" s="1" t="s">
        <v>2375</v>
      </c>
      <c r="K495" s="1" t="s">
        <v>22</v>
      </c>
      <c r="L495" s="1" t="str">
        <f>HYPERLINK("https://files.afu.se/Downloads/Transcripts/0%20-%20Government/USA%20-%20NASA/2020 07 26 - NASA - Say “Bon Voyage” to our Mars Perseverance Rover!_n7_qOWXe7Zw - transcript (automated).pdf","Transcript Link")</f>
        <v>Transcript Link</v>
      </c>
      <c r="M495" s="2" t="str">
        <f>HYPERLINK("https://files.afu.se/Downloads/Transcripts/0%20-%20Government/USA%20-%20NASA/2020 07 26 - NASA - Say “Bon Voyage” to our Mars Perseverance Rover!_n7_qOWXe7Zw - transcript (automated).pdf","Transcript Link")</f>
        <v>Transcript Link</v>
      </c>
    </row>
    <row r="496" ht="165" spans="1:13">
      <c r="A496" s="1" t="s">
        <v>2376</v>
      </c>
      <c r="B496" s="1" t="s">
        <v>13</v>
      </c>
      <c r="C496" s="4" t="s">
        <v>2377</v>
      </c>
      <c r="D496" s="1" t="s">
        <v>2378</v>
      </c>
      <c r="E496" s="1" t="s">
        <v>2379</v>
      </c>
      <c r="F496" s="4" t="s">
        <v>17</v>
      </c>
      <c r="G496" s="1" t="s">
        <v>18</v>
      </c>
      <c r="H496" s="1" t="s">
        <v>19</v>
      </c>
      <c r="I496" s="1" t="s">
        <v>20</v>
      </c>
      <c r="J496" s="1" t="s">
        <v>2380</v>
      </c>
      <c r="K496" s="1" t="s">
        <v>22</v>
      </c>
      <c r="L496" s="1" t="str">
        <f>HYPERLINK("https://files.afu.se/Downloads/Transcripts/0%20-%20Government/USA%20-%20NASA/2020 07 24 - NASA - A Record-Tying Spacewalk to Upgrade the Space Station on This Week @NASA – July 24, 2020_J7wWgmagmQw - transcript (automated).pdf","Transcript Link")</f>
        <v>Transcript Link</v>
      </c>
      <c r="M496" s="2" t="str">
        <f>HYPERLINK("https://files.afu.se/Downloads/Transcripts/0%20-%20Government/USA%20-%20NASA/2020 07 24 - NASA - A Record-Tying Spacewalk to Upgrade the Space Station on This Week @NASA – July 24, 2020_J7wWgmagmQw - transcript (automated).pdf","Transcript Link")</f>
        <v>Transcript Link</v>
      </c>
    </row>
    <row r="497" ht="409.5" spans="1:13">
      <c r="A497" s="1" t="s">
        <v>2376</v>
      </c>
      <c r="B497" s="1" t="s">
        <v>13</v>
      </c>
      <c r="C497" s="4" t="s">
        <v>2381</v>
      </c>
      <c r="D497" s="1" t="s">
        <v>2382</v>
      </c>
      <c r="E497" s="1" t="s">
        <v>2383</v>
      </c>
      <c r="F497" s="4" t="s">
        <v>17</v>
      </c>
      <c r="G497" s="1" t="s">
        <v>18</v>
      </c>
      <c r="H497" s="1" t="s">
        <v>19</v>
      </c>
      <c r="I497" s="1" t="s">
        <v>20</v>
      </c>
      <c r="J497" s="1" t="s">
        <v>2384</v>
      </c>
      <c r="K497" s="1" t="s">
        <v>22</v>
      </c>
      <c r="L497" s="1" t="str">
        <f>HYPERLINK("https://files.afu.se/Downloads/Transcripts/0%20-%20Government/USA%20-%20NASA/2020 07 24 - NASA - Hidden No More┃The Legacy of Mary W. Jackson_4ZKQoUGMNv4 - transcript (automated).pdf","Transcript Link")</f>
        <v>Transcript Link</v>
      </c>
      <c r="M497" s="2" t="str">
        <f>HYPERLINK("https://files.afu.se/Downloads/Transcripts/0%20-%20Government/USA%20-%20NASA/2020 07 24 - NASA - Hidden No More┃The Legacy of Mary W. Jackson_4ZKQoUGMNv4 - transcript (automated).pdf","Transcript Link")</f>
        <v>Transcript Link</v>
      </c>
    </row>
    <row r="498" ht="165" spans="1:13">
      <c r="A498" s="1" t="s">
        <v>2385</v>
      </c>
      <c r="B498" s="1" t="s">
        <v>13</v>
      </c>
      <c r="C498" s="4" t="s">
        <v>2386</v>
      </c>
      <c r="D498" s="1" t="s">
        <v>2387</v>
      </c>
      <c r="E498" s="1" t="s">
        <v>2388</v>
      </c>
      <c r="F498" s="4" t="s">
        <v>17</v>
      </c>
      <c r="G498" s="1" t="s">
        <v>18</v>
      </c>
      <c r="H498" s="1" t="s">
        <v>19</v>
      </c>
      <c r="I498" s="1" t="s">
        <v>20</v>
      </c>
      <c r="J498" s="1" t="s">
        <v>2389</v>
      </c>
      <c r="K498" s="1" t="s">
        <v>22</v>
      </c>
      <c r="L498" s="1" t="str">
        <f>HYPERLINK("https://files.afu.se/Downloads/Transcripts/0%20-%20Government/USA%20-%20NASA/2020 07 22 - NASA - NASA Science Live  Perseverance Mars Rover &amp; the Search for Ancient Life_OnHqYgl88Yo - transcript (automated).pdf","Transcript Link")</f>
        <v>Transcript Link</v>
      </c>
      <c r="M498" s="2" t="str">
        <f>HYPERLINK("https://files.afu.se/Downloads/Transcripts/0%20-%20Government/USA%20-%20NASA/2020 07 22 - NASA - NASA Science Live  Perseverance Mars Rover &amp; the Search for Ancient Life_OnHqYgl88Yo - transcript (automated).pdf","Transcript Link")</f>
        <v>Transcript Link</v>
      </c>
    </row>
    <row r="499" ht="409.5" spans="1:13">
      <c r="A499" s="1" t="s">
        <v>2385</v>
      </c>
      <c r="B499" s="1" t="s">
        <v>13</v>
      </c>
      <c r="C499" s="4" t="s">
        <v>2390</v>
      </c>
      <c r="D499" s="1" t="s">
        <v>2391</v>
      </c>
      <c r="E499" s="1" t="s">
        <v>2392</v>
      </c>
      <c r="F499" s="4" t="s">
        <v>17</v>
      </c>
      <c r="G499" s="1" t="s">
        <v>18</v>
      </c>
      <c r="H499" s="1" t="s">
        <v>19</v>
      </c>
      <c r="I499" s="1" t="s">
        <v>20</v>
      </c>
      <c r="J499" s="1" t="s">
        <v>2393</v>
      </c>
      <c r="K499" s="1" t="s">
        <v>22</v>
      </c>
      <c r="L499" s="1" t="str">
        <f>HYPERLINK("https://files.afu.se/Downloads/Transcripts/0%20-%20Government/USA%20-%20NASA/2020 07 22 - NASA - Matching a Spacewalk Record_knl6U7AP_ic - transcript (automated).pdf","Transcript Link")</f>
        <v>Transcript Link</v>
      </c>
      <c r="M499" s="2" t="str">
        <f>HYPERLINK("https://files.afu.se/Downloads/Transcripts/0%20-%20Government/USA%20-%20NASA/2020 07 22 - NASA - Matching a Spacewalk Record_knl6U7AP_ic - transcript (automated).pdf","Transcript Link")</f>
        <v>Transcript Link</v>
      </c>
    </row>
    <row r="500" ht="225" spans="1:13">
      <c r="A500" s="1" t="s">
        <v>2394</v>
      </c>
      <c r="B500" s="1" t="s">
        <v>13</v>
      </c>
      <c r="C500" s="4" t="s">
        <v>2395</v>
      </c>
      <c r="D500" s="1" t="s">
        <v>2396</v>
      </c>
      <c r="E500" s="1" t="s">
        <v>2397</v>
      </c>
      <c r="F500" s="4" t="s">
        <v>17</v>
      </c>
      <c r="G500" s="1" t="s">
        <v>18</v>
      </c>
      <c r="H500" s="1" t="s">
        <v>19</v>
      </c>
      <c r="I500" s="1" t="s">
        <v>20</v>
      </c>
      <c r="J500" s="1" t="s">
        <v>2398</v>
      </c>
      <c r="K500" s="1" t="s">
        <v>22</v>
      </c>
      <c r="L500" s="1" t="str">
        <f>HYPERLINK("https://files.afu.se/Downloads/Transcripts/0%20-%20Government/USA%20-%20NASA/2020 07 21 - NASA - Gravity Assist Podcast  How We Protect Mars From Earthly Germs_qjJjyArol8c - transcript (automated).pdf","Transcript Link")</f>
        <v>Transcript Link</v>
      </c>
      <c r="M500" s="2" t="str">
        <f>HYPERLINK("https://files.afu.se/Downloads/Transcripts/0%20-%20Government/USA%20-%20NASA/2020 07 21 - NASA - Gravity Assist Podcast  How We Protect Mars From Earthly Germs_qjJjyArol8c - transcript (automated).pdf","Transcript Link")</f>
        <v>Transcript Link</v>
      </c>
    </row>
    <row r="501" ht="165" spans="1:13">
      <c r="A501" s="1" t="s">
        <v>2399</v>
      </c>
      <c r="B501" s="1" t="s">
        <v>13</v>
      </c>
      <c r="C501" s="4" t="s">
        <v>2400</v>
      </c>
      <c r="D501" s="1" t="s">
        <v>2401</v>
      </c>
      <c r="E501" s="1" t="s">
        <v>2402</v>
      </c>
      <c r="F501" s="4" t="s">
        <v>17</v>
      </c>
      <c r="G501" s="1" t="s">
        <v>18</v>
      </c>
      <c r="H501" s="1" t="s">
        <v>19</v>
      </c>
      <c r="I501" s="1" t="s">
        <v>20</v>
      </c>
      <c r="J501" s="1" t="s">
        <v>2403</v>
      </c>
      <c r="K501" s="1" t="s">
        <v>22</v>
      </c>
      <c r="L501" s="1" t="str">
        <f>HYPERLINK("https://files.afu.se/Downloads/Transcripts/0%20-%20Government/USA%20-%20NASA/2020 07 20 - NASA - 6 NASA Technologies to Get Humans to Mars_N0f-QkEVU7U - transcript (automated).pdf","Transcript Link")</f>
        <v>Transcript Link</v>
      </c>
      <c r="M501" s="2" t="str">
        <f>HYPERLINK("https://files.afu.se/Downloads/Transcripts/0%20-%20Government/USA%20-%20NASA/2020 07 20 - NASA - 6 NASA Technologies to Get Humans to Mars_N0f-QkEVU7U - transcript (automated).pdf","Transcript Link")</f>
        <v>Transcript Link</v>
      </c>
    </row>
    <row r="502" ht="255" spans="1:13">
      <c r="A502" s="1" t="s">
        <v>2404</v>
      </c>
      <c r="B502" s="1" t="s">
        <v>13</v>
      </c>
      <c r="C502" s="4" t="s">
        <v>2405</v>
      </c>
      <c r="D502" s="1" t="s">
        <v>2406</v>
      </c>
      <c r="E502" s="1" t="s">
        <v>2407</v>
      </c>
      <c r="F502" s="4" t="s">
        <v>17</v>
      </c>
      <c r="G502" s="1" t="s">
        <v>18</v>
      </c>
      <c r="H502" s="1" t="s">
        <v>19</v>
      </c>
      <c r="I502" s="1" t="s">
        <v>20</v>
      </c>
      <c r="J502" s="1" t="s">
        <v>2408</v>
      </c>
      <c r="K502" s="1" t="s">
        <v>22</v>
      </c>
      <c r="L502" s="1" t="str">
        <f>HYPERLINK("https://files.afu.se/Downloads/Transcripts/0%20-%20Government/USA%20-%20NASA/2020 07 18 - NASA - %23EZScience  Launching to Mars with NASA's Perseverance Rover_1P-QBtEyDbQ - transcript (automated).pdf","Transcript Link")</f>
        <v>Transcript Link</v>
      </c>
      <c r="M502" s="2" t="str">
        <f>HYPERLINK("https://files.afu.se/Downloads/Transcripts/0%20-%20Government/USA%20-%20NASA/2020 07 18 - NASA - %23EZScience  Launching to Mars with NASA's Perseverance Rover_1P-QBtEyDbQ - transcript (automated).pdf","Transcript Link")</f>
        <v>Transcript Link</v>
      </c>
    </row>
    <row r="503" ht="165" spans="1:13">
      <c r="A503" s="1" t="s">
        <v>2409</v>
      </c>
      <c r="B503" s="1" t="s">
        <v>13</v>
      </c>
      <c r="C503" s="4" t="s">
        <v>2410</v>
      </c>
      <c r="D503" s="1" t="s">
        <v>2411</v>
      </c>
      <c r="E503" s="1" t="s">
        <v>2412</v>
      </c>
      <c r="F503" s="4" t="s">
        <v>17</v>
      </c>
      <c r="G503" s="1" t="s">
        <v>18</v>
      </c>
      <c r="H503" s="1" t="s">
        <v>19</v>
      </c>
      <c r="I503" s="1" t="s">
        <v>20</v>
      </c>
      <c r="J503" s="1" t="s">
        <v>2413</v>
      </c>
      <c r="K503" s="1" t="s">
        <v>22</v>
      </c>
      <c r="L503" s="1" t="str">
        <f>HYPERLINK("https://files.afu.se/Downloads/Transcripts/0%20-%20Government/USA%20-%20NASA/2020 07 17 - NASA - Another Power-Packed Spacewalk Outside the Space Station on This Week @NASA – July 17, 2020_gPJXgpSun04 - transcript (automated).pdf","Transcript Link")</f>
        <v>Transcript Link</v>
      </c>
      <c r="M503" s="2" t="str">
        <f>HYPERLINK("https://files.afu.se/Downloads/Transcripts/0%20-%20Government/USA%20-%20NASA/2020 07 17 - NASA - Another Power-Packed Spacewalk Outside the Space Station on This Week @NASA – July 17, 2020_gPJXgpSun04 - transcript (automated).pdf","Transcript Link")</f>
        <v>Transcript Link</v>
      </c>
    </row>
    <row r="504" ht="165" spans="1:13">
      <c r="A504" s="1" t="s">
        <v>2414</v>
      </c>
      <c r="B504" s="1" t="s">
        <v>13</v>
      </c>
      <c r="C504" s="4" t="s">
        <v>2415</v>
      </c>
      <c r="D504" s="1" t="s">
        <v>2416</v>
      </c>
      <c r="E504" s="1" t="s">
        <v>2417</v>
      </c>
      <c r="F504" s="4" t="s">
        <v>17</v>
      </c>
      <c r="G504" s="1" t="s">
        <v>18</v>
      </c>
      <c r="H504" s="1" t="s">
        <v>19</v>
      </c>
      <c r="I504" s="1" t="s">
        <v>20</v>
      </c>
      <c r="J504" s="1" t="s">
        <v>2418</v>
      </c>
      <c r="K504" s="1" t="s">
        <v>22</v>
      </c>
      <c r="L504" s="1" t="str">
        <f>HYPERLINK("https://files.afu.se/Downloads/Transcripts/0%20-%20Government/USA%20-%20NASA/2020 07 15 - NASA - What You Need to Know About Mars_dAZKu_ojb14 - transcript (automated).pdf","Transcript Link")</f>
        <v>Transcript Link</v>
      </c>
      <c r="M504" s="2" t="str">
        <f>HYPERLINK("https://files.afu.se/Downloads/Transcripts/0%20-%20Government/USA%20-%20NASA/2020 07 15 - NASA - What You Need to Know About Mars_dAZKu_ojb14 - transcript (automated).pdf","Transcript Link")</f>
        <v>Transcript Link</v>
      </c>
    </row>
    <row r="505" ht="165" spans="1:13">
      <c r="A505" s="1" t="s">
        <v>2419</v>
      </c>
      <c r="B505" s="1" t="s">
        <v>13</v>
      </c>
      <c r="C505" s="4" t="s">
        <v>2420</v>
      </c>
      <c r="D505" s="1" t="s">
        <v>2421</v>
      </c>
      <c r="E505" s="1" t="s">
        <v>2422</v>
      </c>
      <c r="F505" s="4" t="s">
        <v>17</v>
      </c>
      <c r="G505" s="1" t="s">
        <v>18</v>
      </c>
      <c r="H505" s="1" t="s">
        <v>19</v>
      </c>
      <c r="I505" s="1" t="s">
        <v>20</v>
      </c>
      <c r="J505" s="1" t="s">
        <v>2423</v>
      </c>
      <c r="K505" s="1" t="s">
        <v>22</v>
      </c>
      <c r="L505" s="1" t="str">
        <f>HYPERLINK("https://files.afu.se/Downloads/Transcripts/0%20-%20Government/USA%20-%20NASA/2020 07 13 - NASA - Mars Perseverance Rover  Launching This Summer_9m95j0rM9Zs - transcript (automated).pdf","Transcript Link")</f>
        <v>Transcript Link</v>
      </c>
      <c r="M505" s="2" t="str">
        <f>HYPERLINK("https://files.afu.se/Downloads/Transcripts/0%20-%20Government/USA%20-%20NASA/2020 07 13 - NASA - Mars Perseverance Rover  Launching This Summer_9m95j0rM9Zs - transcript (automated).pdf","Transcript Link")</f>
        <v>Transcript Link</v>
      </c>
    </row>
    <row r="506" ht="165" spans="1:13">
      <c r="A506" s="1" t="s">
        <v>2424</v>
      </c>
      <c r="B506" s="1" t="s">
        <v>13</v>
      </c>
      <c r="C506" s="4" t="s">
        <v>2425</v>
      </c>
      <c r="D506" s="1" t="s">
        <v>2426</v>
      </c>
      <c r="E506" s="1" t="s">
        <v>2427</v>
      </c>
      <c r="F506" s="4" t="s">
        <v>17</v>
      </c>
      <c r="G506" s="1" t="s">
        <v>18</v>
      </c>
      <c r="H506" s="1" t="s">
        <v>19</v>
      </c>
      <c r="I506" s="1" t="s">
        <v>20</v>
      </c>
      <c r="J506" s="1" t="s">
        <v>2428</v>
      </c>
      <c r="K506" s="1" t="s">
        <v>22</v>
      </c>
      <c r="L506" s="1" t="str">
        <f>HYPERLINK("https://files.afu.se/Downloads/Transcripts/0%20-%20Government/USA%20-%20NASA/2020 07 10 - NASA - Our next Mars Rover gets closer to launch on This Week @NASA – July 10, 2020_-Ld_urt0tgg - transcript (automated).pdf","Transcript Link")</f>
        <v>Transcript Link</v>
      </c>
      <c r="M506" s="2" t="str">
        <f>HYPERLINK("https://files.afu.se/Downloads/Transcripts/0%20-%20Government/USA%20-%20NASA/2020 07 10 - NASA - Our next Mars Rover gets closer to launch on This Week @NASA – July 10, 2020_-Ld_urt0tgg - transcript (automated).pdf","Transcript Link")</f>
        <v>Transcript Link</v>
      </c>
    </row>
    <row r="507" ht="390" spans="1:13">
      <c r="A507" s="1" t="s">
        <v>2429</v>
      </c>
      <c r="B507" s="1" t="s">
        <v>13</v>
      </c>
      <c r="C507" s="4" t="s">
        <v>2430</v>
      </c>
      <c r="D507" s="1" t="s">
        <v>2431</v>
      </c>
      <c r="E507" s="1" t="s">
        <v>2432</v>
      </c>
      <c r="F507" s="4" t="s">
        <v>17</v>
      </c>
      <c r="G507" s="1" t="s">
        <v>18</v>
      </c>
      <c r="H507" s="1" t="s">
        <v>19</v>
      </c>
      <c r="I507" s="1" t="s">
        <v>20</v>
      </c>
      <c r="J507" s="1" t="s">
        <v>2433</v>
      </c>
      <c r="K507" s="1" t="s">
        <v>22</v>
      </c>
      <c r="L507" s="1" t="str">
        <f>HYPERLINK("https://files.afu.se/Downloads/Transcripts/0%20-%20Government/USA%20-%20NASA/2020 07 07 - NASA - We Persevere_6qA9iaAUo8k - transcript (automated).pdf","Transcript Link")</f>
        <v>Transcript Link</v>
      </c>
      <c r="M507" s="2" t="str">
        <f>HYPERLINK("https://files.afu.se/Downloads/Transcripts/0%20-%20Government/USA%20-%20NASA/2020 07 07 - NASA - We Persevere_6qA9iaAUo8k - transcript (automated).pdf","Transcript Link")</f>
        <v>Transcript Link</v>
      </c>
    </row>
    <row r="508" ht="195" spans="1:13">
      <c r="A508" s="1" t="s">
        <v>2434</v>
      </c>
      <c r="B508" s="1" t="s">
        <v>13</v>
      </c>
      <c r="C508" s="4" t="s">
        <v>2435</v>
      </c>
      <c r="D508" s="1" t="s">
        <v>2436</v>
      </c>
      <c r="E508" s="1" t="s">
        <v>2437</v>
      </c>
      <c r="F508" s="4" t="s">
        <v>17</v>
      </c>
      <c r="G508" s="1" t="s">
        <v>18</v>
      </c>
      <c r="H508" s="1" t="s">
        <v>19</v>
      </c>
      <c r="I508" s="1" t="s">
        <v>20</v>
      </c>
      <c r="J508" s="1" t="s">
        <v>2438</v>
      </c>
      <c r="K508" s="1" t="s">
        <v>22</v>
      </c>
      <c r="L508" s="1" t="str">
        <f>HYPERLINK("https://files.afu.se/Downloads/Transcripts/0%20-%20Government/USA%20-%20NASA/2020 07 06 - NASA - Meet the NASA Psyche Team Who Will Map Psyche’s Elemental Composition_P7KcRWrUS5E - transcript (automated).pdf","Transcript Link")</f>
        <v>Transcript Link</v>
      </c>
      <c r="M508" s="2" t="str">
        <f>HYPERLINK("https://files.afu.se/Downloads/Transcripts/0%20-%20Government/USA%20-%20NASA/2020 07 06 - NASA - Meet the NASA Psyche Team Who Will Map Psyche’s Elemental Composition_P7KcRWrUS5E - transcript (automated).pdf","Transcript Link")</f>
        <v>Transcript Link</v>
      </c>
    </row>
    <row r="509" ht="165" spans="1:13">
      <c r="A509" s="1" t="s">
        <v>2439</v>
      </c>
      <c r="B509" s="1" t="s">
        <v>13</v>
      </c>
      <c r="C509" s="4" t="s">
        <v>2440</v>
      </c>
      <c r="D509" s="1" t="s">
        <v>2441</v>
      </c>
      <c r="E509" s="1" t="s">
        <v>2442</v>
      </c>
      <c r="F509" s="4" t="s">
        <v>17</v>
      </c>
      <c r="G509" s="1" t="s">
        <v>18</v>
      </c>
      <c r="H509" s="1" t="s">
        <v>19</v>
      </c>
      <c r="I509" s="1" t="s">
        <v>20</v>
      </c>
      <c r="J509" s="1" t="s">
        <v>2443</v>
      </c>
      <c r="K509" s="1" t="s">
        <v>22</v>
      </c>
      <c r="L509" s="1" t="str">
        <f>HYPERLINK("https://files.afu.se/Downloads/Transcripts/0%20-%20Government/USA%20-%20NASA/2020 07 04 - NASA - Independence Day Message from Astronauts in Space_0E5r_94EQEk - transcript (automated).pdf","Transcript Link")</f>
        <v>Transcript Link</v>
      </c>
      <c r="M509" s="2" t="str">
        <f>HYPERLINK("https://files.afu.se/Downloads/Transcripts/0%20-%20Government/USA%20-%20NASA/2020 07 04 - NASA - Independence Day Message from Astronauts in Space_0E5r_94EQEk - transcript (automated).pdf","Transcript Link")</f>
        <v>Transcript Link</v>
      </c>
    </row>
    <row r="510" ht="165" spans="1:13">
      <c r="A510" s="1" t="s">
        <v>2444</v>
      </c>
      <c r="B510" s="1" t="s">
        <v>13</v>
      </c>
      <c r="C510" s="4" t="s">
        <v>2445</v>
      </c>
      <c r="D510" s="1" t="s">
        <v>2446</v>
      </c>
      <c r="E510" s="1" t="s">
        <v>2447</v>
      </c>
      <c r="F510" s="4" t="s">
        <v>17</v>
      </c>
      <c r="G510" s="1" t="s">
        <v>18</v>
      </c>
      <c r="H510" s="1" t="s">
        <v>19</v>
      </c>
      <c r="I510" s="1" t="s">
        <v>20</v>
      </c>
      <c r="J510" s="1" t="s">
        <v>2448</v>
      </c>
      <c r="K510" s="1" t="s">
        <v>22</v>
      </c>
      <c r="L510" s="1" t="str">
        <f>HYPERLINK("https://files.afu.se/Downloads/Transcripts/0%20-%20Government/USA%20-%20NASA/2020 07 03 - NASA - A Mighty Powerful Spacewalk Outside the Space Station on This Week @NASA – July 3, 2020_ZsXoC1HYr0o - transcript (automated).pdf","Transcript Link")</f>
        <v>Transcript Link</v>
      </c>
      <c r="M510" s="2" t="str">
        <f>HYPERLINK("https://files.afu.se/Downloads/Transcripts/0%20-%20Government/USA%20-%20NASA/2020 07 03 - NASA - A Mighty Powerful Spacewalk Outside the Space Station on This Week @NASA – July 3, 2020_ZsXoC1HYr0o - transcript (automated).pdf","Transcript Link")</f>
        <v>Transcript Link</v>
      </c>
    </row>
    <row r="511" ht="165" spans="1:13">
      <c r="A511" s="1" t="s">
        <v>2444</v>
      </c>
      <c r="B511" s="1" t="s">
        <v>13</v>
      </c>
      <c r="C511" s="4" t="s">
        <v>2449</v>
      </c>
      <c r="D511" s="1" t="s">
        <v>2450</v>
      </c>
      <c r="E511" s="1" t="s">
        <v>2451</v>
      </c>
      <c r="F511" s="4" t="s">
        <v>17</v>
      </c>
      <c r="G511" s="1" t="s">
        <v>18</v>
      </c>
      <c r="H511" s="1" t="s">
        <v>19</v>
      </c>
      <c r="I511" s="1" t="s">
        <v>20</v>
      </c>
      <c r="J511" s="1" t="s">
        <v>2452</v>
      </c>
      <c r="K511" s="1" t="s">
        <v>22</v>
      </c>
      <c r="L511" s="1" t="str">
        <f>HYPERLINK("https://files.afu.se/Downloads/Transcripts/0%20-%20Government/USA%20-%20NASA/2020 07 03 - NASA - What You Need to Know About Astrobiology - The Search for Life in the Universe!_3HN_zx4JJfM - transcript (automated).pdf","Transcript Link")</f>
        <v>Transcript Link</v>
      </c>
      <c r="M511" s="2" t="str">
        <f>HYPERLINK("https://files.afu.se/Downloads/Transcripts/0%20-%20Government/USA%20-%20NASA/2020 07 03 - NASA - What You Need to Know About Astrobiology - The Search for Life in the Universe!_3HN_zx4JJfM - transcript (automated).pdf","Transcript Link")</f>
        <v>Transcript Link</v>
      </c>
    </row>
    <row r="512" ht="240" spans="1:13">
      <c r="A512" s="1" t="s">
        <v>2453</v>
      </c>
      <c r="B512" s="1" t="s">
        <v>13</v>
      </c>
      <c r="C512" s="4" t="s">
        <v>2454</v>
      </c>
      <c r="D512" s="1" t="s">
        <v>2455</v>
      </c>
      <c r="E512" s="1" t="s">
        <v>2456</v>
      </c>
      <c r="F512" s="4" t="s">
        <v>17</v>
      </c>
      <c r="G512" s="1" t="s">
        <v>18</v>
      </c>
      <c r="H512" s="1" t="s">
        <v>19</v>
      </c>
      <c r="I512" s="1" t="s">
        <v>20</v>
      </c>
      <c r="J512" s="1" t="s">
        <v>2457</v>
      </c>
      <c r="K512" s="1" t="s">
        <v>22</v>
      </c>
      <c r="L512" s="1" t="str">
        <f>HYPERLINK("https://files.afu.se/Downloads/Transcripts/0%20-%20Government/USA%20-%20NASA/2020 06 30 - NASA - What You Need To Know About Asteroids and Other Near-Earth Objects_r-OCcFnp2RA - transcript (automated).pdf","Transcript Link")</f>
        <v>Transcript Link</v>
      </c>
      <c r="M512" s="2" t="str">
        <f>HYPERLINK("https://files.afu.se/Downloads/Transcripts/0%20-%20Government/USA%20-%20NASA/2020 06 30 - NASA - What You Need To Know About Asteroids and Other Near-Earth Objects_r-OCcFnp2RA - transcript (automated).pdf","Transcript Link")</f>
        <v>Transcript Link</v>
      </c>
    </row>
    <row r="513" ht="195" spans="1:13">
      <c r="A513" s="1" t="s">
        <v>2458</v>
      </c>
      <c r="B513" s="1" t="s">
        <v>13</v>
      </c>
      <c r="C513" s="4" t="s">
        <v>2459</v>
      </c>
      <c r="D513" s="1" t="s">
        <v>2460</v>
      </c>
      <c r="E513" s="1" t="s">
        <v>2461</v>
      </c>
      <c r="F513" s="4" t="s">
        <v>17</v>
      </c>
      <c r="G513" s="1" t="s">
        <v>18</v>
      </c>
      <c r="H513" s="1" t="s">
        <v>19</v>
      </c>
      <c r="I513" s="1" t="s">
        <v>20</v>
      </c>
      <c r="J513" s="1" t="s">
        <v>2462</v>
      </c>
      <c r="K513" s="1" t="s">
        <v>22</v>
      </c>
      <c r="L513" s="1" t="str">
        <f>HYPERLINK("https://files.afu.se/Downloads/Transcripts/0%20-%20Government/USA%20-%20NASA/2020 06 26 - NASA - A Power Spacewalk Outside the Space Station on This Week @NASA – June 26, 2020_cp0t9fKtECA - transcript (automated).pdf","Transcript Link")</f>
        <v>Transcript Link</v>
      </c>
      <c r="M513" s="2" t="str">
        <f>HYPERLINK("https://files.afu.se/Downloads/Transcripts/0%20-%20Government/USA%20-%20NASA/2020 06 26 - NASA - A Power Spacewalk Outside the Space Station on This Week @NASA – June 26, 2020_cp0t9fKtECA - transcript (automated).pdf","Transcript Link")</f>
        <v>Transcript Link</v>
      </c>
    </row>
    <row r="514" ht="165" spans="1:13">
      <c r="A514" s="1" t="s">
        <v>2463</v>
      </c>
      <c r="B514" s="1" t="s">
        <v>13</v>
      </c>
      <c r="C514" s="4" t="s">
        <v>2464</v>
      </c>
      <c r="D514" s="1" t="s">
        <v>2465</v>
      </c>
      <c r="E514" s="1" t="s">
        <v>2466</v>
      </c>
      <c r="F514" s="4" t="s">
        <v>17</v>
      </c>
      <c r="G514" s="1" t="s">
        <v>18</v>
      </c>
      <c r="H514" s="1" t="s">
        <v>19</v>
      </c>
      <c r="I514" s="1" t="s">
        <v>20</v>
      </c>
      <c r="J514" s="1" t="s">
        <v>2467</v>
      </c>
      <c r="K514" s="1" t="s">
        <v>22</v>
      </c>
      <c r="L514" s="1" t="str">
        <f>HYPERLINK("https://files.afu.se/Downloads/Transcripts/0%20-%20Government/USA%20-%20NASA/2020 06 25 - NASA - NASA Science Live  Science in the Time of Coronavirus_XXPCO3tcmig - transcript (automated).pdf","Transcript Link")</f>
        <v>Transcript Link</v>
      </c>
      <c r="M514" s="2" t="str">
        <f>HYPERLINK("https://files.afu.se/Downloads/Transcripts/0%20-%20Government/USA%20-%20NASA/2020 06 25 - NASA - NASA Science Live  Science in the Time of Coronavirus_XXPCO3tcmig - transcript (automated).pdf","Transcript Link")</f>
        <v>Transcript Link</v>
      </c>
    </row>
    <row r="515" ht="409.5" spans="1:13">
      <c r="A515" s="1" t="s">
        <v>2468</v>
      </c>
      <c r="B515" s="1" t="s">
        <v>13</v>
      </c>
      <c r="C515" s="4" t="s">
        <v>2469</v>
      </c>
      <c r="D515" s="1" t="s">
        <v>2470</v>
      </c>
      <c r="E515" s="1" t="s">
        <v>2471</v>
      </c>
      <c r="F515" s="4" t="s">
        <v>17</v>
      </c>
      <c r="G515" s="1" t="s">
        <v>18</v>
      </c>
      <c r="H515" s="1" t="s">
        <v>19</v>
      </c>
      <c r="I515" s="1" t="s">
        <v>20</v>
      </c>
      <c r="J515" s="1" t="s">
        <v>2472</v>
      </c>
      <c r="K515" s="1" t="s">
        <v>22</v>
      </c>
      <c r="L515" s="1" t="str">
        <f>HYPERLINK("https://files.afu.se/Downloads/Transcripts/0%20-%20Government/USA%20-%20NASA/2020 06 24 - NASA - NASA names headquarters after Hidden Figure Mary W. Jackson_lLDTnvuSTSo - transcript (automated).pdf","Transcript Link")</f>
        <v>Transcript Link</v>
      </c>
      <c r="M515" s="2" t="str">
        <f>HYPERLINK("https://files.afu.se/Downloads/Transcripts/0%20-%20Government/USA%20-%20NASA/2020 06 24 - NASA - NASA names headquarters after Hidden Figure Mary W. Jackson_lLDTnvuSTSo - transcript (automated).pdf","Transcript Link")</f>
        <v>Transcript Link</v>
      </c>
    </row>
    <row r="516" ht="210" spans="1:13">
      <c r="A516" s="1" t="s">
        <v>2473</v>
      </c>
      <c r="B516" s="1" t="s">
        <v>13</v>
      </c>
      <c r="C516" s="4" t="s">
        <v>2474</v>
      </c>
      <c r="D516" s="1" t="s">
        <v>2475</v>
      </c>
      <c r="E516" s="1" t="s">
        <v>2476</v>
      </c>
      <c r="F516" s="4" t="s">
        <v>17</v>
      </c>
      <c r="G516" s="1" t="s">
        <v>18</v>
      </c>
      <c r="H516" s="1" t="s">
        <v>19</v>
      </c>
      <c r="I516" s="1" t="s">
        <v>20</v>
      </c>
      <c r="J516" s="1" t="s">
        <v>2477</v>
      </c>
      <c r="K516" s="1" t="s">
        <v>22</v>
      </c>
      <c r="L516" s="1" t="str">
        <f>HYPERLINK("https://files.afu.se/Downloads/Transcripts/0%20-%20Government/USA%20-%20NASA/2020 06 19 - NASA - A Boost in the Right Direction for Artemis on This Week @NASA – June 19, 2020_ZM3CPui0fSI - transcript (automated).pdf","Transcript Link")</f>
        <v>Transcript Link</v>
      </c>
      <c r="M516" s="2" t="str">
        <f>HYPERLINK("https://files.afu.se/Downloads/Transcripts/0%20-%20Government/USA%20-%20NASA/2020 06 19 - NASA - A Boost in the Right Direction for Artemis on This Week @NASA – June 19, 2020_ZM3CPui0fSI - transcript (automated).pdf","Transcript Link")</f>
        <v>Transcript Link</v>
      </c>
    </row>
    <row r="517" ht="165" spans="1:13">
      <c r="A517" s="1" t="s">
        <v>2478</v>
      </c>
      <c r="B517" s="1" t="s">
        <v>13</v>
      </c>
      <c r="C517" s="4" t="s">
        <v>2479</v>
      </c>
      <c r="D517" s="1" t="s">
        <v>2480</v>
      </c>
      <c r="E517" s="1" t="s">
        <v>2481</v>
      </c>
      <c r="F517" s="4" t="s">
        <v>17</v>
      </c>
      <c r="G517" s="1" t="s">
        <v>18</v>
      </c>
      <c r="H517" s="1" t="s">
        <v>19</v>
      </c>
      <c r="I517" s="1" t="s">
        <v>20</v>
      </c>
      <c r="J517" s="1" t="s">
        <v>2482</v>
      </c>
      <c r="K517" s="1" t="s">
        <v>22</v>
      </c>
      <c r="L517" s="1" t="str">
        <f>HYPERLINK("https://files.afu.se/Downloads/Transcripts/0%20-%20Government/USA%20-%20NASA/2020 06 12 - NASA - A New Lead for Our Human Spaceflight Efforts on This Week @NASA – June 12, 2020_XRs8ho3_DJ8 - transcript (automated).pdf","Transcript Link")</f>
        <v>Transcript Link</v>
      </c>
      <c r="M517" s="2" t="str">
        <f>HYPERLINK("https://files.afu.se/Downloads/Transcripts/0%20-%20Government/USA%20-%20NASA/2020 06 12 - NASA - A New Lead for Our Human Spaceflight Efforts on This Week @NASA – June 12, 2020_XRs8ho3_DJ8 - transcript (automated).pdf","Transcript Link")</f>
        <v>Transcript Link</v>
      </c>
    </row>
    <row r="518" ht="165" spans="1:13">
      <c r="A518" s="1" t="s">
        <v>2483</v>
      </c>
      <c r="B518" s="1" t="s">
        <v>13</v>
      </c>
      <c r="C518" s="4" t="s">
        <v>2484</v>
      </c>
      <c r="D518" s="1" t="s">
        <v>2485</v>
      </c>
      <c r="E518" s="1" t="s">
        <v>2486</v>
      </c>
      <c r="F518" s="4" t="s">
        <v>17</v>
      </c>
      <c r="G518" s="1" t="s">
        <v>18</v>
      </c>
      <c r="H518" s="1" t="s">
        <v>19</v>
      </c>
      <c r="I518" s="1" t="s">
        <v>20</v>
      </c>
      <c r="J518" s="1" t="s">
        <v>2487</v>
      </c>
      <c r="K518" s="1" t="s">
        <v>22</v>
      </c>
      <c r="L518" s="1" t="str">
        <f>HYPERLINK("https://files.afu.se/Downloads/Transcripts/0%20-%20Government/USA%20-%20NASA/2020 06 05 - NASA - Launching America On a Commercial Spacecraft on This Week @NASA – June 5, 2020_A60gk5gXMvc - transcript (automated).pdf","Transcript Link")</f>
        <v>Transcript Link</v>
      </c>
      <c r="M518" s="2" t="str">
        <f>HYPERLINK("https://files.afu.se/Downloads/Transcripts/0%20-%20Government/USA%20-%20NASA/2020 06 05 - NASA - Launching America On a Commercial Spacecraft on This Week @NASA – June 5, 2020_A60gk5gXMvc - transcript (automated).pdf","Transcript Link")</f>
        <v>Transcript Link</v>
      </c>
    </row>
    <row r="519" ht="210" spans="1:13">
      <c r="A519" s="1" t="s">
        <v>2488</v>
      </c>
      <c r="B519" s="1" t="s">
        <v>13</v>
      </c>
      <c r="C519" s="4" t="s">
        <v>2489</v>
      </c>
      <c r="D519" s="1" t="s">
        <v>2490</v>
      </c>
      <c r="E519" s="1" t="s">
        <v>2491</v>
      </c>
      <c r="F519" s="4" t="s">
        <v>17</v>
      </c>
      <c r="G519" s="1" t="s">
        <v>18</v>
      </c>
      <c r="H519" s="1" t="s">
        <v>19</v>
      </c>
      <c r="I519" s="1" t="s">
        <v>20</v>
      </c>
      <c r="J519" s="1" t="s">
        <v>2492</v>
      </c>
      <c r="K519" s="1" t="s">
        <v>22</v>
      </c>
      <c r="L519" s="1" t="str">
        <f>HYPERLINK("https://files.afu.se/Downloads/Transcripts/0%20-%20Government/USA%20-%20NASA/2020 06 03 - NASA - Who is NASA Astronaut Bob Behnken _oXtJK-RJGZ8 - transcript (automated).pdf","Transcript Link")</f>
        <v>Transcript Link</v>
      </c>
      <c r="M519" s="2" t="str">
        <f>HYPERLINK("https://files.afu.se/Downloads/Transcripts/0%20-%20Government/USA%20-%20NASA/2020 06 03 - NASA - Who is NASA Astronaut Bob Behnken _oXtJK-RJGZ8 - transcript (automated).pdf","Transcript Link")</f>
        <v>Transcript Link</v>
      </c>
    </row>
    <row r="520" ht="210" spans="1:13">
      <c r="A520" s="1" t="s">
        <v>2488</v>
      </c>
      <c r="B520" s="1" t="s">
        <v>13</v>
      </c>
      <c r="C520" s="4" t="s">
        <v>2493</v>
      </c>
      <c r="D520" s="1" t="s">
        <v>2494</v>
      </c>
      <c r="E520" s="1" t="s">
        <v>2495</v>
      </c>
      <c r="F520" s="4" t="s">
        <v>17</v>
      </c>
      <c r="G520" s="1" t="s">
        <v>18</v>
      </c>
      <c r="H520" s="1" t="s">
        <v>19</v>
      </c>
      <c r="I520" s="1" t="s">
        <v>20</v>
      </c>
      <c r="J520" s="1" t="s">
        <v>2496</v>
      </c>
      <c r="K520" s="1" t="s">
        <v>22</v>
      </c>
      <c r="L520" s="1" t="str">
        <f>HYPERLINK("https://files.afu.se/Downloads/Transcripts/0%20-%20Government/USA%20-%20NASA/2020 06 03 - NASA - Who is NASA Astronaut Doug Hurley _6fVza4gZ7Lk - transcript (automated).pdf","Transcript Link")</f>
        <v>Transcript Link</v>
      </c>
      <c r="M520" s="2" t="str">
        <f>HYPERLINK("https://files.afu.se/Downloads/Transcripts/0%20-%20Government/USA%20-%20NASA/2020 06 03 - NASA - Who is NASA Astronaut Doug Hurley _6fVza4gZ7Lk - transcript (automated).pdf","Transcript Link")</f>
        <v>Transcript Link</v>
      </c>
    </row>
    <row r="521" ht="255" spans="1:13">
      <c r="A521" s="1" t="s">
        <v>2497</v>
      </c>
      <c r="B521" s="1" t="s">
        <v>13</v>
      </c>
      <c r="C521" s="4" t="s">
        <v>2498</v>
      </c>
      <c r="D521" s="1" t="s">
        <v>2499</v>
      </c>
      <c r="E521" s="1" t="s">
        <v>2500</v>
      </c>
      <c r="F521" s="4" t="s">
        <v>17</v>
      </c>
      <c r="G521" s="1" t="s">
        <v>18</v>
      </c>
      <c r="H521" s="1" t="s">
        <v>19</v>
      </c>
      <c r="I521" s="1" t="s">
        <v>20</v>
      </c>
      <c r="J521" s="1" t="s">
        <v>2501</v>
      </c>
      <c r="K521" s="1" t="s">
        <v>22</v>
      </c>
      <c r="L521" s="1" t="str">
        <f>HYPERLINK("https://files.afu.se/Downloads/Transcripts/0%20-%20Government/USA%20-%20NASA/2020 06 02 - NASA - NASA Astronauts Ring the Opening Bell for Nasdaq_XpJ9GahiS8g - transcript (automated).pdf","Transcript Link")</f>
        <v>Transcript Link</v>
      </c>
      <c r="M521" s="2" t="str">
        <f>HYPERLINK("https://files.afu.se/Downloads/Transcripts/0%20-%20Government/USA%20-%20NASA/2020 06 02 - NASA - NASA Astronauts Ring the Opening Bell for Nasdaq_XpJ9GahiS8g - transcript (automated).pdf","Transcript Link")</f>
        <v>Transcript Link</v>
      </c>
    </row>
    <row r="522" ht="195" spans="1:13">
      <c r="A522" s="1" t="s">
        <v>2502</v>
      </c>
      <c r="B522" s="1" t="s">
        <v>13</v>
      </c>
      <c r="C522" s="4" t="s">
        <v>2503</v>
      </c>
      <c r="D522" s="1" t="s">
        <v>2504</v>
      </c>
      <c r="E522" s="1" t="s">
        <v>2505</v>
      </c>
      <c r="F522" s="4" t="s">
        <v>17</v>
      </c>
      <c r="G522" s="1" t="s">
        <v>18</v>
      </c>
      <c r="H522" s="1" t="s">
        <v>19</v>
      </c>
      <c r="I522" s="1" t="s">
        <v>20</v>
      </c>
      <c r="J522" s="1" t="s">
        <v>2506</v>
      </c>
      <c r="K522" s="1" t="s">
        <v>22</v>
      </c>
      <c r="L522" s="1" t="str">
        <f>HYPERLINK("https://files.afu.se/Downloads/Transcripts/0%20-%20Government/USA%20-%20NASA/2020 06 01 - NASA - From Space to Earth  NASA and SpaceX Honor Graduates of The Class of 2020_NaI8xVY2noU - transcript (automated).pdf","Transcript Link")</f>
        <v>Transcript Link</v>
      </c>
      <c r="M522" s="2" t="str">
        <f>HYPERLINK("https://files.afu.se/Downloads/Transcripts/0%20-%20Government/USA%20-%20NASA/2020 06 01 - NASA - From Space to Earth  NASA and SpaceX Honor Graduates of The Class of 2020_NaI8xVY2noU - transcript (automated).pdf","Transcript Link")</f>
        <v>Transcript Link</v>
      </c>
    </row>
    <row r="523" ht="210" spans="1:13">
      <c r="A523" s="1" t="s">
        <v>2507</v>
      </c>
      <c r="B523" s="1" t="s">
        <v>13</v>
      </c>
      <c r="C523" s="4" t="s">
        <v>2508</v>
      </c>
      <c r="D523" s="1" t="s">
        <v>2509</v>
      </c>
      <c r="E523" s="1" t="s">
        <v>2510</v>
      </c>
      <c r="F523" s="4" t="s">
        <v>17</v>
      </c>
      <c r="G523" s="1" t="s">
        <v>18</v>
      </c>
      <c r="H523" s="1" t="s">
        <v>19</v>
      </c>
      <c r="I523" s="1" t="s">
        <v>20</v>
      </c>
      <c r="J523" s="1" t="s">
        <v>2511</v>
      </c>
      <c r="K523" s="1" t="s">
        <v>22</v>
      </c>
      <c r="L523" s="1" t="str">
        <f>HYPERLINK("https://files.afu.se/Downloads/Transcripts/0%20-%20Government/USA%20-%20NASA/2020 05 31 - NASA - Live from Space  Video Inside the SpaceX's Dragon Endeavour Spacecraft_mMSzxmsXXwY - transcript (automated).pdf","Transcript Link")</f>
        <v>Transcript Link</v>
      </c>
      <c r="M523" s="2" t="str">
        <f>HYPERLINK("https://files.afu.se/Downloads/Transcripts/0%20-%20Government/USA%20-%20NASA/2020 05 31 - NASA - Live from Space  Video Inside the SpaceX's Dragon Endeavour Spacecraft_mMSzxmsXXwY - transcript (automated).pdf","Transcript Link")</f>
        <v>Transcript Link</v>
      </c>
    </row>
    <row r="524" ht="300" spans="1:13">
      <c r="A524" s="1" t="s">
        <v>2507</v>
      </c>
      <c r="B524" s="1" t="s">
        <v>13</v>
      </c>
      <c r="C524" s="4" t="s">
        <v>2512</v>
      </c>
      <c r="D524" s="1" t="s">
        <v>2513</v>
      </c>
      <c r="E524" s="1" t="s">
        <v>2514</v>
      </c>
      <c r="F524" s="4" t="s">
        <v>17</v>
      </c>
      <c r="G524" s="1" t="s">
        <v>18</v>
      </c>
      <c r="H524" s="1" t="s">
        <v>19</v>
      </c>
      <c r="I524" s="1" t="s">
        <v>20</v>
      </c>
      <c r="J524" s="1" t="s">
        <v>2515</v>
      </c>
      <c r="K524" s="1" t="s">
        <v>22</v>
      </c>
      <c r="L524" s="1" t="str">
        <f>HYPERLINK("https://files.afu.se/Downloads/Transcripts/0%20-%20Government/USA%20-%20NASA/2020 05 31 - NASA - After the Launch  NASA and SpaceX Share Updates about Historic %23LaunchAmerica Mission_vpRPnhuz78U - transcript (automated).pdf","Transcript Link")</f>
        <v>Transcript Link</v>
      </c>
      <c r="M524" s="2" t="str">
        <f>HYPERLINK("https://files.afu.se/Downloads/Transcripts/0%20-%20Government/USA%20-%20NASA/2020 05 31 - NASA - After the Launch  NASA and SpaceX Share Updates about Historic %23LaunchAmerica Mission_vpRPnhuz78U - transcript (automated).pdf","Transcript Link")</f>
        <v>Transcript Link</v>
      </c>
    </row>
    <row r="525" ht="255" spans="1:13">
      <c r="A525" s="1" t="s">
        <v>2507</v>
      </c>
      <c r="B525" s="1" t="s">
        <v>13</v>
      </c>
      <c r="C525" s="4" t="s">
        <v>2516</v>
      </c>
      <c r="D525" s="1" t="s">
        <v>2517</v>
      </c>
      <c r="E525" s="1" t="s">
        <v>2518</v>
      </c>
      <c r="F525" s="4" t="s">
        <v>17</v>
      </c>
      <c r="G525" s="1" t="s">
        <v>18</v>
      </c>
      <c r="H525" s="1" t="s">
        <v>19</v>
      </c>
      <c r="I525" s="1" t="s">
        <v>20</v>
      </c>
      <c r="J525" s="1" t="s">
        <v>2519</v>
      </c>
      <c r="K525" s="1" t="s">
        <v>22</v>
      </c>
      <c r="L525" s="1" t="str">
        <f>HYPERLINK("https://files.afu.se/Downloads/Transcripts/0%20-%20Government/USA%20-%20NASA/2020 05 31 - NASA - Launch Recap  NASA and SpaceX fly Astronauts to the Space Station_22BXPLkyocw - transcript (automated).pdf","Transcript Link")</f>
        <v>Transcript Link</v>
      </c>
      <c r="M525" s="2" t="str">
        <f>HYPERLINK("https://files.afu.se/Downloads/Transcripts/0%20-%20Government/USA%20-%20NASA/2020 05 31 - NASA - Launch Recap  NASA and SpaceX fly Astronauts to the Space Station_22BXPLkyocw - transcript (automated).pdf","Transcript Link")</f>
        <v>Transcript Link</v>
      </c>
    </row>
    <row r="526" ht="225" spans="1:13">
      <c r="A526" s="1" t="s">
        <v>2507</v>
      </c>
      <c r="B526" s="1" t="s">
        <v>13</v>
      </c>
      <c r="C526" s="4" t="s">
        <v>2520</v>
      </c>
      <c r="D526" s="1" t="s">
        <v>2521</v>
      </c>
      <c r="E526" s="1" t="s">
        <v>2522</v>
      </c>
      <c r="F526" s="4" t="s">
        <v>17</v>
      </c>
      <c r="G526" s="1" t="s">
        <v>18</v>
      </c>
      <c r="H526" s="1" t="s">
        <v>19</v>
      </c>
      <c r="I526" s="1" t="s">
        <v>20</v>
      </c>
      <c r="J526" s="1" t="s">
        <v>2523</v>
      </c>
      <c r="K526" s="1" t="s">
        <v>22</v>
      </c>
      <c r="L526" s="1" t="str">
        <f>HYPERLINK("https://files.afu.se/Downloads/Transcripts/0%20-%20Government/USA%20-%20NASA/2020 05 31 - NASA - Tour from Space  Inside the SpaceX Crew Dragon Spacecraft on Its Way to the Space Station_llbIzbOStt4 - transcript (automated).pdf","Transcript Link")</f>
        <v>Transcript Link</v>
      </c>
      <c r="M526" s="2" t="str">
        <f>HYPERLINK("https://files.afu.se/Downloads/Transcripts/0%20-%20Government/USA%20-%20NASA/2020 05 31 - NASA - Tour from Space  Inside the SpaceX Crew Dragon Spacecraft on Its Way to the Space Station_llbIzbOStt4 - transcript (automated).pdf","Transcript Link")</f>
        <v>Transcript Link</v>
      </c>
    </row>
    <row r="527" ht="165" spans="1:13">
      <c r="A527" s="1" t="s">
        <v>2524</v>
      </c>
      <c r="B527" s="1" t="s">
        <v>13</v>
      </c>
      <c r="C527" s="4" t="s">
        <v>2525</v>
      </c>
      <c r="D527" s="1" t="s">
        <v>2526</v>
      </c>
      <c r="E527" s="1" t="s">
        <v>2527</v>
      </c>
      <c r="F527" s="4" t="s">
        <v>17</v>
      </c>
      <c r="G527" s="1" t="s">
        <v>18</v>
      </c>
      <c r="H527" s="1" t="s">
        <v>19</v>
      </c>
      <c r="I527" s="1" t="s">
        <v>20</v>
      </c>
      <c r="J527" s="1" t="s">
        <v>2528</v>
      </c>
      <c r="K527" s="1" t="s">
        <v>22</v>
      </c>
      <c r="L527" s="1" t="str">
        <f>HYPERLINK("https://files.afu.se/Downloads/Transcripts/0%20-%20Government/USA%20-%20NASA/2020 05 30 - NASA - Preparing to ‘Launch America’ into a New Era of Space Exploration on This Week @NASA – May 29, 2020_Y6mtakJYSAY - transcript (automated).pdf","Transcript Link")</f>
        <v>Transcript Link</v>
      </c>
      <c r="M527" s="2" t="str">
        <f>HYPERLINK("https://files.afu.se/Downloads/Transcripts/0%20-%20Government/USA%20-%20NASA/2020 05 30 - NASA - Preparing to ‘Launch America’ into a New Era of Space Exploration on This Week @NASA – May 29, 2020_Y6mtakJYSAY - transcript (automated).pdf","Transcript Link")</f>
        <v>Transcript Link</v>
      </c>
    </row>
    <row r="528" ht="375" spans="1:13">
      <c r="A528" s="1" t="s">
        <v>2529</v>
      </c>
      <c r="B528" s="1" t="s">
        <v>13</v>
      </c>
      <c r="C528" s="4" t="s">
        <v>2530</v>
      </c>
      <c r="D528" s="1" t="s">
        <v>2531</v>
      </c>
      <c r="E528" s="1" t="s">
        <v>2532</v>
      </c>
      <c r="F528" s="4" t="s">
        <v>17</v>
      </c>
      <c r="G528" s="1" t="s">
        <v>18</v>
      </c>
      <c r="H528" s="1" t="s">
        <v>19</v>
      </c>
      <c r="I528" s="1" t="s">
        <v>20</v>
      </c>
      <c r="J528" s="1" t="s">
        <v>2533</v>
      </c>
      <c r="K528" s="1" t="s">
        <v>22</v>
      </c>
      <c r="L528" s="1" t="str">
        <f>HYPERLINK("https://files.afu.se/Downloads/Transcripts/0%20-%20Government/USA%20-%20NASA/2020 05 29 - NASA - What's the Status of NASA and SpaceX's Mission to Launch Astronauts to Space _l1he-6z95Fk - transcript (automated).pdf","Transcript Link")</f>
        <v>Transcript Link</v>
      </c>
      <c r="M528" s="2" t="str">
        <f>HYPERLINK("https://files.afu.se/Downloads/Transcripts/0%20-%20Government/USA%20-%20NASA/2020 05 29 - NASA - What's the Status of NASA and SpaceX's Mission to Launch Astronauts to Space _l1he-6z95Fk - transcript (automated).pdf","Transcript Link")</f>
        <v>Transcript Link</v>
      </c>
    </row>
    <row r="529" ht="180" spans="1:13">
      <c r="A529" s="1" t="s">
        <v>2534</v>
      </c>
      <c r="B529" s="1" t="s">
        <v>13</v>
      </c>
      <c r="C529" s="4" t="s">
        <v>2535</v>
      </c>
      <c r="D529" s="1" t="s">
        <v>2536</v>
      </c>
      <c r="E529" s="1" t="s">
        <v>2537</v>
      </c>
      <c r="F529" s="4" t="s">
        <v>17</v>
      </c>
      <c r="G529" s="1" t="s">
        <v>18</v>
      </c>
      <c r="H529" s="1" t="s">
        <v>19</v>
      </c>
      <c r="I529" s="1" t="s">
        <v>20</v>
      </c>
      <c r="J529" s="1" t="s">
        <v>2538</v>
      </c>
      <c r="K529" s="1" t="s">
        <v>22</v>
      </c>
      <c r="L529" s="1" t="str">
        <f>HYPERLINK("https://files.afu.se/Downloads/Transcripts/0%20-%20Government/USA%20-%20NASA/2020 05 26 - NASA - How Are You Preparing to %23LaunchAmerica _4VuXstRwMaA - transcript (automated).pdf","Transcript Link")</f>
        <v>Transcript Link</v>
      </c>
      <c r="M529" s="2" t="str">
        <f>HYPERLINK("https://files.afu.se/Downloads/Transcripts/0%20-%20Government/USA%20-%20NASA/2020 05 26 - NASA - How Are You Preparing to %23LaunchAmerica _4VuXstRwMaA - transcript (automated).pdf","Transcript Link")</f>
        <v>Transcript Link</v>
      </c>
    </row>
    <row r="530" ht="345" spans="1:13">
      <c r="A530" s="1" t="s">
        <v>2539</v>
      </c>
      <c r="B530" s="1" t="s">
        <v>13</v>
      </c>
      <c r="C530" s="4" t="s">
        <v>2540</v>
      </c>
      <c r="D530" s="1" t="s">
        <v>2541</v>
      </c>
      <c r="E530" s="1" t="s">
        <v>2542</v>
      </c>
      <c r="F530" s="4" t="s">
        <v>17</v>
      </c>
      <c r="G530" s="1" t="s">
        <v>18</v>
      </c>
      <c r="H530" s="1" t="s">
        <v>19</v>
      </c>
      <c r="I530" s="1" t="s">
        <v>20</v>
      </c>
      <c r="J530" s="1" t="s">
        <v>2543</v>
      </c>
      <c r="K530" s="1" t="s">
        <v>22</v>
      </c>
      <c r="L530" s="1" t="str">
        <f>HYPERLINK("https://files.afu.se/Downloads/Transcripts/0%20-%20Government/USA%20-%20NASA/2020 05 22 - NASA - NASA and SpaceX are 'GO' to Proceed for Launch!_brcs-Nra_FY - transcript (automated).pdf","Transcript Link")</f>
        <v>Transcript Link</v>
      </c>
      <c r="M530" s="2" t="str">
        <f>HYPERLINK("https://files.afu.se/Downloads/Transcripts/0%20-%20Government/USA%20-%20NASA/2020 05 22 - NASA - NASA and SpaceX are 'GO' to Proceed for Launch!_brcs-Nra_FY - transcript (automated).pdf","Transcript Link")</f>
        <v>Transcript Link</v>
      </c>
    </row>
    <row r="531" ht="195" spans="1:13">
      <c r="A531" s="1" t="s">
        <v>2539</v>
      </c>
      <c r="B531" s="1" t="s">
        <v>13</v>
      </c>
      <c r="C531" s="4" t="s">
        <v>2544</v>
      </c>
      <c r="D531" s="1" t="s">
        <v>2545</v>
      </c>
      <c r="E531" s="1" t="s">
        <v>2546</v>
      </c>
      <c r="F531" s="4" t="s">
        <v>17</v>
      </c>
      <c r="G531" s="1" t="s">
        <v>18</v>
      </c>
      <c r="H531" s="1" t="s">
        <v>19</v>
      </c>
      <c r="I531" s="1" t="s">
        <v>20</v>
      </c>
      <c r="J531" s="1" t="s">
        <v>2547</v>
      </c>
      <c r="K531" s="1" t="s">
        <v>22</v>
      </c>
      <c r="L531" s="1" t="str">
        <f>HYPERLINK("https://files.afu.se/Downloads/Transcripts/0%20-%20Government/USA%20-%20NASA/2020 05 22 - NASA - Meet our %23LaunchAmerica Astronauts Flying on a SpaceX Spacecraft_vTWZrpLOgT8 - transcript (automated).pdf","Transcript Link")</f>
        <v>Transcript Link</v>
      </c>
      <c r="M531" s="2" t="str">
        <f>HYPERLINK("https://files.afu.se/Downloads/Transcripts/0%20-%20Government/USA%20-%20NASA/2020 05 22 - NASA - Meet our %23LaunchAmerica Astronauts Flying on a SpaceX Spacecraft_vTWZrpLOgT8 - transcript (automated).pdf","Transcript Link")</f>
        <v>Transcript Link</v>
      </c>
    </row>
    <row r="532" ht="165" spans="1:13">
      <c r="A532" s="1" t="s">
        <v>2539</v>
      </c>
      <c r="B532" s="1" t="s">
        <v>13</v>
      </c>
      <c r="C532" s="4" t="s">
        <v>2548</v>
      </c>
      <c r="D532" s="1" t="s">
        <v>2549</v>
      </c>
      <c r="E532" s="1" t="s">
        <v>2550</v>
      </c>
      <c r="F532" s="4" t="s">
        <v>17</v>
      </c>
      <c r="G532" s="1" t="s">
        <v>18</v>
      </c>
      <c r="H532" s="1" t="s">
        <v>19</v>
      </c>
      <c r="I532" s="1" t="s">
        <v>20</v>
      </c>
      <c r="J532" s="1" t="s">
        <v>2551</v>
      </c>
      <c r="K532" s="1" t="s">
        <v>22</v>
      </c>
      <c r="L532" s="1" t="str">
        <f>HYPERLINK("https://files.afu.se/Downloads/Transcripts/0%20-%20Government/USA%20-%20NASA/2020 05 22 - NASA - How to Virtually Participate in ‘Launch America’ on This Week @NASA – May 22, 2020_13RDPimvD_0 - transcript (automated).pdf","Transcript Link")</f>
        <v>Transcript Link</v>
      </c>
      <c r="M532" s="2" t="str">
        <f>HYPERLINK("https://files.afu.se/Downloads/Transcripts/0%20-%20Government/USA%20-%20NASA/2020 05 22 - NASA - How to Virtually Participate in ‘Launch America’ on This Week @NASA – May 22, 2020_13RDPimvD_0 - transcript (automated).pdf","Transcript Link")</f>
        <v>Transcript Link</v>
      </c>
    </row>
    <row r="533" ht="165" spans="1:13">
      <c r="A533" s="1" t="s">
        <v>2552</v>
      </c>
      <c r="B533" s="1" t="s">
        <v>13</v>
      </c>
      <c r="C533" s="4" t="s">
        <v>2553</v>
      </c>
      <c r="D533" s="1" t="s">
        <v>2554</v>
      </c>
      <c r="E533" s="1" t="s">
        <v>2555</v>
      </c>
      <c r="F533" s="4" t="s">
        <v>17</v>
      </c>
      <c r="G533" s="1" t="s">
        <v>18</v>
      </c>
      <c r="H533" s="1" t="s">
        <v>19</v>
      </c>
      <c r="I533" s="1" t="s">
        <v>20</v>
      </c>
      <c r="J533" s="1" t="s">
        <v>2556</v>
      </c>
      <c r="K533" s="1" t="s">
        <v>22</v>
      </c>
      <c r="L533" s="1" t="str">
        <f>HYPERLINK("https://files.afu.se/Downloads/Transcripts/0%20-%20Government/USA%20-%20NASA/2020 05 20 - NASA - NASA Science Live  Expanding Our View of the Universe_yNnvWem8V3U - transcript (automated).pdf","Transcript Link")</f>
        <v>Transcript Link</v>
      </c>
      <c r="M533" s="2" t="str">
        <f>HYPERLINK("https://files.afu.se/Downloads/Transcripts/0%20-%20Government/USA%20-%20NASA/2020 05 20 - NASA - NASA Science Live  Expanding Our View of the Universe_yNnvWem8V3U - transcript (automated).pdf","Transcript Link")</f>
        <v>Transcript Link</v>
      </c>
    </row>
    <row r="534" ht="180" spans="1:13">
      <c r="A534" s="1" t="s">
        <v>2557</v>
      </c>
      <c r="B534" s="1" t="s">
        <v>13</v>
      </c>
      <c r="C534" s="4" t="s">
        <v>2558</v>
      </c>
      <c r="D534" s="1" t="s">
        <v>2536</v>
      </c>
      <c r="E534" s="1" t="s">
        <v>2559</v>
      </c>
      <c r="F534" s="4" t="s">
        <v>17</v>
      </c>
      <c r="G534" s="1" t="s">
        <v>18</v>
      </c>
      <c r="H534" s="1" t="s">
        <v>19</v>
      </c>
      <c r="I534" s="1" t="s">
        <v>20</v>
      </c>
      <c r="J534" s="1" t="s">
        <v>2560</v>
      </c>
      <c r="K534" s="1" t="s">
        <v>22</v>
      </c>
      <c r="L534" s="1" t="str">
        <f>HYPERLINK("https://files.afu.se/Downloads/Transcripts/0%20-%20Government/USA%20-%20NASA/2020 05 19 - NASA - How Are You Preparing to %23LaunchAmerica _hLL8wjUdQSo - transcript (automated).pdf","Transcript Link")</f>
        <v>Transcript Link</v>
      </c>
      <c r="M534" s="2" t="str">
        <f>HYPERLINK("https://files.afu.se/Downloads/Transcripts/0%20-%20Government/USA%20-%20NASA/2020 05 19 - NASA - How Are You Preparing to %23LaunchAmerica _hLL8wjUdQSo - transcript (automated).pdf","Transcript Link")</f>
        <v>Transcript Link</v>
      </c>
    </row>
    <row r="535" ht="180" spans="1:13">
      <c r="A535" s="1" t="s">
        <v>2561</v>
      </c>
      <c r="B535" s="1" t="s">
        <v>13</v>
      </c>
      <c r="C535" s="4" t="s">
        <v>2562</v>
      </c>
      <c r="D535" s="1" t="s">
        <v>2563</v>
      </c>
      <c r="E535" s="1" t="s">
        <v>2564</v>
      </c>
      <c r="F535" s="4" t="s">
        <v>17</v>
      </c>
      <c r="G535" s="1" t="s">
        <v>18</v>
      </c>
      <c r="H535" s="1" t="s">
        <v>19</v>
      </c>
      <c r="I535" s="1" t="s">
        <v>20</v>
      </c>
      <c r="J535" s="1" t="s">
        <v>2565</v>
      </c>
      <c r="K535" s="1" t="s">
        <v>22</v>
      </c>
      <c r="L535" s="1" t="str">
        <f>HYPERLINK("https://files.afu.se/Downloads/Transcripts/0%20-%20Government/USA%20-%20NASA/2020 05 18 - NASA - The Worm Is Back!_IwrtrxiwXTE - transcript (automated).pdf","Transcript Link")</f>
        <v>Transcript Link</v>
      </c>
      <c r="M535" s="2" t="str">
        <f>HYPERLINK("https://files.afu.se/Downloads/Transcripts/0%20-%20Government/USA%20-%20NASA/2020 05 18 - NASA - The Worm Is Back!_IwrtrxiwXTE - transcript (automated).pdf","Transcript Link")</f>
        <v>Transcript Link</v>
      </c>
    </row>
    <row r="536" ht="165" spans="1:13">
      <c r="A536" s="1" t="s">
        <v>2566</v>
      </c>
      <c r="B536" s="1" t="s">
        <v>13</v>
      </c>
      <c r="C536" s="4" t="s">
        <v>2567</v>
      </c>
      <c r="D536" s="1" t="s">
        <v>2568</v>
      </c>
      <c r="E536" s="1" t="s">
        <v>2569</v>
      </c>
      <c r="F536" s="4" t="s">
        <v>17</v>
      </c>
      <c r="G536" s="1" t="s">
        <v>18</v>
      </c>
      <c r="H536" s="1" t="s">
        <v>19</v>
      </c>
      <c r="I536" s="1" t="s">
        <v>20</v>
      </c>
      <c r="J536" s="1" t="s">
        <v>2570</v>
      </c>
      <c r="K536" s="1" t="s">
        <v>22</v>
      </c>
      <c r="L536" s="1" t="str">
        <f>HYPERLINK("https://files.afu.se/Downloads/Transcripts/0%20-%20Government/USA%20-%20NASA/2020 05 17 - NASA - NASA celebrates Asian American Pacific Islander Month_Vou2QLrP7jU - transcript (automated).pdf","Transcript Link")</f>
        <v>Transcript Link</v>
      </c>
      <c r="M536" s="2" t="str">
        <f>HYPERLINK("https://files.afu.se/Downloads/Transcripts/0%20-%20Government/USA%20-%20NASA/2020 05 17 - NASA - NASA celebrates Asian American Pacific Islander Month_Vou2QLrP7jU - transcript (automated).pdf","Transcript Link")</f>
        <v>Transcript Link</v>
      </c>
    </row>
    <row r="537" ht="255" spans="1:13">
      <c r="A537" s="1" t="s">
        <v>2566</v>
      </c>
      <c r="B537" s="1" t="s">
        <v>13</v>
      </c>
      <c r="C537" s="4" t="s">
        <v>2571</v>
      </c>
      <c r="D537" s="1" t="s">
        <v>2572</v>
      </c>
      <c r="E537" s="1" t="s">
        <v>2573</v>
      </c>
      <c r="F537" s="4" t="s">
        <v>17</v>
      </c>
      <c r="G537" s="1" t="s">
        <v>18</v>
      </c>
      <c r="H537" s="1" t="s">
        <v>19</v>
      </c>
      <c r="I537" s="1" t="s">
        <v>20</v>
      </c>
      <c r="J537" s="1" t="s">
        <v>2574</v>
      </c>
      <c r="K537" s="1" t="s">
        <v>22</v>
      </c>
      <c r="L537" s="1" t="str">
        <f>HYPERLINK("https://files.afu.se/Downloads/Transcripts/0%20-%20Government/USA%20-%20NASA/2020 05 17 - NASA - %23EZScience  Your Career Questions Answered!_NtZCpq5QI64 - transcript (automated).pdf","Transcript Link")</f>
        <v>Transcript Link</v>
      </c>
      <c r="M537" s="2" t="str">
        <f>HYPERLINK("https://files.afu.se/Downloads/Transcripts/0%20-%20Government/USA%20-%20NASA/2020 05 17 - NASA - %23EZScience  Your Career Questions Answered!_NtZCpq5QI64 - transcript (automated).pdf","Transcript Link")</f>
        <v>Transcript Link</v>
      </c>
    </row>
    <row r="538" ht="165" spans="1:13">
      <c r="A538" s="1" t="s">
        <v>2575</v>
      </c>
      <c r="B538" s="1" t="s">
        <v>13</v>
      </c>
      <c r="C538" s="4" t="s">
        <v>2576</v>
      </c>
      <c r="D538" s="1" t="s">
        <v>2577</v>
      </c>
      <c r="E538" s="1" t="s">
        <v>2578</v>
      </c>
      <c r="F538" s="4" t="s">
        <v>17</v>
      </c>
      <c r="G538" s="1" t="s">
        <v>18</v>
      </c>
      <c r="H538" s="1" t="s">
        <v>19</v>
      </c>
      <c r="I538" s="1" t="s">
        <v>20</v>
      </c>
      <c r="J538" s="1" t="s">
        <v>2579</v>
      </c>
      <c r="K538" s="1" t="s">
        <v>22</v>
      </c>
      <c r="L538" s="1" t="str">
        <f>HYPERLINK("https://files.afu.se/Downloads/Transcripts/0%20-%20Government/USA%20-%20NASA/2020 05 15 - NASA - Countdown To Return of Human Spaceflight from Florida on This Week @NASA – May 15, 2020_oGeocFnAaFc - transcript (automated).pdf","Transcript Link")</f>
        <v>Transcript Link</v>
      </c>
      <c r="M538" s="2" t="str">
        <f>HYPERLINK("https://files.afu.se/Downloads/Transcripts/0%20-%20Government/USA%20-%20NASA/2020 05 15 - NASA - Countdown To Return of Human Spaceflight from Florida on This Week @NASA – May 15, 2020_oGeocFnAaFc - transcript (automated).pdf","Transcript Link")</f>
        <v>Transcript Link</v>
      </c>
    </row>
    <row r="539" ht="240" spans="1:13">
      <c r="A539" s="1" t="s">
        <v>2580</v>
      </c>
      <c r="B539" s="1" t="s">
        <v>13</v>
      </c>
      <c r="C539" s="4" t="s">
        <v>2581</v>
      </c>
      <c r="D539" s="1" t="s">
        <v>2582</v>
      </c>
      <c r="E539" s="1" t="s">
        <v>2583</v>
      </c>
      <c r="F539" s="4" t="s">
        <v>17</v>
      </c>
      <c r="G539" s="1" t="s">
        <v>18</v>
      </c>
      <c r="H539" s="1" t="s">
        <v>19</v>
      </c>
      <c r="I539" s="1" t="s">
        <v>20</v>
      </c>
      <c r="J539" s="1" t="s">
        <v>2584</v>
      </c>
      <c r="K539" s="1" t="s">
        <v>22</v>
      </c>
      <c r="L539" s="1" t="str">
        <f>HYPERLINK("https://files.afu.se/Downloads/Transcripts/0%20-%20Government/USA%20-%20NASA/2020 05 14 - NASA - %23EZScience  Your Space Science Questions Answered!_cS27PGmMFKg - transcript (automated).pdf","Transcript Link")</f>
        <v>Transcript Link</v>
      </c>
      <c r="M539" s="2" t="str">
        <f>HYPERLINK("https://files.afu.se/Downloads/Transcripts/0%20-%20Government/USA%20-%20NASA/2020 05 14 - NASA - %23EZScience  Your Space Science Questions Answered!_cS27PGmMFKg - transcript (automated).pdf","Transcript Link")</f>
        <v>Transcript Link</v>
      </c>
    </row>
    <row r="540" ht="210" spans="1:13">
      <c r="A540" s="1" t="s">
        <v>2585</v>
      </c>
      <c r="B540" s="1" t="s">
        <v>13</v>
      </c>
      <c r="C540" s="4" t="s">
        <v>2586</v>
      </c>
      <c r="D540" s="1" t="s">
        <v>2536</v>
      </c>
      <c r="E540" s="1" t="s">
        <v>2587</v>
      </c>
      <c r="F540" s="4" t="s">
        <v>17</v>
      </c>
      <c r="G540" s="1" t="s">
        <v>18</v>
      </c>
      <c r="H540" s="1" t="s">
        <v>19</v>
      </c>
      <c r="I540" s="1" t="s">
        <v>20</v>
      </c>
      <c r="J540" s="1" t="s">
        <v>2588</v>
      </c>
      <c r="K540" s="1" t="s">
        <v>22</v>
      </c>
      <c r="L540" s="1" t="str">
        <f>HYPERLINK("https://files.afu.se/Downloads/Transcripts/0%20-%20Government/USA%20-%20NASA/2020 05 12 - NASA - How Are You Preparing to %23LaunchAmerica _a-vwD3eHN6Q - transcript (automated).pdf","Transcript Link")</f>
        <v>Transcript Link</v>
      </c>
      <c r="M540" s="2" t="str">
        <f>HYPERLINK("https://files.afu.se/Downloads/Transcripts/0%20-%20Government/USA%20-%20NASA/2020 05 12 - NASA - How Are You Preparing to %23LaunchAmerica _a-vwD3eHN6Q - transcript (automated).pdf","Transcript Link")</f>
        <v>Transcript Link</v>
      </c>
    </row>
    <row r="541" ht="180" spans="1:13">
      <c r="A541" s="1" t="s">
        <v>2589</v>
      </c>
      <c r="B541" s="1" t="s">
        <v>13</v>
      </c>
      <c r="C541" s="4" t="s">
        <v>2590</v>
      </c>
      <c r="D541" s="1" t="s">
        <v>2591</v>
      </c>
      <c r="E541" s="1" t="s">
        <v>2592</v>
      </c>
      <c r="F541" s="4" t="s">
        <v>17</v>
      </c>
      <c r="G541" s="1" t="s">
        <v>18</v>
      </c>
      <c r="H541" s="1" t="s">
        <v>19</v>
      </c>
      <c r="I541" s="1" t="s">
        <v>20</v>
      </c>
      <c r="J541" s="1" t="s">
        <v>2593</v>
      </c>
      <c r="K541" s="1" t="s">
        <v>22</v>
      </c>
      <c r="L541" s="1" t="str">
        <f>HYPERLINK("https://files.afu.se/Downloads/Transcripts/0%20-%20Government/USA%20-%20NASA/2020 05 09 - NASA - NASA and SpaceX prepare to %23LaunchAmerica_5EgRrAK8_HQ - transcript (automated).pdf","Transcript Link")</f>
        <v>Transcript Link</v>
      </c>
      <c r="M541" s="2" t="str">
        <f>HYPERLINK("https://files.afu.se/Downloads/Transcripts/0%20-%20Government/USA%20-%20NASA/2020 05 09 - NASA - NASA and SpaceX prepare to %23LaunchAmerica_5EgRrAK8_HQ - transcript (automated).pdf","Transcript Link")</f>
        <v>Transcript Link</v>
      </c>
    </row>
    <row r="542" ht="165" spans="1:13">
      <c r="A542" s="1" t="s">
        <v>2594</v>
      </c>
      <c r="B542" s="1" t="s">
        <v>13</v>
      </c>
      <c r="C542" s="4" t="s">
        <v>2595</v>
      </c>
      <c r="D542" s="1" t="s">
        <v>2596</v>
      </c>
      <c r="E542" s="1" t="s">
        <v>2597</v>
      </c>
      <c r="F542" s="4" t="s">
        <v>17</v>
      </c>
      <c r="G542" s="1" t="s">
        <v>18</v>
      </c>
      <c r="H542" s="1" t="s">
        <v>19</v>
      </c>
      <c r="I542" s="1" t="s">
        <v>20</v>
      </c>
      <c r="J542" s="1" t="s">
        <v>2598</v>
      </c>
      <c r="K542" s="1" t="s">
        <v>22</v>
      </c>
      <c r="L542" s="1" t="str">
        <f>HYPERLINK("https://files.afu.se/Downloads/Transcripts/0%20-%20Government/USA%20-%20NASA/2020 05 08 - NASA - Discussing a Safe Return to On-site Work on This Week @NASA – May 8, 2020_iezhtq-OLx0 - transcript (automated).pdf","Transcript Link")</f>
        <v>Transcript Link</v>
      </c>
      <c r="M542" s="2" t="str">
        <f>HYPERLINK("https://files.afu.se/Downloads/Transcripts/0%20-%20Government/USA%20-%20NASA/2020 05 08 - NASA - Discussing a Safe Return to On-site Work on This Week @NASA – May 8, 2020_iezhtq-OLx0 - transcript (automated).pdf","Transcript Link")</f>
        <v>Transcript Link</v>
      </c>
    </row>
    <row r="543" ht="255" spans="1:13">
      <c r="A543" s="1" t="s">
        <v>2599</v>
      </c>
      <c r="B543" s="1" t="s">
        <v>13</v>
      </c>
      <c r="C543" s="4" t="s">
        <v>2600</v>
      </c>
      <c r="D543" s="1" t="s">
        <v>2601</v>
      </c>
      <c r="E543" s="1" t="s">
        <v>2602</v>
      </c>
      <c r="F543" s="4" t="s">
        <v>17</v>
      </c>
      <c r="G543" s="1" t="s">
        <v>18</v>
      </c>
      <c r="H543" s="1" t="s">
        <v>19</v>
      </c>
      <c r="I543" s="1" t="s">
        <v>20</v>
      </c>
      <c r="J543" s="1" t="s">
        <v>2603</v>
      </c>
      <c r="K543" s="1" t="s">
        <v>22</v>
      </c>
      <c r="L543" s="1" t="str">
        <f>HYPERLINK("https://files.afu.se/Downloads/Transcripts/0%20-%20Government/USA%20-%20NASA/2020 05 07 - NASA - How to Make a Rocket Pop-Up Card_DUSOJcEuMzA - transcript (automated).pdf","Transcript Link")</f>
        <v>Transcript Link</v>
      </c>
      <c r="M543" s="2" t="str">
        <f>HYPERLINK("https://files.afu.se/Downloads/Transcripts/0%20-%20Government/USA%20-%20NASA/2020 05 07 - NASA - How to Make a Rocket Pop-Up Card_DUSOJcEuMzA - transcript (automated).pdf","Transcript Link")</f>
        <v>Transcript Link</v>
      </c>
    </row>
    <row r="544" ht="165" spans="1:13">
      <c r="A544" s="1" t="s">
        <v>2604</v>
      </c>
      <c r="B544" s="1" t="s">
        <v>13</v>
      </c>
      <c r="C544" s="4" t="s">
        <v>2605</v>
      </c>
      <c r="D544" s="1" t="s">
        <v>2606</v>
      </c>
      <c r="E544" s="1" t="s">
        <v>2607</v>
      </c>
      <c r="F544" s="4" t="s">
        <v>17</v>
      </c>
      <c r="G544" s="1" t="s">
        <v>18</v>
      </c>
      <c r="H544" s="1" t="s">
        <v>19</v>
      </c>
      <c r="I544" s="1" t="s">
        <v>20</v>
      </c>
      <c r="J544" s="1" t="s">
        <v>2608</v>
      </c>
      <c r="K544" s="1" t="s">
        <v>22</v>
      </c>
      <c r="L544" s="1" t="str">
        <f>HYPERLINK("https://files.afu.se/Downloads/Transcripts/0%20-%20Government/USA%20-%20NASA/2020 05 06 - NASA - NASA Science Live  On Ice_jQaxUUraV_c - transcript (automated).pdf","Transcript Link")</f>
        <v>Transcript Link</v>
      </c>
      <c r="M544" s="2" t="str">
        <f>HYPERLINK("https://files.afu.se/Downloads/Transcripts/0%20-%20Government/USA%20-%20NASA/2020 05 06 - NASA - NASA Science Live  On Ice_jQaxUUraV_c - transcript (automated).pdf","Transcript Link")</f>
        <v>Transcript Link</v>
      </c>
    </row>
    <row r="545" ht="165" spans="1:13">
      <c r="A545" s="1" t="s">
        <v>2604</v>
      </c>
      <c r="B545" s="1" t="s">
        <v>13</v>
      </c>
      <c r="C545" s="4" t="s">
        <v>2609</v>
      </c>
      <c r="D545" s="1" t="s">
        <v>2610</v>
      </c>
      <c r="E545" s="1" t="s">
        <v>2611</v>
      </c>
      <c r="F545" s="4" t="s">
        <v>17</v>
      </c>
      <c r="G545" s="1" t="s">
        <v>18</v>
      </c>
      <c r="H545" s="1" t="s">
        <v>19</v>
      </c>
      <c r="I545" s="1" t="s">
        <v>20</v>
      </c>
      <c r="J545" s="1" t="s">
        <v>2612</v>
      </c>
      <c r="K545" s="1" t="s">
        <v>22</v>
      </c>
      <c r="L545" s="1" t="str">
        <f>HYPERLINK("https://files.afu.se/Downloads/Transcripts/0%20-%20Government/USA%20-%20NASA/2020 05 06 - NASA - Astronaut Chris Cassidy Thanks Essential Workers from the International Space Station_G690YvtHYEA - transcript (automated).pdf","Transcript Link")</f>
        <v>Transcript Link</v>
      </c>
      <c r="M545" s="2" t="str">
        <f>HYPERLINK("https://files.afu.se/Downloads/Transcripts/0%20-%20Government/USA%20-%20NASA/2020 05 06 - NASA - Astronaut Chris Cassidy Thanks Essential Workers from the International Space Station_G690YvtHYEA - transcript (automated).pdf","Transcript Link")</f>
        <v>Transcript Link</v>
      </c>
    </row>
    <row r="546" ht="165" spans="1:13">
      <c r="A546" s="1" t="s">
        <v>2613</v>
      </c>
      <c r="B546" s="1" t="s">
        <v>13</v>
      </c>
      <c r="C546" s="4" t="s">
        <v>2614</v>
      </c>
      <c r="D546" s="1" t="s">
        <v>2536</v>
      </c>
      <c r="E546" s="1" t="s">
        <v>2615</v>
      </c>
      <c r="F546" s="4" t="s">
        <v>17</v>
      </c>
      <c r="G546" s="1" t="s">
        <v>18</v>
      </c>
      <c r="H546" s="1" t="s">
        <v>19</v>
      </c>
      <c r="I546" s="1" t="s">
        <v>20</v>
      </c>
      <c r="J546" s="1" t="s">
        <v>2616</v>
      </c>
      <c r="K546" s="1" t="s">
        <v>22</v>
      </c>
      <c r="L546" s="1" t="str">
        <f>HYPERLINK("https://files.afu.se/Downloads/Transcripts/0%20-%20Government/USA%20-%20NASA/2020 05 05 - NASA - How Are You Preparing to %23LaunchAmerica _9_Flt9NZCc4 - transcript (automated).pdf","Transcript Link")</f>
        <v>Transcript Link</v>
      </c>
      <c r="M546" s="2" t="str">
        <f>HYPERLINK("https://files.afu.se/Downloads/Transcripts/0%20-%20Government/USA%20-%20NASA/2020 05 05 - NASA - How Are You Preparing to %23LaunchAmerica _9_Flt9NZCc4 - transcript (automated).pdf","Transcript Link")</f>
        <v>Transcript Link</v>
      </c>
    </row>
    <row r="547" ht="210" spans="1:13">
      <c r="A547" s="1" t="s">
        <v>2617</v>
      </c>
      <c r="B547" s="1" t="s">
        <v>13</v>
      </c>
      <c r="C547" s="4" t="s">
        <v>2618</v>
      </c>
      <c r="D547" s="1" t="s">
        <v>2619</v>
      </c>
      <c r="E547" s="1" t="s">
        <v>2620</v>
      </c>
      <c r="F547" s="4" t="s">
        <v>17</v>
      </c>
      <c r="G547" s="1" t="s">
        <v>18</v>
      </c>
      <c r="H547" s="1" t="s">
        <v>19</v>
      </c>
      <c r="I547" s="1" t="s">
        <v>20</v>
      </c>
      <c r="J547" s="1" t="s">
        <v>2621</v>
      </c>
      <c r="K547" s="1" t="s">
        <v>22</v>
      </c>
      <c r="L547" s="1" t="str">
        <f>HYPERLINK("https://files.afu.se/Downloads/Transcripts/0%20-%20Government/USA%20-%20NASA/2020 05 01 - NASA - Highlighting Our Upcoming Launch of Astronauts from Florida on This Week @NASA – May 1, 2020_SQBOjAkI5mk - transcript (automated).pdf","Transcript Link")</f>
        <v>Transcript Link</v>
      </c>
      <c r="M547" s="2" t="str">
        <f>HYPERLINK("https://files.afu.se/Downloads/Transcripts/0%20-%20Government/USA%20-%20NASA/2020 05 01 - NASA - Highlighting Our Upcoming Launch of Astronauts from Florida on This Week @NASA – May 1, 2020_SQBOjAkI5mk - transcript (automated).pdf","Transcript Link")</f>
        <v>Transcript Link</v>
      </c>
    </row>
    <row r="548" ht="165" spans="1:13">
      <c r="A548" s="1" t="s">
        <v>2622</v>
      </c>
      <c r="B548" s="1" t="s">
        <v>13</v>
      </c>
      <c r="C548" s="4" t="s">
        <v>2623</v>
      </c>
      <c r="D548" s="1" t="s">
        <v>2624</v>
      </c>
      <c r="E548" s="1" t="s">
        <v>2625</v>
      </c>
      <c r="F548" s="4" t="s">
        <v>17</v>
      </c>
      <c r="G548" s="1" t="s">
        <v>18</v>
      </c>
      <c r="H548" s="1" t="s">
        <v>19</v>
      </c>
      <c r="I548" s="1" t="s">
        <v>20</v>
      </c>
      <c r="J548" s="1" t="s">
        <v>2626</v>
      </c>
      <c r="K548" s="1" t="s">
        <v>22</v>
      </c>
      <c r="L548" s="1" t="str">
        <f>HYPERLINK("https://files.afu.se/Downloads/Transcripts/0%20-%20Government/USA%20-%20NASA/2020 04 30 - NASA - Artemis Announcement  NASA Selects Human Landing Systems_dlHJAKIaALg - transcript (automated).pdf","Transcript Link")</f>
        <v>Transcript Link</v>
      </c>
      <c r="M548" s="2" t="str">
        <f>HYPERLINK("https://files.afu.se/Downloads/Transcripts/0%20-%20Government/USA%20-%20NASA/2020 04 30 - NASA - Artemis Announcement  NASA Selects Human Landing Systems_dlHJAKIaALg - transcript (automated).pdf","Transcript Link")</f>
        <v>Transcript Link</v>
      </c>
    </row>
    <row r="549" ht="375" spans="1:13">
      <c r="A549" s="1" t="s">
        <v>2627</v>
      </c>
      <c r="B549" s="1" t="s">
        <v>13</v>
      </c>
      <c r="C549" s="4" t="s">
        <v>2628</v>
      </c>
      <c r="D549" s="1" t="s">
        <v>2629</v>
      </c>
      <c r="E549" s="1" t="s">
        <v>2630</v>
      </c>
      <c r="F549" s="4" t="s">
        <v>17</v>
      </c>
      <c r="G549" s="1" t="s">
        <v>18</v>
      </c>
      <c r="H549" s="1" t="s">
        <v>19</v>
      </c>
      <c r="I549" s="1" t="s">
        <v>20</v>
      </c>
      <c r="J549" s="1" t="s">
        <v>2631</v>
      </c>
      <c r="K549" s="1" t="s">
        <v>22</v>
      </c>
      <c r="L549" s="1" t="str">
        <f>HYPERLINK("https://files.afu.se/Downloads/Transcripts/0%20-%20Government/USA%20-%20NASA/2020 04 29 - NASA - %23AskNASA┃ What is Hubble revealing about the universe _MhQ2o4aSMy0 - transcript (automated).pdf","Transcript Link")</f>
        <v>Transcript Link</v>
      </c>
      <c r="M549" s="2" t="str">
        <f>HYPERLINK("https://files.afu.se/Downloads/Transcripts/0%20-%20Government/USA%20-%20NASA/2020 04 29 - NASA - %23AskNASA┃ What is Hubble revealing about the universe _MhQ2o4aSMy0 - transcript (automated).pdf","Transcript Link")</f>
        <v>Transcript Link</v>
      </c>
    </row>
    <row r="550" ht="165" spans="1:13">
      <c r="A550" s="1" t="s">
        <v>2632</v>
      </c>
      <c r="B550" s="1" t="s">
        <v>13</v>
      </c>
      <c r="C550" s="4" t="s">
        <v>2633</v>
      </c>
      <c r="D550" s="1" t="s">
        <v>2634</v>
      </c>
      <c r="E550" s="1" t="s">
        <v>2635</v>
      </c>
      <c r="F550" s="4" t="s">
        <v>17</v>
      </c>
      <c r="G550" s="1" t="s">
        <v>18</v>
      </c>
      <c r="H550" s="1" t="s">
        <v>19</v>
      </c>
      <c r="I550" s="1" t="s">
        <v>20</v>
      </c>
      <c r="J550" s="1" t="s">
        <v>2636</v>
      </c>
      <c r="K550" s="1" t="s">
        <v>22</v>
      </c>
      <c r="L550" s="1" t="str">
        <f>HYPERLINK("https://files.afu.se/Downloads/Transcripts/0%20-%20Government/USA%20-%20NASA/2020 04 27 - NASA - NASA Science Live  Asteroid Close Approach_eiS8EPOL488 - transcript (automated).pdf","Transcript Link")</f>
        <v>Transcript Link</v>
      </c>
      <c r="M550" s="2" t="str">
        <f>HYPERLINK("https://files.afu.se/Downloads/Transcripts/0%20-%20Government/USA%20-%20NASA/2020 04 27 - NASA - NASA Science Live  Asteroid Close Approach_eiS8EPOL488 - transcript (automated).pdf","Transcript Link")</f>
        <v>Transcript Link</v>
      </c>
    </row>
    <row r="551" ht="165" spans="1:13">
      <c r="A551" s="1" t="s">
        <v>2637</v>
      </c>
      <c r="B551" s="1" t="s">
        <v>13</v>
      </c>
      <c r="C551" s="4" t="s">
        <v>2638</v>
      </c>
      <c r="D551" s="1" t="s">
        <v>2639</v>
      </c>
      <c r="E551" s="1" t="s">
        <v>2640</v>
      </c>
      <c r="F551" s="4" t="s">
        <v>17</v>
      </c>
      <c r="G551" s="1" t="s">
        <v>18</v>
      </c>
      <c r="H551" s="1" t="s">
        <v>19</v>
      </c>
      <c r="I551" s="1" t="s">
        <v>20</v>
      </c>
      <c r="J551" s="1" t="s">
        <v>2641</v>
      </c>
      <c r="K551" s="1" t="s">
        <v>22</v>
      </c>
      <c r="L551" s="1" t="str">
        <f>HYPERLINK("https://files.afu.se/Downloads/Transcripts/0%20-%20Government/USA%20-%20NASA/2020 04 25 - NASA - Answering the Call to Help Combat Coronavirus on This Week @NASA – April 24, 2020_LMqB44rX6WM - transcript (automated).pdf","Transcript Link")</f>
        <v>Transcript Link</v>
      </c>
      <c r="M551" s="2" t="str">
        <f>HYPERLINK("https://files.afu.se/Downloads/Transcripts/0%20-%20Government/USA%20-%20NASA/2020 04 25 - NASA - Answering the Call to Help Combat Coronavirus on This Week @NASA – April 24, 2020_LMqB44rX6WM - transcript (automated).pdf","Transcript Link")</f>
        <v>Transcript Link</v>
      </c>
    </row>
    <row r="552" ht="240" spans="1:13">
      <c r="A552" s="1" t="s">
        <v>2642</v>
      </c>
      <c r="B552" s="1" t="s">
        <v>13</v>
      </c>
      <c r="C552" s="4" t="s">
        <v>2643</v>
      </c>
      <c r="D552" s="1" t="s">
        <v>2644</v>
      </c>
      <c r="E552" s="1" t="s">
        <v>2645</v>
      </c>
      <c r="F552" s="4" t="s">
        <v>17</v>
      </c>
      <c r="G552" s="1" t="s">
        <v>18</v>
      </c>
      <c r="H552" s="1" t="s">
        <v>19</v>
      </c>
      <c r="I552" s="1" t="s">
        <v>20</v>
      </c>
      <c r="J552" s="1" t="s">
        <v>2646</v>
      </c>
      <c r="K552" s="1" t="s">
        <v>22</v>
      </c>
      <c r="L552" s="1" t="str">
        <f>HYPERLINK("https://files.afu.se/Downloads/Transcripts/0%20-%20Government/USA%20-%20NASA/2020 04 23 - NASA - %23EZScience  NASA's Hubble Space Telescope — Our Window to the Stars_Zg4Jmcb485g - transcript (automated).pdf","Transcript Link")</f>
        <v>Transcript Link</v>
      </c>
      <c r="M552" s="2" t="str">
        <f>HYPERLINK("https://files.afu.se/Downloads/Transcripts/0%20-%20Government/USA%20-%20NASA/2020 04 23 - NASA - %23EZScience  NASA's Hubble Space Telescope — Our Window to the Stars_Zg4Jmcb485g - transcript (automated).pdf","Transcript Link")</f>
        <v>Transcript Link</v>
      </c>
    </row>
    <row r="553" ht="165" spans="1:13">
      <c r="A553" s="1" t="s">
        <v>2647</v>
      </c>
      <c r="B553" s="1" t="s">
        <v>13</v>
      </c>
      <c r="C553" s="4" t="s">
        <v>2648</v>
      </c>
      <c r="D553" s="1" t="s">
        <v>2649</v>
      </c>
      <c r="E553" s="1" t="s">
        <v>2650</v>
      </c>
      <c r="F553" s="4" t="s">
        <v>17</v>
      </c>
      <c r="G553" s="1" t="s">
        <v>18</v>
      </c>
      <c r="H553" s="1" t="s">
        <v>19</v>
      </c>
      <c r="I553" s="1" t="s">
        <v>20</v>
      </c>
      <c r="J553" s="1" t="s">
        <v>2651</v>
      </c>
      <c r="K553" s="1" t="s">
        <v>22</v>
      </c>
      <c r="L553" s="1" t="str">
        <f>HYPERLINK("https://files.afu.se/Downloads/Transcripts/0%20-%20Government/USA%20-%20NASA/2020 04 22 - NASA - NASA Astronaut Chris Cassidy Commemorates the 50th Earth Day from the International Space Station_f3c617j1hJQ - transcript (automated).pdf","Transcript Link")</f>
        <v>Transcript Link</v>
      </c>
      <c r="M553" s="2" t="str">
        <f>HYPERLINK("https://files.afu.se/Downloads/Transcripts/0%20-%20Government/USA%20-%20NASA/2020 04 22 - NASA - NASA Astronaut Chris Cassidy Commemorates the 50th Earth Day from the International Space Station_f3c617j1hJQ - transcript (automated).pdf","Transcript Link")</f>
        <v>Transcript Link</v>
      </c>
    </row>
    <row r="554" ht="165" spans="1:13">
      <c r="A554" s="1" t="s">
        <v>2647</v>
      </c>
      <c r="B554" s="1" t="s">
        <v>13</v>
      </c>
      <c r="C554" s="4" t="s">
        <v>2652</v>
      </c>
      <c r="D554" s="1" t="s">
        <v>2653</v>
      </c>
      <c r="E554" s="1" t="s">
        <v>2654</v>
      </c>
      <c r="F554" s="4" t="s">
        <v>17</v>
      </c>
      <c r="G554" s="1" t="s">
        <v>18</v>
      </c>
      <c r="H554" s="1" t="s">
        <v>19</v>
      </c>
      <c r="I554" s="1" t="s">
        <v>20</v>
      </c>
      <c r="J554" s="1" t="s">
        <v>2655</v>
      </c>
      <c r="K554" s="1" t="s">
        <v>22</v>
      </c>
      <c r="L554" s="1" t="str">
        <f>HYPERLINK("https://files.afu.se/Downloads/Transcripts/0%20-%20Government/USA%20-%20NASA/2020 04 22 - NASA - NASA Science Live  Earth Day at Home_79Zjr3WRXLw - transcript (automated).pdf","Transcript Link")</f>
        <v>Transcript Link</v>
      </c>
      <c r="M554" s="2" t="str">
        <f>HYPERLINK("https://files.afu.se/Downloads/Transcripts/0%20-%20Government/USA%20-%20NASA/2020 04 22 - NASA - NASA Science Live  Earth Day at Home_79Zjr3WRXLw - transcript (automated).pdf","Transcript Link")</f>
        <v>Transcript Link</v>
      </c>
    </row>
    <row r="555" ht="270" spans="1:13">
      <c r="A555" s="1" t="s">
        <v>2656</v>
      </c>
      <c r="B555" s="1" t="s">
        <v>13</v>
      </c>
      <c r="C555" s="4" t="s">
        <v>2657</v>
      </c>
      <c r="D555" s="1" t="s">
        <v>2658</v>
      </c>
      <c r="E555" s="1" t="s">
        <v>2659</v>
      </c>
      <c r="F555" s="4" t="s">
        <v>17</v>
      </c>
      <c r="G555" s="1" t="s">
        <v>18</v>
      </c>
      <c r="H555" s="1" t="s">
        <v>19</v>
      </c>
      <c r="I555" s="1" t="s">
        <v>20</v>
      </c>
      <c r="J555" s="1" t="s">
        <v>2660</v>
      </c>
      <c r="K555" s="1" t="s">
        <v>22</v>
      </c>
      <c r="L555" s="1" t="str">
        <f>HYPERLINK("https://files.afu.se/Downloads/Transcripts/0%20-%20Government/USA%20-%20NASA/2020 04 21 - NASA - NASA's Curious Universe  In the Amazon with NASA Earth Scientist Doug Morton_RIbGcby4iZU - transcript (automated).pdf","Transcript Link")</f>
        <v>Transcript Link</v>
      </c>
      <c r="M555" s="2" t="str">
        <f>HYPERLINK("https://files.afu.se/Downloads/Transcripts/0%20-%20Government/USA%20-%20NASA/2020 04 21 - NASA - NASA's Curious Universe  In the Amazon with NASA Earth Scientist Doug Morton_RIbGcby4iZU - transcript (automated).pdf","Transcript Link")</f>
        <v>Transcript Link</v>
      </c>
    </row>
    <row r="556" ht="225" spans="1:13">
      <c r="A556" s="1" t="s">
        <v>2661</v>
      </c>
      <c r="B556" s="1" t="s">
        <v>13</v>
      </c>
      <c r="C556" s="4" t="s">
        <v>2662</v>
      </c>
      <c r="D556" s="1" t="s">
        <v>2663</v>
      </c>
      <c r="E556" s="1" t="s">
        <v>2664</v>
      </c>
      <c r="F556" s="4" t="s">
        <v>17</v>
      </c>
      <c r="G556" s="1" t="s">
        <v>18</v>
      </c>
      <c r="H556" s="1" t="s">
        <v>19</v>
      </c>
      <c r="I556" s="1" t="s">
        <v>20</v>
      </c>
      <c r="J556" s="1" t="s">
        <v>2665</v>
      </c>
      <c r="K556" s="1" t="s">
        <v>22</v>
      </c>
      <c r="L556" s="1" t="str">
        <f>HYPERLINK("https://files.afu.se/Downloads/Transcripts/0%20-%20Government/USA%20-%20NASA/2020 04 20 - NASA - Earth Day 2020  NASA Puts Space to Work for the Planet_d815wa7aIMs - transcript (automated).pdf","Transcript Link")</f>
        <v>Transcript Link</v>
      </c>
      <c r="M556" s="2" t="str">
        <f>HYPERLINK("https://files.afu.se/Downloads/Transcripts/0%20-%20Government/USA%20-%20NASA/2020 04 20 - NASA - Earth Day 2020  NASA Puts Space to Work for the Planet_d815wa7aIMs - transcript (automated).pdf","Transcript Link")</f>
        <v>Transcript Link</v>
      </c>
    </row>
    <row r="557" ht="210" spans="1:13">
      <c r="A557" s="1" t="s">
        <v>2666</v>
      </c>
      <c r="B557" s="1" t="s">
        <v>13</v>
      </c>
      <c r="C557" s="4" t="s">
        <v>2667</v>
      </c>
      <c r="D557" s="1" t="s">
        <v>2668</v>
      </c>
      <c r="E557" s="1" t="s">
        <v>2669</v>
      </c>
      <c r="F557" s="4" t="s">
        <v>17</v>
      </c>
      <c r="G557" s="1" t="s">
        <v>18</v>
      </c>
      <c r="H557" s="1" t="s">
        <v>19</v>
      </c>
      <c r="I557" s="1" t="s">
        <v>20</v>
      </c>
      <c r="J557" s="1" t="s">
        <v>2670</v>
      </c>
      <c r="K557" s="1" t="s">
        <v>22</v>
      </c>
      <c r="L557" s="1" t="str">
        <f>HYPERLINK("https://files.afu.se/Downloads/Transcripts/0%20-%20Government/USA%20-%20NASA/2020 04 17 - NASA - Space Station Crew Returns Safely to Earth on This Week @NASA – April 17, 2020_zFKND-X-0I8 - transcript (automated).pdf","Transcript Link")</f>
        <v>Transcript Link</v>
      </c>
      <c r="M557" s="2" t="str">
        <f>HYPERLINK("https://files.afu.se/Downloads/Transcripts/0%20-%20Government/USA%20-%20NASA/2020 04 17 - NASA - Space Station Crew Returns Safely to Earth on This Week @NASA – April 17, 2020_zFKND-X-0I8 - transcript (automated).pdf","Transcript Link")</f>
        <v>Transcript Link</v>
      </c>
    </row>
    <row r="558" ht="165" spans="1:13">
      <c r="A558" s="1" t="s">
        <v>2666</v>
      </c>
      <c r="B558" s="1" t="s">
        <v>13</v>
      </c>
      <c r="C558" s="4" t="s">
        <v>2671</v>
      </c>
      <c r="D558" s="1" t="s">
        <v>2672</v>
      </c>
      <c r="E558" s="1" t="s">
        <v>2673</v>
      </c>
      <c r="F558" s="4" t="s">
        <v>17</v>
      </c>
      <c r="G558" s="1" t="s">
        <v>18</v>
      </c>
      <c r="H558" s="1" t="s">
        <v>19</v>
      </c>
      <c r="I558" s="1" t="s">
        <v>20</v>
      </c>
      <c r="J558" s="1" t="s">
        <v>2674</v>
      </c>
      <c r="K558" s="1" t="s">
        <v>22</v>
      </c>
      <c r="L558" s="1" t="str">
        <f>HYPERLINK("https://files.afu.se/Downloads/Transcripts/0%20-%20Government/USA%20-%20NASA/2020 04 17 - NASA - May 27, 2020  %23LaunchAmerica_q4L3w8tCi94 - transcript (automated).pdf","Transcript Link")</f>
        <v>Transcript Link</v>
      </c>
      <c r="M558" s="2" t="str">
        <f>HYPERLINK("https://files.afu.se/Downloads/Transcripts/0%20-%20Government/USA%20-%20NASA/2020 04 17 - NASA - May 27, 2020  %23LaunchAmerica_q4L3w8tCi94 - transcript (automated).pdf","Transcript Link")</f>
        <v>Transcript Link</v>
      </c>
    </row>
    <row r="559" ht="285" spans="1:13">
      <c r="A559" s="1" t="s">
        <v>2666</v>
      </c>
      <c r="B559" s="1" t="s">
        <v>13</v>
      </c>
      <c r="C559" s="4" t="s">
        <v>2675</v>
      </c>
      <c r="D559" s="1" t="s">
        <v>2676</v>
      </c>
      <c r="E559" s="1" t="s">
        <v>2677</v>
      </c>
      <c r="F559" s="4" t="s">
        <v>17</v>
      </c>
      <c r="G559" s="1" t="s">
        <v>18</v>
      </c>
      <c r="H559" s="1" t="s">
        <v>19</v>
      </c>
      <c r="I559" s="1" t="s">
        <v>20</v>
      </c>
      <c r="J559" s="1" t="s">
        <v>2678</v>
      </c>
      <c r="K559" s="1" t="s">
        <v>22</v>
      </c>
      <c r="L559" s="1" t="str">
        <f>HYPERLINK("https://files.afu.se/Downloads/Transcripts/0%20-%20Government/USA%20-%20NASA/2020 04 17 - NASA - %23AskNASA   What's on the Apollo 13 Audio Tapes _xuJDB5MrKAQ - transcript (automated).pdf","Transcript Link")</f>
        <v>Transcript Link</v>
      </c>
      <c r="M559" s="2" t="str">
        <f>HYPERLINK("https://files.afu.se/Downloads/Transcripts/0%20-%20Government/USA%20-%20NASA/2020 04 17 - NASA - %23AskNASA   What's on the Apollo 13 Audio Tapes _xuJDB5MrKAQ - transcript (automated).pdf","Transcript Link")</f>
        <v>Transcript Link</v>
      </c>
    </row>
    <row r="560" ht="195" spans="1:13">
      <c r="A560" s="1" t="s">
        <v>2679</v>
      </c>
      <c r="B560" s="1" t="s">
        <v>13</v>
      </c>
      <c r="C560" s="4" t="s">
        <v>2680</v>
      </c>
      <c r="D560" s="1" t="s">
        <v>2681</v>
      </c>
      <c r="E560" s="1" t="s">
        <v>2682</v>
      </c>
      <c r="F560" s="4" t="s">
        <v>17</v>
      </c>
      <c r="G560" s="1" t="s">
        <v>18</v>
      </c>
      <c r="H560" s="1" t="s">
        <v>19</v>
      </c>
      <c r="I560" s="1" t="s">
        <v>20</v>
      </c>
      <c r="J560" s="1" t="s">
        <v>2683</v>
      </c>
      <c r="K560" s="1" t="s">
        <v>22</v>
      </c>
      <c r="L560" s="1" t="str">
        <f>HYPERLINK("https://files.afu.se/Downloads/Transcripts/0%20-%20Government/USA%20-%20NASA/2020 04 15 - NASA - NASA’s Gravity Assist Podcast Season 4  Searching for Life_SKKvJpjeMJY - transcript (automated).pdf","Transcript Link")</f>
        <v>Transcript Link</v>
      </c>
      <c r="M560" s="2" t="str">
        <f>HYPERLINK("https://files.afu.se/Downloads/Transcripts/0%20-%20Government/USA%20-%20NASA/2020 04 15 - NASA - NASA’s Gravity Assist Podcast Season 4  Searching for Life_SKKvJpjeMJY - transcript (automated).pdf","Transcript Link")</f>
        <v>Transcript Link</v>
      </c>
    </row>
    <row r="561" ht="409.5" spans="1:13">
      <c r="A561" s="1" t="s">
        <v>2684</v>
      </c>
      <c r="B561" s="1" t="s">
        <v>13</v>
      </c>
      <c r="C561" s="4" t="s">
        <v>2685</v>
      </c>
      <c r="D561" s="1" t="s">
        <v>2686</v>
      </c>
      <c r="E561" s="1" t="s">
        <v>2687</v>
      </c>
      <c r="F561" s="4" t="s">
        <v>17</v>
      </c>
      <c r="G561" s="1" t="s">
        <v>18</v>
      </c>
      <c r="H561" s="1" t="s">
        <v>19</v>
      </c>
      <c r="I561" s="1" t="s">
        <v>20</v>
      </c>
      <c r="J561" s="1" t="s">
        <v>2688</v>
      </c>
      <c r="K561" s="1" t="s">
        <v>22</v>
      </c>
      <c r="L561" s="1" t="str">
        <f>HYPERLINK("https://files.afu.se/Downloads/Transcripts/0%20-%20Government/USA%20-%20NASA/2020 04 13 - NASA - NASA’s View of Earth, in Music_UU-wmSEPiqw - transcript (automated).pdf","Transcript Link")</f>
        <v>Transcript Link</v>
      </c>
      <c r="M561" s="2" t="str">
        <f>HYPERLINK("https://files.afu.se/Downloads/Transcripts/0%20-%20Government/USA%20-%20NASA/2020 04 13 - NASA - NASA’s View of Earth, in Music_UU-wmSEPiqw - transcript (automated).pdf","Transcript Link")</f>
        <v>Transcript Link</v>
      </c>
    </row>
    <row r="562" ht="285" spans="1:13">
      <c r="A562" s="1" t="s">
        <v>2684</v>
      </c>
      <c r="B562" s="1" t="s">
        <v>13</v>
      </c>
      <c r="C562" s="4" t="s">
        <v>2689</v>
      </c>
      <c r="D562" s="1" t="s">
        <v>2690</v>
      </c>
      <c r="E562" s="1" t="s">
        <v>2691</v>
      </c>
      <c r="F562" s="4" t="s">
        <v>17</v>
      </c>
      <c r="G562" s="1" t="s">
        <v>18</v>
      </c>
      <c r="H562" s="1" t="s">
        <v>19</v>
      </c>
      <c r="I562" s="1" t="s">
        <v>20</v>
      </c>
      <c r="J562" s="1" t="s">
        <v>2692</v>
      </c>
      <c r="K562" s="1" t="s">
        <v>22</v>
      </c>
      <c r="L562" s="1" t="str">
        <f>HYPERLINK("https://files.afu.se/Downloads/Transcripts/0%20-%20Government/USA%20-%20NASA/2020 04 13 - NASA - Apollo 13  ‘Houston, We’ve Had a Problem’_MdvoA-sjs0A - transcript (automated).pdf","Transcript Link")</f>
        <v>Transcript Link</v>
      </c>
      <c r="M562" s="2" t="str">
        <f>HYPERLINK("https://files.afu.se/Downloads/Transcripts/0%20-%20Government/USA%20-%20NASA/2020 04 13 - NASA - Apollo 13  ‘Houston, We’ve Had a Problem’_MdvoA-sjs0A - transcript (automated).pdf","Transcript Link")</f>
        <v>Transcript Link</v>
      </c>
    </row>
    <row r="563" ht="210" spans="1:13">
      <c r="A563" s="1" t="s">
        <v>2693</v>
      </c>
      <c r="B563" s="1" t="s">
        <v>13</v>
      </c>
      <c r="C563" s="4" t="s">
        <v>2694</v>
      </c>
      <c r="D563" s="1" t="s">
        <v>2695</v>
      </c>
      <c r="E563" s="1" t="s">
        <v>2696</v>
      </c>
      <c r="F563" s="4" t="s">
        <v>17</v>
      </c>
      <c r="G563" s="1" t="s">
        <v>18</v>
      </c>
      <c r="H563" s="1" t="s">
        <v>19</v>
      </c>
      <c r="I563" s="1" t="s">
        <v>20</v>
      </c>
      <c r="J563" s="1" t="s">
        <v>2697</v>
      </c>
      <c r="K563" s="1" t="s">
        <v>22</v>
      </c>
      <c r="L563" s="1" t="str">
        <f>HYPERLINK("https://files.afu.se/Downloads/Transcripts/0%20-%20Government/USA%20-%20NASA/2020 04 11 - NASA - Apollo 13  Home Safe_WM8kjDF0IJU - transcript (automated).pdf","Transcript Link")</f>
        <v>Transcript Link</v>
      </c>
      <c r="M563" s="2" t="str">
        <f>HYPERLINK("https://files.afu.se/Downloads/Transcripts/0%20-%20Government/USA%20-%20NASA/2020 04 11 - NASA - Apollo 13  Home Safe_WM8kjDF0IJU - transcript (automated).pdf","Transcript Link")</f>
        <v>Transcript Link</v>
      </c>
    </row>
    <row r="564" ht="210" spans="1:13">
      <c r="A564" s="1" t="s">
        <v>2698</v>
      </c>
      <c r="B564" s="1" t="s">
        <v>13</v>
      </c>
      <c r="C564" s="4" t="s">
        <v>2699</v>
      </c>
      <c r="D564" s="1" t="s">
        <v>2700</v>
      </c>
      <c r="E564" s="1" t="s">
        <v>2701</v>
      </c>
      <c r="F564" s="4" t="s">
        <v>17</v>
      </c>
      <c r="G564" s="1" t="s">
        <v>18</v>
      </c>
      <c r="H564" s="1" t="s">
        <v>19</v>
      </c>
      <c r="I564" s="1" t="s">
        <v>20</v>
      </c>
      <c r="J564" s="1" t="s">
        <v>2702</v>
      </c>
      <c r="K564" s="1" t="s">
        <v>22</v>
      </c>
      <c r="L564" s="1" t="str">
        <f>HYPERLINK("https://files.afu.se/Downloads/Transcripts/0%20-%20Government/USA%20-%20NASA/2020 04 10 - NASA - A Warm Welcome for the Space Station’s New Crew on This Week @NASA – April 10, 2020_BeyKvoRPT9M - transcript (automated).pdf","Transcript Link")</f>
        <v>Transcript Link</v>
      </c>
      <c r="M564" s="2" t="str">
        <f>HYPERLINK("https://files.afu.se/Downloads/Transcripts/0%20-%20Government/USA%20-%20NASA/2020 04 10 - NASA - A Warm Welcome for the Space Station’s New Crew on This Week @NASA – April 10, 2020_BeyKvoRPT9M - transcript (automated).pdf","Transcript Link")</f>
        <v>Transcript Link</v>
      </c>
    </row>
    <row r="565" ht="195" spans="1:13">
      <c r="A565" s="1" t="s">
        <v>2703</v>
      </c>
      <c r="B565" s="1" t="s">
        <v>13</v>
      </c>
      <c r="C565" s="4" t="s">
        <v>2704</v>
      </c>
      <c r="D565" s="1" t="s">
        <v>2705</v>
      </c>
      <c r="E565" s="1" t="s">
        <v>2706</v>
      </c>
      <c r="F565" s="4" t="s">
        <v>17</v>
      </c>
      <c r="G565" s="1" t="s">
        <v>18</v>
      </c>
      <c r="H565" s="1" t="s">
        <v>19</v>
      </c>
      <c r="I565" s="1" t="s">
        <v>20</v>
      </c>
      <c r="J565" s="1" t="s">
        <v>2707</v>
      </c>
      <c r="K565" s="1" t="s">
        <v>22</v>
      </c>
      <c r="L565" s="1" t="str">
        <f>HYPERLINK("https://files.afu.se/Downloads/Transcripts/0%20-%20Government/USA%20-%20NASA/2020 04 07 - NASA - Apollo 13  Home Safe Trailer_ySXZ5qOJODA - transcript (automated).pdf","Transcript Link")</f>
        <v>Transcript Link</v>
      </c>
      <c r="M565" s="2" t="str">
        <f>HYPERLINK("https://files.afu.se/Downloads/Transcripts/0%20-%20Government/USA%20-%20NASA/2020 04 07 - NASA - Apollo 13  Home Safe Trailer_ySXZ5qOJODA - transcript (automated).pdf","Transcript Link")</f>
        <v>Transcript Link</v>
      </c>
    </row>
    <row r="566" ht="210" spans="1:13">
      <c r="A566" s="1" t="s">
        <v>2708</v>
      </c>
      <c r="B566" s="1" t="s">
        <v>13</v>
      </c>
      <c r="C566" s="4" t="s">
        <v>2709</v>
      </c>
      <c r="D566" s="1" t="s">
        <v>2710</v>
      </c>
      <c r="E566" s="1" t="s">
        <v>2711</v>
      </c>
      <c r="F566" s="4" t="s">
        <v>17</v>
      </c>
      <c r="G566" s="1" t="s">
        <v>18</v>
      </c>
      <c r="H566" s="1" t="s">
        <v>19</v>
      </c>
      <c r="I566" s="1" t="s">
        <v>20</v>
      </c>
      <c r="J566" s="1" t="s">
        <v>2712</v>
      </c>
      <c r="K566" s="1" t="s">
        <v>22</v>
      </c>
      <c r="L566" s="1" t="str">
        <f>HYPERLINK("https://files.afu.se/Downloads/Transcripts/0%20-%20Government/USA%20-%20NASA/2020 04 03 - NASA - A Universe of Possibilities to Explore at Home on This Week @NASA – April 3, 2020_XMFE35LbcJs - transcript (automated).pdf","Transcript Link")</f>
        <v>Transcript Link</v>
      </c>
      <c r="M566" s="2" t="str">
        <f>HYPERLINK("https://files.afu.se/Downloads/Transcripts/0%20-%20Government/USA%20-%20NASA/2020 04 03 - NASA - A Universe of Possibilities to Explore at Home on This Week @NASA – April 3, 2020_XMFE35LbcJs - transcript (automated).pdf","Transcript Link")</f>
        <v>Transcript Link</v>
      </c>
    </row>
    <row r="567" ht="165" spans="1:13">
      <c r="A567" s="1" t="s">
        <v>2713</v>
      </c>
      <c r="B567" s="1" t="s">
        <v>13</v>
      </c>
      <c r="C567" s="4" t="s">
        <v>2714</v>
      </c>
      <c r="D567" s="1" t="s">
        <v>2715</v>
      </c>
      <c r="E567" s="1" t="s">
        <v>2716</v>
      </c>
      <c r="F567" s="4" t="s">
        <v>17</v>
      </c>
      <c r="G567" s="1" t="s">
        <v>18</v>
      </c>
      <c r="H567" s="1" t="s">
        <v>19</v>
      </c>
      <c r="I567" s="1" t="s">
        <v>20</v>
      </c>
      <c r="J567" s="1" t="s">
        <v>2717</v>
      </c>
      <c r="K567" s="1" t="s">
        <v>22</v>
      </c>
      <c r="L567" s="1" t="str">
        <f>HYPERLINK("https://files.afu.se/Downloads/Transcripts/0%20-%20Government/USA%20-%20NASA/2020 03 31 - NASA - %23BeAnAstronaut  What Advice Would You Give to a Younger You _cExUmHb2gbU - transcript (automated).pdf","Transcript Link")</f>
        <v>Transcript Link</v>
      </c>
      <c r="M567" s="2" t="str">
        <f>HYPERLINK("https://files.afu.se/Downloads/Transcripts/0%20-%20Government/USA%20-%20NASA/2020 03 31 - NASA - %23BeAnAstronaut  What Advice Would You Give to a Younger You _cExUmHb2gbU - transcript (automated).pdf","Transcript Link")</f>
        <v>Transcript Link</v>
      </c>
    </row>
    <row r="568" ht="165" spans="1:13">
      <c r="A568" s="1" t="s">
        <v>2718</v>
      </c>
      <c r="B568" s="1" t="s">
        <v>13</v>
      </c>
      <c r="C568" s="4" t="s">
        <v>2719</v>
      </c>
      <c r="D568" s="1" t="s">
        <v>2720</v>
      </c>
      <c r="E568" s="1" t="s">
        <v>2721</v>
      </c>
      <c r="F568" s="4" t="s">
        <v>17</v>
      </c>
      <c r="G568" s="1" t="s">
        <v>18</v>
      </c>
      <c r="H568" s="1" t="s">
        <v>19</v>
      </c>
      <c r="I568" s="1" t="s">
        <v>20</v>
      </c>
      <c r="J568" s="1" t="s">
        <v>2722</v>
      </c>
      <c r="K568" s="1" t="s">
        <v>22</v>
      </c>
      <c r="L568" s="1" t="str">
        <f>HYPERLINK("https://files.afu.se/Downloads/Transcripts/0%20-%20Government/USA%20-%20NASA/2020 03 30 - NASA - %23BeAnAstronaut  How Did You Get Interested in STEM _thF44EUhvb4 - transcript (automated).pdf","Transcript Link")</f>
        <v>Transcript Link</v>
      </c>
      <c r="M568" s="2" t="str">
        <f>HYPERLINK("https://files.afu.se/Downloads/Transcripts/0%20-%20Government/USA%20-%20NASA/2020 03 30 - NASA - %23BeAnAstronaut  How Did You Get Interested in STEM _thF44EUhvb4 - transcript (automated).pdf","Transcript Link")</f>
        <v>Transcript Link</v>
      </c>
    </row>
    <row r="569" ht="165" spans="1:13">
      <c r="A569" s="1" t="s">
        <v>2718</v>
      </c>
      <c r="B569" s="1" t="s">
        <v>13</v>
      </c>
      <c r="C569" s="4" t="s">
        <v>2723</v>
      </c>
      <c r="D569" s="1" t="s">
        <v>2724</v>
      </c>
      <c r="E569" s="1" t="s">
        <v>2725</v>
      </c>
      <c r="F569" s="4" t="s">
        <v>17</v>
      </c>
      <c r="G569" s="1" t="s">
        <v>18</v>
      </c>
      <c r="H569" s="1" t="s">
        <v>19</v>
      </c>
      <c r="I569" s="1" t="s">
        <v>20</v>
      </c>
      <c r="J569" s="1" t="s">
        <v>2726</v>
      </c>
      <c r="K569" s="1" t="s">
        <v>22</v>
      </c>
      <c r="L569" s="1" t="str">
        <f>HYPERLINK("https://files.afu.se/Downloads/Transcripts/0%20-%20Government/USA%20-%20NASA/2020 03 30 - NASA - Explore the Universe with NASA at Home_MXVXTFelFbA - transcript (automated).pdf","Transcript Link")</f>
        <v>Transcript Link</v>
      </c>
      <c r="M569" s="2" t="str">
        <f>HYPERLINK("https://files.afu.se/Downloads/Transcripts/0%20-%20Government/USA%20-%20NASA/2020 03 30 - NASA - Explore the Universe with NASA at Home_MXVXTFelFbA - transcript (automated).pdf","Transcript Link")</f>
        <v>Transcript Link</v>
      </c>
    </row>
    <row r="570" ht="210" spans="1:13">
      <c r="A570" s="1" t="s">
        <v>2727</v>
      </c>
      <c r="B570" s="1" t="s">
        <v>13</v>
      </c>
      <c r="C570" s="4" t="s">
        <v>2728</v>
      </c>
      <c r="D570" s="1" t="s">
        <v>2729</v>
      </c>
      <c r="E570" s="1" t="s">
        <v>2730</v>
      </c>
      <c r="F570" s="4" t="s">
        <v>17</v>
      </c>
      <c r="G570" s="1" t="s">
        <v>18</v>
      </c>
      <c r="H570" s="1" t="s">
        <v>19</v>
      </c>
      <c r="I570" s="1" t="s">
        <v>20</v>
      </c>
      <c r="J570" s="1" t="s">
        <v>2731</v>
      </c>
      <c r="K570" s="1" t="s">
        <v>22</v>
      </c>
      <c r="L570" s="1" t="str">
        <f>HYPERLINK("https://files.afu.se/Downloads/Transcripts/0%20-%20Government/USA%20-%20NASA/2020 03 27 - NASA - The Impact of Coronavirus to NASA’s Missions on This Week @NASA – March 27, 2020_BZyjT5TkWw4 - transcript (automated).pdf","Transcript Link")</f>
        <v>Transcript Link</v>
      </c>
      <c r="M570" s="2" t="str">
        <f>HYPERLINK("https://files.afu.se/Downloads/Transcripts/0%20-%20Government/USA%20-%20NASA/2020 03 27 - NASA - The Impact of Coronavirus to NASA’s Missions on This Week @NASA – March 27, 2020_BZyjT5TkWw4 - transcript (automated).pdf","Transcript Link")</f>
        <v>Transcript Link</v>
      </c>
    </row>
    <row r="571" ht="165" spans="1:13">
      <c r="A571" s="1" t="s">
        <v>2732</v>
      </c>
      <c r="B571" s="1" t="s">
        <v>13</v>
      </c>
      <c r="C571" s="4" t="s">
        <v>2733</v>
      </c>
      <c r="D571" s="1" t="s">
        <v>2734</v>
      </c>
      <c r="E571" s="1" t="s">
        <v>2735</v>
      </c>
      <c r="F571" s="4" t="s">
        <v>17</v>
      </c>
      <c r="G571" s="1" t="s">
        <v>18</v>
      </c>
      <c r="H571" s="1" t="s">
        <v>19</v>
      </c>
      <c r="I571" s="1" t="s">
        <v>20</v>
      </c>
      <c r="J571" s="1" t="s">
        <v>2736</v>
      </c>
      <c r="K571" s="1" t="s">
        <v>22</v>
      </c>
      <c r="L571" s="1" t="str">
        <f>HYPERLINK("https://files.afu.se/Downloads/Transcripts/0%20-%20Government/USA%20-%20NASA/2020 03 26 - NASA - Artemis Update  A Year of Progress on Returning to the Moon_HhBUmxEOfpc - transcript (automated).pdf","Transcript Link")</f>
        <v>Transcript Link</v>
      </c>
      <c r="M571" s="2" t="str">
        <f>HYPERLINK("https://files.afu.se/Downloads/Transcripts/0%20-%20Government/USA%20-%20NASA/2020 03 26 - NASA - Artemis Update  A Year of Progress on Returning to the Moon_HhBUmxEOfpc - transcript (automated).pdf","Transcript Link")</f>
        <v>Transcript Link</v>
      </c>
    </row>
    <row r="572" ht="165" spans="1:13">
      <c r="A572" s="1" t="s">
        <v>2737</v>
      </c>
      <c r="B572" s="1" t="s">
        <v>13</v>
      </c>
      <c r="C572" s="4" t="s">
        <v>2738</v>
      </c>
      <c r="D572" s="1" t="s">
        <v>2739</v>
      </c>
      <c r="E572" s="1" t="s">
        <v>2740</v>
      </c>
      <c r="F572" s="4" t="s">
        <v>17</v>
      </c>
      <c r="G572" s="1" t="s">
        <v>18</v>
      </c>
      <c r="H572" s="1" t="s">
        <v>19</v>
      </c>
      <c r="I572" s="1" t="s">
        <v>20</v>
      </c>
      <c r="J572" s="1" t="s">
        <v>2741</v>
      </c>
      <c r="K572" s="1" t="s">
        <v>22</v>
      </c>
      <c r="L572" s="1" t="str">
        <f>HYPERLINK("https://files.afu.se/Downloads/Transcripts/0%20-%20Government/USA%20-%20NASA/2020 03 24 - NASA - %23BeAnAstronaut  How Do You Feel about Being Part of the Artemis Generation _9BtIbEyf3sw - transcript (automated).pdf","Transcript Link")</f>
        <v>Transcript Link</v>
      </c>
      <c r="M572" s="2" t="str">
        <f>HYPERLINK("https://files.afu.se/Downloads/Transcripts/0%20-%20Government/USA%20-%20NASA/2020 03 24 - NASA - %23BeAnAstronaut  How Do You Feel about Being Part of the Artemis Generation _9BtIbEyf3sw - transcript (automated).pdf","Transcript Link")</f>
        <v>Transcript Link</v>
      </c>
    </row>
    <row r="573" ht="210" spans="1:13">
      <c r="A573" s="1" t="s">
        <v>2742</v>
      </c>
      <c r="B573" s="1" t="s">
        <v>13</v>
      </c>
      <c r="C573" s="4" t="s">
        <v>2743</v>
      </c>
      <c r="D573" s="1" t="s">
        <v>2744</v>
      </c>
      <c r="E573" s="1" t="s">
        <v>2745</v>
      </c>
      <c r="F573" s="4" t="s">
        <v>17</v>
      </c>
      <c r="G573" s="1" t="s">
        <v>18</v>
      </c>
      <c r="H573" s="1" t="s">
        <v>19</v>
      </c>
      <c r="I573" s="1" t="s">
        <v>20</v>
      </c>
      <c r="J573" s="1" t="s">
        <v>2746</v>
      </c>
      <c r="K573" s="1" t="s">
        <v>22</v>
      </c>
      <c r="L573" s="1" t="str">
        <f>HYPERLINK("https://files.afu.se/Downloads/Transcripts/0%20-%20Government/USA%20-%20NASA/2020 03 20 - NASA - Addressing the Coronavirus Pandemic on This Week @NASA – March 20, 2020_jN-tb_2vbAQ - transcript (automated).pdf","Transcript Link")</f>
        <v>Transcript Link</v>
      </c>
      <c r="M573" s="2" t="str">
        <f>HYPERLINK("https://files.afu.se/Downloads/Transcripts/0%20-%20Government/USA%20-%20NASA/2020 03 20 - NASA - Addressing the Coronavirus Pandemic on This Week @NASA – March 20, 2020_jN-tb_2vbAQ - transcript (automated).pdf","Transcript Link")</f>
        <v>Transcript Link</v>
      </c>
    </row>
    <row r="574" ht="165" spans="1:13">
      <c r="A574" s="1" t="s">
        <v>2747</v>
      </c>
      <c r="B574" s="1" t="s">
        <v>13</v>
      </c>
      <c r="C574" s="4" t="s">
        <v>2748</v>
      </c>
      <c r="D574" s="1" t="s">
        <v>2749</v>
      </c>
      <c r="E574" s="1" t="s">
        <v>2750</v>
      </c>
      <c r="F574" s="4" t="s">
        <v>17</v>
      </c>
      <c r="G574" s="1" t="s">
        <v>18</v>
      </c>
      <c r="H574" s="1" t="s">
        <v>19</v>
      </c>
      <c r="I574" s="1" t="s">
        <v>20</v>
      </c>
      <c r="J574" s="1" t="s">
        <v>2751</v>
      </c>
      <c r="K574" s="1" t="s">
        <v>22</v>
      </c>
      <c r="L574" s="1" t="str">
        <f>HYPERLINK("https://files.afu.se/Downloads/Transcripts/0%20-%20Government/USA%20-%20NASA/2020 03 19 - NASA - %23BeAnAstronaut  Why Did You Want to Be an Astronaut _pFyFvR58wN8 - transcript (automated).pdf","Transcript Link")</f>
        <v>Transcript Link</v>
      </c>
      <c r="M574" s="2" t="str">
        <f>HYPERLINK("https://files.afu.se/Downloads/Transcripts/0%20-%20Government/USA%20-%20NASA/2020 03 19 - NASA - %23BeAnAstronaut  Why Did You Want to Be an Astronaut _pFyFvR58wN8 - transcript (automated).pdf","Transcript Link")</f>
        <v>Transcript Link</v>
      </c>
    </row>
    <row r="575" ht="270" spans="1:13">
      <c r="A575" s="1" t="s">
        <v>2752</v>
      </c>
      <c r="B575" s="1" t="s">
        <v>13</v>
      </c>
      <c r="C575" s="4" t="s">
        <v>2753</v>
      </c>
      <c r="D575" s="1" t="s">
        <v>2754</v>
      </c>
      <c r="E575" s="1" t="s">
        <v>2755</v>
      </c>
      <c r="F575" s="4" t="s">
        <v>17</v>
      </c>
      <c r="G575" s="1" t="s">
        <v>18</v>
      </c>
      <c r="H575" s="1" t="s">
        <v>19</v>
      </c>
      <c r="I575" s="1" t="s">
        <v>20</v>
      </c>
      <c r="J575" s="1" t="s">
        <v>2756</v>
      </c>
      <c r="K575" s="1" t="s">
        <v>22</v>
      </c>
      <c r="L575" s="1" t="str">
        <f>HYPERLINK("https://files.afu.se/Downloads/Transcripts/0%20-%20Government/USA%20-%20NASA/2020 03 18 - NASA - NASA Remembers Apollo Astronaut Al Worden_8UhnO53XoHM - transcript (automated).pdf","Transcript Link")</f>
        <v>Transcript Link</v>
      </c>
      <c r="M575" s="2" t="str">
        <f>HYPERLINK("https://files.afu.se/Downloads/Transcripts/0%20-%20Government/USA%20-%20NASA/2020 03 18 - NASA - NASA Remembers Apollo Astronaut Al Worden_8UhnO53XoHM - transcript (automated).pdf","Transcript Link")</f>
        <v>Transcript Link</v>
      </c>
    </row>
    <row r="576" ht="165" spans="1:13">
      <c r="A576" s="1" t="s">
        <v>2757</v>
      </c>
      <c r="B576" s="1" t="s">
        <v>13</v>
      </c>
      <c r="C576" s="4" t="s">
        <v>2758</v>
      </c>
      <c r="D576" s="1" t="s">
        <v>2759</v>
      </c>
      <c r="E576" s="1" t="s">
        <v>2760</v>
      </c>
      <c r="F576" s="4" t="s">
        <v>17</v>
      </c>
      <c r="G576" s="1" t="s">
        <v>18</v>
      </c>
      <c r="H576" s="1" t="s">
        <v>19</v>
      </c>
      <c r="I576" s="1" t="s">
        <v>20</v>
      </c>
      <c r="J576" s="1" t="s">
        <v>2761</v>
      </c>
      <c r="K576" s="1" t="s">
        <v>22</v>
      </c>
      <c r="L576" s="1" t="str">
        <f>HYPERLINK("https://files.afu.se/Downloads/Transcripts/0%20-%20Government/USA%20-%20NASA/2020 03 13 - NASA - The Next Space Station Crew Trains for Launch on This Week @NASA – March 13, 2020_ME3IjrDU4PY - transcript (automated).pdf","Transcript Link")</f>
        <v>Transcript Link</v>
      </c>
      <c r="M576" s="2" t="str">
        <f>HYPERLINK("https://files.afu.se/Downloads/Transcripts/0%20-%20Government/USA%20-%20NASA/2020 03 13 - NASA - The Next Space Station Crew Trains for Launch on This Week @NASA – March 13, 2020_ME3IjrDU4PY - transcript (automated).pdf","Transcript Link")</f>
        <v>Transcript Link</v>
      </c>
    </row>
    <row r="577" ht="270" spans="1:13">
      <c r="A577" s="1" t="s">
        <v>2762</v>
      </c>
      <c r="B577" s="1" t="s">
        <v>13</v>
      </c>
      <c r="C577" s="4" t="s">
        <v>2763</v>
      </c>
      <c r="D577" s="1" t="s">
        <v>2764</v>
      </c>
      <c r="E577" s="1" t="s">
        <v>2765</v>
      </c>
      <c r="F577" s="4" t="s">
        <v>17</v>
      </c>
      <c r="G577" s="1" t="s">
        <v>18</v>
      </c>
      <c r="H577" s="1" t="s">
        <v>19</v>
      </c>
      <c r="I577" s="1" t="s">
        <v>20</v>
      </c>
      <c r="J577" s="1" t="s">
        <v>2766</v>
      </c>
      <c r="K577" s="1" t="s">
        <v>22</v>
      </c>
      <c r="L577" s="1" t="str">
        <f>HYPERLINK("https://files.afu.se/Downloads/Transcripts/0%20-%20Government/USA%20-%20NASA/2020 03 11 - NASA - NASA Explorers S4 E7  Back to Gravity_wqiVQFYHXbg - transcript (automated).pdf","Transcript Link")</f>
        <v>Transcript Link</v>
      </c>
      <c r="M577" s="2" t="str">
        <f>HYPERLINK("https://files.afu.se/Downloads/Transcripts/0%20-%20Government/USA%20-%20NASA/2020 03 11 - NASA - NASA Explorers S4 E7  Back to Gravity_wqiVQFYHXbg - transcript (automated).pdf","Transcript Link")</f>
        <v>Transcript Link</v>
      </c>
    </row>
    <row r="578" ht="255" spans="1:13">
      <c r="A578" s="1" t="s">
        <v>2767</v>
      </c>
      <c r="B578" s="1" t="s">
        <v>13</v>
      </c>
      <c r="C578" s="4" t="s">
        <v>2768</v>
      </c>
      <c r="D578" s="1" t="s">
        <v>2769</v>
      </c>
      <c r="E578" s="1" t="s">
        <v>2770</v>
      </c>
      <c r="F578" s="4" t="s">
        <v>17</v>
      </c>
      <c r="G578" s="1" t="s">
        <v>18</v>
      </c>
      <c r="H578" s="1" t="s">
        <v>19</v>
      </c>
      <c r="I578" s="1" t="s">
        <v>20</v>
      </c>
      <c r="J578" s="1" t="s">
        <v>2771</v>
      </c>
      <c r="K578" s="1" t="s">
        <v>22</v>
      </c>
      <c r="L578" s="1" t="str">
        <f>HYPERLINK("https://files.afu.se/Downloads/Transcripts/0%20-%20Government/USA%20-%20NASA/2020 03 09 - NASA - Lindsey Stirling Performs Artemis at NASA’s Kennedy Space Center_h0oclM1Yw2A - transcript (automated).pdf","Transcript Link")</f>
        <v>Transcript Link</v>
      </c>
      <c r="M578" s="2" t="str">
        <f>HYPERLINK("https://files.afu.se/Downloads/Transcripts/0%20-%20Government/USA%20-%20NASA/2020 03 09 - NASA - Lindsey Stirling Performs Artemis at NASA’s Kennedy Space Center_h0oclM1Yw2A - transcript (automated).pdf","Transcript Link")</f>
        <v>Transcript Link</v>
      </c>
    </row>
    <row r="579" ht="165" spans="1:13">
      <c r="A579" s="1" t="s">
        <v>2772</v>
      </c>
      <c r="B579" s="1" t="s">
        <v>13</v>
      </c>
      <c r="C579" s="4" t="s">
        <v>2773</v>
      </c>
      <c r="D579" s="1" t="s">
        <v>2774</v>
      </c>
      <c r="E579" s="1" t="s">
        <v>2775</v>
      </c>
      <c r="F579" s="4" t="s">
        <v>17</v>
      </c>
      <c r="G579" s="1" t="s">
        <v>18</v>
      </c>
      <c r="H579" s="1" t="s">
        <v>19</v>
      </c>
      <c r="I579" s="1" t="s">
        <v>20</v>
      </c>
      <c r="J579" s="1" t="s">
        <v>2776</v>
      </c>
      <c r="K579" s="1" t="s">
        <v>22</v>
      </c>
      <c r="L579" s="1" t="str">
        <f>HYPERLINK("https://files.afu.se/Downloads/Transcripts/0%20-%20Government/USA%20-%20NASA/2020 03 07 - NASA - A New Name for Our Next Mars Rover on This Week @NASA – March 7, 2020_79q1UGH5xS0 - transcript (automated).pdf","Transcript Link")</f>
        <v>Transcript Link</v>
      </c>
      <c r="M579" s="2" t="str">
        <f>HYPERLINK("https://files.afu.se/Downloads/Transcripts/0%20-%20Government/USA%20-%20NASA/2020 03 07 - NASA - A New Name for Our Next Mars Rover on This Week @NASA – March 7, 2020_79q1UGH5xS0 - transcript (automated).pdf","Transcript Link")</f>
        <v>Transcript Link</v>
      </c>
    </row>
    <row r="580" ht="165" spans="1:13">
      <c r="A580" s="1" t="s">
        <v>2777</v>
      </c>
      <c r="B580" s="1" t="s">
        <v>13</v>
      </c>
      <c r="C580" s="4" t="s">
        <v>2778</v>
      </c>
      <c r="D580" s="1" t="s">
        <v>2779</v>
      </c>
      <c r="E580" s="1" t="s">
        <v>2780</v>
      </c>
      <c r="F580" s="4" t="s">
        <v>17</v>
      </c>
      <c r="G580" s="1" t="s">
        <v>18</v>
      </c>
      <c r="H580" s="1" t="s">
        <v>19</v>
      </c>
      <c r="I580" s="1" t="s">
        <v>20</v>
      </c>
      <c r="J580" s="1" t="s">
        <v>2781</v>
      </c>
      <c r="K580" s="1" t="s">
        <v>22</v>
      </c>
      <c r="L580" s="1" t="str">
        <f>HYPERLINK("https://files.afu.se/Downloads/Transcripts/0%20-%20Government/USA%20-%20NASA/2020 03 06 - NASA - SpaceX's CRS-20 Mission to the Space Station  What's On Board_8yuwwjjmP3Y - transcript (automated).pdf","Transcript Link")</f>
        <v>Transcript Link</v>
      </c>
      <c r="M580" s="2" t="str">
        <f>HYPERLINK("https://files.afu.se/Downloads/Transcripts/0%20-%20Government/USA%20-%20NASA/2020 03 06 - NASA - SpaceX's CRS-20 Mission to the Space Station  What's On Board_8yuwwjjmP3Y - transcript (automated).pdf","Transcript Link")</f>
        <v>Transcript Link</v>
      </c>
    </row>
    <row r="581" ht="165" spans="1:13">
      <c r="A581" s="1" t="s">
        <v>2782</v>
      </c>
      <c r="B581" s="1" t="s">
        <v>13</v>
      </c>
      <c r="C581" s="4" t="s">
        <v>2783</v>
      </c>
      <c r="D581" s="1" t="s">
        <v>2784</v>
      </c>
      <c r="E581" s="1" t="s">
        <v>2785</v>
      </c>
      <c r="F581" s="4" t="s">
        <v>17</v>
      </c>
      <c r="G581" s="1" t="s">
        <v>18</v>
      </c>
      <c r="H581" s="1" t="s">
        <v>19</v>
      </c>
      <c r="I581" s="1" t="s">
        <v>20</v>
      </c>
      <c r="J581" s="1" t="s">
        <v>2786</v>
      </c>
      <c r="K581" s="1" t="s">
        <v>22</v>
      </c>
      <c r="L581" s="1" t="str">
        <f>HYPERLINK("https://files.afu.se/Downloads/Transcripts/0%20-%20Government/USA%20-%20NASA/2020 03 05 - NASA - Middle-School Student Names NASA’s Next Mars Rover_NA64dzkk20Y - transcript (automated).pdf","Transcript Link")</f>
        <v>Transcript Link</v>
      </c>
      <c r="M581" s="2" t="str">
        <f>HYPERLINK("https://files.afu.se/Downloads/Transcripts/0%20-%20Government/USA%20-%20NASA/2020 03 05 - NASA - Middle-School Student Names NASA’s Next Mars Rover_NA64dzkk20Y - transcript (automated).pdf","Transcript Link")</f>
        <v>Transcript Link</v>
      </c>
    </row>
    <row r="582" ht="210" spans="1:13">
      <c r="A582" s="1" t="s">
        <v>2782</v>
      </c>
      <c r="B582" s="1" t="s">
        <v>13</v>
      </c>
      <c r="C582" s="4" t="s">
        <v>2787</v>
      </c>
      <c r="D582" s="1" t="s">
        <v>2788</v>
      </c>
      <c r="E582" s="1" t="s">
        <v>2789</v>
      </c>
      <c r="F582" s="4" t="s">
        <v>17</v>
      </c>
      <c r="G582" s="1" t="s">
        <v>18</v>
      </c>
      <c r="H582" s="1" t="s">
        <v>19</v>
      </c>
      <c r="I582" s="1" t="s">
        <v>20</v>
      </c>
      <c r="J582" s="1" t="s">
        <v>2790</v>
      </c>
      <c r="K582" s="1" t="s">
        <v>22</v>
      </c>
      <c r="L582" s="1" t="str">
        <f>HYPERLINK("https://files.afu.se/Downloads/Transcripts/0%20-%20Government/USA%20-%20NASA/2020 03 05 - NASA - Making History  The Women of NASA_6X4CJD4PhOs - transcript (automated).pdf","Transcript Link")</f>
        <v>Transcript Link</v>
      </c>
      <c r="M582" s="2" t="str">
        <f>HYPERLINK("https://files.afu.se/Downloads/Transcripts/0%20-%20Government/USA%20-%20NASA/2020 03 05 - NASA - Making History  The Women of NASA_6X4CJD4PhOs - transcript (automated).pdf","Transcript Link")</f>
        <v>Transcript Link</v>
      </c>
    </row>
    <row r="583" ht="210" spans="1:13">
      <c r="A583" s="1" t="s">
        <v>2791</v>
      </c>
      <c r="B583" s="1" t="s">
        <v>13</v>
      </c>
      <c r="C583" s="4" t="s">
        <v>2792</v>
      </c>
      <c r="D583" s="1" t="s">
        <v>2793</v>
      </c>
      <c r="E583" s="1" t="s">
        <v>2794</v>
      </c>
      <c r="F583" s="4" t="s">
        <v>17</v>
      </c>
      <c r="G583" s="1" t="s">
        <v>18</v>
      </c>
      <c r="H583" s="1" t="s">
        <v>19</v>
      </c>
      <c r="I583" s="1" t="s">
        <v>20</v>
      </c>
      <c r="J583" s="1" t="s">
        <v>2795</v>
      </c>
      <c r="K583" s="1" t="s">
        <v>22</v>
      </c>
      <c r="L583" s="1" t="str">
        <f>HYPERLINK("https://files.afu.se/Downloads/Transcripts/0%20-%20Government/USA%20-%20NASA/2020 03 04 - NASA - NASA Explorers S4 E6  On Station_lxb2v5sv9YQ - transcript (automated).pdf","Transcript Link")</f>
        <v>Transcript Link</v>
      </c>
      <c r="M583" s="2" t="str">
        <f>HYPERLINK("https://files.afu.se/Downloads/Transcripts/0%20-%20Government/USA%20-%20NASA/2020 03 04 - NASA - NASA Explorers S4 E6  On Station_lxb2v5sv9YQ - transcript (automated).pdf","Transcript Link")</f>
        <v>Transcript Link</v>
      </c>
    </row>
    <row r="584" ht="409.5" spans="1:13">
      <c r="A584" s="1" t="s">
        <v>2791</v>
      </c>
      <c r="B584" s="1" t="s">
        <v>13</v>
      </c>
      <c r="C584" s="4" t="s">
        <v>2796</v>
      </c>
      <c r="D584" s="1" t="s">
        <v>2797</v>
      </c>
      <c r="E584" s="1" t="s">
        <v>2798</v>
      </c>
      <c r="F584" s="4" t="s">
        <v>17</v>
      </c>
      <c r="G584" s="1" t="s">
        <v>18</v>
      </c>
      <c r="H584" s="1" t="s">
        <v>19</v>
      </c>
      <c r="I584" s="1" t="s">
        <v>20</v>
      </c>
      <c r="J584" s="1" t="s">
        <v>2799</v>
      </c>
      <c r="K584" s="1" t="s">
        <v>22</v>
      </c>
      <c r="L584" s="1" t="str">
        <f>HYPERLINK("https://files.afu.se/Downloads/Transcripts/0%20-%20Government/USA%20-%20NASA/2020 03 04 - NASA - Becoming Astronauts  Are You Next _q5T9iYjt6Lk - transcript (automated).pdf","Transcript Link")</f>
        <v>Transcript Link</v>
      </c>
      <c r="M584" s="2" t="str">
        <f>HYPERLINK("https://files.afu.se/Downloads/Transcripts/0%20-%20Government/USA%20-%20NASA/2020 03 04 - NASA - Becoming Astronauts  Are You Next _q5T9iYjt6Lk - transcript (automated).pdf","Transcript Link")</f>
        <v>Transcript Link</v>
      </c>
    </row>
    <row r="585" ht="225" spans="1:13">
      <c r="A585" s="1" t="s">
        <v>2791</v>
      </c>
      <c r="B585" s="1" t="s">
        <v>13</v>
      </c>
      <c r="C585" s="4" t="s">
        <v>2800</v>
      </c>
      <c r="D585" s="1" t="s">
        <v>2801</v>
      </c>
      <c r="E585" s="1" t="s">
        <v>2802</v>
      </c>
      <c r="F585" s="4" t="s">
        <v>17</v>
      </c>
      <c r="G585" s="1" t="s">
        <v>18</v>
      </c>
      <c r="H585" s="1" t="s">
        <v>19</v>
      </c>
      <c r="I585" s="1" t="s">
        <v>20</v>
      </c>
      <c r="J585" s="1" t="s">
        <v>2803</v>
      </c>
      <c r="K585" s="1" t="s">
        <v>22</v>
      </c>
      <c r="L585" s="1" t="str">
        <f>HYPERLINK("https://files.afu.se/Downloads/Transcripts/0%20-%20Government/USA%20-%20NASA/2020 03 04 - NASA - Mars Rover 2020's Name Will Be Revealed_qhbF70hzzcw - transcript (automated).pdf","Transcript Link")</f>
        <v>Transcript Link</v>
      </c>
      <c r="M585" s="2" t="str">
        <f>HYPERLINK("https://files.afu.se/Downloads/Transcripts/0%20-%20Government/USA%20-%20NASA/2020 03 04 - NASA - Mars Rover 2020's Name Will Be Revealed_qhbF70hzzcw - transcript (automated).pdf","Transcript Link")</f>
        <v>Transcript Link</v>
      </c>
    </row>
    <row r="586" ht="409.5" spans="1:13">
      <c r="A586" s="1" t="s">
        <v>2804</v>
      </c>
      <c r="B586" s="1" t="s">
        <v>13</v>
      </c>
      <c r="C586" s="4" t="s">
        <v>2805</v>
      </c>
      <c r="D586" s="1" t="s">
        <v>2806</v>
      </c>
      <c r="E586" s="1" t="s">
        <v>2807</v>
      </c>
      <c r="F586" s="4" t="s">
        <v>17</v>
      </c>
      <c r="G586" s="1" t="s">
        <v>18</v>
      </c>
      <c r="H586" s="1" t="s">
        <v>19</v>
      </c>
      <c r="I586" s="1" t="s">
        <v>20</v>
      </c>
      <c r="J586" s="1" t="s">
        <v>2808</v>
      </c>
      <c r="K586" s="1" t="s">
        <v>22</v>
      </c>
      <c r="L586" s="1" t="str">
        <f>HYPERLINK("https://files.afu.se/Downloads/Transcripts/0%20-%20Government/USA%20-%20NASA/2020 03 02 - NASA - %23AskNASA┃ How Can I Be An Astronaut _-XQ_CuIwDlc - transcript (automated).pdf","Transcript Link")</f>
        <v>Transcript Link</v>
      </c>
      <c r="M586" s="2" t="str">
        <f>HYPERLINK("https://files.afu.se/Downloads/Transcripts/0%20-%20Government/USA%20-%20NASA/2020 03 02 - NASA - %23AskNASA┃ How Can I Be An Astronaut _-XQ_CuIwDlc - transcript (automated).pdf","Transcript Link")</f>
        <v>Transcript Link</v>
      </c>
    </row>
    <row r="587" ht="315" spans="1:13">
      <c r="A587" s="1" t="s">
        <v>2809</v>
      </c>
      <c r="B587" s="1" t="s">
        <v>13</v>
      </c>
      <c r="C587" s="4" t="s">
        <v>2810</v>
      </c>
      <c r="D587" s="1" t="s">
        <v>2811</v>
      </c>
      <c r="E587" s="1" t="s">
        <v>2812</v>
      </c>
      <c r="F587" s="4" t="s">
        <v>17</v>
      </c>
      <c r="G587" s="1" t="s">
        <v>18</v>
      </c>
      <c r="H587" s="1" t="s">
        <v>19</v>
      </c>
      <c r="I587" s="1" t="s">
        <v>20</v>
      </c>
      <c r="J587" s="1" t="s">
        <v>2813</v>
      </c>
      <c r="K587" s="1" t="s">
        <v>22</v>
      </c>
      <c r="L587" s="1" t="str">
        <f>HYPERLINK("https://files.afu.se/Downloads/Transcripts/0%20-%20Government/USA%20-%20NASA/2020 03 01 - NASA - Apollo 13 Views of the Moon in 4K_TtO3YQo3kY8 - transcript (automated).pdf","Transcript Link")</f>
        <v>Transcript Link</v>
      </c>
      <c r="M587" s="2" t="str">
        <f>HYPERLINK("https://files.afu.se/Downloads/Transcripts/0%20-%20Government/USA%20-%20NASA/2020 03 01 - NASA - Apollo 13 Views of the Moon in 4K_TtO3YQo3kY8 - transcript (automated).pdf","Transcript Link")</f>
        <v>Transcript Link</v>
      </c>
    </row>
    <row r="588" ht="195" spans="1:13">
      <c r="A588" s="1" t="s">
        <v>2814</v>
      </c>
      <c r="B588" s="1" t="s">
        <v>13</v>
      </c>
      <c r="C588" s="4" t="s">
        <v>2815</v>
      </c>
      <c r="D588" s="1" t="s">
        <v>2816</v>
      </c>
      <c r="E588" s="1" t="s">
        <v>2817</v>
      </c>
      <c r="F588" s="4" t="s">
        <v>17</v>
      </c>
      <c r="G588" s="1" t="s">
        <v>18</v>
      </c>
      <c r="H588" s="1" t="s">
        <v>19</v>
      </c>
      <c r="I588" s="1" t="s">
        <v>20</v>
      </c>
      <c r="J588" s="1" t="s">
        <v>2818</v>
      </c>
      <c r="K588" s="1" t="s">
        <v>22</v>
      </c>
      <c r="L588" s="1" t="str">
        <f>HYPERLINK("https://files.afu.se/Downloads/Transcripts/0%20-%20Government/USA%20-%20NASA/2020 02 28 - NASA - Remembering Space Pioneer Katherine Johnson on This Week @NASA – February 28, 2020_ZVPgH749AM0 - transcript (automated).pdf","Transcript Link")</f>
        <v>Transcript Link</v>
      </c>
      <c r="M588" s="2" t="str">
        <f>HYPERLINK("https://files.afu.se/Downloads/Transcripts/0%20-%20Government/USA%20-%20NASA/2020 02 28 - NASA - Remembering Space Pioneer Katherine Johnson on This Week @NASA – February 28, 2020_ZVPgH749AM0 - transcript (automated).pdf","Transcript Link")</f>
        <v>Transcript Link</v>
      </c>
    </row>
    <row r="589" ht="195" spans="1:13">
      <c r="A589" s="1" t="s">
        <v>2819</v>
      </c>
      <c r="B589" s="1" t="s">
        <v>13</v>
      </c>
      <c r="C589" s="4" t="s">
        <v>2820</v>
      </c>
      <c r="D589" s="1" t="s">
        <v>2821</v>
      </c>
      <c r="E589" s="1" t="s">
        <v>2822</v>
      </c>
      <c r="F589" s="4" t="s">
        <v>17</v>
      </c>
      <c r="G589" s="1" t="s">
        <v>18</v>
      </c>
      <c r="H589" s="1" t="s">
        <v>19</v>
      </c>
      <c r="I589" s="1" t="s">
        <v>20</v>
      </c>
      <c r="J589" s="1" t="s">
        <v>2823</v>
      </c>
      <c r="K589" s="1" t="s">
        <v>22</v>
      </c>
      <c r="L589" s="1" t="str">
        <f>HYPERLINK("https://files.afu.se/Downloads/Transcripts/0%20-%20Government/USA%20-%20NASA/2020 02 26 - NASA - NASA Explorers S4 E5  Journey to Space_UixpTgJmuwc - transcript (automated).pdf","Transcript Link")</f>
        <v>Transcript Link</v>
      </c>
      <c r="M589" s="2" t="str">
        <f>HYPERLINK("https://files.afu.se/Downloads/Transcripts/0%20-%20Government/USA%20-%20NASA/2020 02 26 - NASA - NASA Explorers S4 E5  Journey to Space_UixpTgJmuwc - transcript (automated).pdf","Transcript Link")</f>
        <v>Transcript Link</v>
      </c>
    </row>
    <row r="590" ht="210" spans="1:13">
      <c r="A590" s="1" t="s">
        <v>2819</v>
      </c>
      <c r="B590" s="1" t="s">
        <v>13</v>
      </c>
      <c r="C590" s="4" t="s">
        <v>2824</v>
      </c>
      <c r="D590" s="1" t="s">
        <v>2825</v>
      </c>
      <c r="E590" s="1" t="s">
        <v>2826</v>
      </c>
      <c r="F590" s="4" t="s">
        <v>17</v>
      </c>
      <c r="G590" s="1" t="s">
        <v>18</v>
      </c>
      <c r="H590" s="1" t="s">
        <v>19</v>
      </c>
      <c r="I590" s="1" t="s">
        <v>20</v>
      </c>
      <c r="J590" s="1" t="s">
        <v>2827</v>
      </c>
      <c r="K590" s="1" t="s">
        <v>22</v>
      </c>
      <c r="L590" s="1" t="str">
        <f>HYPERLINK("https://files.afu.se/Downloads/Transcripts/0%20-%20Government/USA%20-%20NASA/2020 02 26 - NASA - %23EZScience  Balloon Science_yW38YH3oFi0 - transcript (automated).pdf","Transcript Link")</f>
        <v>Transcript Link</v>
      </c>
      <c r="M590" s="2" t="str">
        <f>HYPERLINK("https://files.afu.se/Downloads/Transcripts/0%20-%20Government/USA%20-%20NASA/2020 02 26 - NASA - %23EZScience  Balloon Science_yW38YH3oFi0 - transcript (automated).pdf","Transcript Link")</f>
        <v>Transcript Link</v>
      </c>
    </row>
    <row r="591" ht="375" spans="1:13">
      <c r="A591" s="1" t="s">
        <v>2828</v>
      </c>
      <c r="B591" s="1" t="s">
        <v>13</v>
      </c>
      <c r="C591" s="4" t="s">
        <v>2829</v>
      </c>
      <c r="D591" s="1" t="s">
        <v>2830</v>
      </c>
      <c r="E591" s="1" t="s">
        <v>2831</v>
      </c>
      <c r="F591" s="4" t="s">
        <v>17</v>
      </c>
      <c r="G591" s="1" t="s">
        <v>18</v>
      </c>
      <c r="H591" s="1" t="s">
        <v>19</v>
      </c>
      <c r="I591" s="1" t="s">
        <v>20</v>
      </c>
      <c r="J591" s="1" t="s">
        <v>2832</v>
      </c>
      <c r="K591" s="1" t="s">
        <v>22</v>
      </c>
      <c r="L591" s="1" t="str">
        <f>HYPERLINK("https://files.afu.se/Downloads/Transcripts/0%20-%20Government/USA%20-%20NASA/2020 02 25 - NASA - 100-Year-Old Tuskegee Airman Wants YOU to Be an Astronaut!_uOGUI4u0Rjs - transcript (automated).pdf","Transcript Link")</f>
        <v>Transcript Link</v>
      </c>
      <c r="M591" s="2" t="str">
        <f>HYPERLINK("https://files.afu.se/Downloads/Transcripts/0%20-%20Government/USA%20-%20NASA/2020 02 25 - NASA - 100-Year-Old Tuskegee Airman Wants YOU to Be an Astronaut!_uOGUI4u0Rjs - transcript (automated).pdf","Transcript Link")</f>
        <v>Transcript Link</v>
      </c>
    </row>
    <row r="592" ht="165" spans="1:13">
      <c r="A592" s="1" t="s">
        <v>2833</v>
      </c>
      <c r="B592" s="1" t="s">
        <v>13</v>
      </c>
      <c r="C592" s="4" t="s">
        <v>2834</v>
      </c>
      <c r="D592" s="1" t="s">
        <v>2835</v>
      </c>
      <c r="E592" s="1" t="s">
        <v>2836</v>
      </c>
      <c r="F592" s="4" t="s">
        <v>17</v>
      </c>
      <c r="G592" s="1" t="s">
        <v>18</v>
      </c>
      <c r="H592" s="1" t="s">
        <v>19</v>
      </c>
      <c r="I592" s="1" t="s">
        <v>20</v>
      </c>
      <c r="J592" s="1" t="s">
        <v>2837</v>
      </c>
      <c r="K592" s="1" t="s">
        <v>22</v>
      </c>
      <c r="L592" s="1" t="str">
        <f>HYPERLINK("https://files.afu.se/Downloads/Transcripts/0%20-%20Government/USA%20-%20NASA/2020 02 24 - NASA - Katherine Johnson  An American Hero_nKxgieXQ82w - transcript (automated).pdf","Transcript Link")</f>
        <v>Transcript Link</v>
      </c>
      <c r="M592" s="2" t="str">
        <f>HYPERLINK("https://files.afu.se/Downloads/Transcripts/0%20-%20Government/USA%20-%20NASA/2020 02 24 - NASA - Katherine Johnson  An American Hero_nKxgieXQ82w - transcript (automated).pdf","Transcript Link")</f>
        <v>Transcript Link</v>
      </c>
    </row>
    <row r="593" ht="180" spans="1:13">
      <c r="A593" s="1" t="s">
        <v>2833</v>
      </c>
      <c r="B593" s="1" t="s">
        <v>13</v>
      </c>
      <c r="C593" s="4" t="s">
        <v>2838</v>
      </c>
      <c r="D593" s="1" t="s">
        <v>2839</v>
      </c>
      <c r="E593" s="1" t="s">
        <v>2840</v>
      </c>
      <c r="F593" s="4" t="s">
        <v>17</v>
      </c>
      <c r="G593" s="1" t="s">
        <v>18</v>
      </c>
      <c r="H593" s="1" t="s">
        <v>19</v>
      </c>
      <c r="I593" s="1" t="s">
        <v>20</v>
      </c>
      <c r="J593" s="1" t="s">
        <v>2841</v>
      </c>
      <c r="K593" s="1" t="s">
        <v>22</v>
      </c>
      <c r="L593" s="1" t="str">
        <f>HYPERLINK("https://files.afu.se/Downloads/Transcripts/0%20-%20Government/USA%20-%20NASA/2020 02 24 - NASA - NASA Remembers Hidden Figure Katherine Johnson_E8wBJ71zJ34 - transcript (automated).pdf","Transcript Link")</f>
        <v>Transcript Link</v>
      </c>
      <c r="M593" s="2" t="str">
        <f>HYPERLINK("https://files.afu.se/Downloads/Transcripts/0%20-%20Government/USA%20-%20NASA/2020 02 24 - NASA - NASA Remembers Hidden Figure Katherine Johnson_E8wBJ71zJ34 - transcript (automated).pdf","Transcript Link")</f>
        <v>Transcript Link</v>
      </c>
    </row>
    <row r="594" ht="210" spans="1:13">
      <c r="A594" s="1" t="s">
        <v>2842</v>
      </c>
      <c r="B594" s="1" t="s">
        <v>13</v>
      </c>
      <c r="C594" s="4" t="s">
        <v>2843</v>
      </c>
      <c r="D594" s="1" t="s">
        <v>2844</v>
      </c>
      <c r="E594" s="1" t="s">
        <v>2845</v>
      </c>
      <c r="F594" s="4" t="s">
        <v>17</v>
      </c>
      <c r="G594" s="1" t="s">
        <v>18</v>
      </c>
      <c r="H594" s="1" t="s">
        <v>19</v>
      </c>
      <c r="I594" s="1" t="s">
        <v>20</v>
      </c>
      <c r="J594" s="1" t="s">
        <v>2846</v>
      </c>
      <c r="K594" s="1" t="s">
        <v>22</v>
      </c>
      <c r="L594" s="1" t="str">
        <f>HYPERLINK("https://files.afu.se/Downloads/Transcripts/0%20-%20Government/USA%20-%20NASA/2020 02 21 - NASA - Vice President Pence Visits Langley for Artemis Update on This Week @NASA – February 21, 2020_CJucyKbQydQ - transcript (automated).pdf","Transcript Link")</f>
        <v>Transcript Link</v>
      </c>
      <c r="M594" s="2" t="str">
        <f>HYPERLINK("https://files.afu.se/Downloads/Transcripts/0%20-%20Government/USA%20-%20NASA/2020 02 21 - NASA - Vice President Pence Visits Langley for Artemis Update on This Week @NASA – February 21, 2020_CJucyKbQydQ - transcript (automated).pdf","Transcript Link")</f>
        <v>Transcript Link</v>
      </c>
    </row>
    <row r="595" ht="285" spans="1:13">
      <c r="A595" s="1" t="s">
        <v>2847</v>
      </c>
      <c r="B595" s="1" t="s">
        <v>13</v>
      </c>
      <c r="C595" s="4" t="s">
        <v>2848</v>
      </c>
      <c r="D595" s="1" t="s">
        <v>2849</v>
      </c>
      <c r="E595" s="1" t="s">
        <v>2850</v>
      </c>
      <c r="F595" s="4" t="s">
        <v>17</v>
      </c>
      <c r="G595" s="1" t="s">
        <v>18</v>
      </c>
      <c r="H595" s="1" t="s">
        <v>19</v>
      </c>
      <c r="I595" s="1" t="s">
        <v>20</v>
      </c>
      <c r="J595" s="1" t="s">
        <v>2851</v>
      </c>
      <c r="K595" s="1" t="s">
        <v>22</v>
      </c>
      <c r="L595" s="1" t="str">
        <f>HYPERLINK("https://files.afu.se/Downloads/Transcripts/0%20-%20Government/USA%20-%20NASA/2020 02 20 - NASA - Inside NASA's Psyche Mission to Study a Metallic Asteroid_aa28FejUW8s - transcript (automated).pdf","Transcript Link")</f>
        <v>Transcript Link</v>
      </c>
      <c r="M595" s="2" t="str">
        <f>HYPERLINK("https://files.afu.se/Downloads/Transcripts/0%20-%20Government/USA%20-%20NASA/2020 02 20 - NASA - Inside NASA's Psyche Mission to Study a Metallic Asteroid_aa28FejUW8s - transcript (automated).pdf","Transcript Link")</f>
        <v>Transcript Link</v>
      </c>
    </row>
    <row r="596" ht="165" spans="1:13">
      <c r="A596" s="1" t="s">
        <v>2847</v>
      </c>
      <c r="B596" s="1" t="s">
        <v>13</v>
      </c>
      <c r="C596" s="4" t="s">
        <v>2852</v>
      </c>
      <c r="D596" s="1" t="s">
        <v>2853</v>
      </c>
      <c r="E596" s="1" t="s">
        <v>2854</v>
      </c>
      <c r="F596" s="4" t="s">
        <v>17</v>
      </c>
      <c r="G596" s="1" t="s">
        <v>18</v>
      </c>
      <c r="H596" s="1" t="s">
        <v>19</v>
      </c>
      <c r="I596" s="1" t="s">
        <v>20</v>
      </c>
      <c r="J596" s="1" t="s">
        <v>2855</v>
      </c>
      <c r="K596" s="1" t="s">
        <v>22</v>
      </c>
      <c r="L596" s="1" t="str">
        <f>HYPERLINK("https://files.afu.se/Downloads/Transcripts/0%20-%20Government/USA%20-%20NASA/2020 02 20 - NASA - Vice President Mike Pence addresses employees at NASA’s Langley Research Center_eX_z8btMIsw - transcript (automated).pdf","Transcript Link")</f>
        <v>Transcript Link</v>
      </c>
      <c r="M596" s="2" t="str">
        <f>HYPERLINK("https://files.afu.se/Downloads/Transcripts/0%20-%20Government/USA%20-%20NASA/2020 02 20 - NASA - Vice President Mike Pence addresses employees at NASA’s Langley Research Center_eX_z8btMIsw - transcript (automated).pdf","Transcript Link")</f>
        <v>Transcript Link</v>
      </c>
    </row>
    <row r="597" ht="225" spans="1:13">
      <c r="A597" s="1" t="s">
        <v>2856</v>
      </c>
      <c r="B597" s="1" t="s">
        <v>13</v>
      </c>
      <c r="C597" s="4" t="s">
        <v>2857</v>
      </c>
      <c r="D597" s="1" t="s">
        <v>2858</v>
      </c>
      <c r="E597" s="1" t="s">
        <v>2859</v>
      </c>
      <c r="F597" s="4" t="s">
        <v>17</v>
      </c>
      <c r="G597" s="1" t="s">
        <v>18</v>
      </c>
      <c r="H597" s="1" t="s">
        <v>19</v>
      </c>
      <c r="I597" s="1" t="s">
        <v>20</v>
      </c>
      <c r="J597" s="1" t="s">
        <v>2860</v>
      </c>
      <c r="K597" s="1" t="s">
        <v>22</v>
      </c>
      <c r="L597" s="1" t="str">
        <f>HYPERLINK("https://files.afu.se/Downloads/Transcripts/0%20-%20Government/USA%20-%20NASA/2020 02 19 - NASA - NASA Explorers S4 E4  Before the Rocket_wVFm-ueQDnw - transcript (automated).pdf","Transcript Link")</f>
        <v>Transcript Link</v>
      </c>
      <c r="M597" s="2" t="str">
        <f>HYPERLINK("https://files.afu.se/Downloads/Transcripts/0%20-%20Government/USA%20-%20NASA/2020 02 19 - NASA - NASA Explorers S4 E4  Before the Rocket_wVFm-ueQDnw - transcript (automated).pdf","Transcript Link")</f>
        <v>Transcript Link</v>
      </c>
    </row>
    <row r="598" ht="165" spans="1:13">
      <c r="A598" s="1" t="s">
        <v>2861</v>
      </c>
      <c r="B598" s="1" t="s">
        <v>13</v>
      </c>
      <c r="C598" s="4" t="s">
        <v>2862</v>
      </c>
      <c r="D598" s="1" t="s">
        <v>2863</v>
      </c>
      <c r="E598" s="1" t="s">
        <v>2864</v>
      </c>
      <c r="F598" s="4" t="s">
        <v>17</v>
      </c>
      <c r="G598" s="1" t="s">
        <v>18</v>
      </c>
      <c r="H598" s="1" t="s">
        <v>19</v>
      </c>
      <c r="I598" s="1" t="s">
        <v>20</v>
      </c>
      <c r="J598" s="1" t="s">
        <v>2865</v>
      </c>
      <c r="K598" s="1" t="s">
        <v>22</v>
      </c>
      <c r="L598" s="1" t="str">
        <f>HYPERLINK("https://files.afu.se/Downloads/Transcripts/0%20-%20Government/USA%20-%20NASA/2020 02 14 - NASA - NASA Black History Month Astronaut Profile - Jeanette Epps_DPPc8BVNjQs - transcript (automated).pdf","Transcript Link")</f>
        <v>Transcript Link</v>
      </c>
      <c r="M598" s="2" t="str">
        <f>HYPERLINK("https://files.afu.se/Downloads/Transcripts/0%20-%20Government/USA%20-%20NASA/2020 02 14 - NASA - NASA Black History Month Astronaut Profile - Jeanette Epps_DPPc8BVNjQs - transcript (automated).pdf","Transcript Link")</f>
        <v>Transcript Link</v>
      </c>
    </row>
    <row r="599" ht="210" spans="1:13">
      <c r="A599" s="1" t="s">
        <v>2861</v>
      </c>
      <c r="B599" s="1" t="s">
        <v>13</v>
      </c>
      <c r="C599" s="4" t="s">
        <v>2866</v>
      </c>
      <c r="D599" s="1" t="s">
        <v>2867</v>
      </c>
      <c r="E599" s="1" t="s">
        <v>2868</v>
      </c>
      <c r="F599" s="4" t="s">
        <v>17</v>
      </c>
      <c r="G599" s="1" t="s">
        <v>18</v>
      </c>
      <c r="H599" s="1" t="s">
        <v>19</v>
      </c>
      <c r="I599" s="1" t="s">
        <v>20</v>
      </c>
      <c r="J599" s="1" t="s">
        <v>2869</v>
      </c>
      <c r="K599" s="1" t="s">
        <v>22</v>
      </c>
      <c r="L599" s="1" t="str">
        <f>HYPERLINK("https://files.afu.se/Downloads/Transcripts/0%20-%20Government/USA%20-%20NASA/2020 02 14 - NASA - A Budget for a New Era of Space Exploration on This Week @NASA – February 14, 2020_tG1kCIpIQBw - transcript (automated).pdf","Transcript Link")</f>
        <v>Transcript Link</v>
      </c>
      <c r="M599" s="2" t="str">
        <f>HYPERLINK("https://files.afu.se/Downloads/Transcripts/0%20-%20Government/USA%20-%20NASA/2020 02 14 - NASA - A Budget for a New Era of Space Exploration on This Week @NASA – February 14, 2020_tG1kCIpIQBw - transcript (automated).pdf","Transcript Link")</f>
        <v>Transcript Link</v>
      </c>
    </row>
    <row r="600" ht="165" spans="1:13">
      <c r="A600" s="1" t="s">
        <v>2870</v>
      </c>
      <c r="B600" s="1" t="s">
        <v>13</v>
      </c>
      <c r="C600" s="4" t="s">
        <v>2871</v>
      </c>
      <c r="D600" s="1" t="s">
        <v>2872</v>
      </c>
      <c r="E600" s="1" t="s">
        <v>2873</v>
      </c>
      <c r="F600" s="4" t="s">
        <v>17</v>
      </c>
      <c r="G600" s="1" t="s">
        <v>18</v>
      </c>
      <c r="H600" s="1" t="s">
        <v>19</v>
      </c>
      <c r="I600" s="1" t="s">
        <v>20</v>
      </c>
      <c r="J600" s="1" t="s">
        <v>2874</v>
      </c>
      <c r="K600" s="1" t="s">
        <v>22</v>
      </c>
      <c r="L600" s="1" t="str">
        <f>HYPERLINK("https://files.afu.se/Downloads/Transcripts/0%20-%20Government/USA%20-%20NASA/2020 02 13 - NASA - NASA Black History Month Employee Profile - Matthew Bailey_3RcGsuq2hn8 - transcript (automated).pdf","Transcript Link")</f>
        <v>Transcript Link</v>
      </c>
      <c r="M600" s="2" t="str">
        <f>HYPERLINK("https://files.afu.se/Downloads/Transcripts/0%20-%20Government/USA%20-%20NASA/2020 02 13 - NASA - NASA Black History Month Employee Profile - Matthew Bailey_3RcGsuq2hn8 - transcript (automated).pdf","Transcript Link")</f>
        <v>Transcript Link</v>
      </c>
    </row>
    <row r="601" ht="330" spans="1:13">
      <c r="A601" s="1" t="s">
        <v>2875</v>
      </c>
      <c r="B601" s="1" t="s">
        <v>13</v>
      </c>
      <c r="C601" s="4" t="s">
        <v>2876</v>
      </c>
      <c r="D601" s="1" t="s">
        <v>2877</v>
      </c>
      <c r="E601" s="1" t="s">
        <v>2878</v>
      </c>
      <c r="F601" s="4" t="s">
        <v>17</v>
      </c>
      <c r="G601" s="1" t="s">
        <v>18</v>
      </c>
      <c r="H601" s="1" t="s">
        <v>19</v>
      </c>
      <c r="I601" s="1" t="s">
        <v>20</v>
      </c>
      <c r="J601" s="1" t="s">
        <v>2879</v>
      </c>
      <c r="K601" s="1" t="s">
        <v>22</v>
      </c>
      <c r="L601" s="1" t="str">
        <f>HYPERLINK("https://files.afu.se/Downloads/Transcripts/0%20-%20Government/USA%20-%20NASA/2020 02 12 - NASA - NASA Explorers S4 E3  Training the Astronauts_WvT3hMVrSzs - transcript (automated).pdf","Transcript Link")</f>
        <v>Transcript Link</v>
      </c>
      <c r="M601" s="2" t="str">
        <f>HYPERLINK("https://files.afu.se/Downloads/Transcripts/0%20-%20Government/USA%20-%20NASA/2020 02 12 - NASA - NASA Explorers S4 E3  Training the Astronauts_WvT3hMVrSzs - transcript (automated).pdf","Transcript Link")</f>
        <v>Transcript Link</v>
      </c>
    </row>
    <row r="602" ht="255" spans="1:13">
      <c r="A602" s="1" t="s">
        <v>2875</v>
      </c>
      <c r="B602" s="1" t="s">
        <v>13</v>
      </c>
      <c r="C602" s="4" t="s">
        <v>2880</v>
      </c>
      <c r="D602" s="1" t="s">
        <v>2881</v>
      </c>
      <c r="E602" s="1" t="s">
        <v>2882</v>
      </c>
      <c r="F602" s="4" t="s">
        <v>17</v>
      </c>
      <c r="G602" s="1" t="s">
        <v>18</v>
      </c>
      <c r="H602" s="1" t="s">
        <v>19</v>
      </c>
      <c r="I602" s="1" t="s">
        <v>20</v>
      </c>
      <c r="J602" s="1" t="s">
        <v>2883</v>
      </c>
      <c r="K602" s="1" t="s">
        <v>22</v>
      </c>
      <c r="L602" s="1" t="str">
        <f>HYPERLINK("https://files.afu.se/Downloads/Transcripts/0%20-%20Government/USA%20-%20NASA/2020 02 12 - NASA - %23AskNASA with Christina Koch┃ What’s it like to live in space for a year _9KGKlp3J-N4 - transcript (automated).pdf","Transcript Link")</f>
        <v>Transcript Link</v>
      </c>
      <c r="M602" s="2" t="str">
        <f>HYPERLINK("https://files.afu.se/Downloads/Transcripts/0%20-%20Government/USA%20-%20NASA/2020 02 12 - NASA - %23AskNASA with Christina Koch┃ What’s it like to live in space for a year _9KGKlp3J-N4 - transcript (automated).pdf","Transcript Link")</f>
        <v>Transcript Link</v>
      </c>
    </row>
    <row r="603" ht="409.5" spans="1:13">
      <c r="A603" s="1" t="s">
        <v>2884</v>
      </c>
      <c r="B603" s="1" t="s">
        <v>13</v>
      </c>
      <c r="C603" s="4" t="s">
        <v>2885</v>
      </c>
      <c r="D603" s="1" t="s">
        <v>2886</v>
      </c>
      <c r="E603" s="1" t="s">
        <v>2887</v>
      </c>
      <c r="F603" s="4" t="s">
        <v>17</v>
      </c>
      <c r="G603" s="1" t="s">
        <v>18</v>
      </c>
      <c r="H603" s="1" t="s">
        <v>19</v>
      </c>
      <c r="I603" s="1" t="s">
        <v>20</v>
      </c>
      <c r="J603" s="1" t="s">
        <v>2888</v>
      </c>
      <c r="K603" s="1" t="s">
        <v>22</v>
      </c>
      <c r="L603" s="1" t="str">
        <f>HYPERLINK("https://files.afu.se/Downloads/Transcripts/0%20-%20Government/USA%20-%20NASA/2020 02 11 - NASA - Explorers Wanted  NASA to Hire More New Artemis Generation Astronauts_4fXsAvv96Gw - transcript (automated).pdf","Transcript Link")</f>
        <v>Transcript Link</v>
      </c>
      <c r="M603" s="2" t="str">
        <f>HYPERLINK("https://files.afu.se/Downloads/Transcripts/0%20-%20Government/USA%20-%20NASA/2020 02 11 - NASA - Explorers Wanted  NASA to Hire More New Artemis Generation Astronauts_4fXsAvv96Gw - transcript (automated).pdf","Transcript Link")</f>
        <v>Transcript Link</v>
      </c>
    </row>
    <row r="604" ht="345" spans="1:13">
      <c r="A604" s="1" t="s">
        <v>2889</v>
      </c>
      <c r="B604" s="1" t="s">
        <v>13</v>
      </c>
      <c r="C604" s="4" t="s">
        <v>2890</v>
      </c>
      <c r="D604" s="1" t="s">
        <v>2891</v>
      </c>
      <c r="E604" s="1" t="s">
        <v>2892</v>
      </c>
      <c r="F604" s="4" t="s">
        <v>17</v>
      </c>
      <c r="G604" s="1" t="s">
        <v>18</v>
      </c>
      <c r="H604" s="1" t="s">
        <v>19</v>
      </c>
      <c r="I604" s="1" t="s">
        <v>20</v>
      </c>
      <c r="J604" s="1" t="s">
        <v>2893</v>
      </c>
      <c r="K604" s="1" t="s">
        <v>22</v>
      </c>
      <c r="L604" s="1" t="str">
        <f>HYPERLINK("https://files.afu.se/Downloads/Transcripts/0%20-%20Government/USA%20-%20NASA/2020 02 10 - NASA - State of NASA  A New Era of Spaceflight_Iy5uN7xf0dA - transcript (automated).pdf","Transcript Link")</f>
        <v>Transcript Link</v>
      </c>
      <c r="M604" s="2" t="str">
        <f>HYPERLINK("https://files.afu.se/Downloads/Transcripts/0%20-%20Government/USA%20-%20NASA/2020 02 10 - NASA - State of NASA  A New Era of Spaceflight_Iy5uN7xf0dA - transcript (automated).pdf","Transcript Link")</f>
        <v>Transcript Link</v>
      </c>
    </row>
    <row r="605" ht="270" spans="1:13">
      <c r="A605" s="1" t="s">
        <v>2889</v>
      </c>
      <c r="B605" s="1" t="s">
        <v>13</v>
      </c>
      <c r="C605" s="4" t="s">
        <v>2894</v>
      </c>
      <c r="D605" s="1" t="s">
        <v>2895</v>
      </c>
      <c r="E605" s="1" t="s">
        <v>2896</v>
      </c>
      <c r="F605" s="4" t="s">
        <v>17</v>
      </c>
      <c r="G605" s="1" t="s">
        <v>18</v>
      </c>
      <c r="H605" s="1" t="s">
        <v>19</v>
      </c>
      <c r="I605" s="1" t="s">
        <v>20</v>
      </c>
      <c r="J605" s="1" t="s">
        <v>2897</v>
      </c>
      <c r="K605" s="1" t="s">
        <v>22</v>
      </c>
      <c r="L605" s="1" t="str">
        <f>HYPERLINK("https://files.afu.se/Downloads/Transcripts/0%20-%20Government/USA%20-%20NASA/2020 02 10 - NASA - NASA 2020  A Year of Action_3P0EUBrWh50 - transcript (automated).pdf","Transcript Link")</f>
        <v>Transcript Link</v>
      </c>
      <c r="M605" s="2" t="str">
        <f>HYPERLINK("https://files.afu.se/Downloads/Transcripts/0%20-%20Government/USA%20-%20NASA/2020 02 10 - NASA - NASA 2020  A Year of Action_3P0EUBrWh50 - transcript (automated).pdf","Transcript Link")</f>
        <v>Transcript Link</v>
      </c>
    </row>
    <row r="606" ht="165" spans="1:13">
      <c r="A606" s="1" t="s">
        <v>2898</v>
      </c>
      <c r="B606" s="1" t="s">
        <v>13</v>
      </c>
      <c r="C606" s="4" t="s">
        <v>2899</v>
      </c>
      <c r="D606" s="1" t="s">
        <v>2900</v>
      </c>
      <c r="E606" s="1" t="s">
        <v>2901</v>
      </c>
      <c r="F606" s="4" t="s">
        <v>17</v>
      </c>
      <c r="G606" s="1" t="s">
        <v>18</v>
      </c>
      <c r="H606" s="1" t="s">
        <v>19</v>
      </c>
      <c r="I606" s="1" t="s">
        <v>20</v>
      </c>
      <c r="J606" s="1" t="s">
        <v>2902</v>
      </c>
      <c r="K606" s="1" t="s">
        <v>22</v>
      </c>
      <c r="L606" s="1" t="str">
        <f>HYPERLINK("https://files.afu.se/Downloads/Transcripts/0%20-%20Government/USA%20-%20NASA/2020 02 09 - NASA - Northrop Grumman's CRS-13 Mission to the International Space Station  What's on Board_raEcGoy3xvE - transcript (automated).pdf","Transcript Link")</f>
        <v>Transcript Link</v>
      </c>
      <c r="M606" s="2" t="str">
        <f>HYPERLINK("https://files.afu.se/Downloads/Transcripts/0%20-%20Government/USA%20-%20NASA/2020 02 09 - NASA - Northrop Grumman's CRS-13 Mission to the International Space Station  What's on Board_raEcGoy3xvE - transcript (automated).pdf","Transcript Link")</f>
        <v>Transcript Link</v>
      </c>
    </row>
    <row r="607" ht="225" spans="1:13">
      <c r="A607" s="1" t="s">
        <v>2903</v>
      </c>
      <c r="B607" s="1" t="s">
        <v>13</v>
      </c>
      <c r="C607" s="4" t="s">
        <v>2904</v>
      </c>
      <c r="D607" s="1" t="s">
        <v>2905</v>
      </c>
      <c r="E607" s="1" t="s">
        <v>2906</v>
      </c>
      <c r="F607" s="4" t="s">
        <v>17</v>
      </c>
      <c r="G607" s="1" t="s">
        <v>18</v>
      </c>
      <c r="H607" s="1" t="s">
        <v>19</v>
      </c>
      <c r="I607" s="1" t="s">
        <v>20</v>
      </c>
      <c r="J607" s="1" t="s">
        <v>2907</v>
      </c>
      <c r="K607" s="1" t="s">
        <v>22</v>
      </c>
      <c r="L607" s="1" t="str">
        <f>HYPERLINK("https://files.afu.se/Downloads/Transcripts/0%20-%20Government/USA%20-%20NASA/2020 02 07 - NASA - A Safe Return to Earth for a Record Setting Astronaut on This Week @NASA – February 7, 2020_80d6_ZROVAA - transcript (automated).pdf","Transcript Link")</f>
        <v>Transcript Link</v>
      </c>
      <c r="M607" s="2" t="str">
        <f>HYPERLINK("https://files.afu.se/Downloads/Transcripts/0%20-%20Government/USA%20-%20NASA/2020 02 07 - NASA - A Safe Return to Earth for a Record Setting Astronaut on This Week @NASA – February 7, 2020_80d6_ZROVAA - transcript (automated).pdf","Transcript Link")</f>
        <v>Transcript Link</v>
      </c>
    </row>
    <row r="608" ht="330" spans="1:13">
      <c r="A608" s="1" t="s">
        <v>2908</v>
      </c>
      <c r="B608" s="1" t="s">
        <v>13</v>
      </c>
      <c r="C608" s="4" t="s">
        <v>2909</v>
      </c>
      <c r="D608" s="1" t="s">
        <v>2910</v>
      </c>
      <c r="E608" s="1" t="s">
        <v>2911</v>
      </c>
      <c r="F608" s="4" t="s">
        <v>17</v>
      </c>
      <c r="G608" s="1" t="s">
        <v>18</v>
      </c>
      <c r="H608" s="1" t="s">
        <v>19</v>
      </c>
      <c r="I608" s="1" t="s">
        <v>20</v>
      </c>
      <c r="J608" s="1" t="s">
        <v>2912</v>
      </c>
      <c r="K608" s="1" t="s">
        <v>22</v>
      </c>
      <c r="L608" s="1" t="str">
        <f>HYPERLINK("https://files.afu.se/Downloads/Transcripts/0%20-%20Government/USA%20-%20NASA/2020 02 05 - NASA - NASA Explorers S4 E2  The Scientists_21iEBbsuuTI - transcript (automated).pdf","Transcript Link")</f>
        <v>Transcript Link</v>
      </c>
      <c r="M608" s="2" t="str">
        <f>HYPERLINK("https://files.afu.se/Downloads/Transcripts/0%20-%20Government/USA%20-%20NASA/2020 02 05 - NASA - NASA Explorers S4 E2  The Scientists_21iEBbsuuTI - transcript (automated).pdf","Transcript Link")</f>
        <v>Transcript Link</v>
      </c>
    </row>
    <row r="609" ht="165" spans="1:13">
      <c r="A609" s="1" t="s">
        <v>2913</v>
      </c>
      <c r="B609" s="1" t="s">
        <v>13</v>
      </c>
      <c r="C609" s="4" t="s">
        <v>2914</v>
      </c>
      <c r="D609" s="1" t="s">
        <v>2915</v>
      </c>
      <c r="E609" s="1" t="s">
        <v>2916</v>
      </c>
      <c r="F609" s="4" t="s">
        <v>17</v>
      </c>
      <c r="G609" s="1" t="s">
        <v>18</v>
      </c>
      <c r="H609" s="1" t="s">
        <v>19</v>
      </c>
      <c r="I609" s="1" t="s">
        <v>20</v>
      </c>
      <c r="J609" s="1" t="s">
        <v>2917</v>
      </c>
      <c r="K609" s="1" t="s">
        <v>22</v>
      </c>
      <c r="L609" s="1" t="str">
        <f>HYPERLINK("https://files.afu.se/Downloads/Transcripts/0%20-%20Government/USA%20-%20NASA/2020 01 31 - NASA - Resupply Mission Wraps Up at The Space Station on This Week @NASA – January 31, 2020_Nd1BnJEKdzI - transcript (automated).pdf","Transcript Link")</f>
        <v>Transcript Link</v>
      </c>
      <c r="M609" s="2" t="str">
        <f>HYPERLINK("https://files.afu.se/Downloads/Transcripts/0%20-%20Government/USA%20-%20NASA/2020 01 31 - NASA - Resupply Mission Wraps Up at The Space Station on This Week @NASA – January 31, 2020_Nd1BnJEKdzI - transcript (automated).pdf","Transcript Link")</f>
        <v>Transcript Link</v>
      </c>
    </row>
    <row r="610" ht="165" spans="1:13">
      <c r="A610" s="1" t="s">
        <v>2918</v>
      </c>
      <c r="B610" s="1" t="s">
        <v>13</v>
      </c>
      <c r="C610" s="4" t="s">
        <v>2919</v>
      </c>
      <c r="D610" s="1" t="s">
        <v>2920</v>
      </c>
      <c r="E610" s="1" t="s">
        <v>2921</v>
      </c>
      <c r="F610" s="4" t="s">
        <v>17</v>
      </c>
      <c r="G610" s="1" t="s">
        <v>18</v>
      </c>
      <c r="H610" s="1" t="s">
        <v>19</v>
      </c>
      <c r="I610" s="1" t="s">
        <v>20</v>
      </c>
      <c r="J610" s="1" t="s">
        <v>2922</v>
      </c>
      <c r="K610" s="1" t="s">
        <v>22</v>
      </c>
      <c r="L610" s="1" t="str">
        <f>HYPERLINK("https://files.afu.se/Downloads/Transcripts/0%20-%20Government/USA%20-%20NASA/2020 01 30 - NASA - Spitzer and NASA’s ‘Great Observatories’ Space Telescopes_IHS5orsjmTk - transcript (automated).pdf","Transcript Link")</f>
        <v>Transcript Link</v>
      </c>
      <c r="M610" s="2" t="str">
        <f>HYPERLINK("https://files.afu.se/Downloads/Transcripts/0%20-%20Government/USA%20-%20NASA/2020 01 30 - NASA - Spitzer and NASA’s ‘Great Observatories’ Space Telescopes_IHS5orsjmTk - transcript (automated).pdf","Transcript Link")</f>
        <v>Transcript Link</v>
      </c>
    </row>
    <row r="611" ht="315" spans="1:13">
      <c r="A611" s="1" t="s">
        <v>2923</v>
      </c>
      <c r="B611" s="1" t="s">
        <v>13</v>
      </c>
      <c r="C611" s="4" t="s">
        <v>2924</v>
      </c>
      <c r="D611" s="1" t="s">
        <v>2925</v>
      </c>
      <c r="E611" s="1" t="s">
        <v>2926</v>
      </c>
      <c r="F611" s="4" t="s">
        <v>17</v>
      </c>
      <c r="G611" s="1" t="s">
        <v>18</v>
      </c>
      <c r="H611" s="1" t="s">
        <v>19</v>
      </c>
      <c r="I611" s="1" t="s">
        <v>20</v>
      </c>
      <c r="J611" s="1" t="s">
        <v>2927</v>
      </c>
      <c r="K611" s="1" t="s">
        <v>22</v>
      </c>
      <c r="L611" s="1" t="str">
        <f>HYPERLINK("https://files.afu.se/Downloads/Transcripts/0%20-%20Government/USA%20-%20NASA/2020 01 29 - NASA - NASA Explorers S4 E1  Orbiting Laboratory_yqHiShYGkZQ - transcript (automated).pdf","Transcript Link")</f>
        <v>Transcript Link</v>
      </c>
      <c r="M611" s="2" t="str">
        <f>HYPERLINK("https://files.afu.se/Downloads/Transcripts/0%20-%20Government/USA%20-%20NASA/2020 01 29 - NASA - NASA Explorers S4 E1  Orbiting Laboratory_yqHiShYGkZQ - transcript (automated).pdf","Transcript Link")</f>
        <v>Transcript Link</v>
      </c>
    </row>
    <row r="612" ht="255" spans="1:13">
      <c r="A612" s="1" t="s">
        <v>2928</v>
      </c>
      <c r="B612" s="1" t="s">
        <v>13</v>
      </c>
      <c r="C612" s="4" t="s">
        <v>2929</v>
      </c>
      <c r="D612" s="1" t="s">
        <v>2930</v>
      </c>
      <c r="E612" s="1" t="s">
        <v>2931</v>
      </c>
      <c r="F612" s="4" t="s">
        <v>17</v>
      </c>
      <c r="G612" s="1" t="s">
        <v>18</v>
      </c>
      <c r="H612" s="1" t="s">
        <v>19</v>
      </c>
      <c r="I612" s="1" t="s">
        <v>20</v>
      </c>
      <c r="J612" s="1" t="s">
        <v>2932</v>
      </c>
      <c r="K612" s="1" t="s">
        <v>22</v>
      </c>
      <c r="L612" s="1" t="str">
        <f>HYPERLINK("https://files.afu.se/Downloads/Transcripts/0%20-%20Government/USA%20-%20NASA/2020 01 28 - NASA - %23EZScience  The Path to Mars 2020_uc7rl3EXFS4 - transcript (automated).pdf","Transcript Link")</f>
        <v>Transcript Link</v>
      </c>
      <c r="M612" s="2" t="str">
        <f>HYPERLINK("https://files.afu.se/Downloads/Transcripts/0%20-%20Government/USA%20-%20NASA/2020 01 28 - NASA - %23EZScience  The Path to Mars 2020_uc7rl3EXFS4 - transcript (automated).pdf","Transcript Link")</f>
        <v>Transcript Link</v>
      </c>
    </row>
    <row r="613" ht="165" spans="1:13">
      <c r="A613" s="1" t="s">
        <v>2933</v>
      </c>
      <c r="B613" s="1" t="s">
        <v>13</v>
      </c>
      <c r="C613" s="4" t="s">
        <v>2934</v>
      </c>
      <c r="D613" s="1" t="s">
        <v>2935</v>
      </c>
      <c r="E613" s="1" t="s">
        <v>2936</v>
      </c>
      <c r="F613" s="4" t="s">
        <v>17</v>
      </c>
      <c r="G613" s="1" t="s">
        <v>18</v>
      </c>
      <c r="H613" s="1" t="s">
        <v>19</v>
      </c>
      <c r="I613" s="1" t="s">
        <v>20</v>
      </c>
      <c r="J613" s="1" t="s">
        <v>2937</v>
      </c>
      <c r="K613" s="1" t="s">
        <v>22</v>
      </c>
      <c r="L613" s="1" t="str">
        <f>HYPERLINK("https://files.afu.se/Downloads/Transcripts/0%20-%20Government/USA%20-%20NASA/2020 01 27 - NASA - NASA Explorers  Microgravity_U_GQ65c2jrk - transcript (automated).pdf","Transcript Link")</f>
        <v>Transcript Link</v>
      </c>
      <c r="M613" s="2" t="str">
        <f>HYPERLINK("https://files.afu.se/Downloads/Transcripts/0%20-%20Government/USA%20-%20NASA/2020 01 27 - NASA - NASA Explorers  Microgravity_U_GQ65c2jrk - transcript (automated).pdf","Transcript Link")</f>
        <v>Transcript Link</v>
      </c>
    </row>
    <row r="614" ht="270" spans="1:13">
      <c r="A614" s="1" t="s">
        <v>2933</v>
      </c>
      <c r="B614" s="1" t="s">
        <v>13</v>
      </c>
      <c r="C614" s="4" t="s">
        <v>2938</v>
      </c>
      <c r="D614" s="1" t="s">
        <v>2939</v>
      </c>
      <c r="E614" s="1" t="s">
        <v>2940</v>
      </c>
      <c r="F614" s="4" t="s">
        <v>17</v>
      </c>
      <c r="G614" s="1" t="s">
        <v>18</v>
      </c>
      <c r="H614" s="1" t="s">
        <v>19</v>
      </c>
      <c r="I614" s="1" t="s">
        <v>20</v>
      </c>
      <c r="J614" s="1" t="s">
        <v>2941</v>
      </c>
      <c r="K614" s="1" t="s">
        <v>22</v>
      </c>
      <c r="L614" s="1" t="str">
        <f>HYPERLINK("https://files.afu.se/Downloads/Transcripts/0%20-%20Government/USA%20-%20NASA/2020 01 27 - NASA - %23AskNASA┃ How Will Astronauts Dig on the Moon _DpXxdSr1FWs - transcript (automated).pdf","Transcript Link")</f>
        <v>Transcript Link</v>
      </c>
      <c r="M614" s="2" t="str">
        <f>HYPERLINK("https://files.afu.se/Downloads/Transcripts/0%20-%20Government/USA%20-%20NASA/2020 01 27 - NASA - %23AskNASA┃ How Will Astronauts Dig on the Moon _DpXxdSr1FWs - transcript (automated).pdf","Transcript Link")</f>
        <v>Transcript Link</v>
      </c>
    </row>
    <row r="615" ht="165" spans="1:13">
      <c r="A615" s="1" t="s">
        <v>2942</v>
      </c>
      <c r="B615" s="1" t="s">
        <v>13</v>
      </c>
      <c r="C615" s="4" t="s">
        <v>2943</v>
      </c>
      <c r="D615" s="1" t="s">
        <v>2944</v>
      </c>
      <c r="E615" s="1" t="s">
        <v>2945</v>
      </c>
      <c r="F615" s="4" t="s">
        <v>17</v>
      </c>
      <c r="G615" s="1" t="s">
        <v>18</v>
      </c>
      <c r="H615" s="1" t="s">
        <v>19</v>
      </c>
      <c r="I615" s="1" t="s">
        <v>20</v>
      </c>
      <c r="J615" s="1" t="s">
        <v>2946</v>
      </c>
      <c r="K615" s="1" t="s">
        <v>22</v>
      </c>
      <c r="L615" s="1" t="str">
        <f>HYPERLINK("https://files.afu.se/Downloads/Transcripts/0%20-%20Government/USA%20-%20NASA/2020 01 25 - NASA - A Critical Test for Our Commercial Crew Program on This Week @NASA – January 25, 2020_4C3wWknliQQ - transcript (automated).pdf","Transcript Link")</f>
        <v>Transcript Link</v>
      </c>
      <c r="M615" s="2" t="str">
        <f>HYPERLINK("https://files.afu.se/Downloads/Transcripts/0%20-%20Government/USA%20-%20NASA/2020 01 25 - NASA - A Critical Test for Our Commercial Crew Program on This Week @NASA – January 25, 2020_4C3wWknliQQ - transcript (automated).pdf","Transcript Link")</f>
        <v>Transcript Link</v>
      </c>
    </row>
    <row r="616" ht="210" spans="1:13">
      <c r="A616" s="1" t="s">
        <v>2947</v>
      </c>
      <c r="B616" s="1" t="s">
        <v>13</v>
      </c>
      <c r="C616" s="4" t="s">
        <v>2948</v>
      </c>
      <c r="D616" s="1" t="s">
        <v>2949</v>
      </c>
      <c r="E616" s="1" t="s">
        <v>2950</v>
      </c>
      <c r="F616" s="4" t="s">
        <v>17</v>
      </c>
      <c r="G616" s="1" t="s">
        <v>18</v>
      </c>
      <c r="H616" s="1" t="s">
        <v>19</v>
      </c>
      <c r="I616" s="1" t="s">
        <v>20</v>
      </c>
      <c r="J616" s="1" t="s">
        <v>2951</v>
      </c>
      <c r="K616" s="1" t="s">
        <v>22</v>
      </c>
      <c r="L616" s="1" t="str">
        <f>HYPERLINK("https://files.afu.se/Downloads/Transcripts/0%20-%20Government/USA%20-%20NASA/2020 01 20 - NASA - Happy 90th Birthday Buzz Aldrin!_gkYhcyn5fdU - transcript (automated).pdf","Transcript Link")</f>
        <v>Transcript Link</v>
      </c>
      <c r="M616" s="2" t="str">
        <f>HYPERLINK("https://files.afu.se/Downloads/Transcripts/0%20-%20Government/USA%20-%20NASA/2020 01 20 - NASA - Happy 90th Birthday Buzz Aldrin!_gkYhcyn5fdU - transcript (automated).pdf","Transcript Link")</f>
        <v>Transcript Link</v>
      </c>
    </row>
    <row r="617" ht="165" spans="1:13">
      <c r="A617" s="1" t="s">
        <v>2952</v>
      </c>
      <c r="B617" s="1" t="s">
        <v>13</v>
      </c>
      <c r="C617" s="4" t="s">
        <v>2953</v>
      </c>
      <c r="D617" s="1" t="s">
        <v>2954</v>
      </c>
      <c r="E617" s="1" t="s">
        <v>2955</v>
      </c>
      <c r="F617" s="4" t="s">
        <v>17</v>
      </c>
      <c r="G617" s="1" t="s">
        <v>18</v>
      </c>
      <c r="H617" s="1" t="s">
        <v>19</v>
      </c>
      <c r="I617" s="1" t="s">
        <v>20</v>
      </c>
      <c r="J617" s="1" t="s">
        <v>2956</v>
      </c>
      <c r="K617" s="1" t="s">
        <v>22</v>
      </c>
      <c r="L617" s="1" t="str">
        <f>HYPERLINK("https://files.afu.se/Downloads/Transcripts/0%20-%20Government/USA%20-%20NASA/2020 01 18 - NASA - Battery Upgrades Resume Aboard the Space Station on This Week @NASA – January 18, 2020_-O8c0B5h4WA - transcript (automated).pdf","Transcript Link")</f>
        <v>Transcript Link</v>
      </c>
      <c r="M617" s="2" t="str">
        <f>HYPERLINK("https://files.afu.se/Downloads/Transcripts/0%20-%20Government/USA%20-%20NASA/2020 01 18 - NASA - Battery Upgrades Resume Aboard the Space Station on This Week @NASA – January 18, 2020_-O8c0B5h4WA - transcript (automated).pdf","Transcript Link")</f>
        <v>Transcript Link</v>
      </c>
    </row>
    <row r="618" ht="165" spans="1:13">
      <c r="A618" s="1" t="s">
        <v>2957</v>
      </c>
      <c r="B618" s="1" t="s">
        <v>13</v>
      </c>
      <c r="C618" s="4" t="s">
        <v>2958</v>
      </c>
      <c r="D618" s="1" t="s">
        <v>2959</v>
      </c>
      <c r="E618" s="1" t="s">
        <v>2960</v>
      </c>
      <c r="F618" s="4" t="s">
        <v>17</v>
      </c>
      <c r="G618" s="1" t="s">
        <v>18</v>
      </c>
      <c r="H618" s="1" t="s">
        <v>19</v>
      </c>
      <c r="I618" s="1" t="s">
        <v>20</v>
      </c>
      <c r="J618" s="1" t="s">
        <v>2961</v>
      </c>
      <c r="K618" s="1" t="s">
        <v>22</v>
      </c>
      <c r="L618" s="1" t="str">
        <f>HYPERLINK("https://files.afu.se/Downloads/Transcripts/0%20-%20Government/USA%20-%20NASA/2020 01 16 - NASA - Episode 01  The Orbital Test Flight of Boeing’s Starliner_ryPKdGVNtJo - transcript (automated).pdf","Transcript Link")</f>
        <v>Transcript Link</v>
      </c>
      <c r="M618" s="2" t="str">
        <f>HYPERLINK("https://files.afu.se/Downloads/Transcripts/0%20-%20Government/USA%20-%20NASA/2020 01 16 - NASA - Episode 01  The Orbital Test Flight of Boeing’s Starliner_ryPKdGVNtJo - transcript (automated).pdf","Transcript Link")</f>
        <v>Transcript Link</v>
      </c>
    </row>
    <row r="619" ht="210" spans="1:13">
      <c r="A619" s="1" t="s">
        <v>2962</v>
      </c>
      <c r="B619" s="1" t="s">
        <v>13</v>
      </c>
      <c r="C619" s="4" t="s">
        <v>2963</v>
      </c>
      <c r="D619" s="1" t="s">
        <v>2964</v>
      </c>
      <c r="E619" s="1" t="s">
        <v>2965</v>
      </c>
      <c r="F619" s="4" t="s">
        <v>17</v>
      </c>
      <c r="G619" s="1" t="s">
        <v>18</v>
      </c>
      <c r="H619" s="1" t="s">
        <v>19</v>
      </c>
      <c r="I619" s="1" t="s">
        <v>20</v>
      </c>
      <c r="J619" s="1" t="s">
        <v>2966</v>
      </c>
      <c r="K619" s="1" t="s">
        <v>22</v>
      </c>
      <c r="L619" s="1" t="str">
        <f>HYPERLINK("https://files.afu.se/Downloads/Transcripts/0%20-%20Government/USA%20-%20NASA/2020 01 11 - NASA - Artemis Generation  Astronaut Graduation Day_F2zaykKhWyg - transcript (automated).pdf","Transcript Link")</f>
        <v>Transcript Link</v>
      </c>
      <c r="M619" s="2" t="str">
        <f>HYPERLINK("https://files.afu.se/Downloads/Transcripts/0%20-%20Government/USA%20-%20NASA/2020 01 11 - NASA - Artemis Generation  Astronaut Graduation Day_F2zaykKhWyg - transcript (automated).pdf","Transcript Link")</f>
        <v>Transcript Link</v>
      </c>
    </row>
    <row r="620" ht="165" spans="1:13">
      <c r="A620" s="1" t="s">
        <v>2967</v>
      </c>
      <c r="B620" s="1" t="s">
        <v>13</v>
      </c>
      <c r="C620" s="4" t="s">
        <v>2968</v>
      </c>
      <c r="D620" s="1" t="s">
        <v>2969</v>
      </c>
      <c r="E620" s="1" t="s">
        <v>2970</v>
      </c>
      <c r="F620" s="4" t="s">
        <v>17</v>
      </c>
      <c r="G620" s="1" t="s">
        <v>18</v>
      </c>
      <c r="H620" s="1" t="s">
        <v>19</v>
      </c>
      <c r="I620" s="1" t="s">
        <v>20</v>
      </c>
      <c r="J620" s="1" t="s">
        <v>2971</v>
      </c>
      <c r="K620" s="1" t="s">
        <v>22</v>
      </c>
      <c r="L620" s="1" t="str">
        <f>HYPERLINK("https://files.afu.se/Downloads/Transcripts/0%20-%20Government/USA%20-%20NASA/2020 01 10 - NASA - The First Graduating Class of Artemis Astronauts on This Week @NASA – January 10, 2020_HRgOZ-cj2ro - transcript (automated).pdf","Transcript Link")</f>
        <v>Transcript Link</v>
      </c>
      <c r="M620" s="2" t="str">
        <f>HYPERLINK("https://files.afu.se/Downloads/Transcripts/0%20-%20Government/USA%20-%20NASA/2020 01 10 - NASA - The First Graduating Class of Artemis Astronauts on This Week @NASA – January 10, 2020_HRgOZ-cj2ro - transcript (automated).pdf","Transcript Link")</f>
        <v>Transcript Link</v>
      </c>
    </row>
    <row r="621" ht="165" spans="1:13">
      <c r="A621" s="1" t="s">
        <v>2967</v>
      </c>
      <c r="B621" s="1" t="s">
        <v>13</v>
      </c>
      <c r="C621" s="4" t="s">
        <v>2972</v>
      </c>
      <c r="D621" s="1" t="s">
        <v>2973</v>
      </c>
      <c r="E621" s="1" t="s">
        <v>2974</v>
      </c>
      <c r="F621" s="4" t="s">
        <v>17</v>
      </c>
      <c r="G621" s="1" t="s">
        <v>18</v>
      </c>
      <c r="H621" s="1" t="s">
        <v>19</v>
      </c>
      <c r="I621" s="1" t="s">
        <v>20</v>
      </c>
      <c r="J621" s="1" t="s">
        <v>2975</v>
      </c>
      <c r="K621" s="1" t="s">
        <v>22</v>
      </c>
      <c r="L621" s="1" t="str">
        <f>HYPERLINK("https://files.afu.se/Downloads/Transcripts/0%20-%20Government/USA%20-%20NASA/2020 01 10 - NASA - Dreamed Of This_ma6wr5mTsbg - transcript (automated).pdf","Transcript Link")</f>
        <v>Transcript Link</v>
      </c>
      <c r="M621" s="2" t="str">
        <f>HYPERLINK("https://files.afu.se/Downloads/Transcripts/0%20-%20Government/USA%20-%20NASA/2020 01 10 - NASA - Dreamed Of This_ma6wr5mTsbg - transcript (automated).pdf","Transcript Link")</f>
        <v>Transcript Link</v>
      </c>
    </row>
    <row r="622" ht="300" spans="1:13">
      <c r="A622" s="1" t="s">
        <v>2976</v>
      </c>
      <c r="B622" s="1" t="s">
        <v>13</v>
      </c>
      <c r="C622" s="4" t="s">
        <v>2977</v>
      </c>
      <c r="D622" s="1" t="s">
        <v>2978</v>
      </c>
      <c r="E622" s="1" t="s">
        <v>2979</v>
      </c>
      <c r="F622" s="4" t="s">
        <v>17</v>
      </c>
      <c r="G622" s="1" t="s">
        <v>18</v>
      </c>
      <c r="H622" s="1" t="s">
        <v>19</v>
      </c>
      <c r="I622" s="1" t="s">
        <v>20</v>
      </c>
      <c r="J622" s="1" t="s">
        <v>2980</v>
      </c>
      <c r="K622" s="1" t="s">
        <v>22</v>
      </c>
      <c r="L622" s="1" t="str">
        <f>HYPERLINK("https://files.afu.se/Downloads/Transcripts/0%20-%20Government/USA%20-%20NASA/2020 01 09 - NASA - 300 Days in Space for Christina Koch_hkKaaVnzm8A - transcript (automated).pdf","Transcript Link")</f>
        <v>Transcript Link</v>
      </c>
      <c r="M622" s="2" t="str">
        <f>HYPERLINK("https://files.afu.se/Downloads/Transcripts/0%20-%20Government/USA%20-%20NASA/2020 01 09 - NASA - 300 Days in Space for Christina Koch_hkKaaVnzm8A - transcript (automated).pdf","Transcript Link")</f>
        <v>Transcript Link</v>
      </c>
    </row>
    <row r="623" ht="255" spans="1:13">
      <c r="A623" s="1" t="s">
        <v>2981</v>
      </c>
      <c r="B623" s="1" t="s">
        <v>13</v>
      </c>
      <c r="C623" s="4" t="s">
        <v>2982</v>
      </c>
      <c r="D623" s="1" t="s">
        <v>2983</v>
      </c>
      <c r="E623" s="1" t="s">
        <v>2984</v>
      </c>
      <c r="F623" s="4" t="s">
        <v>17</v>
      </c>
      <c r="G623" s="1" t="s">
        <v>18</v>
      </c>
      <c r="H623" s="1" t="s">
        <v>19</v>
      </c>
      <c r="I623" s="1" t="s">
        <v>20</v>
      </c>
      <c r="J623" s="1" t="s">
        <v>2985</v>
      </c>
      <c r="K623" s="1" t="s">
        <v>22</v>
      </c>
      <c r="L623" s="1" t="str">
        <f>HYPERLINK("https://files.afu.se/Downloads/Transcripts/0%20-%20Government/USA%20-%20NASA/2020 01 06 - NASA - %23AskNASA┃ Is the Sun a ball of fire _vhj5OYwND14 - transcript (automated).pdf","Transcript Link")</f>
        <v>Transcript Link</v>
      </c>
      <c r="M623" s="2" t="str">
        <f>HYPERLINK("https://files.afu.se/Downloads/Transcripts/0%20-%20Government/USA%20-%20NASA/2020 01 06 - NASA - %23AskNASA┃ Is the Sun a ball of fire _vhj5OYwND14 - transcript (automated).pdf","Transcript Link")</f>
        <v>Transcript Link</v>
      </c>
    </row>
    <row r="624" ht="165" spans="1:13">
      <c r="A624" s="1" t="s">
        <v>2986</v>
      </c>
      <c r="B624" s="1" t="s">
        <v>13</v>
      </c>
      <c r="C624" s="4" t="s">
        <v>2987</v>
      </c>
      <c r="D624" s="1" t="s">
        <v>2988</v>
      </c>
      <c r="E624" s="1" t="s">
        <v>2989</v>
      </c>
      <c r="F624" s="4" t="s">
        <v>17</v>
      </c>
      <c r="G624" s="1" t="s">
        <v>18</v>
      </c>
      <c r="H624" s="1" t="s">
        <v>19</v>
      </c>
      <c r="I624" s="1" t="s">
        <v>20</v>
      </c>
      <c r="J624" s="1" t="s">
        <v>2990</v>
      </c>
      <c r="K624" s="1" t="s">
        <v>22</v>
      </c>
      <c r="L624" s="1" t="str">
        <f>HYPERLINK("https://files.afu.se/Downloads/Transcripts/0%20-%20Government/USA%20-%20NASA/2019 12 31 - NASA - NASA 2020  Are You Ready _mB1nAzriqRQ - transcript (automated).pdf","Transcript Link")</f>
        <v>Transcript Link</v>
      </c>
      <c r="M624" s="2" t="str">
        <f>HYPERLINK("https://files.afu.se/Downloads/Transcripts/0%20-%20Government/USA%20-%20NASA/2019 12 31 - NASA - NASA 2020  Are You Ready _mB1nAzriqRQ - transcript (automated).pdf","Transcript Link")</f>
        <v>Transcript Link</v>
      </c>
    </row>
    <row r="625" ht="165" spans="1:13">
      <c r="A625" s="1" t="s">
        <v>2991</v>
      </c>
      <c r="B625" s="1" t="s">
        <v>13</v>
      </c>
      <c r="C625" s="4" t="s">
        <v>2992</v>
      </c>
      <c r="D625" s="1" t="s">
        <v>2993</v>
      </c>
      <c r="E625" s="1" t="s">
        <v>2994</v>
      </c>
      <c r="F625" s="4" t="s">
        <v>17</v>
      </c>
      <c r="G625" s="1" t="s">
        <v>18</v>
      </c>
      <c r="H625" s="1" t="s">
        <v>19</v>
      </c>
      <c r="I625" s="1" t="s">
        <v>20</v>
      </c>
      <c r="J625" s="1" t="s">
        <v>2995</v>
      </c>
      <c r="K625" s="1" t="s">
        <v>22</v>
      </c>
      <c r="L625" s="1" t="str">
        <f>HYPERLINK("https://files.afu.se/Downloads/Transcripts/0%20-%20Government/USA%20-%20NASA/2019 12 29 - NASA - U.S. Spaceflight Duration Records_Xj65u8kTXIk - transcript (automated).pdf","Transcript Link")</f>
        <v>Transcript Link</v>
      </c>
      <c r="M625" s="2" t="str">
        <f>HYPERLINK("https://files.afu.se/Downloads/Transcripts/0%20-%20Government/USA%20-%20NASA/2019 12 29 - NASA - U.S. Spaceflight Duration Records_Xj65u8kTXIk - transcript (automated).pdf","Transcript Link")</f>
        <v>Transcript Link</v>
      </c>
    </row>
    <row r="626" ht="195" spans="1:13">
      <c r="A626" s="1" t="s">
        <v>2996</v>
      </c>
      <c r="B626" s="1" t="s">
        <v>13</v>
      </c>
      <c r="C626" s="4" t="s">
        <v>2997</v>
      </c>
      <c r="D626" s="1" t="s">
        <v>996</v>
      </c>
      <c r="E626" s="1" t="s">
        <v>2998</v>
      </c>
      <c r="F626" s="4" t="s">
        <v>17</v>
      </c>
      <c r="G626" s="1" t="s">
        <v>18</v>
      </c>
      <c r="H626" s="1" t="s">
        <v>19</v>
      </c>
      <c r="I626" s="1" t="s">
        <v>20</v>
      </c>
      <c r="J626" s="1" t="s">
        <v>2999</v>
      </c>
      <c r="K626" s="1" t="s">
        <v>22</v>
      </c>
      <c r="L626" s="1" t="str">
        <f>HYPERLINK("https://files.afu.se/Downloads/Transcripts/0%20-%20Government/USA%20-%20NASA/2019 12 25 - NASA - Season’s Greetings from NASA_H5KwmZDcYLY - transcript (automated).pdf","Transcript Link")</f>
        <v>Transcript Link</v>
      </c>
      <c r="M626" s="2" t="str">
        <f>HYPERLINK("https://files.afu.se/Downloads/Transcripts/0%20-%20Government/USA%20-%20NASA/2019 12 25 - NASA - Season’s Greetings from NASA_H5KwmZDcYLY - transcript (automated).pdf","Transcript Link")</f>
        <v>Transcript Link</v>
      </c>
    </row>
    <row r="627" ht="180" spans="1:13">
      <c r="A627" s="1" t="s">
        <v>3000</v>
      </c>
      <c r="B627" s="1" t="s">
        <v>13</v>
      </c>
      <c r="C627" s="4" t="s">
        <v>3001</v>
      </c>
      <c r="D627" s="1" t="s">
        <v>3002</v>
      </c>
      <c r="E627" s="1" t="s">
        <v>3003</v>
      </c>
      <c r="F627" s="4" t="s">
        <v>17</v>
      </c>
      <c r="G627" s="1" t="s">
        <v>18</v>
      </c>
      <c r="H627" s="1" t="s">
        <v>19</v>
      </c>
      <c r="I627" s="1" t="s">
        <v>20</v>
      </c>
      <c r="J627" s="1" t="s">
        <v>3004</v>
      </c>
      <c r="K627" s="1" t="s">
        <v>22</v>
      </c>
      <c r="L627" s="1" t="str">
        <f>HYPERLINK("https://files.afu.se/Downloads/Transcripts/0%20-%20Government/USA%20-%20NASA/2019 12 23 - NASA - NASA’s Moon to Mars Plans, Artemis Lunar Program Gets Fast Tracked in 2019_9SUNH61QbH0 - transcript (automated).pdf","Transcript Link")</f>
        <v>Transcript Link</v>
      </c>
      <c r="M627" s="2" t="str">
        <f>HYPERLINK("https://files.afu.se/Downloads/Transcripts/0%20-%20Government/USA%20-%20NASA/2019 12 23 - NASA - NASA’s Moon to Mars Plans, Artemis Lunar Program Gets Fast Tracked in 2019_9SUNH61QbH0 - transcript (automated).pdf","Transcript Link")</f>
        <v>Transcript Link</v>
      </c>
    </row>
    <row r="628" ht="165" spans="1:13">
      <c r="A628" s="1" t="s">
        <v>3005</v>
      </c>
      <c r="B628" s="1" t="s">
        <v>13</v>
      </c>
      <c r="C628" s="4" t="s">
        <v>3006</v>
      </c>
      <c r="D628" s="1" t="s">
        <v>3007</v>
      </c>
      <c r="E628" s="1" t="s">
        <v>3008</v>
      </c>
      <c r="F628" s="4" t="s">
        <v>17</v>
      </c>
      <c r="G628" s="1" t="s">
        <v>18</v>
      </c>
      <c r="H628" s="1" t="s">
        <v>19</v>
      </c>
      <c r="I628" s="1" t="s">
        <v>20</v>
      </c>
      <c r="J628" s="1" t="s">
        <v>3009</v>
      </c>
      <c r="K628" s="1" t="s">
        <v>22</v>
      </c>
      <c r="L628" s="1" t="str">
        <f>HYPERLINK("https://files.afu.se/Downloads/Transcripts/0%20-%20Government/USA%20-%20NASA/2019 12 19 - NASA - How We Are Going to the Moon - 4K__T8cn2J13-4 - transcript (automated).pdf","Transcript Link")</f>
        <v>Transcript Link</v>
      </c>
      <c r="M628" s="2" t="str">
        <f>HYPERLINK("https://files.afu.se/Downloads/Transcripts/0%20-%20Government/USA%20-%20NASA/2019 12 19 - NASA - How We Are Going to the Moon - 4K__T8cn2J13-4 - transcript (automated).pdf","Transcript Link")</f>
        <v>Transcript Link</v>
      </c>
    </row>
    <row r="629" ht="360" spans="1:13">
      <c r="A629" s="1" t="s">
        <v>3010</v>
      </c>
      <c r="B629" s="1" t="s">
        <v>13</v>
      </c>
      <c r="C629" s="4" t="s">
        <v>3011</v>
      </c>
      <c r="D629" s="1" t="s">
        <v>3012</v>
      </c>
      <c r="E629" s="1" t="s">
        <v>3013</v>
      </c>
      <c r="F629" s="4" t="s">
        <v>17</v>
      </c>
      <c r="G629" s="1" t="s">
        <v>18</v>
      </c>
      <c r="H629" s="1" t="s">
        <v>19</v>
      </c>
      <c r="I629" s="1" t="s">
        <v>20</v>
      </c>
      <c r="J629" s="1" t="s">
        <v>3014</v>
      </c>
      <c r="K629" s="1" t="s">
        <v>22</v>
      </c>
      <c r="L629" s="1" t="str">
        <f>HYPERLINK("https://files.afu.se/Downloads/Transcripts/0%20-%20Government/USA%20-%20NASA/2019 12 16 - NASA - %23AskNASA┃ How Will Astronauts Live at the Moon _fGkZjciAV1A - transcript (automated).pdf","Transcript Link")</f>
        <v>Transcript Link</v>
      </c>
      <c r="M629" s="2" t="str">
        <f>HYPERLINK("https://files.afu.se/Downloads/Transcripts/0%20-%20Government/USA%20-%20NASA/2019 12 16 - NASA - %23AskNASA┃ How Will Astronauts Live at the Moon _fGkZjciAV1A - transcript (automated).pdf","Transcript Link")</f>
        <v>Transcript Link</v>
      </c>
    </row>
    <row r="630" ht="165" spans="1:13">
      <c r="A630" s="1" t="s">
        <v>3015</v>
      </c>
      <c r="B630" s="1" t="s">
        <v>13</v>
      </c>
      <c r="C630" s="4" t="s">
        <v>3016</v>
      </c>
      <c r="D630" s="1" t="s">
        <v>3017</v>
      </c>
      <c r="E630" s="1" t="s">
        <v>3018</v>
      </c>
      <c r="F630" s="4" t="s">
        <v>17</v>
      </c>
      <c r="G630" s="1" t="s">
        <v>18</v>
      </c>
      <c r="H630" s="1" t="s">
        <v>19</v>
      </c>
      <c r="I630" s="1" t="s">
        <v>20</v>
      </c>
      <c r="J630" s="1" t="s">
        <v>3019</v>
      </c>
      <c r="K630" s="1" t="s">
        <v>22</v>
      </c>
      <c r="L630" s="1" t="str">
        <f>HYPERLINK("https://files.afu.se/Downloads/Transcripts/0%20-%20Government/USA%20-%20NASA/2019 12 13 - NASA - Don’t Miss 2019’s Geminid Meteor Shower_60JAciOhi2A - transcript (automated).pdf","Transcript Link")</f>
        <v>Transcript Link</v>
      </c>
      <c r="M630" s="2" t="str">
        <f>HYPERLINK("https://files.afu.se/Downloads/Transcripts/0%20-%20Government/USA%20-%20NASA/2019 12 13 - NASA - Don’t Miss 2019’s Geminid Meteor Shower_60JAciOhi2A - transcript (automated).pdf","Transcript Link")</f>
        <v>Transcript Link</v>
      </c>
    </row>
    <row r="631" ht="165" spans="1:13">
      <c r="A631" s="1" t="s">
        <v>3020</v>
      </c>
      <c r="B631" s="1" t="s">
        <v>13</v>
      </c>
      <c r="C631" s="4" t="s">
        <v>3021</v>
      </c>
      <c r="D631" s="1" t="s">
        <v>3022</v>
      </c>
      <c r="E631" s="1" t="s">
        <v>3023</v>
      </c>
      <c r="F631" s="4" t="s">
        <v>17</v>
      </c>
      <c r="G631" s="1" t="s">
        <v>18</v>
      </c>
      <c r="H631" s="1" t="s">
        <v>19</v>
      </c>
      <c r="I631" s="1" t="s">
        <v>20</v>
      </c>
      <c r="J631" s="1" t="s">
        <v>3024</v>
      </c>
      <c r="K631" s="1" t="s">
        <v>22</v>
      </c>
      <c r="L631" s="1" t="str">
        <f>HYPERLINK("https://files.afu.se/Downloads/Transcripts/0%20-%20Government/USA%20-%20NASA/2019 12 09 - NASA - Highlighting the Most Powerful Rocket Ever Built at Artemis Day_fCpnQYYas0c - transcript (automated).pdf","Transcript Link")</f>
        <v>Transcript Link</v>
      </c>
      <c r="M631" s="2" t="str">
        <f>HYPERLINK("https://files.afu.se/Downloads/Transcripts/0%20-%20Government/USA%20-%20NASA/2019 12 09 - NASA - Highlighting the Most Powerful Rocket Ever Built at Artemis Day_fCpnQYYas0c - transcript (automated).pdf","Transcript Link")</f>
        <v>Transcript Link</v>
      </c>
    </row>
    <row r="632" ht="165" spans="1:13">
      <c r="A632" s="1" t="s">
        <v>3025</v>
      </c>
      <c r="B632" s="1" t="s">
        <v>13</v>
      </c>
      <c r="C632" s="4" t="s">
        <v>3026</v>
      </c>
      <c r="D632" s="1" t="s">
        <v>3027</v>
      </c>
      <c r="E632" s="1" t="s">
        <v>3028</v>
      </c>
      <c r="F632" s="4" t="s">
        <v>17</v>
      </c>
      <c r="G632" s="1" t="s">
        <v>18</v>
      </c>
      <c r="H632" s="1" t="s">
        <v>19</v>
      </c>
      <c r="I632" s="1" t="s">
        <v>20</v>
      </c>
      <c r="J632" s="1" t="s">
        <v>3029</v>
      </c>
      <c r="K632" s="1" t="s">
        <v>22</v>
      </c>
      <c r="L632" s="1" t="str">
        <f>HYPERLINK("https://files.afu.se/Downloads/Transcripts/0%20-%20Government/USA%20-%20NASA/2019 12 06 - NASA - New Cooling System for a Device on the Space Station on This Week @NASA – December 6, 2019_xBRRU2-etAQ - transcript (automated).pdf","Transcript Link")</f>
        <v>Transcript Link</v>
      </c>
      <c r="M632" s="2" t="str">
        <f>HYPERLINK("https://files.afu.se/Downloads/Transcripts/0%20-%20Government/USA%20-%20NASA/2019 12 06 - NASA - New Cooling System for a Device on the Space Station on This Week @NASA – December 6, 2019_xBRRU2-etAQ - transcript (automated).pdf","Transcript Link")</f>
        <v>Transcript Link</v>
      </c>
    </row>
    <row r="633" ht="165" spans="1:13">
      <c r="A633" s="1" t="s">
        <v>3030</v>
      </c>
      <c r="B633" s="1" t="s">
        <v>13</v>
      </c>
      <c r="C633" s="4" t="s">
        <v>3031</v>
      </c>
      <c r="D633" s="1" t="s">
        <v>3032</v>
      </c>
      <c r="E633" s="1" t="s">
        <v>3033</v>
      </c>
      <c r="F633" s="4" t="s">
        <v>17</v>
      </c>
      <c r="G633" s="1" t="s">
        <v>18</v>
      </c>
      <c r="H633" s="1" t="s">
        <v>19</v>
      </c>
      <c r="I633" s="1" t="s">
        <v>20</v>
      </c>
      <c r="J633" s="1" t="s">
        <v>3034</v>
      </c>
      <c r="K633" s="1" t="s">
        <v>22</v>
      </c>
      <c r="L633" s="1" t="str">
        <f>HYPERLINK("https://files.afu.se/Downloads/Transcripts/0%20-%20Government/USA%20-%20NASA/2019 12 04 - NASA - What Launches to Space On SpaceX’s 19th Cargo Mission _w6BP5H7VOIU - transcript (automated).pdf","Transcript Link")</f>
        <v>Transcript Link</v>
      </c>
      <c r="M633" s="2" t="str">
        <f>HYPERLINK("https://files.afu.se/Downloads/Transcripts/0%20-%20Government/USA%20-%20NASA/2019 12 04 - NASA - What Launches to Space On SpaceX’s 19th Cargo Mission _w6BP5H7VOIU - transcript (automated).pdf","Transcript Link")</f>
        <v>Transcript Link</v>
      </c>
    </row>
    <row r="634" ht="195" spans="1:13">
      <c r="A634" s="1" t="s">
        <v>3035</v>
      </c>
      <c r="B634" s="1" t="s">
        <v>13</v>
      </c>
      <c r="C634" s="4" t="s">
        <v>3036</v>
      </c>
      <c r="D634" s="1" t="s">
        <v>3037</v>
      </c>
      <c r="E634" s="1" t="s">
        <v>3038</v>
      </c>
      <c r="F634" s="4" t="s">
        <v>17</v>
      </c>
      <c r="G634" s="1" t="s">
        <v>18</v>
      </c>
      <c r="H634" s="1" t="s">
        <v>19</v>
      </c>
      <c r="I634" s="1" t="s">
        <v>20</v>
      </c>
      <c r="J634" s="1" t="s">
        <v>3039</v>
      </c>
      <c r="K634" s="1" t="s">
        <v>22</v>
      </c>
      <c r="L634" s="1" t="str">
        <f>HYPERLINK("https://files.afu.se/Downloads/Transcripts/0%20-%20Government/USA%20-%20NASA/2019 12 03 - NASA - %23AskNASA┃ How Do We Get New Science to the Moon _RvMPoS4DqYE - transcript (automated).pdf","Transcript Link")</f>
        <v>Transcript Link</v>
      </c>
      <c r="M634" s="2" t="str">
        <f>HYPERLINK("https://files.afu.se/Downloads/Transcripts/0%20-%20Government/USA%20-%20NASA/2019 12 03 - NASA - %23AskNASA┃ How Do We Get New Science to the Moon _RvMPoS4DqYE - transcript (automated).pdf","Transcript Link")</f>
        <v>Transcript Link</v>
      </c>
    </row>
    <row r="635" ht="165" spans="1:13">
      <c r="A635" s="1" t="s">
        <v>3040</v>
      </c>
      <c r="B635" s="1" t="s">
        <v>13</v>
      </c>
      <c r="C635" s="4" t="s">
        <v>3041</v>
      </c>
      <c r="D635" s="1" t="s">
        <v>3042</v>
      </c>
      <c r="E635" s="1" t="s">
        <v>3043</v>
      </c>
      <c r="F635" s="4" t="s">
        <v>17</v>
      </c>
      <c r="G635" s="1" t="s">
        <v>18</v>
      </c>
      <c r="H635" s="1" t="s">
        <v>19</v>
      </c>
      <c r="I635" s="1" t="s">
        <v>20</v>
      </c>
      <c r="J635" s="1" t="s">
        <v>3044</v>
      </c>
      <c r="K635" s="1" t="s">
        <v>22</v>
      </c>
      <c r="L635" s="1" t="str">
        <f>HYPERLINK("https://files.afu.se/Downloads/Transcripts/0%20-%20Government/USA%20-%20NASA/2019 11 29 - NASA - Orion Spacecraft Arrives in Ohio for Testing on This Week @NASA – November 29, 2019_Ue4YSdph7TQ - transcript (automated).pdf","Transcript Link")</f>
        <v>Transcript Link</v>
      </c>
      <c r="M635" s="2" t="str">
        <f>HYPERLINK("https://files.afu.se/Downloads/Transcripts/0%20-%20Government/USA%20-%20NASA/2019 11 29 - NASA - Orion Spacecraft Arrives in Ohio for Testing on This Week @NASA – November 29, 2019_Ue4YSdph7TQ - transcript (automated).pdf","Transcript Link")</f>
        <v>Transcript Link</v>
      </c>
    </row>
    <row r="636" ht="165" spans="1:13">
      <c r="A636" s="1" t="s">
        <v>3045</v>
      </c>
      <c r="B636" s="1" t="s">
        <v>13</v>
      </c>
      <c r="C636" s="4" t="s">
        <v>3046</v>
      </c>
      <c r="D636" s="1" t="s">
        <v>3047</v>
      </c>
      <c r="E636" s="1" t="s">
        <v>3048</v>
      </c>
      <c r="F636" s="4" t="s">
        <v>17</v>
      </c>
      <c r="G636" s="1" t="s">
        <v>18</v>
      </c>
      <c r="H636" s="1" t="s">
        <v>19</v>
      </c>
      <c r="I636" s="1" t="s">
        <v>20</v>
      </c>
      <c r="J636" s="1" t="s">
        <v>3049</v>
      </c>
      <c r="K636" s="1" t="s">
        <v>22</v>
      </c>
      <c r="L636" s="1" t="str">
        <f>HYPERLINK("https://files.afu.se/Downloads/Transcripts/0%20-%20Government/USA%20-%20NASA/2019 11 28 - NASA - Thanksgiving Video Message from NASA Astronauts in Space_VkFSqdoTSms - transcript (automated).pdf","Transcript Link")</f>
        <v>Transcript Link</v>
      </c>
      <c r="M636" s="2" t="str">
        <f>HYPERLINK("https://files.afu.se/Downloads/Transcripts/0%20-%20Government/USA%20-%20NASA/2019 11 28 - NASA - Thanksgiving Video Message from NASA Astronauts in Space_VkFSqdoTSms - transcript (automated).pdf","Transcript Link")</f>
        <v>Transcript Link</v>
      </c>
    </row>
    <row r="637" ht="180" spans="1:13">
      <c r="A637" s="1" t="s">
        <v>3045</v>
      </c>
      <c r="B637" s="1" t="s">
        <v>13</v>
      </c>
      <c r="C637" s="4" t="s">
        <v>3050</v>
      </c>
      <c r="D637" s="1" t="s">
        <v>3051</v>
      </c>
      <c r="E637" s="1" t="s">
        <v>3052</v>
      </c>
      <c r="F637" s="4" t="s">
        <v>17</v>
      </c>
      <c r="G637" s="1" t="s">
        <v>18</v>
      </c>
      <c r="H637" s="1" t="s">
        <v>19</v>
      </c>
      <c r="I637" s="1" t="s">
        <v>20</v>
      </c>
      <c r="J637" s="1" t="s">
        <v>3053</v>
      </c>
      <c r="K637" s="1" t="s">
        <v>22</v>
      </c>
      <c r="L637" s="1" t="str">
        <f>HYPERLINK("https://files.afu.se/Downloads/Transcripts/0%20-%20Government/USA%20-%20NASA/2019 11 28 - NASA - Happy Thanksgiving from NASA_LEmQY4O6E4k - transcript (automated).pdf","Transcript Link")</f>
        <v>Transcript Link</v>
      </c>
      <c r="M637" s="2" t="str">
        <f>HYPERLINK("https://files.afu.se/Downloads/Transcripts/0%20-%20Government/USA%20-%20NASA/2019 11 28 - NASA - Happy Thanksgiving from NASA_LEmQY4O6E4k - transcript (automated).pdf","Transcript Link")</f>
        <v>Transcript Link</v>
      </c>
    </row>
    <row r="638" ht="165" spans="1:13">
      <c r="A638" s="1" t="s">
        <v>3054</v>
      </c>
      <c r="B638" s="1" t="s">
        <v>13</v>
      </c>
      <c r="C638" s="4" t="s">
        <v>3055</v>
      </c>
      <c r="D638" s="1" t="s">
        <v>3056</v>
      </c>
      <c r="E638" s="1" t="s">
        <v>3057</v>
      </c>
      <c r="F638" s="4" t="s">
        <v>17</v>
      </c>
      <c r="G638" s="1" t="s">
        <v>18</v>
      </c>
      <c r="H638" s="1" t="s">
        <v>19</v>
      </c>
      <c r="I638" s="1" t="s">
        <v>20</v>
      </c>
      <c r="J638" s="1" t="s">
        <v>3058</v>
      </c>
      <c r="K638" s="1" t="s">
        <v>22</v>
      </c>
      <c r="L638" s="1" t="str">
        <f>HYPERLINK("https://files.afu.se/Downloads/Transcripts/0%20-%20Government/USA%20-%20NASA/2019 11 22 - NASA - Space Station Spacewalkers Work on a Cosmic Particle Detector on This Week @NASA – November 22, 2019_uanbL9a3gM0 - transcript (automated).pdf","Transcript Link")</f>
        <v>Transcript Link</v>
      </c>
      <c r="M638" s="2" t="str">
        <f>HYPERLINK("https://files.afu.se/Downloads/Transcripts/0%20-%20Government/USA%20-%20NASA/2019 11 22 - NASA - Space Station Spacewalkers Work on a Cosmic Particle Detector on This Week @NASA – November 22, 2019_uanbL9a3gM0 - transcript (automated).pdf","Transcript Link")</f>
        <v>Transcript Link</v>
      </c>
    </row>
    <row r="639" ht="225" spans="1:13">
      <c r="A639" s="1" t="s">
        <v>3059</v>
      </c>
      <c r="B639" s="1" t="s">
        <v>13</v>
      </c>
      <c r="C639" s="4" t="s">
        <v>3060</v>
      </c>
      <c r="D639" s="1" t="s">
        <v>3061</v>
      </c>
      <c r="E639" s="1" t="s">
        <v>3062</v>
      </c>
      <c r="F639" s="4" t="s">
        <v>17</v>
      </c>
      <c r="G639" s="1" t="s">
        <v>18</v>
      </c>
      <c r="H639" s="1" t="s">
        <v>19</v>
      </c>
      <c r="I639" s="1" t="s">
        <v>20</v>
      </c>
      <c r="J639" s="1" t="s">
        <v>3063</v>
      </c>
      <c r="K639" s="1" t="s">
        <v>22</v>
      </c>
      <c r="L639" s="1" t="str">
        <f>HYPERLINK("https://files.afu.se/Downloads/Transcripts/0%20-%20Government/USA%20-%20NASA/2019 11 21 - NASA - %23EZScience  Our Favorite Star — The Sun_Zx4uqkgLyUE - transcript (automated).pdf","Transcript Link")</f>
        <v>Transcript Link</v>
      </c>
      <c r="M639" s="2" t="str">
        <f>HYPERLINK("https://files.afu.se/Downloads/Transcripts/0%20-%20Government/USA%20-%20NASA/2019 11 21 - NASA - %23EZScience  Our Favorite Star — The Sun_Zx4uqkgLyUE - transcript (automated).pdf","Transcript Link")</f>
        <v>Transcript Link</v>
      </c>
    </row>
    <row r="640" ht="165" spans="1:13">
      <c r="A640" s="1" t="s">
        <v>3064</v>
      </c>
      <c r="B640" s="1" t="s">
        <v>13</v>
      </c>
      <c r="C640" s="4" t="s">
        <v>3065</v>
      </c>
      <c r="D640" s="1" t="s">
        <v>3066</v>
      </c>
      <c r="E640" s="1" t="s">
        <v>3067</v>
      </c>
      <c r="F640" s="4" t="s">
        <v>17</v>
      </c>
      <c r="G640" s="1" t="s">
        <v>18</v>
      </c>
      <c r="H640" s="1" t="s">
        <v>19</v>
      </c>
      <c r="I640" s="1" t="s">
        <v>20</v>
      </c>
      <c r="J640" s="1" t="s">
        <v>3068</v>
      </c>
      <c r="K640" s="1" t="s">
        <v>22</v>
      </c>
      <c r="L640" s="1" t="str">
        <f>HYPERLINK("https://files.afu.se/Downloads/Transcripts/0%20-%20Government/USA%20-%20NASA/2019 11 18 - NASA - New Companies Join Growing Ranks of NASA Partners for Artemis Program_Rxd8gT5oZHU - transcript (automated).pdf","Transcript Link")</f>
        <v>Transcript Link</v>
      </c>
      <c r="M640" s="2" t="str">
        <f>HYPERLINK("https://files.afu.se/Downloads/Transcripts/0%20-%20Government/USA%20-%20NASA/2019 11 18 - NASA - New Companies Join Growing Ranks of NASA Partners for Artemis Program_Rxd8gT5oZHU - transcript (automated).pdf","Transcript Link")</f>
        <v>Transcript Link</v>
      </c>
    </row>
    <row r="641" ht="210" spans="1:13">
      <c r="A641" s="1" t="s">
        <v>3064</v>
      </c>
      <c r="B641" s="1" t="s">
        <v>13</v>
      </c>
      <c r="C641" s="4" t="s">
        <v>3069</v>
      </c>
      <c r="D641" s="1" t="s">
        <v>3070</v>
      </c>
      <c r="E641" s="1" t="s">
        <v>3071</v>
      </c>
      <c r="F641" s="4" t="s">
        <v>17</v>
      </c>
      <c r="G641" s="1" t="s">
        <v>18</v>
      </c>
      <c r="H641" s="1" t="s">
        <v>19</v>
      </c>
      <c r="I641" s="1" t="s">
        <v>20</v>
      </c>
      <c r="J641" s="1" t="s">
        <v>3072</v>
      </c>
      <c r="K641" s="1" t="s">
        <v>22</v>
      </c>
      <c r="L641" s="1" t="str">
        <f>HYPERLINK("https://files.afu.se/Downloads/Transcripts/0%20-%20Government/USA%20-%20NASA/2019 11 18 - NASA - %23AskNASA┃ What is the International Space Station _6MR-qaDaG6w - transcript (automated).pdf","Transcript Link")</f>
        <v>Transcript Link</v>
      </c>
      <c r="M641" s="2" t="str">
        <f>HYPERLINK("https://files.afu.se/Downloads/Transcripts/0%20-%20Government/USA%20-%20NASA/2019 11 18 - NASA - %23AskNASA┃ What is the International Space Station _6MR-qaDaG6w - transcript (automated).pdf","Transcript Link")</f>
        <v>Transcript Link</v>
      </c>
    </row>
    <row r="642" ht="255" spans="1:13">
      <c r="A642" s="1" t="s">
        <v>3073</v>
      </c>
      <c r="B642" s="1" t="s">
        <v>13</v>
      </c>
      <c r="C642" s="4" t="s">
        <v>3074</v>
      </c>
      <c r="D642" s="1" t="s">
        <v>3075</v>
      </c>
      <c r="E642" s="1" t="s">
        <v>3076</v>
      </c>
      <c r="F642" s="4" t="s">
        <v>17</v>
      </c>
      <c r="G642" s="1" t="s">
        <v>18</v>
      </c>
      <c r="H642" s="1" t="s">
        <v>19</v>
      </c>
      <c r="I642" s="1" t="s">
        <v>20</v>
      </c>
      <c r="J642" s="1" t="s">
        <v>3077</v>
      </c>
      <c r="K642" s="1" t="s">
        <v>22</v>
      </c>
      <c r="L642" s="1" t="str">
        <f>HYPERLINK("https://files.afu.se/Downloads/Transcripts/0%20-%20Government/USA%20-%20NASA/2019 11 16 - NASA - Arrokoth  Naming the Kuiper Belt Object Visited by NASA's New Horizons_b9YcPB0qAig - transcript (automated).pdf","Transcript Link")</f>
        <v>Transcript Link</v>
      </c>
      <c r="M642" s="2" t="str">
        <f>HYPERLINK("https://files.afu.se/Downloads/Transcripts/0%20-%20Government/USA%20-%20NASA/2019 11 16 - NASA - Arrokoth  Naming the Kuiper Belt Object Visited by NASA's New Horizons_b9YcPB0qAig - transcript (automated).pdf","Transcript Link")</f>
        <v>Transcript Link</v>
      </c>
    </row>
    <row r="643" ht="165" spans="1:13">
      <c r="A643" s="1" t="s">
        <v>3078</v>
      </c>
      <c r="B643" s="1" t="s">
        <v>13</v>
      </c>
      <c r="C643" s="4" t="s">
        <v>3079</v>
      </c>
      <c r="D643" s="1" t="s">
        <v>3080</v>
      </c>
      <c r="E643" s="1" t="s">
        <v>3081</v>
      </c>
      <c r="F643" s="4" t="s">
        <v>17</v>
      </c>
      <c r="G643" s="1" t="s">
        <v>18</v>
      </c>
      <c r="H643" s="1" t="s">
        <v>19</v>
      </c>
      <c r="I643" s="1" t="s">
        <v>20</v>
      </c>
      <c r="J643" s="1" t="s">
        <v>3082</v>
      </c>
      <c r="K643" s="1" t="s">
        <v>22</v>
      </c>
      <c r="L643" s="1" t="str">
        <f>HYPERLINK("https://files.afu.se/Downloads/Transcripts/0%20-%20Government/USA%20-%20NASA/2019 11 15 - NASA - A Very Complex Spacewalk Outside the Space Station on This Week @NASA – November 15, 2019_NgztN23ZALU - transcript (automated).pdf","Transcript Link")</f>
        <v>Transcript Link</v>
      </c>
      <c r="M643" s="2" t="str">
        <f>HYPERLINK("https://files.afu.se/Downloads/Transcripts/0%20-%20Government/USA%20-%20NASA/2019 11 15 - NASA - A Very Complex Spacewalk Outside the Space Station on This Week @NASA – November 15, 2019_NgztN23ZALU - transcript (automated).pdf","Transcript Link")</f>
        <v>Transcript Link</v>
      </c>
    </row>
    <row r="644" ht="255" spans="1:13">
      <c r="A644" s="1" t="s">
        <v>3083</v>
      </c>
      <c r="B644" s="1" t="s">
        <v>13</v>
      </c>
      <c r="C644" s="4" t="s">
        <v>3084</v>
      </c>
      <c r="D644" s="1" t="s">
        <v>3085</v>
      </c>
      <c r="E644" s="1" t="s">
        <v>3086</v>
      </c>
      <c r="F644" s="4" t="s">
        <v>17</v>
      </c>
      <c r="G644" s="1" t="s">
        <v>18</v>
      </c>
      <c r="H644" s="1" t="s">
        <v>19</v>
      </c>
      <c r="I644" s="1" t="s">
        <v>20</v>
      </c>
      <c r="J644" s="1" t="s">
        <v>3087</v>
      </c>
      <c r="K644" s="1" t="s">
        <v>22</v>
      </c>
      <c r="L644" s="1" t="str">
        <f>HYPERLINK("https://files.afu.se/Downloads/Transcripts/0%20-%20Government/USA%20-%20NASA/2019 11 14 - NASA - Apollo 12  The Pinpoint Mission_l11sW5KOi_g - transcript (automated).pdf","Transcript Link")</f>
        <v>Transcript Link</v>
      </c>
      <c r="M644" s="2" t="str">
        <f>HYPERLINK("https://files.afu.se/Downloads/Transcripts/0%20-%20Government/USA%20-%20NASA/2019 11 14 - NASA - Apollo 12  The Pinpoint Mission_l11sW5KOi_g - transcript (automated).pdf","Transcript Link")</f>
        <v>Transcript Link</v>
      </c>
    </row>
    <row r="645" ht="165" spans="1:13">
      <c r="A645" s="1" t="s">
        <v>3088</v>
      </c>
      <c r="B645" s="1" t="s">
        <v>13</v>
      </c>
      <c r="C645" s="4" t="s">
        <v>3089</v>
      </c>
      <c r="D645" s="1" t="s">
        <v>3090</v>
      </c>
      <c r="E645" s="1" t="s">
        <v>3091</v>
      </c>
      <c r="F645" s="4" t="s">
        <v>17</v>
      </c>
      <c r="G645" s="1" t="s">
        <v>18</v>
      </c>
      <c r="H645" s="1" t="s">
        <v>19</v>
      </c>
      <c r="I645" s="1" t="s">
        <v>20</v>
      </c>
      <c r="J645" s="1" t="s">
        <v>3092</v>
      </c>
      <c r="K645" s="1" t="s">
        <v>22</v>
      </c>
      <c r="L645" s="1" t="str">
        <f>HYPERLINK("https://files.afu.se/Downloads/Transcripts/0%20-%20Government/USA%20-%20NASA/2019 11 08 - NASA - A Critical Milestone for Commercial Crew on This Week @NASA – November 8, 2019_emQej1NKTtU - transcript (automated).pdf","Transcript Link")</f>
        <v>Transcript Link</v>
      </c>
      <c r="M645" s="2" t="str">
        <f>HYPERLINK("https://files.afu.se/Downloads/Transcripts/0%20-%20Government/USA%20-%20NASA/2019 11 08 - NASA - A Critical Milestone for Commercial Crew on This Week @NASA – November 8, 2019_emQej1NKTtU - transcript (automated).pdf","Transcript Link")</f>
        <v>Transcript Link</v>
      </c>
    </row>
    <row r="646" ht="165" spans="1:13">
      <c r="A646" s="1" t="s">
        <v>3088</v>
      </c>
      <c r="B646" s="1" t="s">
        <v>13</v>
      </c>
      <c r="C646" s="4" t="s">
        <v>3093</v>
      </c>
      <c r="D646" s="1" t="s">
        <v>3094</v>
      </c>
      <c r="E646" s="1" t="s">
        <v>3095</v>
      </c>
      <c r="F646" s="4" t="s">
        <v>17</v>
      </c>
      <c r="G646" s="1" t="s">
        <v>18</v>
      </c>
      <c r="H646" s="1" t="s">
        <v>19</v>
      </c>
      <c r="I646" s="1" t="s">
        <v>20</v>
      </c>
      <c r="J646" s="1" t="s">
        <v>3096</v>
      </c>
      <c r="K646" s="1" t="s">
        <v>22</v>
      </c>
      <c r="L646" s="1" t="str">
        <f>HYPERLINK("https://files.afu.se/Downloads/Transcripts/0%20-%20Government/USA%20-%20NASA/2019 11 08 - NASA - National Native American Heritage Month - Karen Moore's NASA Intern Story_yfvrAq21Gco - transcript (automated).pdf","Transcript Link")</f>
        <v>Transcript Link</v>
      </c>
      <c r="M646" s="2" t="str">
        <f>HYPERLINK("https://files.afu.se/Downloads/Transcripts/0%20-%20Government/USA%20-%20NASA/2019 11 08 - NASA - National Native American Heritage Month - Karen Moore's NASA Intern Story_yfvrAq21Gco - transcript (automated).pdf","Transcript Link")</f>
        <v>Transcript Link</v>
      </c>
    </row>
    <row r="647" ht="165" spans="1:13">
      <c r="A647" s="1" t="s">
        <v>3097</v>
      </c>
      <c r="B647" s="1" t="s">
        <v>13</v>
      </c>
      <c r="C647" s="4" t="s">
        <v>3098</v>
      </c>
      <c r="D647" s="1" t="s">
        <v>3099</v>
      </c>
      <c r="E647" s="1" t="s">
        <v>3100</v>
      </c>
      <c r="F647" s="4" t="s">
        <v>17</v>
      </c>
      <c r="G647" s="1" t="s">
        <v>18</v>
      </c>
      <c r="H647" s="1" t="s">
        <v>19</v>
      </c>
      <c r="I647" s="1" t="s">
        <v>20</v>
      </c>
      <c r="J647" s="1" t="s">
        <v>3101</v>
      </c>
      <c r="K647" s="1" t="s">
        <v>22</v>
      </c>
      <c r="L647" s="1" t="str">
        <f>HYPERLINK("https://files.afu.se/Downloads/Transcripts/0%20-%20Government/USA%20-%20NASA/2019 11 07 - NASA - NASA Explorers S3 E5  The New Normal_NR1c_4VWx9M - transcript (automated).pdf","Transcript Link")</f>
        <v>Transcript Link</v>
      </c>
      <c r="M647" s="2" t="str">
        <f>HYPERLINK("https://files.afu.se/Downloads/Transcripts/0%20-%20Government/USA%20-%20NASA/2019 11 07 - NASA - NASA Explorers S3 E5  The New Normal_NR1c_4VWx9M - transcript (automated).pdf","Transcript Link")</f>
        <v>Transcript Link</v>
      </c>
    </row>
    <row r="648" ht="165" spans="1:13">
      <c r="A648" s="1" t="s">
        <v>3102</v>
      </c>
      <c r="B648" s="1" t="s">
        <v>13</v>
      </c>
      <c r="C648" s="4" t="s">
        <v>3103</v>
      </c>
      <c r="D648" s="1" t="s">
        <v>3104</v>
      </c>
      <c r="E648" s="1" t="s">
        <v>3105</v>
      </c>
      <c r="F648" s="4" t="s">
        <v>17</v>
      </c>
      <c r="G648" s="1" t="s">
        <v>18</v>
      </c>
      <c r="H648" s="1" t="s">
        <v>19</v>
      </c>
      <c r="I648" s="1" t="s">
        <v>20</v>
      </c>
      <c r="J648" s="1" t="s">
        <v>3106</v>
      </c>
      <c r="K648" s="1" t="s">
        <v>22</v>
      </c>
      <c r="L648" s="1" t="str">
        <f>HYPERLINK("https://files.afu.se/Downloads/Transcripts/0%20-%20Government/USA%20-%20NASA/2019 11 04 - NASA - %23AskNASA┃ What is the Moon Made of _jTvP1VhGh8s - transcript (automated).pdf","Transcript Link")</f>
        <v>Transcript Link</v>
      </c>
      <c r="M648" s="2" t="str">
        <f>HYPERLINK("https://files.afu.se/Downloads/Transcripts/0%20-%20Government/USA%20-%20NASA/2019 11 04 - NASA - %23AskNASA┃ What is the Moon Made of _jTvP1VhGh8s - transcript (automated).pdf","Transcript Link")</f>
        <v>Transcript Link</v>
      </c>
    </row>
    <row r="649" ht="165" spans="1:13">
      <c r="A649" s="1" t="s">
        <v>3107</v>
      </c>
      <c r="B649" s="1" t="s">
        <v>13</v>
      </c>
      <c r="C649" s="4" t="s">
        <v>3108</v>
      </c>
      <c r="D649" s="1" t="s">
        <v>3109</v>
      </c>
      <c r="E649" s="1" t="s">
        <v>3110</v>
      </c>
      <c r="F649" s="4" t="s">
        <v>17</v>
      </c>
      <c r="G649" s="1" t="s">
        <v>18</v>
      </c>
      <c r="H649" s="1" t="s">
        <v>19</v>
      </c>
      <c r="I649" s="1" t="s">
        <v>20</v>
      </c>
      <c r="J649" s="1" t="s">
        <v>3111</v>
      </c>
      <c r="K649" s="1" t="s">
        <v>22</v>
      </c>
      <c r="L649" s="1" t="str">
        <f>HYPERLINK("https://files.afu.se/Downloads/Transcripts/0%20-%20Government/USA%20-%20NASA/2019 11 02 - NASA - Important Cargo Headed to the Space Station on This Week @NASA – November 2, 2019_4nspRYAso0c - transcript (automated).pdf","Transcript Link")</f>
        <v>Transcript Link</v>
      </c>
      <c r="M649" s="2" t="str">
        <f>HYPERLINK("https://files.afu.se/Downloads/Transcripts/0%20-%20Government/USA%20-%20NASA/2019 11 02 - NASA - Important Cargo Headed to the Space Station on This Week @NASA – November 2, 2019_4nspRYAso0c - transcript (automated).pdf","Transcript Link")</f>
        <v>Transcript Link</v>
      </c>
    </row>
    <row r="650" ht="165" spans="1:13">
      <c r="A650" s="1" t="s">
        <v>3112</v>
      </c>
      <c r="B650" s="1" t="s">
        <v>13</v>
      </c>
      <c r="C650" s="4" t="s">
        <v>3113</v>
      </c>
      <c r="D650" s="1" t="s">
        <v>3114</v>
      </c>
      <c r="E650" s="1" t="s">
        <v>3115</v>
      </c>
      <c r="F650" s="4" t="s">
        <v>17</v>
      </c>
      <c r="G650" s="1" t="s">
        <v>18</v>
      </c>
      <c r="H650" s="1" t="s">
        <v>19</v>
      </c>
      <c r="I650" s="1" t="s">
        <v>20</v>
      </c>
      <c r="J650" s="1" t="s">
        <v>3116</v>
      </c>
      <c r="K650" s="1" t="s">
        <v>22</v>
      </c>
      <c r="L650" s="1" t="str">
        <f>HYPERLINK("https://files.afu.se/Downloads/Transcripts/0%20-%20Government/USA%20-%20NASA/2019 11 01 - NASA - NASA's ICON  Countdown to T-Zero for a Mission to Study Space Weather_UgLNbGl9-iY - transcript (automated).pdf","Transcript Link")</f>
        <v>Transcript Link</v>
      </c>
      <c r="M650" s="2" t="str">
        <f>HYPERLINK("https://files.afu.se/Downloads/Transcripts/0%20-%20Government/USA%20-%20NASA/2019 11 01 - NASA - NASA's ICON  Countdown to T-Zero for a Mission to Study Space Weather_UgLNbGl9-iY - transcript (automated).pdf","Transcript Link")</f>
        <v>Transcript Link</v>
      </c>
    </row>
    <row r="651" ht="409.5" spans="1:13">
      <c r="A651" s="1" t="s">
        <v>3117</v>
      </c>
      <c r="B651" s="1" t="s">
        <v>13</v>
      </c>
      <c r="C651" s="4" t="s">
        <v>3118</v>
      </c>
      <c r="D651" s="1" t="s">
        <v>3119</v>
      </c>
      <c r="E651" s="1" t="s">
        <v>3120</v>
      </c>
      <c r="F651" s="4" t="s">
        <v>17</v>
      </c>
      <c r="G651" s="1" t="s">
        <v>18</v>
      </c>
      <c r="H651" s="1" t="s">
        <v>19</v>
      </c>
      <c r="I651" s="1" t="s">
        <v>20</v>
      </c>
      <c r="J651" s="1" t="s">
        <v>3121</v>
      </c>
      <c r="K651" s="1" t="s">
        <v>22</v>
      </c>
      <c r="L651" s="1" t="str">
        <f>HYPERLINK("https://files.afu.se/Downloads/Transcripts/0%20-%20Government/USA%20-%20NASA/2019 10 31 - NASA - Happy Halloween from NASA_1nwwTZhGC_0 - transcript (automated).pdf","Transcript Link")</f>
        <v>Transcript Link</v>
      </c>
      <c r="M651" s="2" t="str">
        <f>HYPERLINK("https://files.afu.se/Downloads/Transcripts/0%20-%20Government/USA%20-%20NASA/2019 10 31 - NASA - Happy Halloween from NASA_1nwwTZhGC_0 - transcript (automated).pdf","Transcript Link")</f>
        <v>Transcript Link</v>
      </c>
    </row>
    <row r="652" ht="165" spans="1:13">
      <c r="A652" s="1" t="s">
        <v>3122</v>
      </c>
      <c r="B652" s="1" t="s">
        <v>13</v>
      </c>
      <c r="C652" s="4" t="s">
        <v>3123</v>
      </c>
      <c r="D652" s="1" t="s">
        <v>3124</v>
      </c>
      <c r="E652" s="1" t="s">
        <v>3125</v>
      </c>
      <c r="F652" s="4" t="s">
        <v>17</v>
      </c>
      <c r="G652" s="1" t="s">
        <v>18</v>
      </c>
      <c r="H652" s="1" t="s">
        <v>19</v>
      </c>
      <c r="I652" s="1" t="s">
        <v>20</v>
      </c>
      <c r="J652" s="1" t="s">
        <v>3126</v>
      </c>
      <c r="K652" s="1" t="s">
        <v>22</v>
      </c>
      <c r="L652" s="1" t="str">
        <f>HYPERLINK("https://files.afu.se/Downloads/Transcripts/0%20-%20Government/USA%20-%20NASA/2019 10 30 - NASA - NASA Explorers S3 E4  Chasing Clouds_jfVs5G5k8ZI - transcript (automated).pdf","Transcript Link")</f>
        <v>Transcript Link</v>
      </c>
      <c r="M652" s="2" t="str">
        <f>HYPERLINK("https://files.afu.se/Downloads/Transcripts/0%20-%20Government/USA%20-%20NASA/2019 10 30 - NASA - NASA Explorers S3 E4  Chasing Clouds_jfVs5G5k8ZI - transcript (automated).pdf","Transcript Link")</f>
        <v>Transcript Link</v>
      </c>
    </row>
    <row r="653" ht="165" spans="1:13">
      <c r="A653" s="1" t="s">
        <v>3127</v>
      </c>
      <c r="B653" s="1" t="s">
        <v>13</v>
      </c>
      <c r="C653" s="4" t="s">
        <v>3128</v>
      </c>
      <c r="D653" s="1" t="s">
        <v>3129</v>
      </c>
      <c r="E653" s="1" t="s">
        <v>3130</v>
      </c>
      <c r="F653" s="4" t="s">
        <v>17</v>
      </c>
      <c r="G653" s="1" t="s">
        <v>18</v>
      </c>
      <c r="H653" s="1" t="s">
        <v>19</v>
      </c>
      <c r="I653" s="1" t="s">
        <v>20</v>
      </c>
      <c r="J653" s="1" t="s">
        <v>3131</v>
      </c>
      <c r="K653" s="1" t="s">
        <v>22</v>
      </c>
      <c r="L653" s="1" t="str">
        <f>HYPERLINK("https://files.afu.se/Downloads/Transcripts/0%20-%20Government/USA%20-%20NASA/2019 10 25 - NASA - International Partnership for the Moon and Mars on This Week @NASA – October 25, 2019_V7qrZcTrPIg - transcript (automated).pdf","Transcript Link")</f>
        <v>Transcript Link</v>
      </c>
      <c r="M653" s="2" t="str">
        <f>HYPERLINK("https://files.afu.se/Downloads/Transcripts/0%20-%20Government/USA%20-%20NASA/2019 10 25 - NASA - International Partnership for the Moon and Mars on This Week @NASA – October 25, 2019_V7qrZcTrPIg - transcript (automated).pdf","Transcript Link")</f>
        <v>Transcript Link</v>
      </c>
    </row>
    <row r="654" ht="165" spans="1:13">
      <c r="A654" s="1" t="s">
        <v>3132</v>
      </c>
      <c r="B654" s="1" t="s">
        <v>13</v>
      </c>
      <c r="C654" s="4" t="s">
        <v>3133</v>
      </c>
      <c r="D654" s="1" t="s">
        <v>3134</v>
      </c>
      <c r="E654" s="1" t="s">
        <v>3135</v>
      </c>
      <c r="F654" s="4" t="s">
        <v>17</v>
      </c>
      <c r="G654" s="1" t="s">
        <v>18</v>
      </c>
      <c r="H654" s="1" t="s">
        <v>19</v>
      </c>
      <c r="I654" s="1" t="s">
        <v>20</v>
      </c>
      <c r="J654" s="1" t="s">
        <v>3136</v>
      </c>
      <c r="K654" s="1" t="s">
        <v>22</v>
      </c>
      <c r="L654" s="1" t="str">
        <f>HYPERLINK("https://files.afu.se/Downloads/Transcripts/0%20-%20Government/USA%20-%20NASA/2019 10 23 - NASA - NASA Explorers S3 E3  The Carbon Problem_6-LqyTeHLQg - transcript (automated).pdf","Transcript Link")</f>
        <v>Transcript Link</v>
      </c>
      <c r="M654" s="2" t="str">
        <f>HYPERLINK("https://files.afu.se/Downloads/Transcripts/0%20-%20Government/USA%20-%20NASA/2019 10 23 - NASA - NASA Explorers S3 E3  The Carbon Problem_6-LqyTeHLQg - transcript (automated).pdf","Transcript Link")</f>
        <v>Transcript Link</v>
      </c>
    </row>
    <row r="655" ht="165" spans="1:13">
      <c r="A655" s="1" t="s">
        <v>3137</v>
      </c>
      <c r="B655" s="1" t="s">
        <v>13</v>
      </c>
      <c r="C655" s="4" t="s">
        <v>3138</v>
      </c>
      <c r="D655" s="1" t="s">
        <v>3139</v>
      </c>
      <c r="E655" s="1" t="s">
        <v>3140</v>
      </c>
      <c r="F655" s="4" t="s">
        <v>17</v>
      </c>
      <c r="G655" s="1" t="s">
        <v>18</v>
      </c>
      <c r="H655" s="1" t="s">
        <v>19</v>
      </c>
      <c r="I655" s="1" t="s">
        <v>20</v>
      </c>
      <c r="J655" s="1" t="s">
        <v>3141</v>
      </c>
      <c r="K655" s="1" t="s">
        <v>22</v>
      </c>
      <c r="L655" s="1" t="str">
        <f>HYPERLINK("https://files.afu.se/Downloads/Transcripts/0%20-%20Government/USA%20-%20NASA/2019 10 21 - NASA - %23AskNASA┃ What are the Next Generation Spacesuits _F_iA2DdgMUA - transcript (automated).pdf","Transcript Link")</f>
        <v>Transcript Link</v>
      </c>
      <c r="M655" s="2" t="str">
        <f>HYPERLINK("https://files.afu.se/Downloads/Transcripts/0%20-%20Government/USA%20-%20NASA/2019 10 21 - NASA - %23AskNASA┃ What are the Next Generation Spacesuits _F_iA2DdgMUA - transcript (automated).pdf","Transcript Link")</f>
        <v>Transcript Link</v>
      </c>
    </row>
    <row r="656" ht="165" spans="1:13">
      <c r="A656" s="1" t="s">
        <v>3142</v>
      </c>
      <c r="B656" s="1" t="s">
        <v>13</v>
      </c>
      <c r="C656" s="4" t="s">
        <v>3143</v>
      </c>
      <c r="D656" s="1" t="s">
        <v>3144</v>
      </c>
      <c r="E656" s="1" t="s">
        <v>3145</v>
      </c>
      <c r="F656" s="4" t="s">
        <v>17</v>
      </c>
      <c r="G656" s="1" t="s">
        <v>18</v>
      </c>
      <c r="H656" s="1" t="s">
        <v>19</v>
      </c>
      <c r="I656" s="1" t="s">
        <v>20</v>
      </c>
      <c r="J656" s="1" t="s">
        <v>3146</v>
      </c>
      <c r="K656" s="1" t="s">
        <v>22</v>
      </c>
      <c r="L656" s="1" t="str">
        <f>HYPERLINK("https://files.afu.se/Downloads/Transcripts/0%20-%20Government/USA%20-%20NASA/2019 10 19 - NASA - First All-Woman Spacewalk_cNnvYACgwrE - transcript (automated).pdf","Transcript Link")</f>
        <v>Transcript Link</v>
      </c>
      <c r="M656" s="2" t="str">
        <f>HYPERLINK("https://files.afu.se/Downloads/Transcripts/0%20-%20Government/USA%20-%20NASA/2019 10 19 - NASA - First All-Woman Spacewalk_cNnvYACgwrE - transcript (automated).pdf","Transcript Link")</f>
        <v>Transcript Link</v>
      </c>
    </row>
    <row r="657" ht="165" spans="1:13">
      <c r="A657" s="1" t="s">
        <v>3147</v>
      </c>
      <c r="B657" s="1" t="s">
        <v>13</v>
      </c>
      <c r="C657" s="4" t="s">
        <v>3148</v>
      </c>
      <c r="D657" s="1" t="s">
        <v>3149</v>
      </c>
      <c r="E657" s="1" t="s">
        <v>3150</v>
      </c>
      <c r="F657" s="4" t="s">
        <v>17</v>
      </c>
      <c r="G657" s="1" t="s">
        <v>18</v>
      </c>
      <c r="H657" s="1" t="s">
        <v>19</v>
      </c>
      <c r="I657" s="1" t="s">
        <v>20</v>
      </c>
      <c r="J657" s="1" t="s">
        <v>3151</v>
      </c>
      <c r="K657" s="1" t="s">
        <v>22</v>
      </c>
      <c r="L657" s="1" t="str">
        <f>HYPERLINK("https://files.afu.se/Downloads/Transcripts/0%20-%20Government/USA%20-%20NASA/2019 10 18 - NASA - The First All Woman Spacewalk Outside the Space Station on This Week @NASA – October 18, 2019_Daelqxwph08 - transcript (automated).pdf","Transcript Link")</f>
        <v>Transcript Link</v>
      </c>
      <c r="M657" s="2" t="str">
        <f>HYPERLINK("https://files.afu.se/Downloads/Transcripts/0%20-%20Government/USA%20-%20NASA/2019 10 18 - NASA - The First All Woman Spacewalk Outside the Space Station on This Week @NASA – October 18, 2019_Daelqxwph08 - transcript (automated).pdf","Transcript Link")</f>
        <v>Transcript Link</v>
      </c>
    </row>
    <row r="658" ht="240" spans="1:13">
      <c r="A658" s="1" t="s">
        <v>3152</v>
      </c>
      <c r="B658" s="1" t="s">
        <v>13</v>
      </c>
      <c r="C658" s="4" t="s">
        <v>3153</v>
      </c>
      <c r="D658" s="1" t="s">
        <v>3154</v>
      </c>
      <c r="E658" s="1" t="s">
        <v>3155</v>
      </c>
      <c r="F658" s="4" t="s">
        <v>17</v>
      </c>
      <c r="G658" s="1" t="s">
        <v>18</v>
      </c>
      <c r="H658" s="1" t="s">
        <v>19</v>
      </c>
      <c r="I658" s="1" t="s">
        <v>20</v>
      </c>
      <c r="J658" s="1" t="s">
        <v>3156</v>
      </c>
      <c r="K658" s="1" t="s">
        <v>22</v>
      </c>
      <c r="L658" s="1" t="str">
        <f>HYPERLINK("https://files.afu.se/Downloads/Transcripts/0%20-%20Government/USA%20-%20NASA/2019 10 17 - NASA - First All-Woman Spacewalk on October 18_S6KgbRX1tPI - transcript (automated).pdf","Transcript Link")</f>
        <v>Transcript Link</v>
      </c>
      <c r="M658" s="2" t="str">
        <f>HYPERLINK("https://files.afu.se/Downloads/Transcripts/0%20-%20Government/USA%20-%20NASA/2019 10 17 - NASA - First All-Woman Spacewalk on October 18_S6KgbRX1tPI - transcript (automated).pdf","Transcript Link")</f>
        <v>Transcript Link</v>
      </c>
    </row>
    <row r="659" ht="165" spans="1:13">
      <c r="A659" s="1" t="s">
        <v>3157</v>
      </c>
      <c r="B659" s="1" t="s">
        <v>13</v>
      </c>
      <c r="C659" s="4" t="s">
        <v>3158</v>
      </c>
      <c r="D659" s="1" t="s">
        <v>3159</v>
      </c>
      <c r="E659" s="1" t="s">
        <v>3160</v>
      </c>
      <c r="F659" s="4" t="s">
        <v>17</v>
      </c>
      <c r="G659" s="1" t="s">
        <v>18</v>
      </c>
      <c r="H659" s="1" t="s">
        <v>19</v>
      </c>
      <c r="I659" s="1" t="s">
        <v>20</v>
      </c>
      <c r="J659" s="1" t="s">
        <v>3161</v>
      </c>
      <c r="K659" s="1" t="s">
        <v>22</v>
      </c>
      <c r="L659" s="1" t="str">
        <f>HYPERLINK("https://files.afu.se/Downloads/Transcripts/0%20-%20Government/USA%20-%20NASA/2019 10 16 - NASA - NASA Explorers S3 E2  Follow that Plume!_EsJkyNnS0Z4 - transcript (automated).pdf","Transcript Link")</f>
        <v>Transcript Link</v>
      </c>
      <c r="M659" s="2" t="str">
        <f>HYPERLINK("https://files.afu.se/Downloads/Transcripts/0%20-%20Government/USA%20-%20NASA/2019 10 16 - NASA - NASA Explorers S3 E2  Follow that Plume!_EsJkyNnS0Z4 - transcript (automated).pdf","Transcript Link")</f>
        <v>Transcript Link</v>
      </c>
    </row>
    <row r="660" ht="195" spans="1:13">
      <c r="A660" s="1" t="s">
        <v>3157</v>
      </c>
      <c r="B660" s="1" t="s">
        <v>13</v>
      </c>
      <c r="C660" s="4" t="s">
        <v>3162</v>
      </c>
      <c r="D660" s="1" t="s">
        <v>3163</v>
      </c>
      <c r="E660" s="1" t="s">
        <v>3164</v>
      </c>
      <c r="F660" s="4" t="s">
        <v>17</v>
      </c>
      <c r="G660" s="1" t="s">
        <v>18</v>
      </c>
      <c r="H660" s="1" t="s">
        <v>19</v>
      </c>
      <c r="I660" s="1" t="s">
        <v>20</v>
      </c>
      <c r="J660" s="1" t="s">
        <v>3165</v>
      </c>
      <c r="K660" s="1" t="s">
        <v>22</v>
      </c>
      <c r="L660" s="1" t="str">
        <f>HYPERLINK("https://files.afu.se/Downloads/Transcripts/0%20-%20Government/USA%20-%20NASA/2019 10 16 - NASA - NASA Introduces New Spacesuits for the Moon and Mars_yj6LYpZosRU - transcript (automated).pdf","Transcript Link")</f>
        <v>Transcript Link</v>
      </c>
      <c r="M660" s="2" t="str">
        <f>HYPERLINK("https://files.afu.se/Downloads/Transcripts/0%20-%20Government/USA%20-%20NASA/2019 10 16 - NASA - NASA Introduces New Spacesuits for the Moon and Mars_yj6LYpZosRU - transcript (automated).pdf","Transcript Link")</f>
        <v>Transcript Link</v>
      </c>
    </row>
    <row r="661" ht="180" spans="1:13">
      <c r="A661" s="1" t="s">
        <v>3166</v>
      </c>
      <c r="B661" s="1" t="s">
        <v>13</v>
      </c>
      <c r="C661" s="4" t="s">
        <v>3167</v>
      </c>
      <c r="D661" s="1" t="s">
        <v>3168</v>
      </c>
      <c r="E661" s="1" t="s">
        <v>3169</v>
      </c>
      <c r="F661" s="4" t="s">
        <v>17</v>
      </c>
      <c r="G661" s="1" t="s">
        <v>18</v>
      </c>
      <c r="H661" s="1" t="s">
        <v>19</v>
      </c>
      <c r="I661" s="1" t="s">
        <v>20</v>
      </c>
      <c r="J661" s="1" t="s">
        <v>3170</v>
      </c>
      <c r="K661" s="1" t="s">
        <v>22</v>
      </c>
      <c r="L661" s="1" t="str">
        <f>HYPERLINK("https://files.afu.se/Downloads/Transcripts/0%20-%20Government/USA%20-%20NASA/2019 10 15 - NASA - Space Is Hard_dJ-04R_Zw6M - transcript (automated).pdf","Transcript Link")</f>
        <v>Transcript Link</v>
      </c>
      <c r="M661" s="2" t="str">
        <f>HYPERLINK("https://files.afu.se/Downloads/Transcripts/0%20-%20Government/USA%20-%20NASA/2019 10 15 - NASA - Space Is Hard_dJ-04R_Zw6M - transcript (automated).pdf","Transcript Link")</f>
        <v>Transcript Link</v>
      </c>
    </row>
    <row r="662" ht="165" spans="1:13">
      <c r="A662" s="1" t="s">
        <v>3171</v>
      </c>
      <c r="B662" s="1" t="s">
        <v>13</v>
      </c>
      <c r="C662" s="4" t="s">
        <v>3172</v>
      </c>
      <c r="D662" s="1" t="s">
        <v>3173</v>
      </c>
      <c r="E662" s="1" t="s">
        <v>3174</v>
      </c>
      <c r="F662" s="4" t="s">
        <v>17</v>
      </c>
      <c r="G662" s="1" t="s">
        <v>18</v>
      </c>
      <c r="H662" s="1" t="s">
        <v>19</v>
      </c>
      <c r="I662" s="1" t="s">
        <v>20</v>
      </c>
      <c r="J662" s="1" t="s">
        <v>3175</v>
      </c>
      <c r="K662" s="1" t="s">
        <v>22</v>
      </c>
      <c r="L662" s="1" t="str">
        <f>HYPERLINK("https://files.afu.se/Downloads/Transcripts/0%20-%20Government/USA%20-%20NASA/2019 10 14 - NASA - %23AskNASA┃ Who Is Going with Us _uUf7RCnymys - transcript (automated).pdf","Transcript Link")</f>
        <v>Transcript Link</v>
      </c>
      <c r="M662" s="2" t="str">
        <f>HYPERLINK("https://files.afu.se/Downloads/Transcripts/0%20-%20Government/USA%20-%20NASA/2019 10 14 - NASA - %23AskNASA┃ Who Is Going with Us _uUf7RCnymys - transcript (automated).pdf","Transcript Link")</f>
        <v>Transcript Link</v>
      </c>
    </row>
    <row r="663" ht="165" spans="1:13">
      <c r="A663" s="1" t="s">
        <v>3176</v>
      </c>
      <c r="B663" s="1" t="s">
        <v>13</v>
      </c>
      <c r="C663" s="4" t="s">
        <v>3177</v>
      </c>
      <c r="D663" s="1" t="s">
        <v>3178</v>
      </c>
      <c r="E663" s="1" t="s">
        <v>3179</v>
      </c>
      <c r="F663" s="4" t="s">
        <v>17</v>
      </c>
      <c r="G663" s="1" t="s">
        <v>18</v>
      </c>
      <c r="H663" s="1" t="s">
        <v>19</v>
      </c>
      <c r="I663" s="1" t="s">
        <v>20</v>
      </c>
      <c r="J663" s="1" t="s">
        <v>3180</v>
      </c>
      <c r="K663" s="1" t="s">
        <v>22</v>
      </c>
      <c r="L663" s="1" t="str">
        <f>HYPERLINK("https://files.afu.se/Downloads/Transcripts/0%20-%20Government/USA%20-%20NASA/2019 10 11 - NASA - Power Play Spacewalks Aboard the Space Station on This Week @NASA – October 11, 2019_nwDS_ZbSssI - transcript (automated).pdf","Transcript Link")</f>
        <v>Transcript Link</v>
      </c>
      <c r="M663" s="2" t="str">
        <f>HYPERLINK("https://files.afu.se/Downloads/Transcripts/0%20-%20Government/USA%20-%20NASA/2019 10 11 - NASA - Power Play Spacewalks Aboard the Space Station on This Week @NASA – October 11, 2019_nwDS_ZbSssI - transcript (automated).pdf","Transcript Link")</f>
        <v>Transcript Link</v>
      </c>
    </row>
    <row r="664" ht="165" spans="1:13">
      <c r="A664" s="1" t="s">
        <v>3176</v>
      </c>
      <c r="B664" s="1" t="s">
        <v>13</v>
      </c>
      <c r="C664" s="4" t="s">
        <v>3181</v>
      </c>
      <c r="D664" s="1" t="s">
        <v>3182</v>
      </c>
      <c r="E664" s="1" t="s">
        <v>3183</v>
      </c>
      <c r="F664" s="4" t="s">
        <v>17</v>
      </c>
      <c r="G664" s="1" t="s">
        <v>18</v>
      </c>
      <c r="H664" s="1" t="s">
        <v>19</v>
      </c>
      <c r="I664" s="1" t="s">
        <v>20</v>
      </c>
      <c r="J664" s="1" t="s">
        <v>3184</v>
      </c>
      <c r="K664" s="1" t="s">
        <v>22</v>
      </c>
      <c r="L664" s="1" t="str">
        <f>HYPERLINK("https://files.afu.se/Downloads/Transcripts/0%20-%20Government/USA%20-%20NASA/2019 10 11 - NASA - Meet Former NASA Astronaut Kathy Sullivan  the First American Woman to Walk in Space_opHOetEcyK0 - transcript (automated).pdf","Transcript Link")</f>
        <v>Transcript Link</v>
      </c>
      <c r="M664" s="2" t="str">
        <f>HYPERLINK("https://files.afu.se/Downloads/Transcripts/0%20-%20Government/USA%20-%20NASA/2019 10 11 - NASA - Meet Former NASA Astronaut Kathy Sullivan  the First American Woman to Walk in Space_opHOetEcyK0 - transcript (automated).pdf","Transcript Link")</f>
        <v>Transcript Link</v>
      </c>
    </row>
    <row r="665" ht="165" spans="1:13">
      <c r="A665" s="1" t="s">
        <v>3185</v>
      </c>
      <c r="B665" s="1" t="s">
        <v>13</v>
      </c>
      <c r="C665" s="4" t="s">
        <v>3186</v>
      </c>
      <c r="D665" s="1" t="s">
        <v>3187</v>
      </c>
      <c r="E665" s="1" t="s">
        <v>3188</v>
      </c>
      <c r="F665" s="4" t="s">
        <v>17</v>
      </c>
      <c r="G665" s="1" t="s">
        <v>18</v>
      </c>
      <c r="H665" s="1" t="s">
        <v>19</v>
      </c>
      <c r="I665" s="1" t="s">
        <v>20</v>
      </c>
      <c r="J665" s="1" t="s">
        <v>3189</v>
      </c>
      <c r="K665" s="1" t="s">
        <v>22</v>
      </c>
      <c r="L665" s="1" t="str">
        <f>HYPERLINK("https://files.afu.se/Downloads/Transcripts/0%20-%20Government/USA%20-%20NASA/2019 10 10 - NASA - The First Artemis Flight Path Around the Moon__-TiP7onEmo - transcript (automated).pdf","Transcript Link")</f>
        <v>Transcript Link</v>
      </c>
      <c r="M665" s="2" t="str">
        <f>HYPERLINK("https://files.afu.se/Downloads/Transcripts/0%20-%20Government/USA%20-%20NASA/2019 10 10 - NASA - The First Artemis Flight Path Around the Moon__-TiP7onEmo - transcript (automated).pdf","Transcript Link")</f>
        <v>Transcript Link</v>
      </c>
    </row>
    <row r="666" ht="165" spans="1:13">
      <c r="A666" s="1" t="s">
        <v>3190</v>
      </c>
      <c r="B666" s="1" t="s">
        <v>13</v>
      </c>
      <c r="C666" s="4" t="s">
        <v>3191</v>
      </c>
      <c r="D666" s="1" t="s">
        <v>3192</v>
      </c>
      <c r="E666" s="1" t="s">
        <v>3193</v>
      </c>
      <c r="F666" s="4" t="s">
        <v>17</v>
      </c>
      <c r="G666" s="1" t="s">
        <v>18</v>
      </c>
      <c r="H666" s="1" t="s">
        <v>19</v>
      </c>
      <c r="I666" s="1" t="s">
        <v>20</v>
      </c>
      <c r="J666" s="1" t="s">
        <v>3194</v>
      </c>
      <c r="K666" s="1" t="s">
        <v>22</v>
      </c>
      <c r="L666" s="1" t="str">
        <f>HYPERLINK("https://files.afu.se/Downloads/Transcripts/0%20-%20Government/USA%20-%20NASA/2019 10 09 - NASA - NASA Explorers S3 E1  Seeing Through Smoke_4NBAlxwA6Rs - transcript (automated).pdf","Transcript Link")</f>
        <v>Transcript Link</v>
      </c>
      <c r="M666" s="2" t="str">
        <f>HYPERLINK("https://files.afu.se/Downloads/Transcripts/0%20-%20Government/USA%20-%20NASA/2019 10 09 - NASA - NASA Explorers S3 E1  Seeing Through Smoke_4NBAlxwA6Rs - transcript (automated).pdf","Transcript Link")</f>
        <v>Transcript Link</v>
      </c>
    </row>
    <row r="667" ht="210" spans="1:13">
      <c r="A667" s="1" t="s">
        <v>3195</v>
      </c>
      <c r="B667" s="1" t="s">
        <v>13</v>
      </c>
      <c r="C667" s="4" t="s">
        <v>3196</v>
      </c>
      <c r="D667" s="1" t="s">
        <v>3197</v>
      </c>
      <c r="E667" s="1" t="s">
        <v>3198</v>
      </c>
      <c r="F667" s="4" t="s">
        <v>17</v>
      </c>
      <c r="G667" s="1" t="s">
        <v>18</v>
      </c>
      <c r="H667" s="1" t="s">
        <v>19</v>
      </c>
      <c r="I667" s="1" t="s">
        <v>20</v>
      </c>
      <c r="J667" s="1" t="s">
        <v>3199</v>
      </c>
      <c r="K667" s="1" t="s">
        <v>22</v>
      </c>
      <c r="L667" s="1" t="str">
        <f>HYPERLINK("https://files.afu.se/Downloads/Transcripts/0%20-%20Government/USA%20-%20NASA/2019 10 08 - NASA - Living and Working  Valuable Spaceflight Data Collaboration Tool_NrFd-17QMzY - transcript (automated).pdf","Transcript Link")</f>
        <v>Transcript Link</v>
      </c>
      <c r="M667" s="2" t="str">
        <f>HYPERLINK("https://files.afu.se/Downloads/Transcripts/0%20-%20Government/USA%20-%20NASA/2019 10 08 - NASA - Living and Working  Valuable Spaceflight Data Collaboration Tool_NrFd-17QMzY - transcript (automated).pdf","Transcript Link")</f>
        <v>Transcript Link</v>
      </c>
    </row>
    <row r="668" ht="180" spans="1:13">
      <c r="A668" s="1" t="s">
        <v>3200</v>
      </c>
      <c r="B668" s="1" t="s">
        <v>13</v>
      </c>
      <c r="C668" s="4" t="s">
        <v>3201</v>
      </c>
      <c r="D668" s="1" t="s">
        <v>3202</v>
      </c>
      <c r="E668" s="1" t="s">
        <v>3203</v>
      </c>
      <c r="F668" s="4" t="s">
        <v>17</v>
      </c>
      <c r="G668" s="1" t="s">
        <v>18</v>
      </c>
      <c r="H668" s="1" t="s">
        <v>19</v>
      </c>
      <c r="I668" s="1" t="s">
        <v>20</v>
      </c>
      <c r="J668" s="1" t="s">
        <v>3204</v>
      </c>
      <c r="K668" s="1" t="s">
        <v>22</v>
      </c>
      <c r="L668" s="1" t="str">
        <f>HYPERLINK("https://files.afu.se/Downloads/Transcripts/0%20-%20Government/USA%20-%20NASA/2019 10 07 - NASA - %23AskNASA┃ How Are We Going to the Moon _7Lol3lumMTo - transcript (automated).pdf","Transcript Link")</f>
        <v>Transcript Link</v>
      </c>
      <c r="M668" s="2" t="str">
        <f>HYPERLINK("https://files.afu.se/Downloads/Transcripts/0%20-%20Government/USA%20-%20NASA/2019 10 07 - NASA - %23AskNASA┃ How Are We Going to the Moon _7Lol3lumMTo - transcript (automated).pdf","Transcript Link")</f>
        <v>Transcript Link</v>
      </c>
    </row>
    <row r="669" ht="165" spans="1:13">
      <c r="A669" s="1" t="s">
        <v>3205</v>
      </c>
      <c r="B669" s="1" t="s">
        <v>13</v>
      </c>
      <c r="C669" s="4" t="s">
        <v>3206</v>
      </c>
      <c r="D669" s="1" t="s">
        <v>3207</v>
      </c>
      <c r="E669" s="1" t="s">
        <v>3208</v>
      </c>
      <c r="F669" s="4" t="s">
        <v>17</v>
      </c>
      <c r="G669" s="1" t="s">
        <v>18</v>
      </c>
      <c r="H669" s="1" t="s">
        <v>19</v>
      </c>
      <c r="I669" s="1" t="s">
        <v>20</v>
      </c>
      <c r="J669" s="1" t="s">
        <v>3209</v>
      </c>
      <c r="K669" s="1" t="s">
        <v>22</v>
      </c>
      <c r="L669" s="1" t="str">
        <f>HYPERLINK("https://files.afu.se/Downloads/Transcripts/0%20-%20Government/USA%20-%20NASA/2019 10 04 - NASA - Expedition 60 Crew Returns Safely from the Space Station on This Week @NASA – Oct 4, 2019_OhflFp-3YvY - transcript (automated).pdf","Transcript Link")</f>
        <v>Transcript Link</v>
      </c>
      <c r="M669" s="2" t="str">
        <f>HYPERLINK("https://files.afu.se/Downloads/Transcripts/0%20-%20Government/USA%20-%20NASA/2019 10 04 - NASA - Expedition 60 Crew Returns Safely from the Space Station on This Week @NASA – Oct 4, 2019_OhflFp-3YvY - transcript (automated).pdf","Transcript Link")</f>
        <v>Transcript Link</v>
      </c>
    </row>
    <row r="670" ht="240" spans="1:13">
      <c r="A670" s="1" t="s">
        <v>3210</v>
      </c>
      <c r="B670" s="1" t="s">
        <v>13</v>
      </c>
      <c r="C670" s="4" t="s">
        <v>3211</v>
      </c>
      <c r="D670" s="1" t="s">
        <v>3212</v>
      </c>
      <c r="E670" s="1" t="s">
        <v>3213</v>
      </c>
      <c r="F670" s="4" t="s">
        <v>17</v>
      </c>
      <c r="G670" s="1" t="s">
        <v>18</v>
      </c>
      <c r="H670" s="1" t="s">
        <v>19</v>
      </c>
      <c r="I670" s="1" t="s">
        <v>20</v>
      </c>
      <c r="J670" s="1" t="s">
        <v>3214</v>
      </c>
      <c r="K670" s="1" t="s">
        <v>22</v>
      </c>
      <c r="L670" s="1" t="str">
        <f>HYPERLINK("https://files.afu.se/Downloads/Transcripts/0%20-%20Government/USA%20-%20NASA/2019 10 02 - NASA - %23EZScience  The Search for New Planets_C4C8JsgGrrY - transcript (automated).pdf","Transcript Link")</f>
        <v>Transcript Link</v>
      </c>
      <c r="M670" s="2" t="str">
        <f>HYPERLINK("https://files.afu.se/Downloads/Transcripts/0%20-%20Government/USA%20-%20NASA/2019 10 02 - NASA - %23EZScience  The Search for New Planets_C4C8JsgGrrY - transcript (automated).pdf","Transcript Link")</f>
        <v>Transcript Link</v>
      </c>
    </row>
    <row r="671" ht="210" spans="1:13">
      <c r="A671" s="1" t="s">
        <v>3215</v>
      </c>
      <c r="B671" s="1" t="s">
        <v>13</v>
      </c>
      <c r="C671" s="4" t="s">
        <v>3216</v>
      </c>
      <c r="D671" s="1" t="s">
        <v>3217</v>
      </c>
      <c r="E671" s="1" t="s">
        <v>3218</v>
      </c>
      <c r="F671" s="4" t="s">
        <v>17</v>
      </c>
      <c r="G671" s="1" t="s">
        <v>18</v>
      </c>
      <c r="H671" s="1" t="s">
        <v>19</v>
      </c>
      <c r="I671" s="1" t="s">
        <v>20</v>
      </c>
      <c r="J671" s="1" t="s">
        <v>3219</v>
      </c>
      <c r="K671" s="1" t="s">
        <v>22</v>
      </c>
      <c r="L671" s="1" t="str">
        <f>HYPERLINK("https://files.afu.se/Downloads/Transcripts/0%20-%20Government/USA%20-%20NASA/2019 10 01 - NASA - %23EZScience  Exploring the Moon with Apollo_ethlD9moxyI - transcript (automated).pdf","Transcript Link")</f>
        <v>Transcript Link</v>
      </c>
      <c r="M671" s="2" t="str">
        <f>HYPERLINK("https://files.afu.se/Downloads/Transcripts/0%20-%20Government/USA%20-%20NASA/2019 10 01 - NASA - %23EZScience  Exploring the Moon with Apollo_ethlD9moxyI - transcript (automated).pdf","Transcript Link")</f>
        <v>Transcript Link</v>
      </c>
    </row>
    <row r="672" ht="165" spans="1:13">
      <c r="A672" s="1" t="s">
        <v>3220</v>
      </c>
      <c r="B672" s="1" t="s">
        <v>13</v>
      </c>
      <c r="C672" s="4" t="s">
        <v>3221</v>
      </c>
      <c r="D672" s="1" t="s">
        <v>3222</v>
      </c>
      <c r="E672" s="1" t="s">
        <v>3223</v>
      </c>
      <c r="F672" s="4" t="s">
        <v>17</v>
      </c>
      <c r="G672" s="1" t="s">
        <v>18</v>
      </c>
      <c r="H672" s="1" t="s">
        <v>19</v>
      </c>
      <c r="I672" s="1" t="s">
        <v>20</v>
      </c>
      <c r="J672" s="1" t="s">
        <v>3224</v>
      </c>
      <c r="K672" s="1" t="s">
        <v>22</v>
      </c>
      <c r="L672" s="1" t="str">
        <f>HYPERLINK("https://files.afu.se/Downloads/Transcripts/0%20-%20Government/USA%20-%20NASA/2019 09 30 - NASA - %23AskNASA From Space  Astronauts Answer Your Questions_AWCRYZF8QVw - transcript (automated).pdf","Transcript Link")</f>
        <v>Transcript Link</v>
      </c>
      <c r="M672" s="2" t="str">
        <f>HYPERLINK("https://files.afu.se/Downloads/Transcripts/0%20-%20Government/USA%20-%20NASA/2019 09 30 - NASA - %23AskNASA From Space  Astronauts Answer Your Questions_AWCRYZF8QVw - transcript (automated).pdf","Transcript Link")</f>
        <v>Transcript Link</v>
      </c>
    </row>
    <row r="673" ht="165" spans="1:13">
      <c r="A673" s="1" t="s">
        <v>3220</v>
      </c>
      <c r="B673" s="1" t="s">
        <v>13</v>
      </c>
      <c r="C673" s="4" t="s">
        <v>3225</v>
      </c>
      <c r="D673" s="1" t="s">
        <v>3226</v>
      </c>
      <c r="E673" s="1" t="s">
        <v>3227</v>
      </c>
      <c r="F673" s="4" t="s">
        <v>17</v>
      </c>
      <c r="G673" s="1" t="s">
        <v>18</v>
      </c>
      <c r="H673" s="1" t="s">
        <v>19</v>
      </c>
      <c r="I673" s="1" t="s">
        <v>20</v>
      </c>
      <c r="J673" s="1" t="s">
        <v>3228</v>
      </c>
      <c r="K673" s="1" t="s">
        <v>22</v>
      </c>
      <c r="L673" s="1" t="str">
        <f>HYPERLINK("https://files.afu.se/Downloads/Transcripts/0%20-%20Government/USA%20-%20NASA/2019 09 30 - NASA - %23AskNASA┃ Why Are We Going to the Moon _LTk1SepOvXk - transcript (automated).pdf","Transcript Link")</f>
        <v>Transcript Link</v>
      </c>
      <c r="M673" s="2" t="str">
        <f>HYPERLINK("https://files.afu.se/Downloads/Transcripts/0%20-%20Government/USA%20-%20NASA/2019 09 30 - NASA - %23AskNASA┃ Why Are We Going to the Moon _LTk1SepOvXk - transcript (automated).pdf","Transcript Link")</f>
        <v>Transcript Link</v>
      </c>
    </row>
    <row r="674" ht="165" spans="1:13">
      <c r="A674" s="1" t="s">
        <v>3229</v>
      </c>
      <c r="B674" s="1" t="s">
        <v>13</v>
      </c>
      <c r="C674" s="4" t="s">
        <v>3230</v>
      </c>
      <c r="D674" s="1" t="s">
        <v>3231</v>
      </c>
      <c r="E674" s="1" t="s">
        <v>3232</v>
      </c>
      <c r="F674" s="4" t="s">
        <v>17</v>
      </c>
      <c r="G674" s="1" t="s">
        <v>18</v>
      </c>
      <c r="H674" s="1" t="s">
        <v>19</v>
      </c>
      <c r="I674" s="1" t="s">
        <v>20</v>
      </c>
      <c r="J674" s="1" t="s">
        <v>3233</v>
      </c>
      <c r="K674" s="1" t="s">
        <v>22</v>
      </c>
      <c r="L674" s="1" t="str">
        <f>HYPERLINK("https://files.afu.se/Downloads/Transcripts/0%20-%20Government/USA%20-%20NASA/2019 09 27 - NASA - NASA's Vertical Motion Simulator_0WaiAyU-3mU - transcript (automated).pdf","Transcript Link")</f>
        <v>Transcript Link</v>
      </c>
      <c r="M674" s="2" t="str">
        <f>HYPERLINK("https://files.afu.se/Downloads/Transcripts/0%20-%20Government/USA%20-%20NASA/2019 09 27 - NASA - NASA's Vertical Motion Simulator_0WaiAyU-3mU - transcript (automated).pdf","Transcript Link")</f>
        <v>Transcript Link</v>
      </c>
    </row>
    <row r="675" ht="165" spans="1:13">
      <c r="A675" s="1" t="s">
        <v>3229</v>
      </c>
      <c r="B675" s="1" t="s">
        <v>13</v>
      </c>
      <c r="C675" s="4" t="s">
        <v>3234</v>
      </c>
      <c r="D675" s="1" t="s">
        <v>3235</v>
      </c>
      <c r="E675" s="1" t="s">
        <v>3236</v>
      </c>
      <c r="F675" s="4" t="s">
        <v>17</v>
      </c>
      <c r="G675" s="1" t="s">
        <v>18</v>
      </c>
      <c r="H675" s="1" t="s">
        <v>19</v>
      </c>
      <c r="I675" s="1" t="s">
        <v>20</v>
      </c>
      <c r="J675" s="1" t="s">
        <v>3237</v>
      </c>
      <c r="K675" s="1" t="s">
        <v>22</v>
      </c>
      <c r="L675" s="1" t="str">
        <f>HYPERLINK("https://files.afu.se/Downloads/Transcripts/0%20-%20Government/USA%20-%20NASA/2019 09 27 - NASA - New Arrivals Welcomed Aboard the Space Station on This Week @NASA – September 27, 2019_VklY8tT4AsY - transcript (automated).pdf","Transcript Link")</f>
        <v>Transcript Link</v>
      </c>
      <c r="M675" s="2" t="str">
        <f>HYPERLINK("https://files.afu.se/Downloads/Transcripts/0%20-%20Government/USA%20-%20NASA/2019 09 27 - NASA - New Arrivals Welcomed Aboard the Space Station on This Week @NASA – September 27, 2019_VklY8tT4AsY - transcript (automated).pdf","Transcript Link")</f>
        <v>Transcript Link</v>
      </c>
    </row>
    <row r="676" ht="165" spans="1:13">
      <c r="A676" s="1" t="s">
        <v>3238</v>
      </c>
      <c r="B676" s="1" t="s">
        <v>13</v>
      </c>
      <c r="C676" s="4" t="s">
        <v>3239</v>
      </c>
      <c r="D676" s="1" t="s">
        <v>3240</v>
      </c>
      <c r="E676" s="1" t="s">
        <v>3241</v>
      </c>
      <c r="F676" s="4" t="s">
        <v>17</v>
      </c>
      <c r="G676" s="1" t="s">
        <v>18</v>
      </c>
      <c r="H676" s="1" t="s">
        <v>19</v>
      </c>
      <c r="I676" s="1" t="s">
        <v>20</v>
      </c>
      <c r="J676" s="1" t="s">
        <v>3242</v>
      </c>
      <c r="K676" s="1" t="s">
        <v>22</v>
      </c>
      <c r="L676" s="1" t="str">
        <f>HYPERLINK("https://files.afu.se/Downloads/Transcripts/0%20-%20Government/USA%20-%20NASA/2019 09 26 - NASA - NASA Explorers  Fires_RN7fm1ZRK90 - transcript (automated).pdf","Transcript Link")</f>
        <v>Transcript Link</v>
      </c>
      <c r="M676" s="2" t="str">
        <f>HYPERLINK("https://files.afu.se/Downloads/Transcripts/0%20-%20Government/USA%20-%20NASA/2019 09 26 - NASA - NASA Explorers  Fires_RN7fm1ZRK90 - transcript (automated).pdf","Transcript Link")</f>
        <v>Transcript Link</v>
      </c>
    </row>
    <row r="677" ht="180" spans="1:13">
      <c r="A677" s="1" t="s">
        <v>3243</v>
      </c>
      <c r="B677" s="1" t="s">
        <v>13</v>
      </c>
      <c r="C677" s="4" t="s">
        <v>3244</v>
      </c>
      <c r="D677" s="1" t="s">
        <v>3245</v>
      </c>
      <c r="E677" s="1" t="s">
        <v>3246</v>
      </c>
      <c r="F677" s="4" t="s">
        <v>17</v>
      </c>
      <c r="G677" s="1" t="s">
        <v>18</v>
      </c>
      <c r="H677" s="1" t="s">
        <v>19</v>
      </c>
      <c r="I677" s="1" t="s">
        <v>20</v>
      </c>
      <c r="J677" s="1" t="s">
        <v>3247</v>
      </c>
      <c r="K677" s="1" t="s">
        <v>22</v>
      </c>
      <c r="L677" s="1" t="str">
        <f>HYPERLINK("https://files.afu.se/Downloads/Transcripts/0%20-%20Government/USA%20-%20NASA/2019 09 23 - NASA - %23AskNASA┃ What is Artemis _YOG3tAkPpPE - transcript (automated).pdf","Transcript Link")</f>
        <v>Transcript Link</v>
      </c>
      <c r="M677" s="2" t="str">
        <f>HYPERLINK("https://files.afu.se/Downloads/Transcripts/0%20-%20Government/USA%20-%20NASA/2019 09 23 - NASA - %23AskNASA┃ What is Artemis _YOG3tAkPpPE - transcript (automated).pdf","Transcript Link")</f>
        <v>Transcript Link</v>
      </c>
    </row>
    <row r="678" ht="165" spans="1:13">
      <c r="A678" s="1" t="s">
        <v>3248</v>
      </c>
      <c r="B678" s="1" t="s">
        <v>13</v>
      </c>
      <c r="C678" s="4" t="s">
        <v>3249</v>
      </c>
      <c r="D678" s="1" t="s">
        <v>3250</v>
      </c>
      <c r="E678" s="1" t="s">
        <v>3251</v>
      </c>
      <c r="F678" s="4" t="s">
        <v>17</v>
      </c>
      <c r="G678" s="1" t="s">
        <v>18</v>
      </c>
      <c r="H678" s="1" t="s">
        <v>19</v>
      </c>
      <c r="I678" s="1" t="s">
        <v>20</v>
      </c>
      <c r="J678" s="1" t="s">
        <v>3252</v>
      </c>
      <c r="K678" s="1" t="s">
        <v>22</v>
      </c>
      <c r="L678" s="1" t="str">
        <f>HYPERLINK("https://files.afu.se/Downloads/Transcripts/0%20-%20Government/USA%20-%20NASA/2019 09 20 - NASA - Highlighting Artemis with Help from Hollywood on This Week @NASA – September 20, 2019_6Sau0pFAkTk - transcript (automated).pdf","Transcript Link")</f>
        <v>Transcript Link</v>
      </c>
      <c r="M678" s="2" t="str">
        <f>HYPERLINK("https://files.afu.se/Downloads/Transcripts/0%20-%20Government/USA%20-%20NASA/2019 09 20 - NASA - Highlighting Artemis with Help from Hollywood on This Week @NASA – September 20, 2019_6Sau0pFAkTk - transcript (automated).pdf","Transcript Link")</f>
        <v>Transcript Link</v>
      </c>
    </row>
    <row r="679" ht="165" spans="1:13">
      <c r="A679" s="1" t="s">
        <v>3248</v>
      </c>
      <c r="B679" s="1" t="s">
        <v>13</v>
      </c>
      <c r="C679" s="4" t="s">
        <v>3253</v>
      </c>
      <c r="D679" s="1" t="s">
        <v>3254</v>
      </c>
      <c r="E679" s="1" t="s">
        <v>3255</v>
      </c>
      <c r="F679" s="4" t="s">
        <v>17</v>
      </c>
      <c r="G679" s="1" t="s">
        <v>18</v>
      </c>
      <c r="H679" s="1" t="s">
        <v>19</v>
      </c>
      <c r="I679" s="1" t="s">
        <v>20</v>
      </c>
      <c r="J679" s="1" t="s">
        <v>3256</v>
      </c>
      <c r="K679" s="1" t="s">
        <v>22</v>
      </c>
      <c r="L679" s="1" t="str">
        <f>HYPERLINK("https://files.afu.se/Downloads/Transcripts/0%20-%20Government/USA%20-%20NASA/2019 09 20 - NASA - %23AskNASA ┃ Special Episode %23AskBrad_CUrshzt-muI - transcript (automated).pdf","Transcript Link")</f>
        <v>Transcript Link</v>
      </c>
      <c r="M679" s="2" t="str">
        <f>HYPERLINK("https://files.afu.se/Downloads/Transcripts/0%20-%20Government/USA%20-%20NASA/2019 09 20 - NASA - %23AskNASA ┃ Special Episode %23AskBrad_CUrshzt-muI - transcript (automated).pdf","Transcript Link")</f>
        <v>Transcript Link</v>
      </c>
    </row>
    <row r="680" ht="165" spans="1:13">
      <c r="A680" s="1" t="s">
        <v>3257</v>
      </c>
      <c r="B680" s="1" t="s">
        <v>13</v>
      </c>
      <c r="C680" s="4" t="s">
        <v>3258</v>
      </c>
      <c r="D680" s="1" t="s">
        <v>3259</v>
      </c>
      <c r="E680" s="1" t="s">
        <v>3260</v>
      </c>
      <c r="F680" s="4" t="s">
        <v>17</v>
      </c>
      <c r="G680" s="1" t="s">
        <v>18</v>
      </c>
      <c r="H680" s="1" t="s">
        <v>19</v>
      </c>
      <c r="I680" s="1" t="s">
        <v>20</v>
      </c>
      <c r="J680" s="1" t="s">
        <v>3261</v>
      </c>
      <c r="K680" s="1" t="s">
        <v>22</v>
      </c>
      <c r="L680" s="1" t="str">
        <f>HYPERLINK("https://files.afu.se/Downloads/Transcripts/0%20-%20Government/USA%20-%20NASA/2019 09 19 - NASA - %23AskNASA  Brad Pitt Helps NASA Kick Off New Video Series_wialrxoQTWM - transcript (automated).pdf","Transcript Link")</f>
        <v>Transcript Link</v>
      </c>
      <c r="M680" s="2" t="str">
        <f>HYPERLINK("https://files.afu.se/Downloads/Transcripts/0%20-%20Government/USA%20-%20NASA/2019 09 19 - NASA - %23AskNASA  Brad Pitt Helps NASA Kick Off New Video Series_wialrxoQTWM - transcript (automated).pdf","Transcript Link")</f>
        <v>Transcript Link</v>
      </c>
    </row>
    <row r="681" ht="240" spans="1:13">
      <c r="A681" s="1" t="s">
        <v>3257</v>
      </c>
      <c r="B681" s="1" t="s">
        <v>13</v>
      </c>
      <c r="C681" s="4" t="s">
        <v>3262</v>
      </c>
      <c r="D681" s="1" t="s">
        <v>3263</v>
      </c>
      <c r="E681" s="1" t="s">
        <v>3264</v>
      </c>
      <c r="F681" s="4" t="s">
        <v>17</v>
      </c>
      <c r="G681" s="1" t="s">
        <v>18</v>
      </c>
      <c r="H681" s="1" t="s">
        <v>19</v>
      </c>
      <c r="I681" s="1" t="s">
        <v>20</v>
      </c>
      <c r="J681" s="1" t="s">
        <v>3265</v>
      </c>
      <c r="K681" s="1" t="s">
        <v>22</v>
      </c>
      <c r="L681" s="1" t="str">
        <f>HYPERLINK("https://files.afu.se/Downloads/Transcripts/0%20-%20Government/USA%20-%20NASA/2019 09 19 - NASA - SpaceX Crew Dragon Parachute Test_jPQD-u5ZP6M - transcript (automated).pdf","Transcript Link")</f>
        <v>Transcript Link</v>
      </c>
      <c r="M681" s="2" t="str">
        <f>HYPERLINK("https://files.afu.se/Downloads/Transcripts/0%20-%20Government/USA%20-%20NASA/2019 09 19 - NASA - SpaceX Crew Dragon Parachute Test_jPQD-u5ZP6M - transcript (automated).pdf","Transcript Link")</f>
        <v>Transcript Link</v>
      </c>
    </row>
    <row r="682" ht="390" spans="1:13">
      <c r="A682" s="1" t="s">
        <v>3266</v>
      </c>
      <c r="B682" s="1" t="s">
        <v>13</v>
      </c>
      <c r="C682" s="4" t="s">
        <v>3267</v>
      </c>
      <c r="D682" s="1" t="s">
        <v>3268</v>
      </c>
      <c r="E682" s="1" t="s">
        <v>3269</v>
      </c>
      <c r="F682" s="4" t="s">
        <v>17</v>
      </c>
      <c r="G682" s="1" t="s">
        <v>18</v>
      </c>
      <c r="H682" s="1" t="s">
        <v>19</v>
      </c>
      <c r="I682" s="1" t="s">
        <v>20</v>
      </c>
      <c r="J682" s="1" t="s">
        <v>3270</v>
      </c>
      <c r="K682" s="1" t="s">
        <v>22</v>
      </c>
      <c r="L682" s="1" t="str">
        <f>HYPERLINK("https://files.afu.se/Downloads/Transcripts/0%20-%20Government/USA%20-%20NASA/2019 09 16 - NASA - Brad Pitt Speaks with NASA Astronaut Nick Hague Aboard the International Space Station__oVYSwmIrZk - transcript (automated).pdf","Transcript Link")</f>
        <v>Transcript Link</v>
      </c>
      <c r="M682" s="2" t="str">
        <f>HYPERLINK("https://files.afu.se/Downloads/Transcripts/0%20-%20Government/USA%20-%20NASA/2019 09 16 - NASA - Brad Pitt Speaks with NASA Astronaut Nick Hague Aboard the International Space Station__oVYSwmIrZk - transcript (automated).pdf","Transcript Link")</f>
        <v>Transcript Link</v>
      </c>
    </row>
    <row r="683" ht="165" spans="1:13">
      <c r="A683" s="1" t="s">
        <v>3271</v>
      </c>
      <c r="B683" s="1" t="s">
        <v>13</v>
      </c>
      <c r="C683" s="4" t="s">
        <v>3272</v>
      </c>
      <c r="D683" s="1" t="s">
        <v>3273</v>
      </c>
      <c r="E683" s="1" t="s">
        <v>3274</v>
      </c>
      <c r="F683" s="4" t="s">
        <v>17</v>
      </c>
      <c r="G683" s="1" t="s">
        <v>18</v>
      </c>
      <c r="H683" s="1" t="s">
        <v>19</v>
      </c>
      <c r="I683" s="1" t="s">
        <v>20</v>
      </c>
      <c r="J683" s="1" t="s">
        <v>3275</v>
      </c>
      <c r="K683" s="1" t="s">
        <v>22</v>
      </c>
      <c r="L683" s="1" t="str">
        <f>HYPERLINK("https://files.afu.se/Downloads/Transcripts/0%20-%20Government/USA%20-%20NASA/2019 09 13 - NASA - Inside NASA's Psyche Mission to Learn about Collisions and Crater Formation_nSR2Yvlki7I - transcript (automated).pdf","Transcript Link")</f>
        <v>Transcript Link</v>
      </c>
      <c r="M683" s="2" t="str">
        <f>HYPERLINK("https://files.afu.se/Downloads/Transcripts/0%20-%20Government/USA%20-%20NASA/2019 09 13 - NASA - Inside NASA's Psyche Mission to Learn about Collisions and Crater Formation_nSR2Yvlki7I - transcript (automated).pdf","Transcript Link")</f>
        <v>Transcript Link</v>
      </c>
    </row>
    <row r="684" ht="165" spans="1:13">
      <c r="A684" s="1" t="s">
        <v>3271</v>
      </c>
      <c r="B684" s="1" t="s">
        <v>13</v>
      </c>
      <c r="C684" s="4" t="s">
        <v>3276</v>
      </c>
      <c r="D684" s="1" t="s">
        <v>3277</v>
      </c>
      <c r="E684" s="1" t="s">
        <v>3278</v>
      </c>
      <c r="F684" s="4" t="s">
        <v>17</v>
      </c>
      <c r="G684" s="1" t="s">
        <v>18</v>
      </c>
      <c r="H684" s="1" t="s">
        <v>19</v>
      </c>
      <c r="I684" s="1" t="s">
        <v>20</v>
      </c>
      <c r="J684" s="1" t="s">
        <v>3279</v>
      </c>
      <c r="K684" s="1" t="s">
        <v>22</v>
      </c>
      <c r="L684" s="1" t="str">
        <f>HYPERLINK("https://files.afu.se/Downloads/Transcripts/0%20-%20Government/USA%20-%20NASA/2019 09 13 - NASA - An Exoplanet Discovery from Hubble on This Week @NASA – September 13, 2019_1bJDPqd8V88 - transcript (automated).pdf","Transcript Link")</f>
        <v>Transcript Link</v>
      </c>
      <c r="M684" s="2" t="str">
        <f>HYPERLINK("https://files.afu.se/Downloads/Transcripts/0%20-%20Government/USA%20-%20NASA/2019 09 13 - NASA - An Exoplanet Discovery from Hubble on This Week @NASA – September 13, 2019_1bJDPqd8V88 - transcript (automated).pdf","Transcript Link")</f>
        <v>Transcript Link</v>
      </c>
    </row>
    <row r="685" ht="409.5" spans="1:13">
      <c r="A685" s="1" t="s">
        <v>3280</v>
      </c>
      <c r="B685" s="1" t="s">
        <v>13</v>
      </c>
      <c r="C685" s="4" t="s">
        <v>3281</v>
      </c>
      <c r="D685" s="1" t="s">
        <v>3282</v>
      </c>
      <c r="E685" s="1" t="s">
        <v>3283</v>
      </c>
      <c r="F685" s="4" t="s">
        <v>17</v>
      </c>
      <c r="G685" s="1" t="s">
        <v>18</v>
      </c>
      <c r="H685" s="1" t="s">
        <v>19</v>
      </c>
      <c r="I685" s="1" t="s">
        <v>20</v>
      </c>
      <c r="J685" s="1" t="s">
        <v>3284</v>
      </c>
      <c r="K685" s="1" t="s">
        <v>22</v>
      </c>
      <c r="L685" s="1" t="str">
        <f>HYPERLINK("https://files.afu.se/Downloads/Transcripts/0%20-%20Government/USA%20-%20NASA/2019 09 08 - NASA - Views of Hurricane Dorian from the International Space Station - September 6, 2019_uuNTE3oTZZo - transcript (automated).pdf","Transcript Link")</f>
        <v>Transcript Link</v>
      </c>
      <c r="M685" s="2" t="str">
        <f>HYPERLINK("https://files.afu.se/Downloads/Transcripts/0%20-%20Government/USA%20-%20NASA/2019 09 08 - NASA - Views of Hurricane Dorian from the International Space Station - September 6, 2019_uuNTE3oTZZo - transcript (automated).pdf","Transcript Link")</f>
        <v>Transcript Link</v>
      </c>
    </row>
    <row r="686" ht="165" spans="1:13">
      <c r="A686" s="1" t="s">
        <v>3285</v>
      </c>
      <c r="B686" s="1" t="s">
        <v>13</v>
      </c>
      <c r="C686" s="4" t="s">
        <v>3286</v>
      </c>
      <c r="D686" s="1" t="s">
        <v>3287</v>
      </c>
      <c r="E686" s="1" t="s">
        <v>3288</v>
      </c>
      <c r="F686" s="4" t="s">
        <v>17</v>
      </c>
      <c r="G686" s="1" t="s">
        <v>18</v>
      </c>
      <c r="H686" s="1" t="s">
        <v>19</v>
      </c>
      <c r="I686" s="1" t="s">
        <v>20</v>
      </c>
      <c r="J686" s="1" t="s">
        <v>3289</v>
      </c>
      <c r="K686" s="1" t="s">
        <v>22</v>
      </c>
      <c r="L686" s="1" t="str">
        <f>HYPERLINK("https://files.afu.se/Downloads/Transcripts/0%20-%20Government/USA%20-%20NASA/2019 09 06 - NASA - Keeping an eye on Hurricane Dorian from Space on This Week @NASA – September 6, 2019_RFKKy3IPSxg - transcript (automated).pdf","Transcript Link")</f>
        <v>Transcript Link</v>
      </c>
      <c r="M686" s="2" t="str">
        <f>HYPERLINK("https://files.afu.se/Downloads/Transcripts/0%20-%20Government/USA%20-%20NASA/2019 09 06 - NASA - Keeping an eye on Hurricane Dorian from Space on This Week @NASA – September 6, 2019_RFKKy3IPSxg - transcript (automated).pdf","Transcript Link")</f>
        <v>Transcript Link</v>
      </c>
    </row>
    <row r="687" ht="409.5" spans="1:13">
      <c r="A687" s="1" t="s">
        <v>3290</v>
      </c>
      <c r="B687" s="1" t="s">
        <v>13</v>
      </c>
      <c r="C687" s="4" t="s">
        <v>3291</v>
      </c>
      <c r="D687" s="1" t="s">
        <v>3292</v>
      </c>
      <c r="E687" s="1" t="s">
        <v>3293</v>
      </c>
      <c r="F687" s="4" t="s">
        <v>17</v>
      </c>
      <c r="G687" s="1" t="s">
        <v>18</v>
      </c>
      <c r="H687" s="1" t="s">
        <v>19</v>
      </c>
      <c r="I687" s="1" t="s">
        <v>20</v>
      </c>
      <c r="J687" s="1" t="s">
        <v>3294</v>
      </c>
      <c r="K687" s="1" t="s">
        <v>22</v>
      </c>
      <c r="L687" s="1" t="str">
        <f>HYPERLINK("https://files.afu.se/Downloads/Transcripts/0%20-%20Government/USA%20-%20NASA/2019 09 05 - NASA - Views of Hurricane Dorian from the International Space Station - September 5, 2019_sun1LumDuVw - transcript (automated).pdf","Transcript Link")</f>
        <v>Transcript Link</v>
      </c>
      <c r="M687" s="2" t="str">
        <f>HYPERLINK("https://files.afu.se/Downloads/Transcripts/0%20-%20Government/USA%20-%20NASA/2019 09 05 - NASA - Views of Hurricane Dorian from the International Space Station - September 5, 2019_sun1LumDuVw - transcript (automated).pdf","Transcript Link")</f>
        <v>Transcript Link</v>
      </c>
    </row>
    <row r="688" ht="375" spans="1:13">
      <c r="A688" s="1" t="s">
        <v>3295</v>
      </c>
      <c r="B688" s="1" t="s">
        <v>13</v>
      </c>
      <c r="C688" s="4" t="s">
        <v>3296</v>
      </c>
      <c r="D688" s="1" t="s">
        <v>3297</v>
      </c>
      <c r="E688" s="1" t="s">
        <v>3298</v>
      </c>
      <c r="F688" s="4" t="s">
        <v>17</v>
      </c>
      <c r="G688" s="1" t="s">
        <v>18</v>
      </c>
      <c r="H688" s="1" t="s">
        <v>19</v>
      </c>
      <c r="I688" s="1" t="s">
        <v>20</v>
      </c>
      <c r="J688" s="1" t="s">
        <v>3299</v>
      </c>
      <c r="K688" s="1" t="s">
        <v>22</v>
      </c>
      <c r="L688" s="1" t="str">
        <f>HYPERLINK("https://files.afu.se/Downloads/Transcripts/0%20-%20Government/USA%20-%20NASA/2019 09 04 - NASA - Views of Hurricane Dorian from the International Space Station - September 4, 2019_XtB_z74-qa4 - transcript (automated).pdf","Transcript Link")</f>
        <v>Transcript Link</v>
      </c>
      <c r="M688" s="2" t="str">
        <f>HYPERLINK("https://files.afu.se/Downloads/Transcripts/0%20-%20Government/USA%20-%20NASA/2019 09 04 - NASA - Views of Hurricane Dorian from the International Space Station - September 4, 2019_XtB_z74-qa4 - transcript (automated).pdf","Transcript Link")</f>
        <v>Transcript Link</v>
      </c>
    </row>
    <row r="689" ht="409.5" spans="1:13">
      <c r="A689" s="1" t="s">
        <v>3300</v>
      </c>
      <c r="B689" s="1" t="s">
        <v>13</v>
      </c>
      <c r="C689" s="4" t="s">
        <v>3301</v>
      </c>
      <c r="D689" s="1" t="s">
        <v>3302</v>
      </c>
      <c r="E689" s="1" t="s">
        <v>3303</v>
      </c>
      <c r="F689" s="4" t="s">
        <v>17</v>
      </c>
      <c r="G689" s="1" t="s">
        <v>18</v>
      </c>
      <c r="H689" s="1" t="s">
        <v>19</v>
      </c>
      <c r="I689" s="1" t="s">
        <v>20</v>
      </c>
      <c r="J689" s="1" t="s">
        <v>3304</v>
      </c>
      <c r="K689" s="1" t="s">
        <v>22</v>
      </c>
      <c r="L689" s="1" t="str">
        <f>HYPERLINK("https://files.afu.se/Downloads/Transcripts/0%20-%20Government/USA%20-%20NASA/2019 09 03 - NASA - Views of Hurricane Dorian from the International Space Station - September 3, 2019_mFqWr-WHqmo - transcript (automated).pdf","Transcript Link")</f>
        <v>Transcript Link</v>
      </c>
      <c r="M689" s="2" t="str">
        <f>HYPERLINK("https://files.afu.se/Downloads/Transcripts/0%20-%20Government/USA%20-%20NASA/2019 09 03 - NASA - Views of Hurricane Dorian from the International Space Station - September 3, 2019_mFqWr-WHqmo - transcript (automated).pdf","Transcript Link")</f>
        <v>Transcript Link</v>
      </c>
    </row>
    <row r="690" ht="405" spans="1:13">
      <c r="A690" s="1" t="s">
        <v>3305</v>
      </c>
      <c r="B690" s="1" t="s">
        <v>13</v>
      </c>
      <c r="C690" s="4" t="s">
        <v>3306</v>
      </c>
      <c r="D690" s="1" t="s">
        <v>3307</v>
      </c>
      <c r="E690" s="1" t="s">
        <v>3308</v>
      </c>
      <c r="F690" s="4" t="s">
        <v>17</v>
      </c>
      <c r="G690" s="1" t="s">
        <v>18</v>
      </c>
      <c r="H690" s="1" t="s">
        <v>19</v>
      </c>
      <c r="I690" s="1" t="s">
        <v>20</v>
      </c>
      <c r="J690" s="1" t="s">
        <v>3309</v>
      </c>
      <c r="K690" s="1" t="s">
        <v>22</v>
      </c>
      <c r="L690" s="1" t="str">
        <f>HYPERLINK("https://files.afu.se/Downloads/Transcripts/0%20-%20Government/USA%20-%20NASA/2019 09 02 - NASA - Views of Hurricane Dorian from the International Space Station - September 2, 2019_U7DnzGdsJFY - transcript (automated).pdf","Transcript Link")</f>
        <v>Transcript Link</v>
      </c>
      <c r="M690" s="2" t="str">
        <f>HYPERLINK("https://files.afu.se/Downloads/Transcripts/0%20-%20Government/USA%20-%20NASA/2019 09 02 - NASA - Views of Hurricane Dorian from the International Space Station - September 2, 2019_U7DnzGdsJFY - transcript (automated).pdf","Transcript Link")</f>
        <v>Transcript Link</v>
      </c>
    </row>
    <row r="691" ht="270" spans="1:13">
      <c r="A691" s="1" t="s">
        <v>3310</v>
      </c>
      <c r="B691" s="1" t="s">
        <v>13</v>
      </c>
      <c r="C691" s="4" t="s">
        <v>3311</v>
      </c>
      <c r="D691" s="1" t="s">
        <v>3312</v>
      </c>
      <c r="E691" s="1" t="s">
        <v>3313</v>
      </c>
      <c r="F691" s="4" t="s">
        <v>17</v>
      </c>
      <c r="G691" s="1" t="s">
        <v>18</v>
      </c>
      <c r="H691" s="1" t="s">
        <v>19</v>
      </c>
      <c r="I691" s="1" t="s">
        <v>20</v>
      </c>
      <c r="J691" s="1" t="s">
        <v>3314</v>
      </c>
      <c r="K691" s="1" t="s">
        <v>22</v>
      </c>
      <c r="L691" s="1" t="str">
        <f>HYPERLINK("https://files.afu.se/Downloads/Transcripts/0%20-%20Government/USA%20-%20NASA/2019 09 01 - NASA - Views of Hurricane Dorian from the International Space Station - September 1, 2019__BTd40ed3sg - transcript (automated).pdf","Transcript Link")</f>
        <v>Transcript Link</v>
      </c>
      <c r="M691" s="2" t="str">
        <f>HYPERLINK("https://files.afu.se/Downloads/Transcripts/0%20-%20Government/USA%20-%20NASA/2019 09 01 - NASA - Views of Hurricane Dorian from the International Space Station - September 1, 2019__BTd40ed3sg - transcript (automated).pdf","Transcript Link")</f>
        <v>Transcript Link</v>
      </c>
    </row>
    <row r="692" ht="210" spans="1:13">
      <c r="A692" s="1" t="s">
        <v>3315</v>
      </c>
      <c r="B692" s="1" t="s">
        <v>13</v>
      </c>
      <c r="C692" s="4" t="s">
        <v>3316</v>
      </c>
      <c r="D692" s="1" t="s">
        <v>3317</v>
      </c>
      <c r="E692" s="1" t="s">
        <v>3318</v>
      </c>
      <c r="F692" s="4" t="s">
        <v>17</v>
      </c>
      <c r="G692" s="1" t="s">
        <v>18</v>
      </c>
      <c r="H692" s="1" t="s">
        <v>19</v>
      </c>
      <c r="I692" s="1" t="s">
        <v>20</v>
      </c>
      <c r="J692" s="1" t="s">
        <v>3319</v>
      </c>
      <c r="K692" s="1" t="s">
        <v>22</v>
      </c>
      <c r="L692" s="1" t="str">
        <f>HYPERLINK("https://files.afu.se/Downloads/Transcripts/0%20-%20Government/USA%20-%20NASA/2019 08 31 - NASA - Views of Hurricane Dorian from the International Space Station - August 31, 2019_W1e8uWkVja8 - transcript (automated).pdf","Transcript Link")</f>
        <v>Transcript Link</v>
      </c>
      <c r="M692" s="2" t="str">
        <f>HYPERLINK("https://files.afu.se/Downloads/Transcripts/0%20-%20Government/USA%20-%20NASA/2019 08 31 - NASA - Views of Hurricane Dorian from the International Space Station - August 31, 2019_W1e8uWkVja8 - transcript (automated).pdf","Transcript Link")</f>
        <v>Transcript Link</v>
      </c>
    </row>
    <row r="693" ht="195" spans="1:13">
      <c r="A693" s="1" t="s">
        <v>3315</v>
      </c>
      <c r="B693" s="1" t="s">
        <v>13</v>
      </c>
      <c r="C693" s="4" t="s">
        <v>3320</v>
      </c>
      <c r="D693" s="1" t="s">
        <v>3321</v>
      </c>
      <c r="E693" s="1" t="s">
        <v>3322</v>
      </c>
      <c r="F693" s="4" t="s">
        <v>17</v>
      </c>
      <c r="G693" s="1" t="s">
        <v>18</v>
      </c>
      <c r="H693" s="1" t="s">
        <v>19</v>
      </c>
      <c r="I693" s="1" t="s">
        <v>20</v>
      </c>
      <c r="J693" s="1" t="s">
        <v>3323</v>
      </c>
      <c r="K693" s="1" t="s">
        <v>22</v>
      </c>
      <c r="L693" s="1" t="str">
        <f>HYPERLINK("https://files.afu.se/Downloads/Transcripts/0%20-%20Government/USA%20-%20NASA/2019 08 31 - NASA - Views of Hurricane Dorian from the International Space Station - August 30, 2019_K5VkjPlAz6s - transcript (automated).pdf","Transcript Link")</f>
        <v>Transcript Link</v>
      </c>
      <c r="M693" s="2" t="str">
        <f>HYPERLINK("https://files.afu.se/Downloads/Transcripts/0%20-%20Government/USA%20-%20NASA/2019 08 31 - NASA - Views of Hurricane Dorian from the International Space Station - August 30, 2019_K5VkjPlAz6s - transcript (automated).pdf","Transcript Link")</f>
        <v>Transcript Link</v>
      </c>
    </row>
    <row r="694" ht="165" spans="1:13">
      <c r="A694" s="1" t="s">
        <v>3324</v>
      </c>
      <c r="B694" s="1" t="s">
        <v>13</v>
      </c>
      <c r="C694" s="4" t="s">
        <v>3325</v>
      </c>
      <c r="D694" s="1" t="s">
        <v>3326</v>
      </c>
      <c r="E694" s="1" t="s">
        <v>3327</v>
      </c>
      <c r="F694" s="4" t="s">
        <v>17</v>
      </c>
      <c r="G694" s="1" t="s">
        <v>18</v>
      </c>
      <c r="H694" s="1" t="s">
        <v>19</v>
      </c>
      <c r="I694" s="1" t="s">
        <v>20</v>
      </c>
      <c r="J694" s="1" t="s">
        <v>3328</v>
      </c>
      <c r="K694" s="1" t="s">
        <v>22</v>
      </c>
      <c r="L694" s="1" t="str">
        <f>HYPERLINK("https://files.afu.se/Downloads/Transcripts/0%20-%20Government/USA%20-%20NASA/2019 08 30 - NASA - Celebrating Contributions by Women to Space Exploration on This Week @NASA – August 30, 2019_aOukt6g3os0 - transcript (automated).pdf","Transcript Link")</f>
        <v>Transcript Link</v>
      </c>
      <c r="M694" s="2" t="str">
        <f>HYPERLINK("https://files.afu.se/Downloads/Transcripts/0%20-%20Government/USA%20-%20NASA/2019 08 30 - NASA - Celebrating Contributions by Women to Space Exploration on This Week @NASA – August 30, 2019_aOukt6g3os0 - transcript (automated).pdf","Transcript Link")</f>
        <v>Transcript Link</v>
      </c>
    </row>
    <row r="695" ht="180" spans="1:13">
      <c r="A695" s="1" t="s">
        <v>3329</v>
      </c>
      <c r="B695" s="1" t="s">
        <v>13</v>
      </c>
      <c r="C695" s="4" t="s">
        <v>3330</v>
      </c>
      <c r="D695" s="1" t="s">
        <v>3331</v>
      </c>
      <c r="E695" s="1" t="s">
        <v>3332</v>
      </c>
      <c r="F695" s="4" t="s">
        <v>17</v>
      </c>
      <c r="G695" s="1" t="s">
        <v>18</v>
      </c>
      <c r="H695" s="1" t="s">
        <v>19</v>
      </c>
      <c r="I695" s="1" t="s">
        <v>20</v>
      </c>
      <c r="J695" s="1" t="s">
        <v>3333</v>
      </c>
      <c r="K695" s="1" t="s">
        <v>22</v>
      </c>
      <c r="L695" s="1" t="str">
        <f>HYPERLINK("https://files.afu.se/Downloads/Transcripts/0%20-%20Government/USA%20-%20NASA/2019 08 29 - NASA - Views of Hurricane Dorian from the International Space Station - August 29, 2019_FP1NoO9uh18 - transcript (automated).pdf","Transcript Link")</f>
        <v>Transcript Link</v>
      </c>
      <c r="M695" s="2" t="str">
        <f>HYPERLINK("https://files.afu.se/Downloads/Transcripts/0%20-%20Government/USA%20-%20NASA/2019 08 29 - NASA - Views of Hurricane Dorian from the International Space Station - August 29, 2019_FP1NoO9uh18 - transcript (automated).pdf","Transcript Link")</f>
        <v>Transcript Link</v>
      </c>
    </row>
    <row r="696" ht="195" spans="1:13">
      <c r="A696" s="1" t="s">
        <v>3334</v>
      </c>
      <c r="B696" s="1" t="s">
        <v>13</v>
      </c>
      <c r="C696" s="4" t="s">
        <v>3335</v>
      </c>
      <c r="D696" s="1" t="s">
        <v>3336</v>
      </c>
      <c r="E696" s="1" t="s">
        <v>3337</v>
      </c>
      <c r="F696" s="4" t="s">
        <v>17</v>
      </c>
      <c r="G696" s="1" t="s">
        <v>18</v>
      </c>
      <c r="H696" s="1" t="s">
        <v>19</v>
      </c>
      <c r="I696" s="1" t="s">
        <v>20</v>
      </c>
      <c r="J696" s="1" t="s">
        <v>3338</v>
      </c>
      <c r="K696" s="1" t="s">
        <v>22</v>
      </c>
      <c r="L696" s="1" t="str">
        <f>HYPERLINK("https://files.afu.se/Downloads/Transcripts/0%20-%20Government/USA%20-%20NASA/2019 08 26 - NASA - NASA Honors Space Mathematician Katherine Johnson on her 101st Birthday_sIIT68UnAUg - transcript (automated).pdf","Transcript Link")</f>
        <v>Transcript Link</v>
      </c>
      <c r="M696" s="2" t="str">
        <f>HYPERLINK("https://files.afu.se/Downloads/Transcripts/0%20-%20Government/USA%20-%20NASA/2019 08 26 - NASA - NASA Honors Space Mathematician Katherine Johnson on her 101st Birthday_sIIT68UnAUg - transcript (automated).pdf","Transcript Link")</f>
        <v>Transcript Link</v>
      </c>
    </row>
    <row r="697" ht="210" spans="1:13">
      <c r="A697" s="1" t="s">
        <v>3334</v>
      </c>
      <c r="B697" s="1" t="s">
        <v>13</v>
      </c>
      <c r="C697" s="4" t="s">
        <v>3339</v>
      </c>
      <c r="D697" s="1" t="s">
        <v>3340</v>
      </c>
      <c r="E697" s="1" t="s">
        <v>3341</v>
      </c>
      <c r="F697" s="4" t="s">
        <v>17</v>
      </c>
      <c r="G697" s="1" t="s">
        <v>18</v>
      </c>
      <c r="H697" s="1" t="s">
        <v>19</v>
      </c>
      <c r="I697" s="1" t="s">
        <v>20</v>
      </c>
      <c r="J697" s="1" t="s">
        <v>3342</v>
      </c>
      <c r="K697" s="1" t="s">
        <v>22</v>
      </c>
      <c r="L697" s="1" t="str">
        <f>HYPERLINK("https://files.afu.se/Downloads/Transcripts/0%20-%20Government/USA%20-%20NASA/2019 08 26 - NASA - Space Pioneers Celebrated by NASA on Women's Equality Day_WEkl-M36yC4 - transcript (automated).pdf","Transcript Link")</f>
        <v>Transcript Link</v>
      </c>
      <c r="M697" s="2" t="str">
        <f>HYPERLINK("https://files.afu.se/Downloads/Transcripts/0%20-%20Government/USA%20-%20NASA/2019 08 26 - NASA - Space Pioneers Celebrated by NASA on Women's Equality Day_WEkl-M36yC4 - transcript (automated).pdf","Transcript Link")</f>
        <v>Transcript Link</v>
      </c>
    </row>
    <row r="698" ht="165" spans="1:13">
      <c r="A698" s="1" t="s">
        <v>3343</v>
      </c>
      <c r="B698" s="1" t="s">
        <v>13</v>
      </c>
      <c r="C698" s="4" t="s">
        <v>3344</v>
      </c>
      <c r="D698" s="1" t="s">
        <v>3345</v>
      </c>
      <c r="E698" s="1" t="s">
        <v>3346</v>
      </c>
      <c r="F698" s="4" t="s">
        <v>17</v>
      </c>
      <c r="G698" s="1" t="s">
        <v>18</v>
      </c>
      <c r="H698" s="1" t="s">
        <v>19</v>
      </c>
      <c r="I698" s="1" t="s">
        <v>20</v>
      </c>
      <c r="J698" s="1" t="s">
        <v>3347</v>
      </c>
      <c r="K698" s="1" t="s">
        <v>22</v>
      </c>
      <c r="L698" s="1" t="str">
        <f>HYPERLINK("https://files.afu.se/Downloads/Transcripts/0%20-%20Government/USA%20-%20NASA/2019 08 23 - NASA - A Parking Spot for Future Commercial Flights to the Space Station on This Week @NASA–August 23, 2019_5qnYNY6DvtM - transcript (automated).pdf","Transcript Link")</f>
        <v>Transcript Link</v>
      </c>
      <c r="M698" s="2" t="str">
        <f>HYPERLINK("https://files.afu.se/Downloads/Transcripts/0%20-%20Government/USA%20-%20NASA/2019 08 23 - NASA - A Parking Spot for Future Commercial Flights to the Space Station on This Week @NASA–August 23, 2019_5qnYNY6DvtM - transcript (automated).pdf","Transcript Link")</f>
        <v>Transcript Link</v>
      </c>
    </row>
    <row r="699" ht="165" spans="1:13">
      <c r="A699" s="1" t="s">
        <v>3348</v>
      </c>
      <c r="B699" s="1" t="s">
        <v>13</v>
      </c>
      <c r="C699" s="4" t="s">
        <v>3349</v>
      </c>
      <c r="D699" s="1" t="s">
        <v>3350</v>
      </c>
      <c r="E699" s="1" t="s">
        <v>3351</v>
      </c>
      <c r="F699" s="4" t="s">
        <v>17</v>
      </c>
      <c r="G699" s="1" t="s">
        <v>18</v>
      </c>
      <c r="H699" s="1" t="s">
        <v>19</v>
      </c>
      <c r="I699" s="1" t="s">
        <v>20</v>
      </c>
      <c r="J699" s="1" t="s">
        <v>3352</v>
      </c>
      <c r="K699" s="1" t="s">
        <v>22</v>
      </c>
      <c r="L699" s="1" t="str">
        <f>HYPERLINK("https://files.afu.se/Downloads/Transcripts/0%20-%20Government/USA%20-%20NASA/2019 08 16 - NASA - Marshall to Lead Human Landing System Development on This Week @NASA – August 16, 2019_d1-6h4Wj6Aw - transcript (automated).pdf","Transcript Link")</f>
        <v>Transcript Link</v>
      </c>
      <c r="M699" s="2" t="str">
        <f>HYPERLINK("https://files.afu.se/Downloads/Transcripts/0%20-%20Government/USA%20-%20NASA/2019 08 16 - NASA - Marshall to Lead Human Landing System Development on This Week @NASA – August 16, 2019_d1-6h4Wj6Aw - transcript (automated).pdf","Transcript Link")</f>
        <v>Transcript Link</v>
      </c>
    </row>
    <row r="700" ht="165" spans="1:13">
      <c r="A700" s="1" t="s">
        <v>3353</v>
      </c>
      <c r="B700" s="1" t="s">
        <v>13</v>
      </c>
      <c r="C700" s="4" t="s">
        <v>3354</v>
      </c>
      <c r="D700" s="1" t="s">
        <v>3355</v>
      </c>
      <c r="E700" s="1" t="s">
        <v>3356</v>
      </c>
      <c r="F700" s="4" t="s">
        <v>17</v>
      </c>
      <c r="G700" s="1" t="s">
        <v>18</v>
      </c>
      <c r="H700" s="1" t="s">
        <v>19</v>
      </c>
      <c r="I700" s="1" t="s">
        <v>20</v>
      </c>
      <c r="J700" s="1" t="s">
        <v>3357</v>
      </c>
      <c r="K700" s="1" t="s">
        <v>22</v>
      </c>
      <c r="L700" s="1" t="str">
        <f>HYPERLINK("https://files.afu.se/Downloads/Transcripts/0%20-%20Government/USA%20-%20NASA/2019 08 09 - NASA - Testing Orion’s “Powerhouse” on This Week @NASA - August 9, 2019_lnn_-1BYbiY - transcript (automated).pdf","Transcript Link")</f>
        <v>Transcript Link</v>
      </c>
      <c r="M700" s="2" t="str">
        <f>HYPERLINK("https://files.afu.se/Downloads/Transcripts/0%20-%20Government/USA%20-%20NASA/2019 08 09 - NASA - Testing Orion’s “Powerhouse” on This Week @NASA - August 9, 2019_lnn_-1BYbiY - transcript (automated).pdf","Transcript Link")</f>
        <v>Transcript Link</v>
      </c>
    </row>
    <row r="701" ht="165" spans="1:13">
      <c r="A701" s="1" t="s">
        <v>3358</v>
      </c>
      <c r="B701" s="1" t="s">
        <v>13</v>
      </c>
      <c r="C701" s="4" t="s">
        <v>3359</v>
      </c>
      <c r="D701" s="1" t="s">
        <v>3360</v>
      </c>
      <c r="E701" s="1" t="s">
        <v>3361</v>
      </c>
      <c r="F701" s="4" t="s">
        <v>17</v>
      </c>
      <c r="G701" s="1" t="s">
        <v>18</v>
      </c>
      <c r="H701" s="1" t="s">
        <v>19</v>
      </c>
      <c r="I701" s="1" t="s">
        <v>20</v>
      </c>
      <c r="J701" s="1" t="s">
        <v>3362</v>
      </c>
      <c r="K701" s="1" t="s">
        <v>22</v>
      </c>
      <c r="L701" s="1" t="str">
        <f>HYPERLINK("https://files.afu.se/Downloads/Transcripts/0%20-%20Government/USA%20-%20NASA/2019 08 06 - NASA - Hot Fire! Orion Spacecraft Service Module Completes Critical Propulsion Test_v2JsxXxf1MM - transcript (automated).pdf","Transcript Link")</f>
        <v>Transcript Link</v>
      </c>
      <c r="M701" s="2" t="str">
        <f>HYPERLINK("https://files.afu.se/Downloads/Transcripts/0%20-%20Government/USA%20-%20NASA/2019 08 06 - NASA - Hot Fire! Orion Spacecraft Service Module Completes Critical Propulsion Test_v2JsxXxf1MM - transcript (automated).pdf","Transcript Link")</f>
        <v>Transcript Link</v>
      </c>
    </row>
    <row r="702" ht="165" spans="1:13">
      <c r="A702" s="1" t="s">
        <v>3363</v>
      </c>
      <c r="B702" s="1" t="s">
        <v>13</v>
      </c>
      <c r="C702" s="4" t="s">
        <v>3364</v>
      </c>
      <c r="D702" s="1" t="s">
        <v>3365</v>
      </c>
      <c r="E702" s="1" t="s">
        <v>3366</v>
      </c>
      <c r="F702" s="4" t="s">
        <v>17</v>
      </c>
      <c r="G702" s="1" t="s">
        <v>18</v>
      </c>
      <c r="H702" s="1" t="s">
        <v>19</v>
      </c>
      <c r="I702" s="1" t="s">
        <v>20</v>
      </c>
      <c r="J702" s="1" t="s">
        <v>3367</v>
      </c>
      <c r="K702" s="1" t="s">
        <v>22</v>
      </c>
      <c r="L702" s="1" t="str">
        <f>HYPERLINK("https://files.afu.se/Downloads/Transcripts/0%20-%20Government/USA%20-%20NASA/2019 08 02 - NASA - A New Opportunity to Deliver Payloads to the Moon on This Week @NASA – August 2, 2019_D5J-xTFyido - transcript (automated).pdf","Transcript Link")</f>
        <v>Transcript Link</v>
      </c>
      <c r="M702" s="2" t="str">
        <f>HYPERLINK("https://files.afu.se/Downloads/Transcripts/0%20-%20Government/USA%20-%20NASA/2019 08 02 - NASA - A New Opportunity to Deliver Payloads to the Moon on This Week @NASA – August 2, 2019_D5J-xTFyido - transcript (automated).pdf","Transcript Link")</f>
        <v>Transcript Link</v>
      </c>
    </row>
    <row r="703" ht="375" spans="1:13">
      <c r="A703" s="1" t="s">
        <v>3368</v>
      </c>
      <c r="B703" s="1" t="s">
        <v>13</v>
      </c>
      <c r="C703" s="4" t="s">
        <v>3369</v>
      </c>
      <c r="D703" s="1" t="s">
        <v>3370</v>
      </c>
      <c r="E703" s="1" t="s">
        <v>3371</v>
      </c>
      <c r="F703" s="4" t="s">
        <v>17</v>
      </c>
      <c r="G703" s="1" t="s">
        <v>18</v>
      </c>
      <c r="H703" s="1" t="s">
        <v>19</v>
      </c>
      <c r="I703" s="1" t="s">
        <v>20</v>
      </c>
      <c r="J703" s="1" t="s">
        <v>3372</v>
      </c>
      <c r="K703" s="1" t="s">
        <v>22</v>
      </c>
      <c r="L703" s="1" t="str">
        <f>HYPERLINK("https://files.afu.se/Downloads/Transcripts/0%20-%20Government/USA%20-%20NASA/2019 07 30 - NASA - NASA Explorers  Apollo Story Roundup_5qaKa8tSXmo - transcript (automated).pdf","Transcript Link")</f>
        <v>Transcript Link</v>
      </c>
      <c r="M703" s="2" t="str">
        <f>HYPERLINK("https://files.afu.se/Downloads/Transcripts/0%20-%20Government/USA%20-%20NASA/2019 07 30 - NASA - NASA Explorers  Apollo Story Roundup_5qaKa8tSXmo - transcript (automated).pdf","Transcript Link")</f>
        <v>Transcript Link</v>
      </c>
    </row>
    <row r="704" ht="409.5" spans="1:13">
      <c r="A704" s="1" t="s">
        <v>3368</v>
      </c>
      <c r="B704" s="1" t="s">
        <v>13</v>
      </c>
      <c r="C704" s="4" t="s">
        <v>3373</v>
      </c>
      <c r="D704" s="1" t="s">
        <v>3374</v>
      </c>
      <c r="E704" s="1" t="s">
        <v>3375</v>
      </c>
      <c r="F704" s="4" t="s">
        <v>17</v>
      </c>
      <c r="G704" s="1" t="s">
        <v>18</v>
      </c>
      <c r="H704" s="1" t="s">
        <v>19</v>
      </c>
      <c r="I704" s="1" t="s">
        <v>20</v>
      </c>
      <c r="J704" s="1" t="s">
        <v>3376</v>
      </c>
      <c r="K704" s="1" t="s">
        <v>22</v>
      </c>
      <c r="L704" s="1" t="str">
        <f>HYPERLINK("https://files.afu.se/Downloads/Transcripts/0%20-%20Government/USA%20-%20NASA/2019 07 30 - NASA - NASA Explorers  Moon Detective_7y7jcqE_JVc - transcript (automated).pdf","Transcript Link")</f>
        <v>Transcript Link</v>
      </c>
      <c r="M704" s="2" t="str">
        <f>HYPERLINK("https://files.afu.se/Downloads/Transcripts/0%20-%20Government/USA%20-%20NASA/2019 07 30 - NASA - NASA Explorers  Moon Detective_7y7jcqE_JVc - transcript (automated).pdf","Transcript Link")</f>
        <v>Transcript Link</v>
      </c>
    </row>
    <row r="705" ht="409.5" spans="1:13">
      <c r="A705" s="1" t="s">
        <v>3368</v>
      </c>
      <c r="B705" s="1" t="s">
        <v>13</v>
      </c>
      <c r="C705" s="4" t="s">
        <v>3377</v>
      </c>
      <c r="D705" s="1" t="s">
        <v>3378</v>
      </c>
      <c r="E705" s="1" t="s">
        <v>3379</v>
      </c>
      <c r="F705" s="4" t="s">
        <v>17</v>
      </c>
      <c r="G705" s="1" t="s">
        <v>18</v>
      </c>
      <c r="H705" s="1" t="s">
        <v>19</v>
      </c>
      <c r="I705" s="1" t="s">
        <v>20</v>
      </c>
      <c r="J705" s="1" t="s">
        <v>3380</v>
      </c>
      <c r="K705" s="1" t="s">
        <v>22</v>
      </c>
      <c r="L705" s="1" t="str">
        <f>HYPERLINK("https://files.afu.se/Downloads/Transcripts/0%20-%20Government/USA%20-%20NASA/2019 07 30 - NASA - NASA Explorers  Moon Girl_XlunBKSpFrM - transcript (automated).pdf","Transcript Link")</f>
        <v>Transcript Link</v>
      </c>
      <c r="M705" s="2" t="str">
        <f>HYPERLINK("https://files.afu.se/Downloads/Transcripts/0%20-%20Government/USA%20-%20NASA/2019 07 30 - NASA - NASA Explorers  Moon Girl_XlunBKSpFrM - transcript (automated).pdf","Transcript Link")</f>
        <v>Transcript Link</v>
      </c>
    </row>
    <row r="706" ht="409.5" spans="1:13">
      <c r="A706" s="1" t="s">
        <v>3368</v>
      </c>
      <c r="B706" s="1" t="s">
        <v>13</v>
      </c>
      <c r="C706" s="4" t="s">
        <v>3381</v>
      </c>
      <c r="D706" s="1" t="s">
        <v>3382</v>
      </c>
      <c r="E706" s="1" t="s">
        <v>3383</v>
      </c>
      <c r="F706" s="4" t="s">
        <v>17</v>
      </c>
      <c r="G706" s="1" t="s">
        <v>18</v>
      </c>
      <c r="H706" s="1" t="s">
        <v>19</v>
      </c>
      <c r="I706" s="1" t="s">
        <v>20</v>
      </c>
      <c r="J706" s="1" t="s">
        <v>3384</v>
      </c>
      <c r="K706" s="1" t="s">
        <v>22</v>
      </c>
      <c r="L706" s="1" t="str">
        <f>HYPERLINK("https://files.afu.se/Downloads/Transcripts/0%20-%20Government/USA%20-%20NASA/2019 07 30 - NASA - NASA Explorers  The Family Moon Business__tgxyuzaQkU - transcript (automated).pdf","Transcript Link")</f>
        <v>Transcript Link</v>
      </c>
      <c r="M706" s="2" t="str">
        <f>HYPERLINK("https://files.afu.se/Downloads/Transcripts/0%20-%20Government/USA%20-%20NASA/2019 07 30 - NASA - NASA Explorers  The Family Moon Business__tgxyuzaQkU - transcript (automated).pdf","Transcript Link")</f>
        <v>Transcript Link</v>
      </c>
    </row>
    <row r="707" ht="165" spans="1:13">
      <c r="A707" s="1" t="s">
        <v>3385</v>
      </c>
      <c r="B707" s="1" t="s">
        <v>13</v>
      </c>
      <c r="C707" s="4" t="s">
        <v>3386</v>
      </c>
      <c r="D707" s="1" t="s">
        <v>3387</v>
      </c>
      <c r="E707" s="1" t="s">
        <v>3388</v>
      </c>
      <c r="F707" s="4" t="s">
        <v>17</v>
      </c>
      <c r="G707" s="1" t="s">
        <v>18</v>
      </c>
      <c r="H707" s="1" t="s">
        <v>19</v>
      </c>
      <c r="I707" s="1" t="s">
        <v>20</v>
      </c>
      <c r="J707" s="1" t="s">
        <v>3389</v>
      </c>
      <c r="K707" s="1" t="s">
        <v>22</v>
      </c>
      <c r="L707" s="1" t="str">
        <f>HYPERLINK("https://files.afu.se/Downloads/Transcripts/0%20-%20Government/USA%20-%20NASA/2019 07 29 - NASA - Space Grown Crystals Offer Clarity on Parkinson’s Disease UHD_GmBlqb_FxLI - transcript (automated).pdf","Transcript Link")</f>
        <v>Transcript Link</v>
      </c>
      <c r="M707" s="2" t="str">
        <f>HYPERLINK("https://files.afu.se/Downloads/Transcripts/0%20-%20Government/USA%20-%20NASA/2019 07 29 - NASA - Space Grown Crystals Offer Clarity on Parkinson’s Disease UHD_GmBlqb_FxLI - transcript (automated).pdf","Transcript Link")</f>
        <v>Transcript Link</v>
      </c>
    </row>
    <row r="708" ht="165" spans="1:13">
      <c r="A708" s="1" t="s">
        <v>3390</v>
      </c>
      <c r="B708" s="1" t="s">
        <v>13</v>
      </c>
      <c r="C708" s="4" t="s">
        <v>3391</v>
      </c>
      <c r="D708" s="1" t="s">
        <v>3392</v>
      </c>
      <c r="E708" s="1" t="s">
        <v>3393</v>
      </c>
      <c r="F708" s="4" t="s">
        <v>17</v>
      </c>
      <c r="G708" s="1" t="s">
        <v>18</v>
      </c>
      <c r="H708" s="1" t="s">
        <v>19</v>
      </c>
      <c r="I708" s="1" t="s">
        <v>20</v>
      </c>
      <c r="J708" s="1" t="s">
        <v>3394</v>
      </c>
      <c r="K708" s="1" t="s">
        <v>22</v>
      </c>
      <c r="L708" s="1" t="str">
        <f>HYPERLINK("https://files.afu.se/Downloads/Transcripts/0%20-%20Government/USA%20-%20NASA/2019 07 28 - NASA - Tribute to Apollo 11 Astronaut Buzz Aldrin_d-ygJpehWLQ - transcript (automated).pdf","Transcript Link")</f>
        <v>Transcript Link</v>
      </c>
      <c r="M708" s="2" t="str">
        <f>HYPERLINK("https://files.afu.se/Downloads/Transcripts/0%20-%20Government/USA%20-%20NASA/2019 07 28 - NASA - Tribute to Apollo 11 Astronaut Buzz Aldrin_d-ygJpehWLQ - transcript (automated).pdf","Transcript Link")</f>
        <v>Transcript Link</v>
      </c>
    </row>
    <row r="709" ht="165" spans="1:13">
      <c r="A709" s="1" t="s">
        <v>3390</v>
      </c>
      <c r="B709" s="1" t="s">
        <v>13</v>
      </c>
      <c r="C709" s="4" t="s">
        <v>3395</v>
      </c>
      <c r="D709" s="1" t="s">
        <v>3396</v>
      </c>
      <c r="E709" s="1" t="s">
        <v>3397</v>
      </c>
      <c r="F709" s="4" t="s">
        <v>17</v>
      </c>
      <c r="G709" s="1" t="s">
        <v>18</v>
      </c>
      <c r="H709" s="1" t="s">
        <v>19</v>
      </c>
      <c r="I709" s="1" t="s">
        <v>20</v>
      </c>
      <c r="J709" s="1" t="s">
        <v>3398</v>
      </c>
      <c r="K709" s="1" t="s">
        <v>22</v>
      </c>
      <c r="L709" s="1" t="str">
        <f>HYPERLINK("https://files.afu.se/Downloads/Transcripts/0%20-%20Government/USA%20-%20NASA/2019 07 28 - NASA - Tribute to Apollo 11 Astronaut Michael Collins_ko-bkCkOgak - transcript (automated).pdf","Transcript Link")</f>
        <v>Transcript Link</v>
      </c>
      <c r="M709" s="2" t="str">
        <f>HYPERLINK("https://files.afu.se/Downloads/Transcripts/0%20-%20Government/USA%20-%20NASA/2019 07 28 - NASA - Tribute to Apollo 11 Astronaut Michael Collins_ko-bkCkOgak - transcript (automated).pdf","Transcript Link")</f>
        <v>Transcript Link</v>
      </c>
    </row>
    <row r="710" ht="165" spans="1:13">
      <c r="A710" s="1" t="s">
        <v>3390</v>
      </c>
      <c r="B710" s="1" t="s">
        <v>13</v>
      </c>
      <c r="C710" s="4" t="s">
        <v>3399</v>
      </c>
      <c r="D710" s="1" t="s">
        <v>3400</v>
      </c>
      <c r="E710" s="1" t="s">
        <v>3401</v>
      </c>
      <c r="F710" s="4" t="s">
        <v>17</v>
      </c>
      <c r="G710" s="1" t="s">
        <v>18</v>
      </c>
      <c r="H710" s="1" t="s">
        <v>19</v>
      </c>
      <c r="I710" s="1" t="s">
        <v>20</v>
      </c>
      <c r="J710" s="1" t="s">
        <v>3402</v>
      </c>
      <c r="K710" s="1" t="s">
        <v>22</v>
      </c>
      <c r="L710" s="1" t="str">
        <f>HYPERLINK("https://files.afu.se/Downloads/Transcripts/0%20-%20Government/USA%20-%20NASA/2019 07 28 - NASA - Tribute to Apollo 11 Astronaut Neil Armstrong_4goOVaxI9mU - transcript (automated).pdf","Transcript Link")</f>
        <v>Transcript Link</v>
      </c>
      <c r="M710" s="2" t="str">
        <f>HYPERLINK("https://files.afu.se/Downloads/Transcripts/0%20-%20Government/USA%20-%20NASA/2019 07 28 - NASA - Tribute to Apollo 11 Astronaut Neil Armstrong_4goOVaxI9mU - transcript (automated).pdf","Transcript Link")</f>
        <v>Transcript Link</v>
      </c>
    </row>
    <row r="711" ht="165" spans="1:13">
      <c r="A711" s="1" t="s">
        <v>3390</v>
      </c>
      <c r="B711" s="1" t="s">
        <v>13</v>
      </c>
      <c r="C711" s="4" t="s">
        <v>3403</v>
      </c>
      <c r="D711" s="1" t="s">
        <v>3404</v>
      </c>
      <c r="E711" s="1" t="s">
        <v>3405</v>
      </c>
      <c r="F711" s="4" t="s">
        <v>17</v>
      </c>
      <c r="G711" s="1" t="s">
        <v>18</v>
      </c>
      <c r="H711" s="1" t="s">
        <v>19</v>
      </c>
      <c r="I711" s="1" t="s">
        <v>20</v>
      </c>
      <c r="J711" s="1" t="s">
        <v>3406</v>
      </c>
      <c r="K711" s="1" t="s">
        <v>22</v>
      </c>
      <c r="L711" s="1" t="str">
        <f>HYPERLINK("https://files.afu.se/Downloads/Transcripts/0%20-%20Government/USA%20-%20NASA/2019 07 28 - NASA - Apollo 11  Celebrating NASA's Historic Moon Landing_qifHM32AHvw - transcript (automated).pdf","Transcript Link")</f>
        <v>Transcript Link</v>
      </c>
      <c r="M711" s="2" t="str">
        <f>HYPERLINK("https://files.afu.se/Downloads/Transcripts/0%20-%20Government/USA%20-%20NASA/2019 07 28 - NASA - Apollo 11  Celebrating NASA's Historic Moon Landing_qifHM32AHvw - transcript (automated).pdf","Transcript Link")</f>
        <v>Transcript Link</v>
      </c>
    </row>
    <row r="712" ht="165" spans="1:13">
      <c r="A712" s="1" t="s">
        <v>3390</v>
      </c>
      <c r="B712" s="1" t="s">
        <v>13</v>
      </c>
      <c r="C712" s="4" t="s">
        <v>3407</v>
      </c>
      <c r="D712" s="1" t="s">
        <v>3408</v>
      </c>
      <c r="E712" s="1" t="s">
        <v>3409</v>
      </c>
      <c r="F712" s="4" t="s">
        <v>17</v>
      </c>
      <c r="G712" s="1" t="s">
        <v>18</v>
      </c>
      <c r="H712" s="1" t="s">
        <v>19</v>
      </c>
      <c r="I712" s="1" t="s">
        <v>20</v>
      </c>
      <c r="J712" s="1" t="s">
        <v>3410</v>
      </c>
      <c r="K712" s="1" t="s">
        <v>22</v>
      </c>
      <c r="L712" s="1" t="str">
        <f>HYPERLINK("https://files.afu.se/Downloads/Transcripts/0%20-%20Government/USA%20-%20NASA/2019 07 28 - NASA - Apollo 11  Neil Armstrong’s Reflections on NASA's Mission to Land on the Moon_22PBC-YgWYM - transcript (automated).pdf","Transcript Link")</f>
        <v>Transcript Link</v>
      </c>
      <c r="M712" s="2" t="str">
        <f>HYPERLINK("https://files.afu.se/Downloads/Transcripts/0%20-%20Government/USA%20-%20NASA/2019 07 28 - NASA - Apollo 11  Neil Armstrong’s Reflections on NASA's Mission to Land on the Moon_22PBC-YgWYM - transcript (automated).pdf","Transcript Link")</f>
        <v>Transcript Link</v>
      </c>
    </row>
    <row r="713" ht="165" spans="1:13">
      <c r="A713" s="1" t="s">
        <v>3411</v>
      </c>
      <c r="B713" s="1" t="s">
        <v>13</v>
      </c>
      <c r="C713" s="4" t="s">
        <v>3412</v>
      </c>
      <c r="D713" s="1" t="s">
        <v>3413</v>
      </c>
      <c r="E713" s="1" t="s">
        <v>3414</v>
      </c>
      <c r="F713" s="4" t="s">
        <v>17</v>
      </c>
      <c r="G713" s="1" t="s">
        <v>18</v>
      </c>
      <c r="H713" s="1" t="s">
        <v>19</v>
      </c>
      <c r="I713" s="1" t="s">
        <v>20</v>
      </c>
      <c r="J713" s="1" t="s">
        <v>3415</v>
      </c>
      <c r="K713" s="1" t="s">
        <v>22</v>
      </c>
      <c r="L713" s="1" t="str">
        <f>HYPERLINK("https://files.afu.se/Downloads/Transcripts/0%20-%20Government/USA%20-%20NASA/2019 07 27 - NASA - Apollo 11  One Small Step on the Moon for All Mankind_w4wx_3XOrns - transcript (automated).pdf","Transcript Link")</f>
        <v>Transcript Link</v>
      </c>
      <c r="M713" s="2" t="str">
        <f>HYPERLINK("https://files.afu.se/Downloads/Transcripts/0%20-%20Government/USA%20-%20NASA/2019 07 27 - NASA - Apollo 11  One Small Step on the Moon for All Mankind_w4wx_3XOrns - transcript (automated).pdf","Transcript Link")</f>
        <v>Transcript Link</v>
      </c>
    </row>
    <row r="714" ht="300" spans="1:13">
      <c r="A714" s="1" t="s">
        <v>3411</v>
      </c>
      <c r="B714" s="1" t="s">
        <v>13</v>
      </c>
      <c r="C714" s="4" t="s">
        <v>3416</v>
      </c>
      <c r="D714" s="1" t="s">
        <v>3417</v>
      </c>
      <c r="E714" s="1" t="s">
        <v>3418</v>
      </c>
      <c r="F714" s="4" t="s">
        <v>17</v>
      </c>
      <c r="G714" s="1" t="s">
        <v>18</v>
      </c>
      <c r="H714" s="1" t="s">
        <v>19</v>
      </c>
      <c r="I714" s="1" t="s">
        <v>20</v>
      </c>
      <c r="J714" s="1" t="s">
        <v>3419</v>
      </c>
      <c r="K714" s="1" t="s">
        <v>22</v>
      </c>
      <c r="L714" s="1" t="str">
        <f>HYPERLINK("https://files.afu.se/Downloads/Transcripts/0%20-%20Government/USA%20-%20NASA/2019 07 27 - NASA - Apollo 11  Landing on the Moon_nOcDftgR5UQ - transcript (automated).pdf","Transcript Link")</f>
        <v>Transcript Link</v>
      </c>
      <c r="M714" s="2" t="str">
        <f>HYPERLINK("https://files.afu.se/Downloads/Transcripts/0%20-%20Government/USA%20-%20NASA/2019 07 27 - NASA - Apollo 11  Landing on the Moon_nOcDftgR5UQ - transcript (automated).pdf","Transcript Link")</f>
        <v>Transcript Link</v>
      </c>
    </row>
    <row r="715" ht="165" spans="1:13">
      <c r="A715" s="1" t="s">
        <v>3420</v>
      </c>
      <c r="B715" s="1" t="s">
        <v>13</v>
      </c>
      <c r="C715" s="4" t="s">
        <v>3421</v>
      </c>
      <c r="D715" s="1" t="s">
        <v>3422</v>
      </c>
      <c r="E715" s="1" t="s">
        <v>3423</v>
      </c>
      <c r="F715" s="4" t="s">
        <v>17</v>
      </c>
      <c r="G715" s="1" t="s">
        <v>18</v>
      </c>
      <c r="H715" s="1" t="s">
        <v>19</v>
      </c>
      <c r="I715" s="1" t="s">
        <v>20</v>
      </c>
      <c r="J715" s="1" t="s">
        <v>3424</v>
      </c>
      <c r="K715" s="1" t="s">
        <v>22</v>
      </c>
      <c r="L715" s="1" t="str">
        <f>HYPERLINK("https://files.afu.se/Downloads/Transcripts/0%20-%20Government/USA%20-%20NASA/2019 07 26 - NASA - Seeking Landers to Return Humans to the Moon on This Week @NASA – July 26, 2019_rWFSj2d3vl0 - transcript (automated).pdf","Transcript Link")</f>
        <v>Transcript Link</v>
      </c>
      <c r="M715" s="2" t="str">
        <f>HYPERLINK("https://files.afu.se/Downloads/Transcripts/0%20-%20Government/USA%20-%20NASA/2019 07 26 - NASA - Seeking Landers to Return Humans to the Moon on This Week @NASA – July 26, 2019_rWFSj2d3vl0 - transcript (automated).pdf","Transcript Link")</f>
        <v>Transcript Link</v>
      </c>
    </row>
    <row r="716" ht="165" spans="1:13">
      <c r="A716" s="1" t="s">
        <v>3425</v>
      </c>
      <c r="B716" s="1" t="s">
        <v>13</v>
      </c>
      <c r="C716" s="4" t="s">
        <v>3426</v>
      </c>
      <c r="D716" s="1" t="s">
        <v>3427</v>
      </c>
      <c r="E716" s="1" t="s">
        <v>3428</v>
      </c>
      <c r="F716" s="4" t="s">
        <v>17</v>
      </c>
      <c r="G716" s="1" t="s">
        <v>18</v>
      </c>
      <c r="H716" s="1" t="s">
        <v>19</v>
      </c>
      <c r="I716" s="1" t="s">
        <v>20</v>
      </c>
      <c r="J716" s="1" t="s">
        <v>3429</v>
      </c>
      <c r="K716" s="1" t="s">
        <v>22</v>
      </c>
      <c r="L716" s="1" t="str">
        <f>HYPERLINK("https://files.afu.se/Downloads/Transcripts/0%20-%20Government/USA%20-%20NASA/2019 07 24 - NASA - What Launches to Space on SpaceX’s Next Cargo Mission _EvFqN-6YAl8 - transcript (automated).pdf","Transcript Link")</f>
        <v>Transcript Link</v>
      </c>
      <c r="M716" s="2" t="str">
        <f>HYPERLINK("https://files.afu.se/Downloads/Transcripts/0%20-%20Government/USA%20-%20NASA/2019 07 24 - NASA - What Launches to Space on SpaceX’s Next Cargo Mission _EvFqN-6YAl8 - transcript (automated).pdf","Transcript Link")</f>
        <v>Transcript Link</v>
      </c>
    </row>
    <row r="717" ht="240" spans="1:13">
      <c r="A717" s="1" t="s">
        <v>3430</v>
      </c>
      <c r="B717" s="1" t="s">
        <v>13</v>
      </c>
      <c r="C717" s="4" t="s">
        <v>3431</v>
      </c>
      <c r="D717" s="1" t="s">
        <v>3432</v>
      </c>
      <c r="E717" s="1" t="s">
        <v>3433</v>
      </c>
      <c r="F717" s="4" t="s">
        <v>17</v>
      </c>
      <c r="G717" s="1" t="s">
        <v>18</v>
      </c>
      <c r="H717" s="1" t="s">
        <v>19</v>
      </c>
      <c r="I717" s="1" t="s">
        <v>20</v>
      </c>
      <c r="J717" s="1" t="s">
        <v>3434</v>
      </c>
      <c r="K717" s="1" t="s">
        <v>22</v>
      </c>
      <c r="L717" s="1" t="str">
        <f>HYPERLINK("https://files.afu.se/Downloads/Transcripts/0%20-%20Government/USA%20-%20NASA/2019 07 23 - NASA - NASA Remembers Legendary Flight Director Chris Kraft_L3zOeNKXAI8 - transcript (automated).pdf","Transcript Link")</f>
        <v>Transcript Link</v>
      </c>
      <c r="M717" s="2" t="str">
        <f>HYPERLINK("https://files.afu.se/Downloads/Transcripts/0%20-%20Government/USA%20-%20NASA/2019 07 23 - NASA - NASA Remembers Legendary Flight Director Chris Kraft_L3zOeNKXAI8 - transcript (automated).pdf","Transcript Link")</f>
        <v>Transcript Link</v>
      </c>
    </row>
    <row r="718" ht="165" spans="1:13">
      <c r="A718" s="1" t="s">
        <v>3435</v>
      </c>
      <c r="B718" s="1" t="s">
        <v>13</v>
      </c>
      <c r="C718" s="4" t="s">
        <v>3436</v>
      </c>
      <c r="D718" s="1" t="s">
        <v>3437</v>
      </c>
      <c r="E718" s="1" t="s">
        <v>3438</v>
      </c>
      <c r="F718" s="4" t="s">
        <v>17</v>
      </c>
      <c r="G718" s="1" t="s">
        <v>18</v>
      </c>
      <c r="H718" s="1" t="s">
        <v>19</v>
      </c>
      <c r="I718" s="1" t="s">
        <v>20</v>
      </c>
      <c r="J718" s="1" t="s">
        <v>3439</v>
      </c>
      <c r="K718" s="1" t="s">
        <v>22</v>
      </c>
      <c r="L718" s="1" t="str">
        <f>HYPERLINK("https://files.afu.se/Downloads/Transcripts/0%20-%20Government/USA%20-%20NASA/2019 07 22 - NASA - Vice President Pence Commemorates Apollo 11 With Administrator Bridenstine_jJoJh-Bird0 - transcript (automated).pdf","Transcript Link")</f>
        <v>Transcript Link</v>
      </c>
      <c r="M718" s="2" t="str">
        <f>HYPERLINK("https://files.afu.se/Downloads/Transcripts/0%20-%20Government/USA%20-%20NASA/2019 07 22 - NASA - Vice President Pence Commemorates Apollo 11 With Administrator Bridenstine_jJoJh-Bird0 - transcript (automated).pdf","Transcript Link")</f>
        <v>Transcript Link</v>
      </c>
    </row>
    <row r="719" ht="165" spans="1:13">
      <c r="A719" s="1" t="s">
        <v>3435</v>
      </c>
      <c r="B719" s="1" t="s">
        <v>13</v>
      </c>
      <c r="C719" s="4" t="s">
        <v>3440</v>
      </c>
      <c r="D719" s="1" t="s">
        <v>3441</v>
      </c>
      <c r="E719" s="1" t="s">
        <v>3442</v>
      </c>
      <c r="F719" s="4" t="s">
        <v>17</v>
      </c>
      <c r="G719" s="1" t="s">
        <v>18</v>
      </c>
      <c r="H719" s="1" t="s">
        <v>19</v>
      </c>
      <c r="I719" s="1" t="s">
        <v>20</v>
      </c>
      <c r="J719" s="1" t="s">
        <v>3443</v>
      </c>
      <c r="K719" s="1" t="s">
        <v>22</v>
      </c>
      <c r="L719" s="1" t="str">
        <f>HYPERLINK("https://files.afu.se/Downloads/Transcripts/0%20-%20Government/USA%20-%20NASA/2019 07 22 - NASA - Celebrating the 50th anniversary of Apollo 11 on This Week @NASA – July 22, 2019_Mo7aAHW5TKw - transcript (automated).pdf","Transcript Link")</f>
        <v>Transcript Link</v>
      </c>
      <c r="M719" s="2" t="str">
        <f>HYPERLINK("https://files.afu.se/Downloads/Transcripts/0%20-%20Government/USA%20-%20NASA/2019 07 22 - NASA - Celebrating the 50th anniversary of Apollo 11 on This Week @NASA – July 22, 2019_Mo7aAHW5TKw - transcript (automated).pdf","Transcript Link")</f>
        <v>Transcript Link</v>
      </c>
    </row>
    <row r="720" ht="195" spans="1:13">
      <c r="A720" s="1" t="s">
        <v>3444</v>
      </c>
      <c r="B720" s="1" t="s">
        <v>13</v>
      </c>
      <c r="C720" s="4" t="s">
        <v>3445</v>
      </c>
      <c r="D720" s="1" t="s">
        <v>3446</v>
      </c>
      <c r="E720" s="1" t="s">
        <v>3447</v>
      </c>
      <c r="F720" s="4" t="s">
        <v>17</v>
      </c>
      <c r="G720" s="1" t="s">
        <v>18</v>
      </c>
      <c r="H720" s="1" t="s">
        <v>19</v>
      </c>
      <c r="I720" s="1" t="s">
        <v>20</v>
      </c>
      <c r="J720" s="1" t="s">
        <v>3448</v>
      </c>
      <c r="K720" s="1" t="s">
        <v>22</v>
      </c>
      <c r="L720" s="1" t="str">
        <f>HYPERLINK("https://files.afu.se/Downloads/Transcripts/0%20-%20Government/USA%20-%20NASA/2019 07 17 - NASA - Fifty Years of Apollo Technologies in Your Life_qsyTc4Su5vQ - transcript (automated).pdf","Transcript Link")</f>
        <v>Transcript Link</v>
      </c>
      <c r="M720" s="2" t="str">
        <f>HYPERLINK("https://files.afu.se/Downloads/Transcripts/0%20-%20Government/USA%20-%20NASA/2019 07 17 - NASA - Fifty Years of Apollo Technologies in Your Life_qsyTc4Su5vQ - transcript (automated).pdf","Transcript Link")</f>
        <v>Transcript Link</v>
      </c>
    </row>
    <row r="721" ht="210" spans="1:13">
      <c r="A721" s="1" t="s">
        <v>3449</v>
      </c>
      <c r="B721" s="1" t="s">
        <v>13</v>
      </c>
      <c r="C721" s="4" t="s">
        <v>3450</v>
      </c>
      <c r="D721" s="1" t="s">
        <v>3451</v>
      </c>
      <c r="E721" s="1" t="s">
        <v>3452</v>
      </c>
      <c r="F721" s="4" t="s">
        <v>17</v>
      </c>
      <c r="G721" s="1" t="s">
        <v>18</v>
      </c>
      <c r="H721" s="1" t="s">
        <v>19</v>
      </c>
      <c r="I721" s="1" t="s">
        <v>20</v>
      </c>
      <c r="J721" s="1" t="s">
        <v>3453</v>
      </c>
      <c r="K721" s="1" t="s">
        <v>22</v>
      </c>
      <c r="L721" s="1" t="str">
        <f>HYPERLINK("https://files.afu.se/Downloads/Transcripts/0%20-%20Government/USA%20-%20NASA/2019 07 16 - NASA - Mission Control at NASA Johnson Space Center  History and Restoration_v8aWXJeh9R4 - transcript (automated).pdf","Transcript Link")</f>
        <v>Transcript Link</v>
      </c>
      <c r="M721" s="2" t="str">
        <f>HYPERLINK("https://files.afu.se/Downloads/Transcripts/0%20-%20Government/USA%20-%20NASA/2019 07 16 - NASA - Mission Control at NASA Johnson Space Center  History and Restoration_v8aWXJeh9R4 - transcript (automated).pdf","Transcript Link")</f>
        <v>Transcript Link</v>
      </c>
    </row>
    <row r="722" ht="165" spans="1:13">
      <c r="A722" s="1" t="s">
        <v>3454</v>
      </c>
      <c r="B722" s="1" t="s">
        <v>13</v>
      </c>
      <c r="C722" s="4" t="s">
        <v>3455</v>
      </c>
      <c r="D722" s="1" t="s">
        <v>3456</v>
      </c>
      <c r="E722" s="1" t="s">
        <v>3457</v>
      </c>
      <c r="F722" s="4" t="s">
        <v>17</v>
      </c>
      <c r="G722" s="1" t="s">
        <v>18</v>
      </c>
      <c r="H722" s="1" t="s">
        <v>19</v>
      </c>
      <c r="I722" s="1" t="s">
        <v>20</v>
      </c>
      <c r="J722" s="1" t="s">
        <v>3458</v>
      </c>
      <c r="K722" s="1" t="s">
        <v>22</v>
      </c>
      <c r="L722" s="1" t="str">
        <f>HYPERLINK("https://files.afu.se/Downloads/Transcripts/0%20-%20Government/USA%20-%20NASA/2019 07 15 - NASA - NASA Astronauts Celebrate the 50th Anniversary of the Moon Landing On Board the Space Station_CIQMsI87jmA - transcript (automated).pdf","Transcript Link")</f>
        <v>Transcript Link</v>
      </c>
      <c r="M722" s="2" t="str">
        <f>HYPERLINK("https://files.afu.se/Downloads/Transcripts/0%20-%20Government/USA%20-%20NASA/2019 07 15 - NASA - NASA Astronauts Celebrate the 50th Anniversary of the Moon Landing On Board the Space Station_CIQMsI87jmA - transcript (automated).pdf","Transcript Link")</f>
        <v>Transcript Link</v>
      </c>
    </row>
    <row r="723" ht="165" spans="1:13">
      <c r="A723" s="1" t="s">
        <v>3459</v>
      </c>
      <c r="B723" s="1" t="s">
        <v>13</v>
      </c>
      <c r="C723" s="4" t="s">
        <v>3460</v>
      </c>
      <c r="D723" s="1" t="s">
        <v>3461</v>
      </c>
      <c r="E723" s="1" t="s">
        <v>3462</v>
      </c>
      <c r="F723" s="4" t="s">
        <v>17</v>
      </c>
      <c r="G723" s="1" t="s">
        <v>18</v>
      </c>
      <c r="H723" s="1" t="s">
        <v>19</v>
      </c>
      <c r="I723" s="1" t="s">
        <v>20</v>
      </c>
      <c r="J723" s="1" t="s">
        <v>3463</v>
      </c>
      <c r="K723" s="1" t="s">
        <v>22</v>
      </c>
      <c r="L723" s="1" t="str">
        <f>HYPERLINK("https://files.afu.se/Downloads/Transcripts/0%20-%20Government/USA%20-%20NASA/2019 07 12 - NASA - A Virtual Glimpse into our Artemis 1 Mission on This Week @NASA – July 12, 2019_1S5jaApOYl0 - transcript (automated).pdf","Transcript Link")</f>
        <v>Transcript Link</v>
      </c>
      <c r="M723" s="2" t="str">
        <f>HYPERLINK("https://files.afu.se/Downloads/Transcripts/0%20-%20Government/USA%20-%20NASA/2019 07 12 - NASA - A Virtual Glimpse into our Artemis 1 Mission on This Week @NASA – July 12, 2019_1S5jaApOYl0 - transcript (automated).pdf","Transcript Link")</f>
        <v>Transcript Link</v>
      </c>
    </row>
    <row r="724" ht="165" spans="1:13">
      <c r="A724" s="1" t="s">
        <v>3464</v>
      </c>
      <c r="B724" s="1" t="s">
        <v>13</v>
      </c>
      <c r="C724" s="4" t="s">
        <v>3465</v>
      </c>
      <c r="D724" s="1" t="s">
        <v>3466</v>
      </c>
      <c r="E724" s="1" t="s">
        <v>3467</v>
      </c>
      <c r="F724" s="4" t="s">
        <v>17</v>
      </c>
      <c r="G724" s="1" t="s">
        <v>18</v>
      </c>
      <c r="H724" s="1" t="s">
        <v>19</v>
      </c>
      <c r="I724" s="1" t="s">
        <v>20</v>
      </c>
      <c r="J724" s="1" t="s">
        <v>3468</v>
      </c>
      <c r="K724" s="1" t="s">
        <v>22</v>
      </c>
      <c r="L724" s="1" t="str">
        <f>HYPERLINK("https://files.afu.se/Downloads/Transcripts/0%20-%20Government/USA%20-%20NASA/2019 07 11 - NASA - July 19  Live Apollo Anniversary Show_3FIXaxXaX4I - transcript (automated).pdf","Transcript Link")</f>
        <v>Transcript Link</v>
      </c>
      <c r="M724" s="2" t="str">
        <f>HYPERLINK("https://files.afu.se/Downloads/Transcripts/0%20-%20Government/USA%20-%20NASA/2019 07 11 - NASA - July 19  Live Apollo Anniversary Show_3FIXaxXaX4I - transcript (automated).pdf","Transcript Link")</f>
        <v>Transcript Link</v>
      </c>
    </row>
    <row r="725" ht="165" spans="1:13">
      <c r="A725" s="1" t="s">
        <v>3469</v>
      </c>
      <c r="B725" s="1" t="s">
        <v>13</v>
      </c>
      <c r="C725" s="4" t="s">
        <v>3470</v>
      </c>
      <c r="D725" s="1" t="s">
        <v>3471</v>
      </c>
      <c r="E725" s="1" t="s">
        <v>3472</v>
      </c>
      <c r="F725" s="4" t="s">
        <v>17</v>
      </c>
      <c r="G725" s="1" t="s">
        <v>18</v>
      </c>
      <c r="H725" s="1" t="s">
        <v>19</v>
      </c>
      <c r="I725" s="1" t="s">
        <v>20</v>
      </c>
      <c r="J725" s="1" t="s">
        <v>3473</v>
      </c>
      <c r="K725" s="1" t="s">
        <v>22</v>
      </c>
      <c r="L725" s="1" t="str">
        <f>HYPERLINK("https://files.afu.se/Downloads/Transcripts/0%20-%20Government/USA%20-%20NASA/2019 07 05 - NASA - A Successful Milestone Test for Our Artemis Program on This Week @NASA – July 5, 2019_BVLj_Hzs_9k - transcript (automated).pdf","Transcript Link")</f>
        <v>Transcript Link</v>
      </c>
      <c r="M725" s="2" t="str">
        <f>HYPERLINK("https://files.afu.se/Downloads/Transcripts/0%20-%20Government/USA%20-%20NASA/2019 07 05 - NASA - A Successful Milestone Test for Our Artemis Program on This Week @NASA – July 5, 2019_BVLj_Hzs_9k - transcript (automated).pdf","Transcript Link")</f>
        <v>Transcript Link</v>
      </c>
    </row>
    <row r="726" ht="165" spans="1:13">
      <c r="A726" s="1" t="s">
        <v>3474</v>
      </c>
      <c r="B726" s="1" t="s">
        <v>13</v>
      </c>
      <c r="C726" s="4" t="s">
        <v>3475</v>
      </c>
      <c r="D726" s="1" t="s">
        <v>3476</v>
      </c>
      <c r="E726" s="1" t="s">
        <v>3477</v>
      </c>
      <c r="F726" s="4" t="s">
        <v>17</v>
      </c>
      <c r="G726" s="1" t="s">
        <v>18</v>
      </c>
      <c r="H726" s="1" t="s">
        <v>19</v>
      </c>
      <c r="I726" s="1" t="s">
        <v>20</v>
      </c>
      <c r="J726" s="1" t="s">
        <v>3478</v>
      </c>
      <c r="K726" s="1" t="s">
        <v>22</v>
      </c>
      <c r="L726" s="1" t="str">
        <f>HYPERLINK("https://files.afu.se/Downloads/Transcripts/0%20-%20Government/USA%20-%20NASA/2019 07 04 - NASA - Happy 4th of July from the Space Station Crew_jX_1equIOpU - transcript (automated).pdf","Transcript Link")</f>
        <v>Transcript Link</v>
      </c>
      <c r="M726" s="2" t="str">
        <f>HYPERLINK("https://files.afu.se/Downloads/Transcripts/0%20-%20Government/USA%20-%20NASA/2019 07 04 - NASA - Happy 4th of July from the Space Station Crew_jX_1equIOpU - transcript (automated).pdf","Transcript Link")</f>
        <v>Transcript Link</v>
      </c>
    </row>
    <row r="727" ht="165" spans="1:13">
      <c r="A727" s="1" t="s">
        <v>3479</v>
      </c>
      <c r="B727" s="1" t="s">
        <v>13</v>
      </c>
      <c r="C727" s="4" t="s">
        <v>3480</v>
      </c>
      <c r="D727" s="1" t="s">
        <v>3481</v>
      </c>
      <c r="E727" s="1" t="s">
        <v>3482</v>
      </c>
      <c r="F727" s="4" t="s">
        <v>17</v>
      </c>
      <c r="G727" s="1" t="s">
        <v>18</v>
      </c>
      <c r="H727" s="1" t="s">
        <v>19</v>
      </c>
      <c r="I727" s="1" t="s">
        <v>20</v>
      </c>
      <c r="J727" s="1" t="s">
        <v>3483</v>
      </c>
      <c r="K727" s="1" t="s">
        <v>22</v>
      </c>
      <c r="L727" s="1" t="str">
        <f>HYPERLINK("https://files.afu.se/Downloads/Transcripts/0%20-%20Government/USA%20-%20NASA/2019 07 02 - NASA - Launch of Orion Spacecraft Ascent Abort-2 Test_rJgqhznBntE - transcript (automated).pdf","Transcript Link")</f>
        <v>Transcript Link</v>
      </c>
      <c r="M727" s="2" t="str">
        <f>HYPERLINK("https://files.afu.se/Downloads/Transcripts/0%20-%20Government/USA%20-%20NASA/2019 07 02 - NASA - Launch of Orion Spacecraft Ascent Abort-2 Test_rJgqhznBntE - transcript (automated).pdf","Transcript Link")</f>
        <v>Transcript Link</v>
      </c>
    </row>
    <row r="728" ht="180" spans="1:13">
      <c r="A728" s="1" t="s">
        <v>3484</v>
      </c>
      <c r="B728" s="1" t="s">
        <v>13</v>
      </c>
      <c r="C728" s="4" t="s">
        <v>3485</v>
      </c>
      <c r="D728" s="1" t="s">
        <v>3486</v>
      </c>
      <c r="E728" s="1" t="s">
        <v>3487</v>
      </c>
      <c r="F728" s="4" t="s">
        <v>17</v>
      </c>
      <c r="G728" s="1" t="s">
        <v>18</v>
      </c>
      <c r="H728" s="1" t="s">
        <v>19</v>
      </c>
      <c r="I728" s="1" t="s">
        <v>20</v>
      </c>
      <c r="J728" s="1" t="s">
        <v>3488</v>
      </c>
      <c r="K728" s="1" t="s">
        <v>22</v>
      </c>
      <c r="L728" s="1" t="str">
        <f>HYPERLINK("https://files.afu.se/Downloads/Transcripts/0%20-%20Government/USA%20-%20NASA/2019 06 28 - NASA - Announcing a New Mission to Saturn’s Largest Moon on This Week @NASA – June 28, 2019_4T_GLYKQb_M - transcript (automated).pdf","Transcript Link")</f>
        <v>Transcript Link</v>
      </c>
      <c r="M728" s="2" t="str">
        <f>HYPERLINK("https://files.afu.se/Downloads/Transcripts/0%20-%20Government/USA%20-%20NASA/2019 06 28 - NASA - Announcing a New Mission to Saturn’s Largest Moon on This Week @NASA – June 28, 2019_4T_GLYKQb_M - transcript (automated).pdf","Transcript Link")</f>
        <v>Transcript Link</v>
      </c>
    </row>
    <row r="729" ht="240" spans="1:13">
      <c r="A729" s="1" t="s">
        <v>3484</v>
      </c>
      <c r="B729" s="1" t="s">
        <v>13</v>
      </c>
      <c r="C729" s="4" t="s">
        <v>3489</v>
      </c>
      <c r="D729" s="1" t="s">
        <v>3490</v>
      </c>
      <c r="E729" s="1" t="s">
        <v>3491</v>
      </c>
      <c r="F729" s="4" t="s">
        <v>17</v>
      </c>
      <c r="G729" s="1" t="s">
        <v>18</v>
      </c>
      <c r="H729" s="1" t="s">
        <v>19</v>
      </c>
      <c r="I729" s="1" t="s">
        <v>20</v>
      </c>
      <c r="J729" s="1" t="s">
        <v>3492</v>
      </c>
      <c r="K729" s="1" t="s">
        <v>22</v>
      </c>
      <c r="L729" s="1" t="str">
        <f>HYPERLINK("https://files.afu.se/Downloads/Transcripts/0%20-%20Government/USA%20-%20NASA/2019 06 28 - NASA - Dragonfly  NASA's New Mission to Explore Saturn's Moon Titan_xn3-0a19sC8 - transcript (automated).pdf","Transcript Link")</f>
        <v>Transcript Link</v>
      </c>
      <c r="M729" s="2" t="str">
        <f>HYPERLINK("https://files.afu.se/Downloads/Transcripts/0%20-%20Government/USA%20-%20NASA/2019 06 28 - NASA - Dragonfly  NASA's New Mission to Explore Saturn's Moon Titan_xn3-0a19sC8 - transcript (automated).pdf","Transcript Link")</f>
        <v>Transcript Link</v>
      </c>
    </row>
    <row r="730" ht="165" spans="1:13">
      <c r="A730" s="1" t="s">
        <v>3493</v>
      </c>
      <c r="B730" s="1" t="s">
        <v>13</v>
      </c>
      <c r="C730" s="4" t="s">
        <v>3494</v>
      </c>
      <c r="D730" s="1" t="s">
        <v>3495</v>
      </c>
      <c r="E730" s="1" t="s">
        <v>3496</v>
      </c>
      <c r="F730" s="4" t="s">
        <v>17</v>
      </c>
      <c r="G730" s="1" t="s">
        <v>18</v>
      </c>
      <c r="H730" s="1" t="s">
        <v>19</v>
      </c>
      <c r="I730" s="1" t="s">
        <v>20</v>
      </c>
      <c r="J730" s="1" t="s">
        <v>3497</v>
      </c>
      <c r="K730" s="1" t="s">
        <v>22</v>
      </c>
      <c r="L730" s="1" t="str">
        <f>HYPERLINK("https://files.afu.se/Downloads/Transcripts/0%20-%20Government/USA%20-%20NASA/2019 06 21 - NASA - Building the International Effort for the Moon and Mars This Week @NASA – June 21, 2019_NeHQcS1kRVQ - transcript (automated).pdf","Transcript Link")</f>
        <v>Transcript Link</v>
      </c>
      <c r="M730" s="2" t="str">
        <f>HYPERLINK("https://files.afu.se/Downloads/Transcripts/0%20-%20Government/USA%20-%20NASA/2019 06 21 - NASA - Building the International Effort for the Moon and Mars This Week @NASA – June 21, 2019_NeHQcS1kRVQ - transcript (automated).pdf","Transcript Link")</f>
        <v>Transcript Link</v>
      </c>
    </row>
    <row r="731" ht="409.5" spans="1:13">
      <c r="A731" s="1" t="s">
        <v>3498</v>
      </c>
      <c r="B731" s="1" t="s">
        <v>13</v>
      </c>
      <c r="C731" s="4" t="s">
        <v>3499</v>
      </c>
      <c r="D731" s="1" t="s">
        <v>3500</v>
      </c>
      <c r="E731" s="1" t="s">
        <v>3501</v>
      </c>
      <c r="F731" s="4" t="s">
        <v>17</v>
      </c>
      <c r="G731" s="1" t="s">
        <v>18</v>
      </c>
      <c r="H731" s="1" t="s">
        <v>19</v>
      </c>
      <c r="I731" s="1" t="s">
        <v>20</v>
      </c>
      <c r="J731" s="1" t="s">
        <v>3502</v>
      </c>
      <c r="K731" s="1" t="s">
        <v>22</v>
      </c>
      <c r="L731" s="1" t="str">
        <f>HYPERLINK("https://files.afu.se/Downloads/Transcripts/0%20-%20Government/USA%20-%20NASA/2019 06 19 - NASA - NASA Explorers  Giant Leaps_2d6_BwRrL1E - transcript (automated).pdf","Transcript Link")</f>
        <v>Transcript Link</v>
      </c>
      <c r="M731" s="2" t="str">
        <f>HYPERLINK("https://files.afu.se/Downloads/Transcripts/0%20-%20Government/USA%20-%20NASA/2019 06 19 - NASA - NASA Explorers  Giant Leaps_2d6_BwRrL1E - transcript (automated).pdf","Transcript Link")</f>
        <v>Transcript Link</v>
      </c>
    </row>
    <row r="732" ht="409.5" spans="1:13">
      <c r="A732" s="1" t="s">
        <v>3498</v>
      </c>
      <c r="B732" s="1" t="s">
        <v>13</v>
      </c>
      <c r="C732" s="4" t="s">
        <v>3503</v>
      </c>
      <c r="D732" s="1" t="s">
        <v>3504</v>
      </c>
      <c r="E732" s="1" t="s">
        <v>3505</v>
      </c>
      <c r="F732" s="4" t="s">
        <v>17</v>
      </c>
      <c r="G732" s="1" t="s">
        <v>18</v>
      </c>
      <c r="H732" s="1" t="s">
        <v>19</v>
      </c>
      <c r="I732" s="1" t="s">
        <v>20</v>
      </c>
      <c r="J732" s="1" t="s">
        <v>3506</v>
      </c>
      <c r="K732" s="1" t="s">
        <v>22</v>
      </c>
      <c r="L732" s="1" t="str">
        <f>HYPERLINK("https://files.afu.se/Downloads/Transcripts/0%20-%20Government/USA%20-%20NASA/2019 06 19 - NASA - Introducing NASA Explorers  Apollo, an Audio Series_sJm-5srzBQg - transcript (automated).pdf","Transcript Link")</f>
        <v>Transcript Link</v>
      </c>
      <c r="M732" s="2" t="str">
        <f>HYPERLINK("https://files.afu.se/Downloads/Transcripts/0%20-%20Government/USA%20-%20NASA/2019 06 19 - NASA - Introducing NASA Explorers  Apollo, an Audio Series_sJm-5srzBQg - transcript (automated).pdf","Transcript Link")</f>
        <v>Transcript Link</v>
      </c>
    </row>
    <row r="733" ht="165" spans="1:13">
      <c r="A733" s="1" t="s">
        <v>3507</v>
      </c>
      <c r="B733" s="1" t="s">
        <v>13</v>
      </c>
      <c r="C733" s="4" t="s">
        <v>3508</v>
      </c>
      <c r="D733" s="1" t="s">
        <v>3509</v>
      </c>
      <c r="E733" s="1" t="s">
        <v>3510</v>
      </c>
      <c r="F733" s="4" t="s">
        <v>17</v>
      </c>
      <c r="G733" s="1" t="s">
        <v>18</v>
      </c>
      <c r="H733" s="1" t="s">
        <v>19</v>
      </c>
      <c r="I733" s="1" t="s">
        <v>20</v>
      </c>
      <c r="J733" s="1" t="s">
        <v>3511</v>
      </c>
      <c r="K733" s="1" t="s">
        <v>22</v>
      </c>
      <c r="L733" s="1" t="str">
        <f>HYPERLINK("https://files.afu.se/Downloads/Transcripts/0%20-%20Government/USA%20-%20NASA/2019 06 14 - NASA - Administrator Bridenstine Discusses Our Artemis Program on This Week @NASA – June 14, 2019_P3utzfQHbQQ - transcript (automated).pdf","Transcript Link")</f>
        <v>Transcript Link</v>
      </c>
      <c r="M733" s="2" t="str">
        <f>HYPERLINK("https://files.afu.se/Downloads/Transcripts/0%20-%20Government/USA%20-%20NASA/2019 06 14 - NASA - Administrator Bridenstine Discusses Our Artemis Program on This Week @NASA – June 14, 2019_P3utzfQHbQQ - transcript (automated).pdf","Transcript Link")</f>
        <v>Transcript Link</v>
      </c>
    </row>
    <row r="734" ht="270" spans="1:13">
      <c r="A734" s="1" t="s">
        <v>3512</v>
      </c>
      <c r="B734" s="1" t="s">
        <v>13</v>
      </c>
      <c r="C734" s="4" t="s">
        <v>3513</v>
      </c>
      <c r="D734" s="1" t="s">
        <v>3514</v>
      </c>
      <c r="E734" s="1" t="s">
        <v>3515</v>
      </c>
      <c r="F734" s="4" t="s">
        <v>17</v>
      </c>
      <c r="G734" s="1" t="s">
        <v>18</v>
      </c>
      <c r="H734" s="1" t="s">
        <v>19</v>
      </c>
      <c r="I734" s="1" t="s">
        <v>20</v>
      </c>
      <c r="J734" s="1" t="s">
        <v>3516</v>
      </c>
      <c r="K734" s="1" t="s">
        <v>22</v>
      </c>
      <c r="L734" s="1" t="str">
        <f>HYPERLINK("https://files.afu.se/Downloads/Transcripts/0%20-%20Government/USA%20-%20NASA/2019 06 12 - NASA - A Sign of Progress  Honoring NASA’s Hidden Figures_y6NGgs8S4qs - transcript (automated).pdf","Transcript Link")</f>
        <v>Transcript Link</v>
      </c>
      <c r="M734" s="2" t="str">
        <f>HYPERLINK("https://files.afu.se/Downloads/Transcripts/0%20-%20Government/USA%20-%20NASA/2019 06 12 - NASA - A Sign of Progress  Honoring NASA’s Hidden Figures_y6NGgs8S4qs - transcript (automated).pdf","Transcript Link")</f>
        <v>Transcript Link</v>
      </c>
    </row>
    <row r="735" ht="165" spans="1:13">
      <c r="A735" s="1" t="s">
        <v>3517</v>
      </c>
      <c r="B735" s="1" t="s">
        <v>13</v>
      </c>
      <c r="C735" s="4" t="s">
        <v>3518</v>
      </c>
      <c r="D735" s="1" t="s">
        <v>3519</v>
      </c>
      <c r="E735" s="1" t="s">
        <v>3520</v>
      </c>
      <c r="F735" s="4" t="s">
        <v>17</v>
      </c>
      <c r="G735" s="1" t="s">
        <v>18</v>
      </c>
      <c r="H735" s="1" t="s">
        <v>19</v>
      </c>
      <c r="I735" s="1" t="s">
        <v>20</v>
      </c>
      <c r="J735" s="1" t="s">
        <v>3521</v>
      </c>
      <c r="K735" s="1" t="s">
        <v>22</v>
      </c>
      <c r="L735" s="1" t="str">
        <f>HYPERLINK("https://files.afu.se/Downloads/Transcripts/0%20-%20Government/USA%20-%20NASA/2019 06 07 - NASA - Opening the International Space Station for Commercial Business on This Week @NASA – June 7, 2019_y7Z6R7DZFUs - transcript (automated).pdf","Transcript Link")</f>
        <v>Transcript Link</v>
      </c>
      <c r="M735" s="2" t="str">
        <f>HYPERLINK("https://files.afu.se/Downloads/Transcripts/0%20-%20Government/USA%20-%20NASA/2019 06 07 - NASA - Opening the International Space Station for Commercial Business on This Week @NASA – June 7, 2019_y7Z6R7DZFUs - transcript (automated).pdf","Transcript Link")</f>
        <v>Transcript Link</v>
      </c>
    </row>
    <row r="736" ht="255" spans="1:13">
      <c r="A736" s="1" t="s">
        <v>3522</v>
      </c>
      <c r="B736" s="1" t="s">
        <v>13</v>
      </c>
      <c r="C736" s="4" t="s">
        <v>3523</v>
      </c>
      <c r="D736" s="1" t="s">
        <v>3524</v>
      </c>
      <c r="E736" s="1" t="s">
        <v>3525</v>
      </c>
      <c r="F736" s="4" t="s">
        <v>17</v>
      </c>
      <c r="G736" s="1" t="s">
        <v>18</v>
      </c>
      <c r="H736" s="1" t="s">
        <v>19</v>
      </c>
      <c r="I736" s="1" t="s">
        <v>20</v>
      </c>
      <c r="J736" s="1" t="s">
        <v>3526</v>
      </c>
      <c r="K736" s="1" t="s">
        <v>22</v>
      </c>
      <c r="L736" s="1" t="str">
        <f>HYPERLINK("https://files.afu.se/Downloads/Transcripts/0%20-%20Government/USA%20-%20NASA/2019 06 06 - NASA - How NASA Earth Satellites Track Hurricanes_2WHXOi2orxA - transcript (automated).pdf","Transcript Link")</f>
        <v>Transcript Link</v>
      </c>
      <c r="M736" s="2" t="str">
        <f>HYPERLINK("https://files.afu.se/Downloads/Transcripts/0%20-%20Government/USA%20-%20NASA/2019 06 06 - NASA - How NASA Earth Satellites Track Hurricanes_2WHXOi2orxA - transcript (automated).pdf","Transcript Link")</f>
        <v>Transcript Link</v>
      </c>
    </row>
    <row r="737" ht="165" spans="1:13">
      <c r="A737" s="1" t="s">
        <v>3527</v>
      </c>
      <c r="B737" s="1" t="s">
        <v>13</v>
      </c>
      <c r="C737" s="4" t="s">
        <v>3528</v>
      </c>
      <c r="D737" s="1" t="s">
        <v>3529</v>
      </c>
      <c r="E737" s="1" t="s">
        <v>3530</v>
      </c>
      <c r="F737" s="4" t="s">
        <v>17</v>
      </c>
      <c r="G737" s="1" t="s">
        <v>18</v>
      </c>
      <c r="H737" s="1" t="s">
        <v>19</v>
      </c>
      <c r="I737" s="1" t="s">
        <v>20</v>
      </c>
      <c r="J737" s="1" t="s">
        <v>3531</v>
      </c>
      <c r="K737" s="1" t="s">
        <v>22</v>
      </c>
      <c r="L737" s="1" t="str">
        <f>HYPERLINK("https://files.afu.se/Downloads/Transcripts/0%20-%20Government/USA%20-%20NASA/2019 06 05 - NASA - NASA Explorers  Cryo Kids_uu-_K_S4IOA - transcript (automated).pdf","Transcript Link")</f>
        <v>Transcript Link</v>
      </c>
      <c r="M737" s="2" t="str">
        <f>HYPERLINK("https://files.afu.se/Downloads/Transcripts/0%20-%20Government/USA%20-%20NASA/2019 06 05 - NASA - NASA Explorers  Cryo Kids_uu-_K_S4IOA - transcript (automated).pdf","Transcript Link")</f>
        <v>Transcript Link</v>
      </c>
    </row>
    <row r="738" ht="165" spans="1:13">
      <c r="A738" s="1" t="s">
        <v>3532</v>
      </c>
      <c r="B738" s="1" t="s">
        <v>13</v>
      </c>
      <c r="C738" s="4" t="s">
        <v>3533</v>
      </c>
      <c r="D738" s="1" t="s">
        <v>3534</v>
      </c>
      <c r="E738" s="1" t="s">
        <v>3535</v>
      </c>
      <c r="F738" s="4" t="s">
        <v>17</v>
      </c>
      <c r="G738" s="1" t="s">
        <v>18</v>
      </c>
      <c r="H738" s="1" t="s">
        <v>19</v>
      </c>
      <c r="I738" s="1" t="s">
        <v>20</v>
      </c>
      <c r="J738" s="1" t="s">
        <v>3536</v>
      </c>
      <c r="K738" s="1" t="s">
        <v>22</v>
      </c>
      <c r="L738" s="1" t="str">
        <f>HYPERLINK("https://files.afu.se/Downloads/Transcripts/0%20-%20Government/USA%20-%20NASA/2019 06 03 - NASA - Sunset Timelapse from the International Space Station_oOxFoeXiiSA - transcript (automated).pdf","Transcript Link")</f>
        <v>Transcript Link</v>
      </c>
      <c r="M738" s="2" t="str">
        <f>HYPERLINK("https://files.afu.se/Downloads/Transcripts/0%20-%20Government/USA%20-%20NASA/2019 06 03 - NASA - Sunset Timelapse from the International Space Station_oOxFoeXiiSA - transcript (automated).pdf","Transcript Link")</f>
        <v>Transcript Link</v>
      </c>
    </row>
    <row r="739" ht="165" spans="1:13">
      <c r="A739" s="1" t="s">
        <v>3537</v>
      </c>
      <c r="B739" s="1" t="s">
        <v>13</v>
      </c>
      <c r="C739" s="4" t="s">
        <v>3538</v>
      </c>
      <c r="D739" s="1" t="s">
        <v>3539</v>
      </c>
      <c r="E739" s="1" t="s">
        <v>3540</v>
      </c>
      <c r="F739" s="4" t="s">
        <v>17</v>
      </c>
      <c r="G739" s="1" t="s">
        <v>18</v>
      </c>
      <c r="H739" s="1" t="s">
        <v>19</v>
      </c>
      <c r="I739" s="1" t="s">
        <v>20</v>
      </c>
      <c r="J739" s="1" t="s">
        <v>3541</v>
      </c>
      <c r="K739" s="1" t="s">
        <v>22</v>
      </c>
      <c r="L739" s="1" t="str">
        <f>HYPERLINK("https://files.afu.se/Downloads/Transcripts/0%20-%20Government/USA%20-%20NASA/2019 05 31 - NASA - The First Commercial Moon Landing Service Providers on This Week @NASA – May 31, 2019_gEjVPyALZno - transcript (automated).pdf","Transcript Link")</f>
        <v>Transcript Link</v>
      </c>
      <c r="M739" s="2" t="str">
        <f>HYPERLINK("https://files.afu.se/Downloads/Transcripts/0%20-%20Government/USA%20-%20NASA/2019 05 31 - NASA - The First Commercial Moon Landing Service Providers on This Week @NASA – May 31, 2019_gEjVPyALZno - transcript (automated).pdf","Transcript Link")</f>
        <v>Transcript Link</v>
      </c>
    </row>
    <row r="740" ht="165" spans="1:13">
      <c r="A740" s="1" t="s">
        <v>3537</v>
      </c>
      <c r="B740" s="1" t="s">
        <v>13</v>
      </c>
      <c r="C740" s="4" t="s">
        <v>3542</v>
      </c>
      <c r="D740" s="1" t="s">
        <v>3543</v>
      </c>
      <c r="E740" s="1" t="s">
        <v>3544</v>
      </c>
      <c r="F740" s="4" t="s">
        <v>17</v>
      </c>
      <c r="G740" s="1" t="s">
        <v>18</v>
      </c>
      <c r="H740" s="1" t="s">
        <v>19</v>
      </c>
      <c r="I740" s="1" t="s">
        <v>20</v>
      </c>
      <c r="J740" s="1" t="s">
        <v>3545</v>
      </c>
      <c r="K740" s="1" t="s">
        <v>22</v>
      </c>
      <c r="L740" s="1" t="str">
        <f>HYPERLINK("https://files.afu.se/Downloads/Transcripts/0%20-%20Government/USA%20-%20NASA/2019 05 31 - NASA - Our Next Lunar Landings_qODDdqK9rL4 - transcript (automated).pdf","Transcript Link")</f>
        <v>Transcript Link</v>
      </c>
      <c r="M740" s="2" t="str">
        <f>HYPERLINK("https://files.afu.se/Downloads/Transcripts/0%20-%20Government/USA%20-%20NASA/2019 05 31 - NASA - Our Next Lunar Landings_qODDdqK9rL4 - transcript (automated).pdf","Transcript Link")</f>
        <v>Transcript Link</v>
      </c>
    </row>
    <row r="741" ht="165" spans="1:13">
      <c r="A741" s="1" t="s">
        <v>3546</v>
      </c>
      <c r="B741" s="1" t="s">
        <v>13</v>
      </c>
      <c r="C741" s="4" t="s">
        <v>3547</v>
      </c>
      <c r="D741" s="1" t="s">
        <v>3548</v>
      </c>
      <c r="E741" s="1" t="s">
        <v>3549</v>
      </c>
      <c r="F741" s="4" t="s">
        <v>17</v>
      </c>
      <c r="G741" s="1" t="s">
        <v>18</v>
      </c>
      <c r="H741" s="1" t="s">
        <v>19</v>
      </c>
      <c r="I741" s="1" t="s">
        <v>20</v>
      </c>
      <c r="J741" s="1" t="s">
        <v>3550</v>
      </c>
      <c r="K741" s="1" t="s">
        <v>22</v>
      </c>
      <c r="L741" s="1" t="str">
        <f>HYPERLINK("https://files.afu.se/Downloads/Transcripts/0%20-%20Government/USA%20-%20NASA/2019 05 30 - NASA - Time-lapse Earth Flyover from NASA Astronaut in Space_75BvlfSbkEA - transcript (automated).pdf","Transcript Link")</f>
        <v>Transcript Link</v>
      </c>
      <c r="M741" s="2" t="str">
        <f>HYPERLINK("https://files.afu.se/Downloads/Transcripts/0%20-%20Government/USA%20-%20NASA/2019 05 30 - NASA - Time-lapse Earth Flyover from NASA Astronaut in Space_75BvlfSbkEA - transcript (automated).pdf","Transcript Link")</f>
        <v>Transcript Link</v>
      </c>
    </row>
    <row r="742" ht="285" spans="1:13">
      <c r="A742" s="1" t="s">
        <v>3551</v>
      </c>
      <c r="B742" s="1" t="s">
        <v>13</v>
      </c>
      <c r="C742" s="4" t="s">
        <v>3552</v>
      </c>
      <c r="D742" s="1" t="s">
        <v>3553</v>
      </c>
      <c r="E742" s="1" t="s">
        <v>3554</v>
      </c>
      <c r="F742" s="4" t="s">
        <v>17</v>
      </c>
      <c r="G742" s="1" t="s">
        <v>18</v>
      </c>
      <c r="H742" s="1" t="s">
        <v>19</v>
      </c>
      <c r="I742" s="1" t="s">
        <v>20</v>
      </c>
      <c r="J742" s="1" t="s">
        <v>3555</v>
      </c>
      <c r="K742" s="1" t="s">
        <v>22</v>
      </c>
      <c r="L742" s="1" t="str">
        <f>HYPERLINK("https://files.afu.se/Downloads/Transcripts/0%20-%20Government/USA%20-%20NASA/2019 05 28 - NASA - We Go Together_G9KQfnqukno - transcript (automated).pdf","Transcript Link")</f>
        <v>Transcript Link</v>
      </c>
      <c r="M742" s="2" t="str">
        <f>HYPERLINK("https://files.afu.se/Downloads/Transcripts/0%20-%20Government/USA%20-%20NASA/2019 05 28 - NASA - We Go Together_G9KQfnqukno - transcript (automated).pdf","Transcript Link")</f>
        <v>Transcript Link</v>
      </c>
    </row>
    <row r="743" ht="195" spans="1:13">
      <c r="A743" s="1" t="s">
        <v>3551</v>
      </c>
      <c r="B743" s="1" t="s">
        <v>13</v>
      </c>
      <c r="C743" s="4" t="s">
        <v>3556</v>
      </c>
      <c r="D743" s="1" t="s">
        <v>3557</v>
      </c>
      <c r="E743" s="1" t="s">
        <v>3558</v>
      </c>
      <c r="F743" s="4" t="s">
        <v>17</v>
      </c>
      <c r="G743" s="1" t="s">
        <v>18</v>
      </c>
      <c r="H743" s="1" t="s">
        <v>19</v>
      </c>
      <c r="I743" s="1" t="s">
        <v>20</v>
      </c>
      <c r="J743" s="1" t="s">
        <v>3559</v>
      </c>
      <c r="K743" s="1" t="s">
        <v>22</v>
      </c>
      <c r="L743" s="1" t="str">
        <f>HYPERLINK("https://files.afu.se/Downloads/Transcripts/0%20-%20Government/USA%20-%20NASA/2019 05 28 - NASA - Powering Our Return to the Moon_2kxqsA23lts - transcript (automated).pdf","Transcript Link")</f>
        <v>Transcript Link</v>
      </c>
      <c r="M743" s="2" t="str">
        <f>HYPERLINK("https://files.afu.se/Downloads/Transcripts/0%20-%20Government/USA%20-%20NASA/2019 05 28 - NASA - Powering Our Return to the Moon_2kxqsA23lts - transcript (automated).pdf","Transcript Link")</f>
        <v>Transcript Link</v>
      </c>
    </row>
    <row r="744" ht="165" spans="1:13">
      <c r="A744" s="1" t="s">
        <v>3560</v>
      </c>
      <c r="B744" s="1" t="s">
        <v>13</v>
      </c>
      <c r="C744" s="4" t="s">
        <v>3561</v>
      </c>
      <c r="D744" s="1" t="s">
        <v>3562</v>
      </c>
      <c r="E744" s="1" t="s">
        <v>3563</v>
      </c>
      <c r="F744" s="4" t="s">
        <v>17</v>
      </c>
      <c r="G744" s="1" t="s">
        <v>18</v>
      </c>
      <c r="H744" s="1" t="s">
        <v>19</v>
      </c>
      <c r="I744" s="1" t="s">
        <v>20</v>
      </c>
      <c r="J744" s="1" t="s">
        <v>3564</v>
      </c>
      <c r="K744" s="1" t="s">
        <v>22</v>
      </c>
      <c r="L744" s="1" t="str">
        <f>HYPERLINK("https://files.afu.se/Downloads/Transcripts/0%20-%20Government/USA%20-%20NASA/2019 05 24 - NASA - A New Partnership to Power The Lunar Gateway on This Week @NASA – May 24, 2019_QbtjlE2Sy8U - transcript (automated).pdf","Transcript Link")</f>
        <v>Transcript Link</v>
      </c>
      <c r="M744" s="2" t="str">
        <f>HYPERLINK("https://files.afu.se/Downloads/Transcripts/0%20-%20Government/USA%20-%20NASA/2019 05 24 - NASA - A New Partnership to Power The Lunar Gateway on This Week @NASA – May 24, 2019_QbtjlE2Sy8U - transcript (automated).pdf","Transcript Link")</f>
        <v>Transcript Link</v>
      </c>
    </row>
    <row r="745" ht="165" spans="1:13">
      <c r="A745" s="1" t="s">
        <v>3560</v>
      </c>
      <c r="B745" s="1" t="s">
        <v>13</v>
      </c>
      <c r="C745" s="4" t="s">
        <v>3565</v>
      </c>
      <c r="D745" s="1" t="s">
        <v>3566</v>
      </c>
      <c r="E745" s="1" t="s">
        <v>3567</v>
      </c>
      <c r="F745" s="4" t="s">
        <v>17</v>
      </c>
      <c r="G745" s="1" t="s">
        <v>18</v>
      </c>
      <c r="H745" s="1" t="s">
        <v>19</v>
      </c>
      <c r="I745" s="1" t="s">
        <v>20</v>
      </c>
      <c r="J745" s="1" t="s">
        <v>3568</v>
      </c>
      <c r="K745" s="1" t="s">
        <v>22</v>
      </c>
      <c r="L745" s="1" t="str">
        <f>HYPERLINK("https://files.afu.se/Downloads/Transcripts/0%20-%20Government/USA%20-%20NASA/2019 05 24 - NASA - NASA's Gravity Assist Podcast Goes to the Moon_CyhtXtRVXEo - transcript (automated).pdf","Transcript Link")</f>
        <v>Transcript Link</v>
      </c>
      <c r="M745" s="2" t="str">
        <f>HYPERLINK("https://files.afu.se/Downloads/Transcripts/0%20-%20Government/USA%20-%20NASA/2019 05 24 - NASA - NASA's Gravity Assist Podcast Goes to the Moon_CyhtXtRVXEo - transcript (automated).pdf","Transcript Link")</f>
        <v>Transcript Link</v>
      </c>
    </row>
    <row r="746" ht="165" spans="1:13">
      <c r="A746" s="1" t="s">
        <v>3569</v>
      </c>
      <c r="B746" s="1" t="s">
        <v>13</v>
      </c>
      <c r="C746" s="4" t="s">
        <v>3570</v>
      </c>
      <c r="D746" s="1" t="s">
        <v>3571</v>
      </c>
      <c r="E746" s="1" t="s">
        <v>3572</v>
      </c>
      <c r="F746" s="4" t="s">
        <v>17</v>
      </c>
      <c r="G746" s="1" t="s">
        <v>18</v>
      </c>
      <c r="H746" s="1" t="s">
        <v>19</v>
      </c>
      <c r="I746" s="1" t="s">
        <v>20</v>
      </c>
      <c r="J746" s="1" t="s">
        <v>3573</v>
      </c>
      <c r="K746" s="1" t="s">
        <v>22</v>
      </c>
      <c r="L746" s="1" t="str">
        <f>HYPERLINK("https://files.afu.se/Downloads/Transcripts/0%20-%20Government/USA%20-%20NASA/2019 05 18 - NASA - Spot the International Space Station_8pS_S3Pxoto - transcript (automated).pdf","Transcript Link")</f>
        <v>Transcript Link</v>
      </c>
      <c r="M746" s="2" t="str">
        <f>HYPERLINK("https://files.afu.se/Downloads/Transcripts/0%20-%20Government/USA%20-%20NASA/2019 05 18 - NASA - Spot the International Space Station_8pS_S3Pxoto - transcript (automated).pdf","Transcript Link")</f>
        <v>Transcript Link</v>
      </c>
    </row>
    <row r="747" ht="165" spans="1:13">
      <c r="A747" s="1" t="s">
        <v>3574</v>
      </c>
      <c r="B747" s="1" t="s">
        <v>13</v>
      </c>
      <c r="C747" s="4" t="s">
        <v>3575</v>
      </c>
      <c r="D747" s="1" t="s">
        <v>3576</v>
      </c>
      <c r="E747" s="1" t="s">
        <v>3577</v>
      </c>
      <c r="F747" s="4" t="s">
        <v>17</v>
      </c>
      <c r="G747" s="1" t="s">
        <v>18</v>
      </c>
      <c r="H747" s="1" t="s">
        <v>19</v>
      </c>
      <c r="I747" s="1" t="s">
        <v>20</v>
      </c>
      <c r="J747" s="1" t="s">
        <v>3578</v>
      </c>
      <c r="K747" s="1" t="s">
        <v>22</v>
      </c>
      <c r="L747" s="1" t="str">
        <f>HYPERLINK("https://files.afu.se/Downloads/Transcripts/0%20-%20Government/USA%20-%20NASA/2019 05 17 - NASA - Amending the Budget to Support Humans on the Moon in 2024 on This Week @NASA – May 17, 2019_KfjvYuEI-0U - transcript (automated).pdf","Transcript Link")</f>
        <v>Transcript Link</v>
      </c>
      <c r="M747" s="2" t="str">
        <f>HYPERLINK("https://files.afu.se/Downloads/Transcripts/0%20-%20Government/USA%20-%20NASA/2019 05 17 - NASA - Amending the Budget to Support Humans on the Moon in 2024 on This Week @NASA – May 17, 2019_KfjvYuEI-0U - transcript (automated).pdf","Transcript Link")</f>
        <v>Transcript Link</v>
      </c>
    </row>
    <row r="748" ht="315" spans="1:13">
      <c r="A748" s="1" t="s">
        <v>3574</v>
      </c>
      <c r="B748" s="1" t="s">
        <v>13</v>
      </c>
      <c r="C748" s="4" t="s">
        <v>3579</v>
      </c>
      <c r="D748" s="1" t="s">
        <v>3580</v>
      </c>
      <c r="E748" s="1" t="s">
        <v>3581</v>
      </c>
      <c r="F748" s="4" t="s">
        <v>17</v>
      </c>
      <c r="G748" s="1" t="s">
        <v>18</v>
      </c>
      <c r="H748" s="1" t="s">
        <v>19</v>
      </c>
      <c r="I748" s="1" t="s">
        <v>20</v>
      </c>
      <c r="J748" s="1" t="s">
        <v>3582</v>
      </c>
      <c r="K748" s="1" t="s">
        <v>22</v>
      </c>
      <c r="L748" s="1" t="str">
        <f>HYPERLINK("https://files.afu.se/Downloads/Transcripts/0%20-%20Government/USA%20-%20NASA/2019 05 17 - NASA - Apollo 10  ‘Tell the world, we have arrived’_Rq8cyvmJMNQ - transcript (automated).pdf","Transcript Link")</f>
        <v>Transcript Link</v>
      </c>
      <c r="M748" s="2" t="str">
        <f>HYPERLINK("https://files.afu.se/Downloads/Transcripts/0%20-%20Government/USA%20-%20NASA/2019 05 17 - NASA - Apollo 10  ‘Tell the world, we have arrived’_Rq8cyvmJMNQ - transcript (automated).pdf","Transcript Link")</f>
        <v>Transcript Link</v>
      </c>
    </row>
    <row r="749" ht="195" spans="1:13">
      <c r="A749" s="1" t="s">
        <v>3583</v>
      </c>
      <c r="B749" s="1" t="s">
        <v>13</v>
      </c>
      <c r="C749" s="4" t="s">
        <v>3584</v>
      </c>
      <c r="D749" s="1" t="s">
        <v>3585</v>
      </c>
      <c r="E749" s="1" t="s">
        <v>3586</v>
      </c>
      <c r="F749" s="4" t="s">
        <v>17</v>
      </c>
      <c r="G749" s="1" t="s">
        <v>18</v>
      </c>
      <c r="H749" s="1" t="s">
        <v>19</v>
      </c>
      <c r="I749" s="1" t="s">
        <v>20</v>
      </c>
      <c r="J749" s="1" t="s">
        <v>3587</v>
      </c>
      <c r="K749" s="1" t="s">
        <v>22</v>
      </c>
      <c r="L749" s="1" t="str">
        <f>HYPERLINK("https://files.afu.se/Downloads/Transcripts/0%20-%20Government/USA%20-%20NASA/2019 05 14 - NASA - We Are Going_vl6jn-DdafM - transcript (automated).pdf","Transcript Link")</f>
        <v>Transcript Link</v>
      </c>
      <c r="M749" s="2" t="str">
        <f>HYPERLINK("https://files.afu.se/Downloads/Transcripts/0%20-%20Government/USA%20-%20NASA/2019 05 14 - NASA - We Are Going_vl6jn-DdafM - transcript (automated).pdf","Transcript Link")</f>
        <v>Transcript Link</v>
      </c>
    </row>
    <row r="750" ht="255" spans="1:13">
      <c r="A750" s="1" t="s">
        <v>3588</v>
      </c>
      <c r="B750" s="1" t="s">
        <v>13</v>
      </c>
      <c r="C750" s="4" t="s">
        <v>3589</v>
      </c>
      <c r="D750" s="1" t="s">
        <v>3590</v>
      </c>
      <c r="E750" s="1" t="s">
        <v>3591</v>
      </c>
      <c r="F750" s="4" t="s">
        <v>17</v>
      </c>
      <c r="G750" s="1" t="s">
        <v>18</v>
      </c>
      <c r="H750" s="1" t="s">
        <v>19</v>
      </c>
      <c r="I750" s="1" t="s">
        <v>20</v>
      </c>
      <c r="J750" s="1" t="s">
        <v>3592</v>
      </c>
      <c r="K750" s="1" t="s">
        <v>22</v>
      </c>
      <c r="L750" s="1" t="str">
        <f>HYPERLINK("https://files.afu.se/Downloads/Transcripts/0%20-%20Government/USA%20-%20NASA/2019 05 13 - NASA - Administrator Bridenstine on Budget Amendment Supporting Humans on Moon in 2024_5Vgzz2_2-84 - transcript (automated).pdf","Transcript Link")</f>
        <v>Transcript Link</v>
      </c>
      <c r="M750" s="2" t="str">
        <f>HYPERLINK("https://files.afu.se/Downloads/Transcripts/0%20-%20Government/USA%20-%20NASA/2019 05 13 - NASA - Administrator Bridenstine on Budget Amendment Supporting Humans on Moon in 2024_5Vgzz2_2-84 - transcript (automated).pdf","Transcript Link")</f>
        <v>Transcript Link</v>
      </c>
    </row>
    <row r="751" ht="165" spans="1:13">
      <c r="A751" s="1" t="s">
        <v>3593</v>
      </c>
      <c r="B751" s="1" t="s">
        <v>13</v>
      </c>
      <c r="C751" s="4" t="s">
        <v>3594</v>
      </c>
      <c r="D751" s="1" t="s">
        <v>3595</v>
      </c>
      <c r="E751" s="1" t="s">
        <v>3596</v>
      </c>
      <c r="F751" s="4" t="s">
        <v>17</v>
      </c>
      <c r="G751" s="1" t="s">
        <v>18</v>
      </c>
      <c r="H751" s="1" t="s">
        <v>19</v>
      </c>
      <c r="I751" s="1" t="s">
        <v>20</v>
      </c>
      <c r="J751" s="1" t="s">
        <v>3597</v>
      </c>
      <c r="K751" s="1" t="s">
        <v>22</v>
      </c>
      <c r="L751" s="1" t="str">
        <f>HYPERLINK("https://files.afu.se/Downloads/Transcripts/0%20-%20Government/USA%20-%20NASA/2019 05 10 - NASA - Supplies, Research and Equipment Delivered to the Space Station on This Week @NASA – May 10, 2019_c-reig1cMPE - transcript (automated).pdf","Transcript Link")</f>
        <v>Transcript Link</v>
      </c>
      <c r="M751" s="2" t="str">
        <f>HYPERLINK("https://files.afu.se/Downloads/Transcripts/0%20-%20Government/USA%20-%20NASA/2019 05 10 - NASA - Supplies, Research and Equipment Delivered to the Space Station on This Week @NASA – May 10, 2019_c-reig1cMPE - transcript (automated).pdf","Transcript Link")</f>
        <v>Transcript Link</v>
      </c>
    </row>
    <row r="752" ht="195" spans="1:13">
      <c r="A752" s="1" t="s">
        <v>3593</v>
      </c>
      <c r="B752" s="1" t="s">
        <v>13</v>
      </c>
      <c r="C752" s="4" t="s">
        <v>3598</v>
      </c>
      <c r="D752" s="1" t="s">
        <v>3599</v>
      </c>
      <c r="E752" s="1" t="s">
        <v>3600</v>
      </c>
      <c r="F752" s="4" t="s">
        <v>17</v>
      </c>
      <c r="G752" s="1" t="s">
        <v>18</v>
      </c>
      <c r="H752" s="1" t="s">
        <v>19</v>
      </c>
      <c r="I752" s="1" t="s">
        <v>20</v>
      </c>
      <c r="J752" s="1" t="s">
        <v>3601</v>
      </c>
      <c r="K752" s="1" t="s">
        <v>22</v>
      </c>
      <c r="L752" s="1" t="str">
        <f>HYPERLINK("https://files.afu.se/Downloads/Transcripts/0%20-%20Government/USA%20-%20NASA/2019 05 10 - NASA - Women in Science_KiGOpT9T4A8 - transcript (automated).pdf","Transcript Link")</f>
        <v>Transcript Link</v>
      </c>
      <c r="M752" s="2" t="str">
        <f>HYPERLINK("https://files.afu.se/Downloads/Transcripts/0%20-%20Government/USA%20-%20NASA/2019 05 10 - NASA - Women in Science_KiGOpT9T4A8 - transcript (automated).pdf","Transcript Link")</f>
        <v>Transcript Link</v>
      </c>
    </row>
    <row r="753" ht="165" spans="1:13">
      <c r="A753" s="1" t="s">
        <v>3602</v>
      </c>
      <c r="B753" s="1" t="s">
        <v>13</v>
      </c>
      <c r="C753" s="4" t="s">
        <v>3603</v>
      </c>
      <c r="D753" s="1" t="s">
        <v>3604</v>
      </c>
      <c r="E753" s="1" t="s">
        <v>3605</v>
      </c>
      <c r="F753" s="4" t="s">
        <v>17</v>
      </c>
      <c r="G753" s="1" t="s">
        <v>18</v>
      </c>
      <c r="H753" s="1" t="s">
        <v>19</v>
      </c>
      <c r="I753" s="1" t="s">
        <v>20</v>
      </c>
      <c r="J753" s="1" t="s">
        <v>3606</v>
      </c>
      <c r="K753" s="1" t="s">
        <v>22</v>
      </c>
      <c r="L753" s="1" t="str">
        <f>HYPERLINK("https://files.afu.se/Downloads/Transcripts/0%20-%20Government/USA%20-%20NASA/2019 05 04 - NASA - Commercial Resupply Mission Launches to the Space Station on This Week @NASA – May 4, 2019_kPipPqzo-QQ - transcript (automated).pdf","Transcript Link")</f>
        <v>Transcript Link</v>
      </c>
      <c r="M753" s="2" t="str">
        <f>HYPERLINK("https://files.afu.se/Downloads/Transcripts/0%20-%20Government/USA%20-%20NASA/2019 05 04 - NASA - Commercial Resupply Mission Launches to the Space Station on This Week @NASA – May 4, 2019_kPipPqzo-QQ - transcript (automated).pdf","Transcript Link")</f>
        <v>Transcript Link</v>
      </c>
    </row>
    <row r="754" ht="165" spans="1:13">
      <c r="A754" s="1" t="s">
        <v>3607</v>
      </c>
      <c r="B754" s="1" t="s">
        <v>13</v>
      </c>
      <c r="C754" s="4" t="s">
        <v>3608</v>
      </c>
      <c r="D754" s="1" t="s">
        <v>3609</v>
      </c>
      <c r="E754" s="1" t="s">
        <v>3610</v>
      </c>
      <c r="F754" s="4" t="s">
        <v>17</v>
      </c>
      <c r="G754" s="1" t="s">
        <v>18</v>
      </c>
      <c r="H754" s="1" t="s">
        <v>19</v>
      </c>
      <c r="I754" s="1" t="s">
        <v>20</v>
      </c>
      <c r="J754" s="1" t="s">
        <v>3611</v>
      </c>
      <c r="K754" s="1" t="s">
        <v>22</v>
      </c>
      <c r="L754" s="1" t="str">
        <f>HYPERLINK("https://files.afu.se/Downloads/Transcripts/0%20-%20Government/USA%20-%20NASA/2019 05 02 - NASA - What is SpaceX Launching to the International Space Station _QmvY8ZmN0Ic - transcript (automated).pdf","Transcript Link")</f>
        <v>Transcript Link</v>
      </c>
      <c r="M754" s="2" t="str">
        <f>HYPERLINK("https://files.afu.se/Downloads/Transcripts/0%20-%20Government/USA%20-%20NASA/2019 05 02 - NASA - What is SpaceX Launching to the International Space Station _QmvY8ZmN0Ic - transcript (automated).pdf","Transcript Link")</f>
        <v>Transcript Link</v>
      </c>
    </row>
    <row r="755" ht="165" spans="1:13">
      <c r="A755" s="1" t="s">
        <v>3612</v>
      </c>
      <c r="B755" s="1" t="s">
        <v>13</v>
      </c>
      <c r="C755" s="4" t="s">
        <v>3613</v>
      </c>
      <c r="D755" s="1" t="s">
        <v>3614</v>
      </c>
      <c r="E755" s="1" t="s">
        <v>3615</v>
      </c>
      <c r="F755" s="4" t="s">
        <v>17</v>
      </c>
      <c r="G755" s="1" t="s">
        <v>18</v>
      </c>
      <c r="H755" s="1" t="s">
        <v>19</v>
      </c>
      <c r="I755" s="1" t="s">
        <v>20</v>
      </c>
      <c r="J755" s="1" t="s">
        <v>3616</v>
      </c>
      <c r="K755" s="1" t="s">
        <v>22</v>
      </c>
      <c r="L755" s="1" t="str">
        <f>HYPERLINK("https://files.afu.se/Downloads/Transcripts/0%20-%20Government/USA%20-%20NASA/2019 04 29 - NASA - Highlights of Science Launching on SpaceX's Dragon Spacecraft_ObkvrRPX-ts - transcript (automated).pdf","Transcript Link")</f>
        <v>Transcript Link</v>
      </c>
      <c r="M755" s="2" t="str">
        <f>HYPERLINK("https://files.afu.se/Downloads/Transcripts/0%20-%20Government/USA%20-%20NASA/2019 04 29 - NASA - Highlights of Science Launching on SpaceX's Dragon Spacecraft_ObkvrRPX-ts - transcript (automated).pdf","Transcript Link")</f>
        <v>Transcript Link</v>
      </c>
    </row>
    <row r="756" ht="165" spans="1:13">
      <c r="A756" s="1" t="s">
        <v>3617</v>
      </c>
      <c r="B756" s="1" t="s">
        <v>13</v>
      </c>
      <c r="C756" s="4" t="s">
        <v>3618</v>
      </c>
      <c r="D756" s="1" t="s">
        <v>3619</v>
      </c>
      <c r="E756" s="1" t="s">
        <v>3620</v>
      </c>
      <c r="F756" s="4" t="s">
        <v>17</v>
      </c>
      <c r="G756" s="1" t="s">
        <v>18</v>
      </c>
      <c r="H756" s="1" t="s">
        <v>19</v>
      </c>
      <c r="I756" s="1" t="s">
        <v>20</v>
      </c>
      <c r="J756" s="1" t="s">
        <v>3621</v>
      </c>
      <c r="K756" s="1" t="s">
        <v>22</v>
      </c>
      <c r="L756" s="1" t="str">
        <f>HYPERLINK("https://files.afu.se/Downloads/Transcripts/0%20-%20Government/USA%20-%20NASA/2019 04 26 - NASA - The First Possible Sound of a Marsquake on This Week @NASA – April 26, 2019_FF6NTKKWgFU - transcript (automated).pdf","Transcript Link")</f>
        <v>Transcript Link</v>
      </c>
      <c r="M756" s="2" t="str">
        <f>HYPERLINK("https://files.afu.se/Downloads/Transcripts/0%20-%20Government/USA%20-%20NASA/2019 04 26 - NASA - The First Possible Sound of a Marsquake on This Week @NASA – April 26, 2019_FF6NTKKWgFU - transcript (automated).pdf","Transcript Link")</f>
        <v>Transcript Link</v>
      </c>
    </row>
    <row r="757" ht="165" spans="1:13">
      <c r="A757" s="1" t="s">
        <v>3622</v>
      </c>
      <c r="B757" s="1" t="s">
        <v>13</v>
      </c>
      <c r="C757" s="4" t="s">
        <v>3623</v>
      </c>
      <c r="D757" s="1" t="s">
        <v>3624</v>
      </c>
      <c r="E757" s="1" t="s">
        <v>3625</v>
      </c>
      <c r="F757" s="4" t="s">
        <v>17</v>
      </c>
      <c r="G757" s="1" t="s">
        <v>18</v>
      </c>
      <c r="H757" s="1" t="s">
        <v>19</v>
      </c>
      <c r="I757" s="1" t="s">
        <v>20</v>
      </c>
      <c r="J757" s="1" t="s">
        <v>3626</v>
      </c>
      <c r="K757" s="1" t="s">
        <v>22</v>
      </c>
      <c r="L757" s="1" t="str">
        <f>HYPERLINK("https://files.afu.se/Downloads/Transcripts/0%20-%20Government/USA%20-%20NASA/2019 04 24 - NASA - Hubble’s 29th Anniversary_hxQPGtN9f64 - transcript (automated).pdf","Transcript Link")</f>
        <v>Transcript Link</v>
      </c>
      <c r="M757" s="2" t="str">
        <f>HYPERLINK("https://files.afu.se/Downloads/Transcripts/0%20-%20Government/USA%20-%20NASA/2019 04 24 - NASA - Hubble’s 29th Anniversary_hxQPGtN9f64 - transcript (automated).pdf","Transcript Link")</f>
        <v>Transcript Link</v>
      </c>
    </row>
    <row r="758" ht="165" spans="1:13">
      <c r="A758" s="1" t="s">
        <v>3627</v>
      </c>
      <c r="B758" s="1" t="s">
        <v>13</v>
      </c>
      <c r="C758" s="4" t="s">
        <v>3628</v>
      </c>
      <c r="D758" s="1" t="s">
        <v>3629</v>
      </c>
      <c r="E758" s="1" t="s">
        <v>3630</v>
      </c>
      <c r="F758" s="4" t="s">
        <v>17</v>
      </c>
      <c r="G758" s="1" t="s">
        <v>18</v>
      </c>
      <c r="H758" s="1" t="s">
        <v>19</v>
      </c>
      <c r="I758" s="1" t="s">
        <v>20</v>
      </c>
      <c r="J758" s="1" t="s">
        <v>3631</v>
      </c>
      <c r="K758" s="1" t="s">
        <v>22</v>
      </c>
      <c r="L758" s="1" t="str">
        <f>HYPERLINK("https://files.afu.se/Downloads/Transcripts/0%20-%20Government/USA%20-%20NASA/2019 04 22 - NASA - NASA Scientists Share Why They Like Earth_tKZmcZc9-LY - transcript (automated).pdf","Transcript Link")</f>
        <v>Transcript Link</v>
      </c>
      <c r="M758" s="2" t="str">
        <f>HYPERLINK("https://files.afu.se/Downloads/Transcripts/0%20-%20Government/USA%20-%20NASA/2019 04 22 - NASA - NASA Scientists Share Why They Like Earth_tKZmcZc9-LY - transcript (automated).pdf","Transcript Link")</f>
        <v>Transcript Link</v>
      </c>
    </row>
    <row r="759" ht="165" spans="1:13">
      <c r="A759" s="1" t="s">
        <v>3627</v>
      </c>
      <c r="B759" s="1" t="s">
        <v>13</v>
      </c>
      <c r="C759" s="4" t="s">
        <v>3632</v>
      </c>
      <c r="D759" s="1" t="s">
        <v>3633</v>
      </c>
      <c r="E759" s="1" t="s">
        <v>3634</v>
      </c>
      <c r="F759" s="4" t="s">
        <v>17</v>
      </c>
      <c r="G759" s="1" t="s">
        <v>18</v>
      </c>
      <c r="H759" s="1" t="s">
        <v>19</v>
      </c>
      <c r="I759" s="1" t="s">
        <v>20</v>
      </c>
      <c r="J759" s="1" t="s">
        <v>3635</v>
      </c>
      <c r="K759" s="1" t="s">
        <v>22</v>
      </c>
      <c r="L759" s="1" t="str">
        <f>HYPERLINK("https://files.afu.se/Downloads/Transcripts/0%20-%20Government/USA%20-%20NASA/2019 04 22 - NASA - NASA Sees Earth, Our Unique Home_ps3kWOQRQnY - transcript (automated).pdf","Transcript Link")</f>
        <v>Transcript Link</v>
      </c>
      <c r="M759" s="2" t="str">
        <f>HYPERLINK("https://files.afu.se/Downloads/Transcripts/0%20-%20Government/USA%20-%20NASA/2019 04 22 - NASA - NASA Sees Earth, Our Unique Home_ps3kWOQRQnY - transcript (automated).pdf","Transcript Link")</f>
        <v>Transcript Link</v>
      </c>
    </row>
    <row r="760" ht="180" spans="1:13">
      <c r="A760" s="1" t="s">
        <v>3636</v>
      </c>
      <c r="B760" s="1" t="s">
        <v>13</v>
      </c>
      <c r="C760" s="4" t="s">
        <v>3637</v>
      </c>
      <c r="D760" s="1" t="s">
        <v>3638</v>
      </c>
      <c r="E760" s="1" t="s">
        <v>3639</v>
      </c>
      <c r="F760" s="4" t="s">
        <v>17</v>
      </c>
      <c r="G760" s="1" t="s">
        <v>18</v>
      </c>
      <c r="H760" s="1" t="s">
        <v>19</v>
      </c>
      <c r="I760" s="1" t="s">
        <v>20</v>
      </c>
      <c r="J760" s="1" t="s">
        <v>3640</v>
      </c>
      <c r="K760" s="1" t="s">
        <v>22</v>
      </c>
      <c r="L760" s="1" t="str">
        <f>HYPERLINK("https://files.afu.se/Downloads/Transcripts/0%20-%20Government/USA%20-%20NASA/2019 04 20 - NASA - Living and Working in Space  Microbes_BpPnc4_tSwA - transcript (automated).pdf","Transcript Link")</f>
        <v>Transcript Link</v>
      </c>
      <c r="M760" s="2" t="str">
        <f>HYPERLINK("https://files.afu.se/Downloads/Transcripts/0%20-%20Government/USA%20-%20NASA/2019 04 20 - NASA - Living and Working in Space  Microbes_BpPnc4_tSwA - transcript (automated).pdf","Transcript Link")</f>
        <v>Transcript Link</v>
      </c>
    </row>
    <row r="761" ht="165" spans="1:13">
      <c r="A761" s="1" t="s">
        <v>3641</v>
      </c>
      <c r="B761" s="1" t="s">
        <v>13</v>
      </c>
      <c r="C761" s="4" t="s">
        <v>3642</v>
      </c>
      <c r="D761" s="1" t="s">
        <v>3643</v>
      </c>
      <c r="E761" s="1" t="s">
        <v>3644</v>
      </c>
      <c r="F761" s="4" t="s">
        <v>17</v>
      </c>
      <c r="G761" s="1" t="s">
        <v>18</v>
      </c>
      <c r="H761" s="1" t="s">
        <v>19</v>
      </c>
      <c r="I761" s="1" t="s">
        <v>20</v>
      </c>
      <c r="J761" s="1" t="s">
        <v>3645</v>
      </c>
      <c r="K761" s="1" t="s">
        <v>22</v>
      </c>
      <c r="L761" s="1" t="str">
        <f>HYPERLINK("https://files.afu.se/Downloads/Transcripts/0%20-%20Government/USA%20-%20NASA/2019 04 19 - NASA - An Extended Stay Onboard The Space Station on This Week @NASA – April 19, 2019__2tf7o8AtmI - transcript (automated).pdf","Transcript Link")</f>
        <v>Transcript Link</v>
      </c>
      <c r="M761" s="2" t="str">
        <f>HYPERLINK("https://files.afu.se/Downloads/Transcripts/0%20-%20Government/USA%20-%20NASA/2019 04 19 - NASA - An Extended Stay Onboard The Space Station on This Week @NASA – April 19, 2019__2tf7o8AtmI - transcript (automated).pdf","Transcript Link")</f>
        <v>Transcript Link</v>
      </c>
    </row>
    <row r="762" ht="409.5" spans="1:13">
      <c r="A762" s="1" t="s">
        <v>3641</v>
      </c>
      <c r="B762" s="1" t="s">
        <v>13</v>
      </c>
      <c r="C762" s="4" t="s">
        <v>3646</v>
      </c>
      <c r="D762" s="1" t="s">
        <v>3647</v>
      </c>
      <c r="E762" s="1" t="s">
        <v>3648</v>
      </c>
      <c r="F762" s="4" t="s">
        <v>17</v>
      </c>
      <c r="G762" s="1" t="s">
        <v>18</v>
      </c>
      <c r="H762" s="1" t="s">
        <v>19</v>
      </c>
      <c r="I762" s="1" t="s">
        <v>20</v>
      </c>
      <c r="J762" s="1" t="s">
        <v>3649</v>
      </c>
      <c r="K762" s="1" t="s">
        <v>22</v>
      </c>
      <c r="L762" s="1" t="str">
        <f>HYPERLINK("https://files.afu.se/Downloads/Transcripts/0%20-%20Government/USA%20-%20NASA/2019 04 19 - NASA - Space for US  Together for a Better Earth_xPDYfXayugw - transcript (automated).pdf","Transcript Link")</f>
        <v>Transcript Link</v>
      </c>
      <c r="M762" s="2" t="str">
        <f>HYPERLINK("https://files.afu.se/Downloads/Transcripts/0%20-%20Government/USA%20-%20NASA/2019 04 19 - NASA - Space for US  Together for a Better Earth_xPDYfXayugw - transcript (automated).pdf","Transcript Link")</f>
        <v>Transcript Link</v>
      </c>
    </row>
    <row r="763" ht="165" spans="1:13">
      <c r="A763" s="1" t="s">
        <v>3650</v>
      </c>
      <c r="B763" s="1" t="s">
        <v>13</v>
      </c>
      <c r="C763" s="4" t="s">
        <v>3651</v>
      </c>
      <c r="D763" s="1" t="s">
        <v>3652</v>
      </c>
      <c r="E763" s="1" t="s">
        <v>3653</v>
      </c>
      <c r="F763" s="4" t="s">
        <v>17</v>
      </c>
      <c r="G763" s="1" t="s">
        <v>18</v>
      </c>
      <c r="H763" s="1" t="s">
        <v>19</v>
      </c>
      <c r="I763" s="1" t="s">
        <v>20</v>
      </c>
      <c r="J763" s="1" t="s">
        <v>3654</v>
      </c>
      <c r="K763" s="1" t="s">
        <v>22</v>
      </c>
      <c r="L763" s="1" t="str">
        <f>HYPERLINK("https://files.afu.se/Downloads/Transcripts/0%20-%20Government/USA%20-%20NASA/2019 04 17 - NASA - Northrop Grumman's CRS-11 Mission  What's on Board _y9TJVLdIqp0 - transcript (automated).pdf","Transcript Link")</f>
        <v>Transcript Link</v>
      </c>
      <c r="M763" s="2" t="str">
        <f>HYPERLINK("https://files.afu.se/Downloads/Transcripts/0%20-%20Government/USA%20-%20NASA/2019 04 17 - NASA - Northrop Grumman's CRS-11 Mission  What's on Board _y9TJVLdIqp0 - transcript (automated).pdf","Transcript Link")</f>
        <v>Transcript Link</v>
      </c>
    </row>
    <row r="764" ht="210" spans="1:13">
      <c r="A764" s="1" t="s">
        <v>3650</v>
      </c>
      <c r="B764" s="1" t="s">
        <v>13</v>
      </c>
      <c r="C764" s="4" t="s">
        <v>3655</v>
      </c>
      <c r="D764" s="1" t="s">
        <v>3656</v>
      </c>
      <c r="E764" s="1" t="s">
        <v>3657</v>
      </c>
      <c r="F764" s="4" t="s">
        <v>17</v>
      </c>
      <c r="G764" s="1" t="s">
        <v>18</v>
      </c>
      <c r="H764" s="1" t="s">
        <v>19</v>
      </c>
      <c r="I764" s="1" t="s">
        <v>20</v>
      </c>
      <c r="J764" s="1" t="s">
        <v>3658</v>
      </c>
      <c r="K764" s="1" t="s">
        <v>22</v>
      </c>
      <c r="L764" s="1" t="str">
        <f>HYPERLINK("https://files.afu.se/Downloads/Transcripts/0%20-%20Government/USA%20-%20NASA/2019 04 17 - NASA - Living and Working in Space  Oxidative Stress_gXy8sSv64fY - transcript (automated).pdf","Transcript Link")</f>
        <v>Transcript Link</v>
      </c>
      <c r="M764" s="2" t="str">
        <f>HYPERLINK("https://files.afu.se/Downloads/Transcripts/0%20-%20Government/USA%20-%20NASA/2019 04 17 - NASA - Living and Working in Space  Oxidative Stress_gXy8sSv64fY - transcript (automated).pdf","Transcript Link")</f>
        <v>Transcript Link</v>
      </c>
    </row>
    <row r="765" ht="165" spans="1:13">
      <c r="A765" s="1" t="s">
        <v>3650</v>
      </c>
      <c r="B765" s="1" t="s">
        <v>13</v>
      </c>
      <c r="C765" s="4" t="s">
        <v>3659</v>
      </c>
      <c r="D765" s="1" t="s">
        <v>3660</v>
      </c>
      <c r="E765" s="1" t="s">
        <v>3661</v>
      </c>
      <c r="F765" s="4" t="s">
        <v>17</v>
      </c>
      <c r="G765" s="1" t="s">
        <v>18</v>
      </c>
      <c r="H765" s="1" t="s">
        <v>19</v>
      </c>
      <c r="I765" s="1" t="s">
        <v>20</v>
      </c>
      <c r="J765" s="1" t="s">
        <v>3662</v>
      </c>
      <c r="K765" s="1" t="s">
        <v>22</v>
      </c>
      <c r="L765" s="1" t="str">
        <f>HYPERLINK("https://files.afu.se/Downloads/Transcripts/0%20-%20Government/USA%20-%20NASA/2019 04 17 - NASA - Astronauts Koch and Meir React to International Space Station Mission Updates_tBngQcySHdU - transcript (automated).pdf","Transcript Link")</f>
        <v>Transcript Link</v>
      </c>
      <c r="M765" s="2" t="str">
        <f>HYPERLINK("https://files.afu.se/Downloads/Transcripts/0%20-%20Government/USA%20-%20NASA/2019 04 17 - NASA - Astronauts Koch and Meir React to International Space Station Mission Updates_tBngQcySHdU - transcript (automated).pdf","Transcript Link")</f>
        <v>Transcript Link</v>
      </c>
    </row>
    <row r="766" ht="165" spans="1:13">
      <c r="A766" s="1" t="s">
        <v>3663</v>
      </c>
      <c r="B766" s="1" t="s">
        <v>13</v>
      </c>
      <c r="C766" s="4" t="s">
        <v>3664</v>
      </c>
      <c r="D766" s="1" t="s">
        <v>3665</v>
      </c>
      <c r="E766" s="1" t="s">
        <v>3666</v>
      </c>
      <c r="F766" s="4" t="s">
        <v>17</v>
      </c>
      <c r="G766" s="1" t="s">
        <v>18</v>
      </c>
      <c r="H766" s="1" t="s">
        <v>19</v>
      </c>
      <c r="I766" s="1" t="s">
        <v>20</v>
      </c>
      <c r="J766" s="1" t="s">
        <v>3667</v>
      </c>
      <c r="K766" s="1" t="s">
        <v>22</v>
      </c>
      <c r="L766" s="1" t="str">
        <f>HYPERLINK("https://files.afu.se/Downloads/Transcripts/0%20-%20Government/USA%20-%20NASA/2019 04 15 - NASA - Living and Working in Space  Radiation_FJDWHm_ZjoM - transcript (automated).pdf","Transcript Link")</f>
        <v>Transcript Link</v>
      </c>
      <c r="M766" s="2" t="str">
        <f>HYPERLINK("https://files.afu.se/Downloads/Transcripts/0%20-%20Government/USA%20-%20NASA/2019 04 15 - NASA - Living and Working in Space  Radiation_FJDWHm_ZjoM - transcript (automated).pdf","Transcript Link")</f>
        <v>Transcript Link</v>
      </c>
    </row>
    <row r="767" ht="165" spans="1:13">
      <c r="A767" s="1" t="s">
        <v>3668</v>
      </c>
      <c r="B767" s="1" t="s">
        <v>13</v>
      </c>
      <c r="C767" s="4" t="s">
        <v>3669</v>
      </c>
      <c r="D767" s="1" t="s">
        <v>3670</v>
      </c>
      <c r="E767" s="1" t="s">
        <v>3671</v>
      </c>
      <c r="F767" s="4" t="s">
        <v>17</v>
      </c>
      <c r="G767" s="1" t="s">
        <v>18</v>
      </c>
      <c r="H767" s="1" t="s">
        <v>19</v>
      </c>
      <c r="I767" s="1" t="s">
        <v>20</v>
      </c>
      <c r="J767" s="1" t="s">
        <v>3672</v>
      </c>
      <c r="K767" s="1" t="s">
        <v>22</v>
      </c>
      <c r="L767" s="1" t="str">
        <f>HYPERLINK("https://files.afu.se/Downloads/Transcripts/0%20-%20Government/USA%20-%20NASA/2019 04 12 - NASA - Our Five Year Plan to Return Humans to the Moon on This Week @NASA – April 12, 2019_k_2yFEzwNG4 - transcript (automated).pdf","Transcript Link")</f>
        <v>Transcript Link</v>
      </c>
      <c r="M767" s="2" t="str">
        <f>HYPERLINK("https://files.afu.se/Downloads/Transcripts/0%20-%20Government/USA%20-%20NASA/2019 04 12 - NASA - Our Five Year Plan to Return Humans to the Moon on This Week @NASA – April 12, 2019_k_2yFEzwNG4 - transcript (automated).pdf","Transcript Link")</f>
        <v>Transcript Link</v>
      </c>
    </row>
    <row r="768" ht="165" spans="1:13">
      <c r="A768" s="1" t="s">
        <v>3673</v>
      </c>
      <c r="B768" s="1" t="s">
        <v>13</v>
      </c>
      <c r="C768" s="4" t="s">
        <v>3674</v>
      </c>
      <c r="D768" s="1" t="s">
        <v>3675</v>
      </c>
      <c r="E768" s="1" t="s">
        <v>3666</v>
      </c>
      <c r="F768" s="4" t="s">
        <v>17</v>
      </c>
      <c r="G768" s="1" t="s">
        <v>18</v>
      </c>
      <c r="H768" s="1" t="s">
        <v>19</v>
      </c>
      <c r="I768" s="1" t="s">
        <v>20</v>
      </c>
      <c r="J768" s="1" t="s">
        <v>3676</v>
      </c>
      <c r="K768" s="1" t="s">
        <v>22</v>
      </c>
      <c r="L768" s="1" t="str">
        <f>HYPERLINK("https://files.afu.se/Downloads/Transcripts/0%20-%20Government/USA%20-%20NASA/2019 04 11 - NASA - Living and Working in Space  Twins Study_c9moR-KQpDQ - transcript (automated).pdf","Transcript Link")</f>
        <v>Transcript Link</v>
      </c>
      <c r="M768" s="2" t="str">
        <f>HYPERLINK("https://files.afu.se/Downloads/Transcripts/0%20-%20Government/USA%20-%20NASA/2019 04 11 - NASA - Living and Working in Space  Twins Study_c9moR-KQpDQ - transcript (automated).pdf","Transcript Link")</f>
        <v>Transcript Link</v>
      </c>
    </row>
    <row r="769" ht="225" spans="1:13">
      <c r="A769" s="1" t="s">
        <v>3677</v>
      </c>
      <c r="B769" s="1" t="s">
        <v>13</v>
      </c>
      <c r="C769" s="4" t="s">
        <v>3678</v>
      </c>
      <c r="D769" s="1" t="s">
        <v>3679</v>
      </c>
      <c r="E769" s="1" t="s">
        <v>3680</v>
      </c>
      <c r="F769" s="4" t="s">
        <v>17</v>
      </c>
      <c r="G769" s="1" t="s">
        <v>18</v>
      </c>
      <c r="H769" s="1" t="s">
        <v>19</v>
      </c>
      <c r="I769" s="1" t="s">
        <v>20</v>
      </c>
      <c r="J769" s="1" t="s">
        <v>3681</v>
      </c>
      <c r="K769" s="1" t="s">
        <v>22</v>
      </c>
      <c r="L769" s="1" t="str">
        <f>HYPERLINK("https://files.afu.se/Downloads/Transcripts/0%20-%20Government/USA%20-%20NASA/2019 04 10 - NASA - NASA Administrator Bridenstine Speaks at 35th Space Symposium_FdbiIbaLj3o - transcript (automated).pdf","Transcript Link")</f>
        <v>Transcript Link</v>
      </c>
      <c r="M769" s="2" t="str">
        <f>HYPERLINK("https://files.afu.se/Downloads/Transcripts/0%20-%20Government/USA%20-%20NASA/2019 04 10 - NASA - NASA Administrator Bridenstine Speaks at 35th Space Symposium_FdbiIbaLj3o - transcript (automated).pdf","Transcript Link")</f>
        <v>Transcript Link</v>
      </c>
    </row>
    <row r="770" ht="165" spans="1:13">
      <c r="A770" s="1" t="s">
        <v>3682</v>
      </c>
      <c r="B770" s="1" t="s">
        <v>13</v>
      </c>
      <c r="C770" s="4" t="s">
        <v>3683</v>
      </c>
      <c r="D770" s="1" t="s">
        <v>3684</v>
      </c>
      <c r="E770" s="1" t="s">
        <v>3685</v>
      </c>
      <c r="F770" s="4" t="s">
        <v>17</v>
      </c>
      <c r="G770" s="1" t="s">
        <v>18</v>
      </c>
      <c r="H770" s="1" t="s">
        <v>19</v>
      </c>
      <c r="I770" s="1" t="s">
        <v>20</v>
      </c>
      <c r="J770" s="1" t="s">
        <v>3686</v>
      </c>
      <c r="K770" s="1" t="s">
        <v>22</v>
      </c>
      <c r="L770" s="1" t="str">
        <f>HYPERLINK("https://files.afu.se/Downloads/Transcripts/0%20-%20Government/USA%20-%20NASA/2019 04 05 - NASA - Discussing our Accelerated Return of Humans to the Moon on This Week @NASA – April 5, 2019_miyZ9DMJBsY - transcript (automated).pdf","Transcript Link")</f>
        <v>Transcript Link</v>
      </c>
      <c r="M770" s="2" t="str">
        <f>HYPERLINK("https://files.afu.se/Downloads/Transcripts/0%20-%20Government/USA%20-%20NASA/2019 04 05 - NASA - Discussing our Accelerated Return of Humans to the Moon on This Week @NASA – April 5, 2019_miyZ9DMJBsY - transcript (automated).pdf","Transcript Link")</f>
        <v>Transcript Link</v>
      </c>
    </row>
    <row r="771" ht="165" spans="1:13">
      <c r="A771" s="1" t="s">
        <v>3682</v>
      </c>
      <c r="B771" s="1" t="s">
        <v>13</v>
      </c>
      <c r="C771" s="4" t="s">
        <v>3687</v>
      </c>
      <c r="D771" s="1" t="s">
        <v>3688</v>
      </c>
      <c r="E771" s="1" t="s">
        <v>3689</v>
      </c>
      <c r="F771" s="4" t="s">
        <v>17</v>
      </c>
      <c r="G771" s="1" t="s">
        <v>18</v>
      </c>
      <c r="H771" s="1" t="s">
        <v>19</v>
      </c>
      <c r="I771" s="1" t="s">
        <v>20</v>
      </c>
      <c r="J771" s="1" t="s">
        <v>3690</v>
      </c>
      <c r="K771" s="1" t="s">
        <v>22</v>
      </c>
      <c r="L771" s="1" t="str">
        <f>HYPERLINK("https://files.afu.se/Downloads/Transcripts/0%20-%20Government/USA%20-%20NASA/2019 04 05 - NASA - Milestone Hot Fire Engine Test for NASA's Space Launch System Rocket_nkqirlQowEw - transcript (automated).pdf","Transcript Link")</f>
        <v>Transcript Link</v>
      </c>
      <c r="M771" s="2" t="str">
        <f>HYPERLINK("https://files.afu.se/Downloads/Transcripts/0%20-%20Government/USA%20-%20NASA/2019 04 05 - NASA - Milestone Hot Fire Engine Test for NASA's Space Launch System Rocket_nkqirlQowEw - transcript (automated).pdf","Transcript Link")</f>
        <v>Transcript Link</v>
      </c>
    </row>
    <row r="772" ht="270" spans="1:13">
      <c r="A772" s="1" t="s">
        <v>3691</v>
      </c>
      <c r="B772" s="1" t="s">
        <v>13</v>
      </c>
      <c r="C772" s="4" t="s">
        <v>3692</v>
      </c>
      <c r="D772" s="1" t="s">
        <v>3693</v>
      </c>
      <c r="E772" s="1" t="s">
        <v>3694</v>
      </c>
      <c r="F772" s="4" t="s">
        <v>17</v>
      </c>
      <c r="G772" s="1" t="s">
        <v>18</v>
      </c>
      <c r="H772" s="1" t="s">
        <v>19</v>
      </c>
      <c r="I772" s="1" t="s">
        <v>20</v>
      </c>
      <c r="J772" s="1" t="s">
        <v>3695</v>
      </c>
      <c r="K772" s="1" t="s">
        <v>22</v>
      </c>
      <c r="L772" s="1" t="str">
        <f>HYPERLINK("https://files.afu.se/Downloads/Transcripts/0%20-%20Government/USA%20-%20NASA/2019 04 03 - NASA - Spinoff 2019  How NASA Technology Improves Life on Earth_3rH3KAcYgBs - transcript (automated).pdf","Transcript Link")</f>
        <v>Transcript Link</v>
      </c>
      <c r="M772" s="2" t="str">
        <f>HYPERLINK("https://files.afu.se/Downloads/Transcripts/0%20-%20Government/USA%20-%20NASA/2019 04 03 - NASA - Spinoff 2019  How NASA Technology Improves Life on Earth_3rH3KAcYgBs - transcript (automated).pdf","Transcript Link")</f>
        <v>Transcript Link</v>
      </c>
    </row>
    <row r="773" ht="165" spans="1:13">
      <c r="A773" s="1" t="s">
        <v>3696</v>
      </c>
      <c r="B773" s="1" t="s">
        <v>13</v>
      </c>
      <c r="C773" s="4" t="s">
        <v>3697</v>
      </c>
      <c r="D773" s="1" t="s">
        <v>3698</v>
      </c>
      <c r="E773" s="1" t="s">
        <v>3699</v>
      </c>
      <c r="F773" s="4" t="s">
        <v>17</v>
      </c>
      <c r="G773" s="1" t="s">
        <v>18</v>
      </c>
      <c r="H773" s="1" t="s">
        <v>19</v>
      </c>
      <c r="I773" s="1" t="s">
        <v>20</v>
      </c>
      <c r="J773" s="1" t="s">
        <v>3700</v>
      </c>
      <c r="K773" s="1" t="s">
        <v>22</v>
      </c>
      <c r="L773" s="1" t="str">
        <f>HYPERLINK("https://files.afu.se/Downloads/Transcripts/0%20-%20Government/USA%20-%20NASA/2019 04 01 - NASA - Town Hall with NASA Administrator Jim Bridenstine_o2gz2E-Wrws - transcript (automated).pdf","Transcript Link")</f>
        <v>Transcript Link</v>
      </c>
      <c r="M773" s="2" t="str">
        <f>HYPERLINK("https://files.afu.se/Downloads/Transcripts/0%20-%20Government/USA%20-%20NASA/2019 04 01 - NASA - Town Hall with NASA Administrator Jim Bridenstine_o2gz2E-Wrws - transcript (automated).pdf","Transcript Link")</f>
        <v>Transcript Link</v>
      </c>
    </row>
    <row r="774" ht="165" spans="1:13">
      <c r="A774" s="1" t="s">
        <v>3696</v>
      </c>
      <c r="B774" s="1" t="s">
        <v>13</v>
      </c>
      <c r="C774" s="4" t="s">
        <v>3701</v>
      </c>
      <c r="D774" s="1" t="s">
        <v>3702</v>
      </c>
      <c r="E774" s="1" t="s">
        <v>3703</v>
      </c>
      <c r="F774" s="4" t="s">
        <v>17</v>
      </c>
      <c r="G774" s="1" t="s">
        <v>18</v>
      </c>
      <c r="H774" s="1" t="s">
        <v>19</v>
      </c>
      <c r="I774" s="1" t="s">
        <v>20</v>
      </c>
      <c r="J774" s="1" t="s">
        <v>3704</v>
      </c>
      <c r="K774" s="1" t="s">
        <v>22</v>
      </c>
      <c r="L774" s="1" t="str">
        <f>HYPERLINK("https://files.afu.se/Downloads/Transcripts/0%20-%20Government/USA%20-%20NASA/2019 04 01 - NASA - NASA Astronaut Anne McClain Addresses Spacewalk Reassignment_ERDxM9It9FE - transcript (automated).pdf","Transcript Link")</f>
        <v>Transcript Link</v>
      </c>
      <c r="M774" s="2" t="str">
        <f>HYPERLINK("https://files.afu.se/Downloads/Transcripts/0%20-%20Government/USA%20-%20NASA/2019 04 01 - NASA - NASA Astronaut Anne McClain Addresses Spacewalk Reassignment_ERDxM9It9FE - transcript (automated).pdf","Transcript Link")</f>
        <v>Transcript Link</v>
      </c>
    </row>
    <row r="775" ht="165" spans="1:13">
      <c r="A775" s="1" t="s">
        <v>3705</v>
      </c>
      <c r="B775" s="1" t="s">
        <v>13</v>
      </c>
      <c r="C775" s="4" t="s">
        <v>3706</v>
      </c>
      <c r="D775" s="1" t="s">
        <v>3707</v>
      </c>
      <c r="E775" s="1" t="s">
        <v>3708</v>
      </c>
      <c r="F775" s="4" t="s">
        <v>17</v>
      </c>
      <c r="G775" s="1" t="s">
        <v>18</v>
      </c>
      <c r="H775" s="1" t="s">
        <v>19</v>
      </c>
      <c r="I775" s="1" t="s">
        <v>20</v>
      </c>
      <c r="J775" s="1" t="s">
        <v>3709</v>
      </c>
      <c r="K775" s="1" t="s">
        <v>22</v>
      </c>
      <c r="L775" s="1" t="str">
        <f>HYPERLINK("https://files.afu.se/Downloads/Transcripts/0%20-%20Government/USA%20-%20NASA/2019 03 30 - NASA - Women's History Month  Farah Alibay, Systems Engineer_l1GPdqX8Xbo - transcript (automated).pdf","Transcript Link")</f>
        <v>Transcript Link</v>
      </c>
      <c r="M775" s="2" t="str">
        <f>HYPERLINK("https://files.afu.se/Downloads/Transcripts/0%20-%20Government/USA%20-%20NASA/2019 03 30 - NASA - Women's History Month  Farah Alibay, Systems Engineer_l1GPdqX8Xbo - transcript (automated).pdf","Transcript Link")</f>
        <v>Transcript Link</v>
      </c>
    </row>
    <row r="776" ht="165" spans="1:13">
      <c r="A776" s="1" t="s">
        <v>3710</v>
      </c>
      <c r="B776" s="1" t="s">
        <v>13</v>
      </c>
      <c r="C776" s="4" t="s">
        <v>3711</v>
      </c>
      <c r="D776" s="1" t="s">
        <v>3712</v>
      </c>
      <c r="E776" s="1" t="s">
        <v>3713</v>
      </c>
      <c r="F776" s="4" t="s">
        <v>17</v>
      </c>
      <c r="G776" s="1" t="s">
        <v>18</v>
      </c>
      <c r="H776" s="1" t="s">
        <v>19</v>
      </c>
      <c r="I776" s="1" t="s">
        <v>20</v>
      </c>
      <c r="J776" s="1" t="s">
        <v>3714</v>
      </c>
      <c r="K776" s="1" t="s">
        <v>22</v>
      </c>
      <c r="L776" s="1" t="str">
        <f>HYPERLINK("https://files.afu.se/Downloads/Transcripts/0%20-%20Government/USA%20-%20NASA/2019 03 29 - NASA - Taking the Next Giant Leap – Sooner on This Week @NASA – March 29, 2019_L9karIUJrSc - transcript (automated).pdf","Transcript Link")</f>
        <v>Transcript Link</v>
      </c>
      <c r="M776" s="2" t="str">
        <f>HYPERLINK("https://files.afu.se/Downloads/Transcripts/0%20-%20Government/USA%20-%20NASA/2019 03 29 - NASA - Taking the Next Giant Leap – Sooner on This Week @NASA – March 29, 2019_L9karIUJrSc - transcript (automated).pdf","Transcript Link")</f>
        <v>Transcript Link</v>
      </c>
    </row>
    <row r="777" ht="330" spans="1:13">
      <c r="A777" s="1" t="s">
        <v>3710</v>
      </c>
      <c r="B777" s="1" t="s">
        <v>13</v>
      </c>
      <c r="C777" s="4" t="s">
        <v>3715</v>
      </c>
      <c r="D777" s="1" t="s">
        <v>3716</v>
      </c>
      <c r="E777" s="1" t="s">
        <v>3717</v>
      </c>
      <c r="F777" s="4" t="s">
        <v>17</v>
      </c>
      <c r="G777" s="1" t="s">
        <v>18</v>
      </c>
      <c r="H777" s="1" t="s">
        <v>19</v>
      </c>
      <c r="I777" s="1" t="s">
        <v>20</v>
      </c>
      <c r="J777" s="1" t="s">
        <v>3718</v>
      </c>
      <c r="K777" s="1" t="s">
        <v>22</v>
      </c>
      <c r="L777" s="1" t="str">
        <f>HYPERLINK("https://files.afu.se/Downloads/Transcripts/0%20-%20Government/USA%20-%20NASA/2019 03 29 - NASA - NASA Explorers  Flying Alaskan Glaciers_zyG4YlPftxk - transcript (automated).pdf","Transcript Link")</f>
        <v>Transcript Link</v>
      </c>
      <c r="M777" s="2" t="str">
        <f>HYPERLINK("https://files.afu.se/Downloads/Transcripts/0%20-%20Government/USA%20-%20NASA/2019 03 29 - NASA - NASA Explorers  Flying Alaskan Glaciers_zyG4YlPftxk - transcript (automated).pdf","Transcript Link")</f>
        <v>Transcript Link</v>
      </c>
    </row>
    <row r="778" ht="165" spans="1:13">
      <c r="A778" s="1" t="s">
        <v>3710</v>
      </c>
      <c r="B778" s="1" t="s">
        <v>13</v>
      </c>
      <c r="C778" s="4" t="s">
        <v>3719</v>
      </c>
      <c r="D778" s="1" t="s">
        <v>3720</v>
      </c>
      <c r="E778" s="1" t="s">
        <v>3721</v>
      </c>
      <c r="F778" s="4" t="s">
        <v>17</v>
      </c>
      <c r="G778" s="1" t="s">
        <v>18</v>
      </c>
      <c r="H778" s="1" t="s">
        <v>19</v>
      </c>
      <c r="I778" s="1" t="s">
        <v>20</v>
      </c>
      <c r="J778" s="1" t="s">
        <v>3722</v>
      </c>
      <c r="K778" s="1" t="s">
        <v>22</v>
      </c>
      <c r="L778" s="1" t="str">
        <f>HYPERLINK("https://files.afu.se/Downloads/Transcripts/0%20-%20Government/USA%20-%20NASA/2019 03 29 - NASA - Women's History Month  Janet Karika, Chief of Staff_fIW8ypUZT_c - transcript (automated).pdf","Transcript Link")</f>
        <v>Transcript Link</v>
      </c>
      <c r="M778" s="2" t="str">
        <f>HYPERLINK("https://files.afu.se/Downloads/Transcripts/0%20-%20Government/USA%20-%20NASA/2019 03 29 - NASA - Women's History Month  Janet Karika, Chief of Staff_fIW8ypUZT_c - transcript (automated).pdf","Transcript Link")</f>
        <v>Transcript Link</v>
      </c>
    </row>
    <row r="779" ht="165" spans="1:13">
      <c r="A779" s="1" t="s">
        <v>3723</v>
      </c>
      <c r="B779" s="1" t="s">
        <v>13</v>
      </c>
      <c r="C779" s="4" t="s">
        <v>3724</v>
      </c>
      <c r="D779" s="1" t="s">
        <v>3725</v>
      </c>
      <c r="E779" s="1" t="s">
        <v>3726</v>
      </c>
      <c r="F779" s="4" t="s">
        <v>17</v>
      </c>
      <c r="G779" s="1" t="s">
        <v>18</v>
      </c>
      <c r="H779" s="1" t="s">
        <v>19</v>
      </c>
      <c r="I779" s="1" t="s">
        <v>20</v>
      </c>
      <c r="J779" s="1" t="s">
        <v>3727</v>
      </c>
      <c r="K779" s="1" t="s">
        <v>22</v>
      </c>
      <c r="L779" s="1" t="str">
        <f>HYPERLINK("https://files.afu.se/Downloads/Transcripts/0%20-%20Government/USA%20-%20NASA/2019 03 28 - NASA - Women's History Month  Melanie Saunders, Deputy Associate Administrator_6dpmWyOZNyU - transcript (automated).pdf","Transcript Link")</f>
        <v>Transcript Link</v>
      </c>
      <c r="M779" s="2" t="str">
        <f>HYPERLINK("https://files.afu.se/Downloads/Transcripts/0%20-%20Government/USA%20-%20NASA/2019 03 28 - NASA - Women's History Month  Melanie Saunders, Deputy Associate Administrator_6dpmWyOZNyU - transcript (automated).pdf","Transcript Link")</f>
        <v>Transcript Link</v>
      </c>
    </row>
    <row r="780" ht="180" spans="1:13">
      <c r="A780" s="1" t="s">
        <v>3728</v>
      </c>
      <c r="B780" s="1" t="s">
        <v>13</v>
      </c>
      <c r="C780" s="4" t="s">
        <v>3729</v>
      </c>
      <c r="D780" s="1" t="s">
        <v>3730</v>
      </c>
      <c r="E780" s="1" t="s">
        <v>3731</v>
      </c>
      <c r="F780" s="4" t="s">
        <v>17</v>
      </c>
      <c r="G780" s="1" t="s">
        <v>18</v>
      </c>
      <c r="H780" s="1" t="s">
        <v>19</v>
      </c>
      <c r="I780" s="1" t="s">
        <v>20</v>
      </c>
      <c r="J780" s="1" t="s">
        <v>3732</v>
      </c>
      <c r="K780" s="1" t="s">
        <v>22</v>
      </c>
      <c r="L780" s="1" t="str">
        <f>HYPERLINK("https://files.afu.se/Downloads/Transcripts/0%20-%20Government/USA%20-%20NASA/2019 03 27 - NASA - Fifth Meeting of the National Space Council_ZQkoFuNWXg8 - transcript (automated).pdf","Transcript Link")</f>
        <v>Transcript Link</v>
      </c>
      <c r="M780" s="2" t="str">
        <f>HYPERLINK("https://files.afu.se/Downloads/Transcripts/0%20-%20Government/USA%20-%20NASA/2019 03 27 - NASA - Fifth Meeting of the National Space Council_ZQkoFuNWXg8 - transcript (automated).pdf","Transcript Link")</f>
        <v>Transcript Link</v>
      </c>
    </row>
    <row r="781" ht="195" spans="1:13">
      <c r="A781" s="1" t="s">
        <v>3728</v>
      </c>
      <c r="B781" s="1" t="s">
        <v>13</v>
      </c>
      <c r="C781" s="4" t="s">
        <v>3733</v>
      </c>
      <c r="D781" s="1" t="s">
        <v>3734</v>
      </c>
      <c r="E781" s="1" t="s">
        <v>3735</v>
      </c>
      <c r="F781" s="4" t="s">
        <v>17</v>
      </c>
      <c r="G781" s="1" t="s">
        <v>18</v>
      </c>
      <c r="H781" s="1" t="s">
        <v>19</v>
      </c>
      <c r="I781" s="1" t="s">
        <v>20</v>
      </c>
      <c r="J781" s="1" t="s">
        <v>3736</v>
      </c>
      <c r="K781" s="1" t="s">
        <v>22</v>
      </c>
      <c r="L781" s="1" t="str">
        <f>HYPERLINK("https://files.afu.se/Downloads/Transcripts/0%20-%20Government/USA%20-%20NASA/2019 03 27 - NASA - NASA Aims to Land Astronauts Back on Moon in 5 Years_PxvFsqevSdw - transcript (automated).pdf","Transcript Link")</f>
        <v>Transcript Link</v>
      </c>
      <c r="M781" s="2" t="str">
        <f>HYPERLINK("https://files.afu.se/Downloads/Transcripts/0%20-%20Government/USA%20-%20NASA/2019 03 27 - NASA - NASA Aims to Land Astronauts Back on Moon in 5 Years_PxvFsqevSdw - transcript (automated).pdf","Transcript Link")</f>
        <v>Transcript Link</v>
      </c>
    </row>
    <row r="782" ht="195" spans="1:13">
      <c r="A782" s="1" t="s">
        <v>3737</v>
      </c>
      <c r="B782" s="1" t="s">
        <v>13</v>
      </c>
      <c r="C782" s="4" t="s">
        <v>3738</v>
      </c>
      <c r="D782" s="1" t="s">
        <v>3739</v>
      </c>
      <c r="E782" s="1" t="s">
        <v>3740</v>
      </c>
      <c r="F782" s="4" t="s">
        <v>17</v>
      </c>
      <c r="G782" s="1" t="s">
        <v>18</v>
      </c>
      <c r="H782" s="1" t="s">
        <v>19</v>
      </c>
      <c r="I782" s="1" t="s">
        <v>20</v>
      </c>
      <c r="J782" s="1" t="s">
        <v>3741</v>
      </c>
      <c r="K782" s="1" t="s">
        <v>22</v>
      </c>
      <c r="L782" s="1" t="str">
        <f>HYPERLINK("https://files.afu.se/Downloads/Transcripts/0%20-%20Government/USA%20-%20NASA/2019 03 26 - NASA - Women's History Month  Tonya Mitchell, Mechanical Engineering Technician_HzEPE4IrY0c - transcript (automated).pdf","Transcript Link")</f>
        <v>Transcript Link</v>
      </c>
      <c r="M782" s="2" t="str">
        <f>HYPERLINK("https://files.afu.se/Downloads/Transcripts/0%20-%20Government/USA%20-%20NASA/2019 03 26 - NASA - Women's History Month  Tonya Mitchell, Mechanical Engineering Technician_HzEPE4IrY0c - transcript (automated).pdf","Transcript Link")</f>
        <v>Transcript Link</v>
      </c>
    </row>
    <row r="783" ht="180" spans="1:13">
      <c r="A783" s="1" t="s">
        <v>3742</v>
      </c>
      <c r="B783" s="1" t="s">
        <v>13</v>
      </c>
      <c r="C783" s="4" t="s">
        <v>3743</v>
      </c>
      <c r="D783" s="1" t="s">
        <v>3744</v>
      </c>
      <c r="E783" s="1" t="s">
        <v>3745</v>
      </c>
      <c r="F783" s="4" t="s">
        <v>17</v>
      </c>
      <c r="G783" s="1" t="s">
        <v>18</v>
      </c>
      <c r="H783" s="1" t="s">
        <v>19</v>
      </c>
      <c r="I783" s="1" t="s">
        <v>20</v>
      </c>
      <c r="J783" s="1" t="s">
        <v>3746</v>
      </c>
      <c r="K783" s="1" t="s">
        <v>22</v>
      </c>
      <c r="L783" s="1" t="str">
        <f>HYPERLINK("https://files.afu.se/Downloads/Transcripts/0%20-%20Government/USA%20-%20NASA/2019 03 25 - NASA - Women's History Month  Sarah Wallace, Microbiologist_FaEqVYw7O3g - transcript (automated).pdf","Transcript Link")</f>
        <v>Transcript Link</v>
      </c>
      <c r="M783" s="2" t="str">
        <f>HYPERLINK("https://files.afu.se/Downloads/Transcripts/0%20-%20Government/USA%20-%20NASA/2019 03 25 - NASA - Women's History Month  Sarah Wallace, Microbiologist_FaEqVYw7O3g - transcript (automated).pdf","Transcript Link")</f>
        <v>Transcript Link</v>
      </c>
    </row>
    <row r="784" ht="165" spans="1:13">
      <c r="A784" s="1" t="s">
        <v>3747</v>
      </c>
      <c r="B784" s="1" t="s">
        <v>13</v>
      </c>
      <c r="C784" s="4" t="s">
        <v>3748</v>
      </c>
      <c r="D784" s="1" t="s">
        <v>3749</v>
      </c>
      <c r="E784" s="1" t="s">
        <v>3750</v>
      </c>
      <c r="F784" s="4" t="s">
        <v>17</v>
      </c>
      <c r="G784" s="1" t="s">
        <v>18</v>
      </c>
      <c r="H784" s="1" t="s">
        <v>19</v>
      </c>
      <c r="I784" s="1" t="s">
        <v>20</v>
      </c>
      <c r="J784" s="1" t="s">
        <v>3751</v>
      </c>
      <c r="K784" s="1" t="s">
        <v>22</v>
      </c>
      <c r="L784" s="1" t="str">
        <f>HYPERLINK("https://files.afu.se/Downloads/Transcripts/0%20-%20Government/USA%20-%20NASA/2019 03 22 - NASA - A Spacewalk Outside The International Space Station on This Week @NASA – March 22, 2019_2Pu5ubAJqco - transcript (automated).pdf","Transcript Link")</f>
        <v>Transcript Link</v>
      </c>
      <c r="M784" s="2" t="str">
        <f>HYPERLINK("https://files.afu.se/Downloads/Transcripts/0%20-%20Government/USA%20-%20NASA/2019 03 22 - NASA - A Spacewalk Outside The International Space Station on This Week @NASA – March 22, 2019_2Pu5ubAJqco - transcript (automated).pdf","Transcript Link")</f>
        <v>Transcript Link</v>
      </c>
    </row>
    <row r="785" ht="165" spans="1:13">
      <c r="A785" s="1" t="s">
        <v>3752</v>
      </c>
      <c r="B785" s="1" t="s">
        <v>13</v>
      </c>
      <c r="C785" s="4" t="s">
        <v>3753</v>
      </c>
      <c r="D785" s="1" t="s">
        <v>3754</v>
      </c>
      <c r="E785" s="1" t="s">
        <v>3755</v>
      </c>
      <c r="F785" s="4" t="s">
        <v>17</v>
      </c>
      <c r="G785" s="1" t="s">
        <v>18</v>
      </c>
      <c r="H785" s="1" t="s">
        <v>19</v>
      </c>
      <c r="I785" s="1" t="s">
        <v>20</v>
      </c>
      <c r="J785" s="1" t="s">
        <v>3756</v>
      </c>
      <c r="K785" s="1" t="s">
        <v>22</v>
      </c>
      <c r="L785" s="1" t="str">
        <f>HYPERLINK("https://files.afu.se/Downloads/Transcripts/0%20-%20Government/USA%20-%20NASA/2019 03 21 - NASA - Women's History Month  Paula Cain, Thermal Blanket Technician_qYUAg9hZDmU - transcript (automated).pdf","Transcript Link")</f>
        <v>Transcript Link</v>
      </c>
      <c r="M785" s="2" t="str">
        <f>HYPERLINK("https://files.afu.se/Downloads/Transcripts/0%20-%20Government/USA%20-%20NASA/2019 03 21 - NASA - Women's History Month  Paula Cain, Thermal Blanket Technician_qYUAg9hZDmU - transcript (automated).pdf","Transcript Link")</f>
        <v>Transcript Link</v>
      </c>
    </row>
    <row r="786" ht="180" spans="1:13">
      <c r="A786" s="1" t="s">
        <v>3757</v>
      </c>
      <c r="B786" s="1" t="s">
        <v>13</v>
      </c>
      <c r="C786" s="4" t="s">
        <v>3758</v>
      </c>
      <c r="D786" s="1" t="s">
        <v>3759</v>
      </c>
      <c r="E786" s="1" t="s">
        <v>3760</v>
      </c>
      <c r="F786" s="4" t="s">
        <v>17</v>
      </c>
      <c r="G786" s="1" t="s">
        <v>18</v>
      </c>
      <c r="H786" s="1" t="s">
        <v>19</v>
      </c>
      <c r="I786" s="1" t="s">
        <v>20</v>
      </c>
      <c r="J786" s="1" t="s">
        <v>3761</v>
      </c>
      <c r="K786" s="1" t="s">
        <v>22</v>
      </c>
      <c r="L786" s="1" t="str">
        <f>HYPERLINK("https://files.afu.se/Downloads/Transcripts/0%20-%20Government/USA%20-%20NASA/2019 03 18 - NASA - NASA Administrator Bridenstine Chats with Elon Musk of SpaceX_X2t4l_yMStE - transcript (automated).pdf","Transcript Link")</f>
        <v>Transcript Link</v>
      </c>
      <c r="M786" s="2" t="str">
        <f>HYPERLINK("https://files.afu.se/Downloads/Transcripts/0%20-%20Government/USA%20-%20NASA/2019 03 18 - NASA - NASA Administrator Bridenstine Chats with Elon Musk of SpaceX_X2t4l_yMStE - transcript (automated).pdf","Transcript Link")</f>
        <v>Transcript Link</v>
      </c>
    </row>
    <row r="787" ht="165" spans="1:13">
      <c r="A787" s="1" t="s">
        <v>3762</v>
      </c>
      <c r="B787" s="1" t="s">
        <v>13</v>
      </c>
      <c r="C787" s="4" t="s">
        <v>3763</v>
      </c>
      <c r="D787" s="1" t="s">
        <v>3764</v>
      </c>
      <c r="E787" s="1" t="s">
        <v>3765</v>
      </c>
      <c r="F787" s="4" t="s">
        <v>17</v>
      </c>
      <c r="G787" s="1" t="s">
        <v>18</v>
      </c>
      <c r="H787" s="1" t="s">
        <v>19</v>
      </c>
      <c r="I787" s="1" t="s">
        <v>20</v>
      </c>
      <c r="J787" s="1" t="s">
        <v>3766</v>
      </c>
      <c r="K787" s="1" t="s">
        <v>22</v>
      </c>
      <c r="L787" s="1" t="str">
        <f>HYPERLINK("https://files.afu.se/Downloads/Transcripts/0%20-%20Government/USA%20-%20NASA/2019 03 15 - NASA - Strong Budget Support for Moon to Mars Effort on This Week @NASA – March 15, 2019_fiMMeteLRek - transcript (automated).pdf","Transcript Link")</f>
        <v>Transcript Link</v>
      </c>
      <c r="M787" s="2" t="str">
        <f>HYPERLINK("https://files.afu.se/Downloads/Transcripts/0%20-%20Government/USA%20-%20NASA/2019 03 15 - NASA - Strong Budget Support for Moon to Mars Effort on This Week @NASA – March 15, 2019_fiMMeteLRek - transcript (automated).pdf","Transcript Link")</f>
        <v>Transcript Link</v>
      </c>
    </row>
    <row r="788" ht="165" spans="1:13">
      <c r="A788" s="1" t="s">
        <v>3767</v>
      </c>
      <c r="B788" s="1" t="s">
        <v>13</v>
      </c>
      <c r="C788" s="4" t="s">
        <v>3768</v>
      </c>
      <c r="D788" s="1" t="s">
        <v>3769</v>
      </c>
      <c r="E788" s="1" t="s">
        <v>3770</v>
      </c>
      <c r="F788" s="4" t="s">
        <v>17</v>
      </c>
      <c r="G788" s="1" t="s">
        <v>18</v>
      </c>
      <c r="H788" s="1" t="s">
        <v>19</v>
      </c>
      <c r="I788" s="1" t="s">
        <v>20</v>
      </c>
      <c r="J788" s="1" t="s">
        <v>3771</v>
      </c>
      <c r="K788" s="1" t="s">
        <v>22</v>
      </c>
      <c r="L788" s="1" t="str">
        <f>HYPERLINK("https://files.afu.se/Downloads/Transcripts/0%20-%20Government/USA%20-%20NASA/2019 03 14 - NASA - Expedition 59 Crew Members Launch to Space Station Aboard Soyuz_tt8_vTduQbw - transcript (automated).pdf","Transcript Link")</f>
        <v>Transcript Link</v>
      </c>
      <c r="M788" s="2" t="str">
        <f>HYPERLINK("https://files.afu.se/Downloads/Transcripts/0%20-%20Government/USA%20-%20NASA/2019 03 14 - NASA - Expedition 59 Crew Members Launch to Space Station Aboard Soyuz_tt8_vTduQbw - transcript (automated).pdf","Transcript Link")</f>
        <v>Transcript Link</v>
      </c>
    </row>
    <row r="789" ht="165" spans="1:13">
      <c r="A789" s="1" t="s">
        <v>3772</v>
      </c>
      <c r="B789" s="1" t="s">
        <v>13</v>
      </c>
      <c r="C789" s="4" t="s">
        <v>3773</v>
      </c>
      <c r="D789" s="1" t="s">
        <v>3774</v>
      </c>
      <c r="E789" s="1" t="s">
        <v>3775</v>
      </c>
      <c r="F789" s="4" t="s">
        <v>17</v>
      </c>
      <c r="G789" s="1" t="s">
        <v>18</v>
      </c>
      <c r="H789" s="1" t="s">
        <v>19</v>
      </c>
      <c r="I789" s="1" t="s">
        <v>20</v>
      </c>
      <c r="J789" s="1" t="s">
        <v>3776</v>
      </c>
      <c r="K789" s="1" t="s">
        <v>22</v>
      </c>
      <c r="L789" s="1" t="str">
        <f>HYPERLINK("https://files.afu.se/Downloads/Transcripts/0%20-%20Government/USA%20-%20NASA/2019 03 12 - NASA - NASA's %23Moon2Mars Update_mSfhws_XCpI - transcript (automated).pdf","Transcript Link")</f>
        <v>Transcript Link</v>
      </c>
      <c r="M789" s="2" t="str">
        <f>HYPERLINK("https://files.afu.se/Downloads/Transcripts/0%20-%20Government/USA%20-%20NASA/2019 03 12 - NASA - NASA's %23Moon2Mars Update_mSfhws_XCpI - transcript (automated).pdf","Transcript Link")</f>
        <v>Transcript Link</v>
      </c>
    </row>
    <row r="790" ht="409.5" spans="1:13">
      <c r="A790" s="1" t="s">
        <v>3777</v>
      </c>
      <c r="B790" s="1" t="s">
        <v>13</v>
      </c>
      <c r="C790" s="4" t="s">
        <v>3778</v>
      </c>
      <c r="D790" s="1" t="s">
        <v>3779</v>
      </c>
      <c r="E790" s="1" t="s">
        <v>3780</v>
      </c>
      <c r="F790" s="4" t="s">
        <v>17</v>
      </c>
      <c r="G790" s="1" t="s">
        <v>18</v>
      </c>
      <c r="H790" s="1" t="s">
        <v>19</v>
      </c>
      <c r="I790" s="1" t="s">
        <v>20</v>
      </c>
      <c r="J790" s="1" t="s">
        <v>3781</v>
      </c>
      <c r="K790" s="1" t="s">
        <v>22</v>
      </c>
      <c r="L790" s="1" t="str">
        <f>HYPERLINK("https://files.afu.se/Downloads/Transcripts/0%20-%20Government/USA%20-%20NASA/2019 03 11 - NASA - Technology Drives Exploration┃ Go Forward_wJ0ia4M2dxs - transcript (automated).pdf","Transcript Link")</f>
        <v>Transcript Link</v>
      </c>
      <c r="M790" s="2" t="str">
        <f>HYPERLINK("https://files.afu.se/Downloads/Transcripts/0%20-%20Government/USA%20-%20NASA/2019 03 11 - NASA - Technology Drives Exploration┃ Go Forward_wJ0ia4M2dxs - transcript (automated).pdf","Transcript Link")</f>
        <v>Transcript Link</v>
      </c>
    </row>
    <row r="791" ht="409.5" spans="1:13">
      <c r="A791" s="1" t="s">
        <v>3777</v>
      </c>
      <c r="B791" s="1" t="s">
        <v>13</v>
      </c>
      <c r="C791" s="4" t="s">
        <v>3782</v>
      </c>
      <c r="D791" s="1" t="s">
        <v>3783</v>
      </c>
      <c r="E791" s="1" t="s">
        <v>3784</v>
      </c>
      <c r="F791" s="4" t="s">
        <v>17</v>
      </c>
      <c r="G791" s="1" t="s">
        <v>18</v>
      </c>
      <c r="H791" s="1" t="s">
        <v>19</v>
      </c>
      <c r="I791" s="1" t="s">
        <v>20</v>
      </c>
      <c r="J791" s="1" t="s">
        <v>3785</v>
      </c>
      <c r="K791" s="1" t="s">
        <v>22</v>
      </c>
      <c r="L791" s="1" t="str">
        <f>HYPERLINK("https://files.afu.se/Downloads/Transcripts/0%20-%20Government/USA%20-%20NASA/2019 03 11 - NASA - Science Discoveries Beyond Earth┃ Go Forward_0SKjX4_r_vU - transcript (automated).pdf","Transcript Link")</f>
        <v>Transcript Link</v>
      </c>
      <c r="M791" s="2" t="str">
        <f>HYPERLINK("https://files.afu.se/Downloads/Transcripts/0%20-%20Government/USA%20-%20NASA/2019 03 11 - NASA - Science Discoveries Beyond Earth┃ Go Forward_0SKjX4_r_vU - transcript (automated).pdf","Transcript Link")</f>
        <v>Transcript Link</v>
      </c>
    </row>
    <row r="792" ht="409.5" spans="1:13">
      <c r="A792" s="1" t="s">
        <v>3777</v>
      </c>
      <c r="B792" s="1" t="s">
        <v>13</v>
      </c>
      <c r="C792" s="4" t="s">
        <v>3786</v>
      </c>
      <c r="D792" s="1" t="s">
        <v>3787</v>
      </c>
      <c r="E792" s="1" t="s">
        <v>3788</v>
      </c>
      <c r="F792" s="4" t="s">
        <v>17</v>
      </c>
      <c r="G792" s="1" t="s">
        <v>18</v>
      </c>
      <c r="H792" s="1" t="s">
        <v>19</v>
      </c>
      <c r="I792" s="1" t="s">
        <v>20</v>
      </c>
      <c r="J792" s="1" t="s">
        <v>3789</v>
      </c>
      <c r="K792" s="1" t="s">
        <v>22</v>
      </c>
      <c r="L792" s="1" t="str">
        <f>HYPERLINK("https://files.afu.se/Downloads/Transcripts/0%20-%20Government/USA%20-%20NASA/2019 03 11 - NASA - Humans Explore Farther┃ Go Forward_YJ2bgMSoR0Q - transcript (automated).pdf","Transcript Link")</f>
        <v>Transcript Link</v>
      </c>
      <c r="M792" s="2" t="str">
        <f>HYPERLINK("https://files.afu.se/Downloads/Transcripts/0%20-%20Government/USA%20-%20NASA/2019 03 11 - NASA - Humans Explore Farther┃ Go Forward_YJ2bgMSoR0Q - transcript (automated).pdf","Transcript Link")</f>
        <v>Transcript Link</v>
      </c>
    </row>
    <row r="793" ht="270" spans="1:13">
      <c r="A793" s="1" t="s">
        <v>3777</v>
      </c>
      <c r="B793" s="1" t="s">
        <v>13</v>
      </c>
      <c r="C793" s="4" t="s">
        <v>3790</v>
      </c>
      <c r="D793" s="1" t="s">
        <v>3791</v>
      </c>
      <c r="E793" s="1" t="s">
        <v>3792</v>
      </c>
      <c r="F793" s="4" t="s">
        <v>17</v>
      </c>
      <c r="G793" s="1" t="s">
        <v>18</v>
      </c>
      <c r="H793" s="1" t="s">
        <v>19</v>
      </c>
      <c r="I793" s="1" t="s">
        <v>20</v>
      </c>
      <c r="J793" s="1" t="s">
        <v>3793</v>
      </c>
      <c r="K793" s="1" t="s">
        <v>22</v>
      </c>
      <c r="L793" s="1" t="str">
        <f>HYPERLINK("https://files.afu.se/Downloads/Transcripts/0%20-%20Government/USA%20-%20NASA/2019 03 11 - NASA - Go Forward to the Moon_bivXt0hVufk - transcript (automated).pdf","Transcript Link")</f>
        <v>Transcript Link</v>
      </c>
      <c r="M793" s="2" t="str">
        <f>HYPERLINK("https://files.afu.se/Downloads/Transcripts/0%20-%20Government/USA%20-%20NASA/2019 03 11 - NASA - Go Forward to the Moon_bivXt0hVufk - transcript (automated).pdf","Transcript Link")</f>
        <v>Transcript Link</v>
      </c>
    </row>
    <row r="794" ht="165" spans="1:13">
      <c r="A794" s="1" t="s">
        <v>3794</v>
      </c>
      <c r="B794" s="1" t="s">
        <v>13</v>
      </c>
      <c r="C794" s="4" t="s">
        <v>3795</v>
      </c>
      <c r="D794" s="1" t="s">
        <v>3796</v>
      </c>
      <c r="E794" s="1" t="s">
        <v>3797</v>
      </c>
      <c r="F794" s="4" t="s">
        <v>17</v>
      </c>
      <c r="G794" s="1" t="s">
        <v>18</v>
      </c>
      <c r="H794" s="1" t="s">
        <v>19</v>
      </c>
      <c r="I794" s="1" t="s">
        <v>20</v>
      </c>
      <c r="J794" s="1" t="s">
        <v>3798</v>
      </c>
      <c r="K794" s="1" t="s">
        <v>22</v>
      </c>
      <c r="L794" s="1" t="str">
        <f>HYPERLINK("https://files.afu.se/Downloads/Transcripts/0%20-%20Government/USA%20-%20NASA/2019 03 09 - NASA - Administrator Bridenstine Joins Opening Ceremonies at Oklahoma Regional FIRST Robotics_mbPlJXZ_rv8 - transcript (automated).pdf","Transcript Link")</f>
        <v>Transcript Link</v>
      </c>
      <c r="M794" s="2" t="str">
        <f>HYPERLINK("https://files.afu.se/Downloads/Transcripts/0%20-%20Government/USA%20-%20NASA/2019 03 09 - NASA - Administrator Bridenstine Joins Opening Ceremonies at Oklahoma Regional FIRST Robotics_mbPlJXZ_rv8 - transcript (automated).pdf","Transcript Link")</f>
        <v>Transcript Link</v>
      </c>
    </row>
    <row r="795" ht="165" spans="1:13">
      <c r="A795" s="1" t="s">
        <v>3799</v>
      </c>
      <c r="B795" s="1" t="s">
        <v>13</v>
      </c>
      <c r="C795" s="4" t="s">
        <v>3800</v>
      </c>
      <c r="D795" s="1" t="s">
        <v>3801</v>
      </c>
      <c r="E795" s="1" t="s">
        <v>3802</v>
      </c>
      <c r="F795" s="4" t="s">
        <v>17</v>
      </c>
      <c r="G795" s="1" t="s">
        <v>18</v>
      </c>
      <c r="H795" s="1" t="s">
        <v>19</v>
      </c>
      <c r="I795" s="1" t="s">
        <v>20</v>
      </c>
      <c r="J795" s="1" t="s">
        <v>3803</v>
      </c>
      <c r="K795" s="1" t="s">
        <v>22</v>
      </c>
      <c r="L795" s="1" t="str">
        <f>HYPERLINK("https://files.afu.se/Downloads/Transcripts/0%20-%20Government/USA%20-%20NASA/2019 03 08 - NASA - The first uncrewed Commercial Crew Flight Test is complete on This Week @NASA – March 8, 2019_b6jPnmCXwqI - transcript (automated).pdf","Transcript Link")</f>
        <v>Transcript Link</v>
      </c>
      <c r="M795" s="2" t="str">
        <f>HYPERLINK("https://files.afu.se/Downloads/Transcripts/0%20-%20Government/USA%20-%20NASA/2019 03 08 - NASA - The first uncrewed Commercial Crew Flight Test is complete on This Week @NASA – March 8, 2019_b6jPnmCXwqI - transcript (automated).pdf","Transcript Link")</f>
        <v>Transcript Link</v>
      </c>
    </row>
    <row r="796" ht="165" spans="1:13">
      <c r="A796" s="1" t="s">
        <v>3799</v>
      </c>
      <c r="B796" s="1" t="s">
        <v>13</v>
      </c>
      <c r="C796" s="4" t="s">
        <v>3804</v>
      </c>
      <c r="D796" s="1" t="s">
        <v>3805</v>
      </c>
      <c r="E796" s="1" t="s">
        <v>3806</v>
      </c>
      <c r="F796" s="4" t="s">
        <v>17</v>
      </c>
      <c r="G796" s="1" t="s">
        <v>18</v>
      </c>
      <c r="H796" s="1" t="s">
        <v>19</v>
      </c>
      <c r="I796" s="1" t="s">
        <v>20</v>
      </c>
      <c r="J796" s="1" t="s">
        <v>3807</v>
      </c>
      <c r="K796" s="1" t="s">
        <v>22</v>
      </c>
      <c r="L796" s="1" t="str">
        <f>HYPERLINK("https://files.afu.se/Downloads/Transcripts/0%20-%20Government/USA%20-%20NASA/2019 03 08 - NASA - NASA Celebrates Women's History_jIL-iRF5u34 - transcript (automated).pdf","Transcript Link")</f>
        <v>Transcript Link</v>
      </c>
      <c r="M796" s="2" t="str">
        <f>HYPERLINK("https://files.afu.se/Downloads/Transcripts/0%20-%20Government/USA%20-%20NASA/2019 03 08 - NASA - NASA Celebrates Women's History_jIL-iRF5u34 - transcript (automated).pdf","Transcript Link")</f>
        <v>Transcript Link</v>
      </c>
    </row>
    <row r="797" ht="165" spans="1:13">
      <c r="A797" s="1" t="s">
        <v>3799</v>
      </c>
      <c r="B797" s="1" t="s">
        <v>13</v>
      </c>
      <c r="C797" s="4" t="s">
        <v>3808</v>
      </c>
      <c r="D797" s="1" t="s">
        <v>3809</v>
      </c>
      <c r="E797" s="1" t="s">
        <v>3810</v>
      </c>
      <c r="F797" s="4" t="s">
        <v>17</v>
      </c>
      <c r="G797" s="1" t="s">
        <v>18</v>
      </c>
      <c r="H797" s="1" t="s">
        <v>19</v>
      </c>
      <c r="I797" s="1" t="s">
        <v>20</v>
      </c>
      <c r="J797" s="1" t="s">
        <v>3811</v>
      </c>
      <c r="K797" s="1" t="s">
        <v>22</v>
      </c>
      <c r="L797" s="1" t="str">
        <f>HYPERLINK("https://files.afu.se/Downloads/Transcripts/0%20-%20Government/USA%20-%20NASA/2019 03 08 - NASA - Splashdown of SpaceX Crew Dragon, Completing Demo-1 Flight Test_4cy68OoNHF0 - transcript (automated).pdf","Transcript Link")</f>
        <v>Transcript Link</v>
      </c>
      <c r="M797" s="2" t="str">
        <f>HYPERLINK("https://files.afu.se/Downloads/Transcripts/0%20-%20Government/USA%20-%20NASA/2019 03 08 - NASA - Splashdown of SpaceX Crew Dragon, Completing Demo-1 Flight Test_4cy68OoNHF0 - transcript (automated).pdf","Transcript Link")</f>
        <v>Transcript Link</v>
      </c>
    </row>
    <row r="798" ht="165" spans="1:13">
      <c r="A798" s="1" t="s">
        <v>3812</v>
      </c>
      <c r="B798" s="1" t="s">
        <v>13</v>
      </c>
      <c r="C798" s="4" t="s">
        <v>3813</v>
      </c>
      <c r="D798" s="1" t="s">
        <v>3814</v>
      </c>
      <c r="E798" s="1" t="s">
        <v>3815</v>
      </c>
      <c r="F798" s="4" t="s">
        <v>17</v>
      </c>
      <c r="G798" s="1" t="s">
        <v>18</v>
      </c>
      <c r="H798" s="1" t="s">
        <v>19</v>
      </c>
      <c r="I798" s="1" t="s">
        <v>20</v>
      </c>
      <c r="J798" s="1" t="s">
        <v>3816</v>
      </c>
      <c r="K798" s="1" t="s">
        <v>22</v>
      </c>
      <c r="L798" s="1" t="str">
        <f>HYPERLINK("https://files.afu.se/Downloads/Transcripts/0%20-%20Government/USA%20-%20NASA/2019 03 07 - NASA - Milestones of the SpaceX Crew Dragon Demo-1 Flight Test_L4Y36LeleP0 - transcript (automated).pdf","Transcript Link")</f>
        <v>Transcript Link</v>
      </c>
      <c r="M798" s="2" t="str">
        <f>HYPERLINK("https://files.afu.se/Downloads/Transcripts/0%20-%20Government/USA%20-%20NASA/2019 03 07 - NASA - Milestones of the SpaceX Crew Dragon Demo-1 Flight Test_L4Y36LeleP0 - transcript (automated).pdf","Transcript Link")</f>
        <v>Transcript Link</v>
      </c>
    </row>
    <row r="799" ht="165" spans="1:13">
      <c r="A799" s="1" t="s">
        <v>3817</v>
      </c>
      <c r="B799" s="1" t="s">
        <v>13</v>
      </c>
      <c r="C799" s="4" t="s">
        <v>3818</v>
      </c>
      <c r="D799" s="1" t="s">
        <v>3819</v>
      </c>
      <c r="E799" s="1" t="s">
        <v>3820</v>
      </c>
      <c r="F799" s="4" t="s">
        <v>17</v>
      </c>
      <c r="G799" s="1" t="s">
        <v>18</v>
      </c>
      <c r="H799" s="1" t="s">
        <v>19</v>
      </c>
      <c r="I799" s="1" t="s">
        <v>20</v>
      </c>
      <c r="J799" s="1" t="s">
        <v>3821</v>
      </c>
      <c r="K799" s="1" t="s">
        <v>22</v>
      </c>
      <c r="L799" s="1" t="str">
        <f>HYPERLINK("https://files.afu.se/Downloads/Transcripts/0%20-%20Government/USA%20-%20NASA/2019 03 06 - NASA - Vice President Pence and Administrator Bridenstine Talk with Astronauts on Space Station_gPYgwrnr644 - transcript (automated).pdf","Transcript Link")</f>
        <v>Transcript Link</v>
      </c>
      <c r="M799" s="2" t="str">
        <f>HYPERLINK("https://files.afu.se/Downloads/Transcripts/0%20-%20Government/USA%20-%20NASA/2019 03 06 - NASA - Vice President Pence and Administrator Bridenstine Talk with Astronauts on Space Station_gPYgwrnr644 - transcript (automated).pdf","Transcript Link")</f>
        <v>Transcript Link</v>
      </c>
    </row>
    <row r="800" ht="315" spans="1:13">
      <c r="A800" s="1" t="s">
        <v>3822</v>
      </c>
      <c r="B800" s="1" t="s">
        <v>13</v>
      </c>
      <c r="C800" s="4" t="s">
        <v>3823</v>
      </c>
      <c r="D800" s="1" t="s">
        <v>3824</v>
      </c>
      <c r="E800" s="1" t="s">
        <v>3825</v>
      </c>
      <c r="F800" s="4" t="s">
        <v>17</v>
      </c>
      <c r="G800" s="1" t="s">
        <v>18</v>
      </c>
      <c r="H800" s="1" t="s">
        <v>19</v>
      </c>
      <c r="I800" s="1" t="s">
        <v>20</v>
      </c>
      <c r="J800" s="1" t="s">
        <v>3826</v>
      </c>
      <c r="K800" s="1" t="s">
        <v>22</v>
      </c>
      <c r="L800" s="1" t="str">
        <f>HYPERLINK("https://files.afu.se/Downloads/Transcripts/0%20-%20Government/USA%20-%20NASA/2019 03 05 - NASA - Sonification of a Hubble Deep Space Image_H-Ci_YwfH04 - transcript (automated).pdf","Transcript Link")</f>
        <v>Transcript Link</v>
      </c>
      <c r="M800" s="2" t="str">
        <f>HYPERLINK("https://files.afu.se/Downloads/Transcripts/0%20-%20Government/USA%20-%20NASA/2019 03 05 - NASA - Sonification of a Hubble Deep Space Image_H-Ci_YwfH04 - transcript (automated).pdf","Transcript Link")</f>
        <v>Transcript Link</v>
      </c>
    </row>
    <row r="801" ht="270" spans="1:13">
      <c r="A801" s="1" t="s">
        <v>3827</v>
      </c>
      <c r="B801" s="1" t="s">
        <v>13</v>
      </c>
      <c r="C801" s="4" t="s">
        <v>3828</v>
      </c>
      <c r="D801" s="1" t="s">
        <v>3829</v>
      </c>
      <c r="E801" s="1" t="s">
        <v>3830</v>
      </c>
      <c r="F801" s="4" t="s">
        <v>17</v>
      </c>
      <c r="G801" s="1" t="s">
        <v>18</v>
      </c>
      <c r="H801" s="1" t="s">
        <v>19</v>
      </c>
      <c r="I801" s="1" t="s">
        <v>20</v>
      </c>
      <c r="J801" s="1" t="s">
        <v>3831</v>
      </c>
      <c r="K801" s="1" t="s">
        <v>22</v>
      </c>
      <c r="L801" s="1" t="str">
        <f>HYPERLINK("https://files.afu.se/Downloads/Transcripts/0%20-%20Government/USA%20-%20NASA/2019 03 03 - NASA - Apollo 9  'A Hell of a Ride'_hG6lWYAFeCQ - transcript (automated).pdf","Transcript Link")</f>
        <v>Transcript Link</v>
      </c>
      <c r="M801" s="2" t="str">
        <f>HYPERLINK("https://files.afu.se/Downloads/Transcripts/0%20-%20Government/USA%20-%20NASA/2019 03 03 - NASA - Apollo 9  'A Hell of a Ride'_hG6lWYAFeCQ - transcript (automated).pdf","Transcript Link")</f>
        <v>Transcript Link</v>
      </c>
    </row>
    <row r="802" ht="165" spans="1:13">
      <c r="A802" s="1" t="s">
        <v>3832</v>
      </c>
      <c r="B802" s="1" t="s">
        <v>13</v>
      </c>
      <c r="C802" s="4" t="s">
        <v>3833</v>
      </c>
      <c r="D802" s="1" t="s">
        <v>3834</v>
      </c>
      <c r="E802" s="1" t="s">
        <v>3835</v>
      </c>
      <c r="F802" s="4" t="s">
        <v>17</v>
      </c>
      <c r="G802" s="1" t="s">
        <v>18</v>
      </c>
      <c r="H802" s="1" t="s">
        <v>19</v>
      </c>
      <c r="I802" s="1" t="s">
        <v>20</v>
      </c>
      <c r="J802" s="1" t="s">
        <v>3836</v>
      </c>
      <c r="K802" s="1" t="s">
        <v>22</v>
      </c>
      <c r="L802" s="1" t="str">
        <f>HYPERLINK("https://files.afu.se/Downloads/Transcripts/0%20-%20Government/USA%20-%20NASA/2019 03 02 - NASA - An Important Step for Commercial Crew on This Week @NASA – March 2, 2019_L9rVANO5qJ8 - transcript (automated).pdf","Transcript Link")</f>
        <v>Transcript Link</v>
      </c>
      <c r="M802" s="2" t="str">
        <f>HYPERLINK("https://files.afu.se/Downloads/Transcripts/0%20-%20Government/USA%20-%20NASA/2019 03 02 - NASA - An Important Step for Commercial Crew on This Week @NASA – March 2, 2019_L9rVANO5qJ8 - transcript (automated).pdf","Transcript Link")</f>
        <v>Transcript Link</v>
      </c>
    </row>
    <row r="803" ht="165" spans="1:13">
      <c r="A803" s="1" t="s">
        <v>3837</v>
      </c>
      <c r="B803" s="1" t="s">
        <v>13</v>
      </c>
      <c r="C803" s="4" t="s">
        <v>3838</v>
      </c>
      <c r="D803" s="1" t="s">
        <v>3839</v>
      </c>
      <c r="E803" s="1" t="s">
        <v>3840</v>
      </c>
      <c r="F803" s="4" t="s">
        <v>17</v>
      </c>
      <c r="G803" s="1" t="s">
        <v>18</v>
      </c>
      <c r="H803" s="1" t="s">
        <v>19</v>
      </c>
      <c r="I803" s="1" t="s">
        <v>20</v>
      </c>
      <c r="J803" s="1" t="s">
        <v>3841</v>
      </c>
      <c r="K803" s="1" t="s">
        <v>22</v>
      </c>
      <c r="L803" s="1" t="str">
        <f>HYPERLINK("https://files.afu.se/Downloads/Transcripts/0%20-%20Government/USA%20-%20NASA/2019 03 01 - NASA - SpaceX Crew Access Arm  Bridge to the Crew Dragon_W9-ob-o_YAg - transcript (automated).pdf","Transcript Link")</f>
        <v>Transcript Link</v>
      </c>
      <c r="M803" s="2" t="str">
        <f>HYPERLINK("https://files.afu.se/Downloads/Transcripts/0%20-%20Government/USA%20-%20NASA/2019 03 01 - NASA - SpaceX Crew Access Arm  Bridge to the Crew Dragon_W9-ob-o_YAg - transcript (automated).pdf","Transcript Link")</f>
        <v>Transcript Link</v>
      </c>
    </row>
    <row r="804" ht="225" spans="1:13">
      <c r="A804" s="1" t="s">
        <v>3842</v>
      </c>
      <c r="B804" s="1" t="s">
        <v>13</v>
      </c>
      <c r="C804" s="4" t="s">
        <v>3843</v>
      </c>
      <c r="D804" s="1" t="s">
        <v>3844</v>
      </c>
      <c r="E804" s="1" t="s">
        <v>3845</v>
      </c>
      <c r="F804" s="4" t="s">
        <v>17</v>
      </c>
      <c r="G804" s="1" t="s">
        <v>18</v>
      </c>
      <c r="H804" s="1" t="s">
        <v>19</v>
      </c>
      <c r="I804" s="1" t="s">
        <v>20</v>
      </c>
      <c r="J804" s="1" t="s">
        <v>3846</v>
      </c>
      <c r="K804" s="1" t="s">
        <v>22</v>
      </c>
      <c r="L804" s="1" t="str">
        <f>HYPERLINK("https://files.afu.se/Downloads/Transcripts/0%20-%20Government/USA%20-%20NASA/2019 02 28 - NASA - Inside the SpaceX Crew Dragon Spacecraft_mE_hCTfMdng - transcript (automated).pdf","Transcript Link")</f>
        <v>Transcript Link</v>
      </c>
      <c r="M804" s="2" t="str">
        <f>HYPERLINK("https://files.afu.se/Downloads/Transcripts/0%20-%20Government/USA%20-%20NASA/2019 02 28 - NASA - Inside the SpaceX Crew Dragon Spacecraft_mE_hCTfMdng - transcript (automated).pdf","Transcript Link")</f>
        <v>Transcript Link</v>
      </c>
    </row>
    <row r="805" ht="165" spans="1:13">
      <c r="A805" s="1" t="s">
        <v>3847</v>
      </c>
      <c r="B805" s="1" t="s">
        <v>13</v>
      </c>
      <c r="C805" s="4" t="s">
        <v>3848</v>
      </c>
      <c r="D805" s="1" t="s">
        <v>3849</v>
      </c>
      <c r="E805" s="1" t="s">
        <v>3850</v>
      </c>
      <c r="F805" s="4" t="s">
        <v>17</v>
      </c>
      <c r="G805" s="1" t="s">
        <v>18</v>
      </c>
      <c r="H805" s="1" t="s">
        <v>19</v>
      </c>
      <c r="I805" s="1" t="s">
        <v>20</v>
      </c>
      <c r="J805" s="1" t="s">
        <v>3851</v>
      </c>
      <c r="K805" s="1" t="s">
        <v>22</v>
      </c>
      <c r="L805" s="1" t="str">
        <f>HYPERLINK("https://files.afu.se/Downloads/Transcripts/0%20-%20Government/USA%20-%20NASA/2019 02 22 - NASA - An Upcoming Commercial Crew Flight Test on This Week @NASA – February 22, 2019_U7ep1GQ__kg - transcript (automated).pdf","Transcript Link")</f>
        <v>Transcript Link</v>
      </c>
      <c r="M805" s="2" t="str">
        <f>HYPERLINK("https://files.afu.se/Downloads/Transcripts/0%20-%20Government/USA%20-%20NASA/2019 02 22 - NASA - An Upcoming Commercial Crew Flight Test on This Week @NASA – February 22, 2019_U7ep1GQ__kg - transcript (automated).pdf","Transcript Link")</f>
        <v>Transcript Link</v>
      </c>
    </row>
    <row r="806" ht="195" spans="1:13">
      <c r="A806" s="1" t="s">
        <v>3852</v>
      </c>
      <c r="B806" s="1" t="s">
        <v>13</v>
      </c>
      <c r="C806" s="4" t="s">
        <v>3853</v>
      </c>
      <c r="D806" s="1" t="s">
        <v>3854</v>
      </c>
      <c r="E806" s="1" t="s">
        <v>3855</v>
      </c>
      <c r="F806" s="4" t="s">
        <v>17</v>
      </c>
      <c r="G806" s="1" t="s">
        <v>18</v>
      </c>
      <c r="H806" s="1" t="s">
        <v>19</v>
      </c>
      <c r="I806" s="1" t="s">
        <v>20</v>
      </c>
      <c r="J806" s="1" t="s">
        <v>3856</v>
      </c>
      <c r="K806" s="1" t="s">
        <v>22</v>
      </c>
      <c r="L806" s="1" t="str">
        <f>HYPERLINK("https://files.afu.se/Downloads/Transcripts/0%20-%20Government/USA%20-%20NASA/2019 02 21 - NASA - Watch This Space  The Latest from the Moon to Mars_JN0OWlfGWhw - transcript (automated).pdf","Transcript Link")</f>
        <v>Transcript Link</v>
      </c>
      <c r="M806" s="2" t="str">
        <f>HYPERLINK("https://files.afu.se/Downloads/Transcripts/0%20-%20Government/USA%20-%20NASA/2019 02 21 - NASA - Watch This Space  The Latest from the Moon to Mars_JN0OWlfGWhw - transcript (automated).pdf","Transcript Link")</f>
        <v>Transcript Link</v>
      </c>
    </row>
    <row r="807" ht="165" spans="1:13">
      <c r="A807" s="1" t="s">
        <v>3857</v>
      </c>
      <c r="B807" s="1" t="s">
        <v>13</v>
      </c>
      <c r="C807" s="4" t="s">
        <v>3858</v>
      </c>
      <c r="D807" s="1" t="s">
        <v>3859</v>
      </c>
      <c r="E807" s="1" t="s">
        <v>3860</v>
      </c>
      <c r="F807" s="4" t="s">
        <v>17</v>
      </c>
      <c r="G807" s="1" t="s">
        <v>18</v>
      </c>
      <c r="H807" s="1" t="s">
        <v>19</v>
      </c>
      <c r="I807" s="1" t="s">
        <v>20</v>
      </c>
      <c r="J807" s="1" t="s">
        <v>3861</v>
      </c>
      <c r="K807" s="1" t="s">
        <v>22</v>
      </c>
      <c r="L807" s="1" t="str">
        <f>HYPERLINK("https://files.afu.se/Downloads/Transcripts/0%20-%20Government/USA%20-%20NASA/2019 02 15 - NASA - Discussing Lunar Exploration Plans on This Week @NASA – February 15, 2019_6hx20ca_poQ - transcript (automated).pdf","Transcript Link")</f>
        <v>Transcript Link</v>
      </c>
      <c r="M807" s="2" t="str">
        <f>HYPERLINK("https://files.afu.se/Downloads/Transcripts/0%20-%20Government/USA%20-%20NASA/2019 02 15 - NASA - Discussing Lunar Exploration Plans on This Week @NASA – February 15, 2019_6hx20ca_poQ - transcript (automated).pdf","Transcript Link")</f>
        <v>Transcript Link</v>
      </c>
    </row>
    <row r="808" ht="165" spans="1:13">
      <c r="A808" s="1" t="s">
        <v>3862</v>
      </c>
      <c r="B808" s="1" t="s">
        <v>13</v>
      </c>
      <c r="C808" s="4" t="s">
        <v>3863</v>
      </c>
      <c r="D808" s="1" t="s">
        <v>3864</v>
      </c>
      <c r="E808" s="1" t="s">
        <v>3865</v>
      </c>
      <c r="F808" s="4" t="s">
        <v>17</v>
      </c>
      <c r="G808" s="1" t="s">
        <v>18</v>
      </c>
      <c r="H808" s="1" t="s">
        <v>19</v>
      </c>
      <c r="I808" s="1" t="s">
        <v>20</v>
      </c>
      <c r="J808" s="1" t="s">
        <v>3866</v>
      </c>
      <c r="K808" s="1" t="s">
        <v>22</v>
      </c>
      <c r="L808" s="1" t="str">
        <f>HYPERLINK("https://files.afu.se/Downloads/Transcripts/0%20-%20Government/USA%20-%20NASA/2019 02 08 - NASA - Remembering our Fallen Heroes on This Week @NASA – February 8, 2019_h0miq_cgI0s - transcript (automated).pdf","Transcript Link")</f>
        <v>Transcript Link</v>
      </c>
      <c r="M808" s="2" t="str">
        <f>HYPERLINK("https://files.afu.se/Downloads/Transcripts/0%20-%20Government/USA%20-%20NASA/2019 02 08 - NASA - Remembering our Fallen Heroes on This Week @NASA – February 8, 2019_h0miq_cgI0s - transcript (automated).pdf","Transcript Link")</f>
        <v>Transcript Link</v>
      </c>
    </row>
    <row r="809" ht="165" spans="1:13">
      <c r="A809" s="1" t="s">
        <v>3867</v>
      </c>
      <c r="B809" s="1" t="s">
        <v>13</v>
      </c>
      <c r="C809" s="4" t="s">
        <v>3868</v>
      </c>
      <c r="D809" s="1" t="s">
        <v>3869</v>
      </c>
      <c r="E809" s="1" t="s">
        <v>3870</v>
      </c>
      <c r="F809" s="4" t="s">
        <v>17</v>
      </c>
      <c r="G809" s="1" t="s">
        <v>18</v>
      </c>
      <c r="H809" s="1" t="s">
        <v>19</v>
      </c>
      <c r="I809" s="1" t="s">
        <v>20</v>
      </c>
      <c r="J809" s="1" t="s">
        <v>3871</v>
      </c>
      <c r="K809" s="1" t="s">
        <v>22</v>
      </c>
      <c r="L809" s="1" t="str">
        <f>HYPERLINK("https://files.afu.se/Downloads/Transcripts/0%20-%20Government/USA%20-%20NASA/2019 02 04 - NASA - Celebrating Apollo as We Push Forward to the Moon_CVNHOX_jWvo - transcript (automated).pdf","Transcript Link")</f>
        <v>Transcript Link</v>
      </c>
      <c r="M809" s="2" t="str">
        <f>HYPERLINK("https://files.afu.se/Downloads/Transcripts/0%20-%20Government/USA%20-%20NASA/2019 02 04 - NASA - Celebrating Apollo as We Push Forward to the Moon_CVNHOX_jWvo - transcript (automated).pdf","Transcript Link")</f>
        <v>Transcript Link</v>
      </c>
    </row>
    <row r="810" ht="165" spans="1:13">
      <c r="A810" s="1" t="s">
        <v>3872</v>
      </c>
      <c r="B810" s="1" t="s">
        <v>13</v>
      </c>
      <c r="C810" s="4" t="s">
        <v>3873</v>
      </c>
      <c r="D810" s="1" t="s">
        <v>3874</v>
      </c>
      <c r="E810" s="1" t="s">
        <v>3875</v>
      </c>
      <c r="F810" s="4" t="s">
        <v>17</v>
      </c>
      <c r="G810" s="1" t="s">
        <v>18</v>
      </c>
      <c r="H810" s="1" t="s">
        <v>19</v>
      </c>
      <c r="I810" s="1" t="s">
        <v>20</v>
      </c>
      <c r="J810" s="1" t="s">
        <v>3876</v>
      </c>
      <c r="K810" s="1" t="s">
        <v>22</v>
      </c>
      <c r="L810" s="1" t="str">
        <f>HYPERLINK("https://files.afu.se/Downloads/Transcripts/0%20-%20Government/USA%20-%20NASA/2019 02 01 - NASA - NASA at the Big Game_5FTgkY82nT0 - transcript (automated).pdf","Transcript Link")</f>
        <v>Transcript Link</v>
      </c>
      <c r="M810" s="2" t="str">
        <f>HYPERLINK("https://files.afu.se/Downloads/Transcripts/0%20-%20Government/USA%20-%20NASA/2019 02 01 - NASA - NASA at the Big Game_5FTgkY82nT0 - transcript (automated).pdf","Transcript Link")</f>
        <v>Transcript Link</v>
      </c>
    </row>
    <row r="811" ht="165" spans="1:13">
      <c r="A811" s="1" t="s">
        <v>3872</v>
      </c>
      <c r="B811" s="1" t="s">
        <v>13</v>
      </c>
      <c r="C811" s="4" t="s">
        <v>3877</v>
      </c>
      <c r="D811" s="1" t="s">
        <v>3878</v>
      </c>
      <c r="E811" s="1" t="s">
        <v>3879</v>
      </c>
      <c r="F811" s="4" t="s">
        <v>17</v>
      </c>
      <c r="G811" s="1" t="s">
        <v>18</v>
      </c>
      <c r="H811" s="1" t="s">
        <v>19</v>
      </c>
      <c r="I811" s="1" t="s">
        <v>20</v>
      </c>
      <c r="J811" s="1" t="s">
        <v>3880</v>
      </c>
      <c r="K811" s="1" t="s">
        <v>22</v>
      </c>
      <c r="L811" s="1" t="str">
        <f>HYPERLINK("https://files.afu.se/Downloads/Transcripts/0%20-%20Government/USA%20-%20NASA/2019 02 01 - NASA - Getting Back to Business on This Week @NASA – February 1, 2019_ffSub6Q1FlE - transcript (automated).pdf","Transcript Link")</f>
        <v>Transcript Link</v>
      </c>
      <c r="M811" s="2" t="str">
        <f>HYPERLINK("https://files.afu.se/Downloads/Transcripts/0%20-%20Government/USA%20-%20NASA/2019 02 01 - NASA - Getting Back to Business on This Week @NASA – February 1, 2019_ffSub6Q1FlE - transcript (automated).pdf","Transcript Link")</f>
        <v>Transcript Link</v>
      </c>
    </row>
    <row r="812" ht="165" spans="1:13">
      <c r="A812" s="1" t="s">
        <v>3881</v>
      </c>
      <c r="B812" s="1" t="s">
        <v>13</v>
      </c>
      <c r="C812" s="4" t="s">
        <v>3882</v>
      </c>
      <c r="D812" s="1" t="s">
        <v>3883</v>
      </c>
      <c r="E812" s="1" t="s">
        <v>3884</v>
      </c>
      <c r="F812" s="4" t="s">
        <v>17</v>
      </c>
      <c r="G812" s="1" t="s">
        <v>18</v>
      </c>
      <c r="H812" s="1" t="s">
        <v>19</v>
      </c>
      <c r="I812" s="1" t="s">
        <v>20</v>
      </c>
      <c r="J812" s="1" t="s">
        <v>3885</v>
      </c>
      <c r="K812" s="1" t="s">
        <v>22</v>
      </c>
      <c r="L812" s="1" t="str">
        <f>HYPERLINK("https://files.afu.se/Downloads/Transcripts/0%20-%20Government/USA%20-%20NASA/2019 01 31 - NASA - NASA 2019  Keeping the Promise_aOk9ClxXw_8 - transcript (automated).pdf","Transcript Link")</f>
        <v>Transcript Link</v>
      </c>
      <c r="M812" s="2" t="str">
        <f>HYPERLINK("https://files.afu.se/Downloads/Transcripts/0%20-%20Government/USA%20-%20NASA/2019 01 31 - NASA - NASA 2019  Keeping the Promise_aOk9ClxXw_8 - transcript (automated).pdf","Transcript Link")</f>
        <v>Transcript Link</v>
      </c>
    </row>
    <row r="813" ht="360" spans="1:13">
      <c r="A813" s="1" t="s">
        <v>3886</v>
      </c>
      <c r="B813" s="1" t="s">
        <v>13</v>
      </c>
      <c r="C813" s="4" t="s">
        <v>3887</v>
      </c>
      <c r="D813" s="1" t="s">
        <v>3888</v>
      </c>
      <c r="E813" s="1" t="s">
        <v>3889</v>
      </c>
      <c r="F813" s="4" t="s">
        <v>17</v>
      </c>
      <c r="G813" s="1" t="s">
        <v>18</v>
      </c>
      <c r="H813" s="1" t="s">
        <v>19</v>
      </c>
      <c r="I813" s="1" t="s">
        <v>20</v>
      </c>
      <c r="J813" s="1" t="s">
        <v>3890</v>
      </c>
      <c r="K813" s="1" t="s">
        <v>22</v>
      </c>
      <c r="L813" s="1" t="str">
        <f>HYPERLINK("https://files.afu.se/Downloads/Transcripts/0%20-%20Government/USA%20-%20NASA/2018 12 25 - NASA - Season’s Greetings from NASA 2018_w-QbR1gWEP8 - transcript (automated).pdf","Transcript Link")</f>
        <v>Transcript Link</v>
      </c>
      <c r="M813" s="2" t="str">
        <f>HYPERLINK("https://files.afu.se/Downloads/Transcripts/0%20-%20Government/USA%20-%20NASA/2018 12 25 - NASA - Season’s Greetings from NASA 2018_w-QbR1gWEP8 - transcript (automated).pdf","Transcript Link")</f>
        <v>Transcript Link</v>
      </c>
    </row>
    <row r="814" ht="255" spans="1:13">
      <c r="A814" s="1" t="s">
        <v>3891</v>
      </c>
      <c r="B814" s="1" t="s">
        <v>13</v>
      </c>
      <c r="C814" s="4" t="s">
        <v>3892</v>
      </c>
      <c r="D814" s="1" t="s">
        <v>3893</v>
      </c>
      <c r="E814" s="1" t="s">
        <v>3894</v>
      </c>
      <c r="F814" s="4" t="s">
        <v>17</v>
      </c>
      <c r="G814" s="1" t="s">
        <v>18</v>
      </c>
      <c r="H814" s="1" t="s">
        <v>19</v>
      </c>
      <c r="I814" s="1" t="s">
        <v>20</v>
      </c>
      <c r="J814" s="1" t="s">
        <v>3895</v>
      </c>
      <c r="K814" s="1" t="s">
        <v>22</v>
      </c>
      <c r="L814" s="1" t="str">
        <f>HYPERLINK("https://files.afu.se/Downloads/Transcripts/0%20-%20Government/USA%20-%20NASA/2018 12 21 - NASA - Apollo 8  Around The Moon and Back_Wfd0oC3eFWw - transcript (automated).pdf","Transcript Link")</f>
        <v>Transcript Link</v>
      </c>
      <c r="M814" s="2" t="str">
        <f>HYPERLINK("https://files.afu.se/Downloads/Transcripts/0%20-%20Government/USA%20-%20NASA/2018 12 21 - NASA - Apollo 8  Around The Moon and Back_Wfd0oC3eFWw - transcript (automated).pdf","Transcript Link")</f>
        <v>Transcript Link</v>
      </c>
    </row>
    <row r="815" ht="165" spans="1:13">
      <c r="A815" s="1" t="s">
        <v>3896</v>
      </c>
      <c r="B815" s="1" t="s">
        <v>13</v>
      </c>
      <c r="C815" s="4" t="s">
        <v>3897</v>
      </c>
      <c r="D815" s="1" t="s">
        <v>3898</v>
      </c>
      <c r="E815" s="1" t="s">
        <v>3899</v>
      </c>
      <c r="F815" s="4" t="s">
        <v>17</v>
      </c>
      <c r="G815" s="1" t="s">
        <v>18</v>
      </c>
      <c r="H815" s="1" t="s">
        <v>19</v>
      </c>
      <c r="I815" s="1" t="s">
        <v>20</v>
      </c>
      <c r="J815" s="1" t="s">
        <v>3900</v>
      </c>
      <c r="K815" s="1" t="s">
        <v>22</v>
      </c>
      <c r="L815" s="1" t="str">
        <f>HYPERLINK("https://files.afu.se/Downloads/Transcripts/0%20-%20Government/USA%20-%20NASA/2018 12 20 - NASA - NASA Explorers  Final Approach_Nrv2keOYGbQ - transcript (automated).pdf","Transcript Link")</f>
        <v>Transcript Link</v>
      </c>
      <c r="M815" s="2" t="str">
        <f>HYPERLINK("https://files.afu.se/Downloads/Transcripts/0%20-%20Government/USA%20-%20NASA/2018 12 20 - NASA - NASA Explorers  Final Approach_Nrv2keOYGbQ - transcript (automated).pdf","Transcript Link")</f>
        <v>Transcript Link</v>
      </c>
    </row>
    <row r="816" ht="165" spans="1:13">
      <c r="A816" s="1" t="s">
        <v>3896</v>
      </c>
      <c r="B816" s="1" t="s">
        <v>13</v>
      </c>
      <c r="C816" s="4" t="s">
        <v>3901</v>
      </c>
      <c r="D816" s="1" t="s">
        <v>3902</v>
      </c>
      <c r="E816" s="1" t="s">
        <v>3903</v>
      </c>
      <c r="F816" s="4" t="s">
        <v>17</v>
      </c>
      <c r="G816" s="1" t="s">
        <v>18</v>
      </c>
      <c r="H816" s="1" t="s">
        <v>19</v>
      </c>
      <c r="I816" s="1" t="s">
        <v>20</v>
      </c>
      <c r="J816" s="1" t="s">
        <v>3904</v>
      </c>
      <c r="K816" s="1" t="s">
        <v>22</v>
      </c>
      <c r="L816" s="1" t="str">
        <f>HYPERLINK("https://files.afu.se/Downloads/Transcripts/0%20-%20Government/USA%20-%20NASA/2018 12 20 - NASA - NASA Administrator Jim Bridenstine Highlights Moon and Mars Exploration_01fa_zQ_yqI - transcript (automated).pdf","Transcript Link")</f>
        <v>Transcript Link</v>
      </c>
      <c r="M816" s="2" t="str">
        <f>HYPERLINK("https://files.afu.se/Downloads/Transcripts/0%20-%20Government/USA%20-%20NASA/2018 12 20 - NASA - NASA Administrator Jim Bridenstine Highlights Moon and Mars Exploration_01fa_zQ_yqI - transcript (automated).pdf","Transcript Link")</f>
        <v>Transcript Link</v>
      </c>
    </row>
    <row r="817" ht="165" spans="1:13">
      <c r="A817" s="1" t="s">
        <v>3905</v>
      </c>
      <c r="B817" s="1" t="s">
        <v>13</v>
      </c>
      <c r="C817" s="4" t="s">
        <v>3906</v>
      </c>
      <c r="D817" s="1" t="s">
        <v>3907</v>
      </c>
      <c r="E817" s="1" t="s">
        <v>3908</v>
      </c>
      <c r="F817" s="4" t="s">
        <v>17</v>
      </c>
      <c r="G817" s="1" t="s">
        <v>18</v>
      </c>
      <c r="H817" s="1" t="s">
        <v>19</v>
      </c>
      <c r="I817" s="1" t="s">
        <v>20</v>
      </c>
      <c r="J817" s="1" t="s">
        <v>3909</v>
      </c>
      <c r="K817" s="1" t="s">
        <v>22</v>
      </c>
      <c r="L817" s="1" t="str">
        <f>HYPERLINK("https://files.afu.se/Downloads/Transcripts/0%20-%20Government/USA%20-%20NASA/2018 12 17 - NASA - NASA Begins America’s New Moon to Mars Exploration Approach in 2018 - The Year @NASA_5LpwhzCVTAY - transcript (automated).pdf","Transcript Link")</f>
        <v>Transcript Link</v>
      </c>
      <c r="M817" s="2" t="str">
        <f>HYPERLINK("https://files.afu.se/Downloads/Transcripts/0%20-%20Government/USA%20-%20NASA/2018 12 17 - NASA - NASA Begins America’s New Moon to Mars Exploration Approach in 2018 - The Year @NASA_5LpwhzCVTAY - transcript (automated).pdf","Transcript Link")</f>
        <v>Transcript Link</v>
      </c>
    </row>
    <row r="818" ht="165" spans="1:13">
      <c r="A818" s="1" t="s">
        <v>3905</v>
      </c>
      <c r="B818" s="1" t="s">
        <v>13</v>
      </c>
      <c r="C818" s="4" t="s">
        <v>3910</v>
      </c>
      <c r="D818" s="1" t="s">
        <v>3911</v>
      </c>
      <c r="E818" s="1" t="s">
        <v>3912</v>
      </c>
      <c r="F818" s="4" t="s">
        <v>17</v>
      </c>
      <c r="G818" s="1" t="s">
        <v>18</v>
      </c>
      <c r="H818" s="1" t="s">
        <v>19</v>
      </c>
      <c r="I818" s="1" t="s">
        <v>20</v>
      </c>
      <c r="J818" s="1" t="s">
        <v>3913</v>
      </c>
      <c r="K818" s="1" t="s">
        <v>22</v>
      </c>
      <c r="L818" s="1" t="str">
        <f>HYPERLINK("https://files.afu.se/Downloads/Transcripts/0%20-%20Government/USA%20-%20NASA/2018 12 17 - NASA - The Life and Death of a Planetary System_s6v-9Qf3qFg - transcript (automated).pdf","Transcript Link")</f>
        <v>Transcript Link</v>
      </c>
      <c r="M818" s="2" t="str">
        <f>HYPERLINK("https://files.afu.se/Downloads/Transcripts/0%20-%20Government/USA%20-%20NASA/2018 12 17 - NASA - The Life and Death of a Planetary System_s6v-9Qf3qFg - transcript (automated).pdf","Transcript Link")</f>
        <v>Transcript Link</v>
      </c>
    </row>
    <row r="819" ht="165" spans="1:13">
      <c r="A819" s="1" t="s">
        <v>3914</v>
      </c>
      <c r="B819" s="1" t="s">
        <v>13</v>
      </c>
      <c r="C819" s="4" t="s">
        <v>3915</v>
      </c>
      <c r="D819" s="1" t="s">
        <v>3916</v>
      </c>
      <c r="E819" s="1" t="s">
        <v>3917</v>
      </c>
      <c r="F819" s="4" t="s">
        <v>17</v>
      </c>
      <c r="G819" s="1" t="s">
        <v>18</v>
      </c>
      <c r="H819" s="1" t="s">
        <v>19</v>
      </c>
      <c r="I819" s="1" t="s">
        <v>20</v>
      </c>
      <c r="J819" s="1" t="s">
        <v>3918</v>
      </c>
      <c r="K819" s="1" t="s">
        <v>22</v>
      </c>
      <c r="L819" s="1" t="str">
        <f>HYPERLINK("https://files.afu.se/Downloads/Transcripts/0%20-%20Government/USA%20-%20NASA/2018 12 14 - NASA - Venture Class Rockets  First Class Flights for CubeSats_W6kuPPO48iE - transcript (automated).pdf","Transcript Link")</f>
        <v>Transcript Link</v>
      </c>
      <c r="M819" s="2" t="str">
        <f>HYPERLINK("https://files.afu.se/Downloads/Transcripts/0%20-%20Government/USA%20-%20NASA/2018 12 14 - NASA - Venture Class Rockets  First Class Flights for CubeSats_W6kuPPO48iE - transcript (automated).pdf","Transcript Link")</f>
        <v>Transcript Link</v>
      </c>
    </row>
    <row r="820" ht="165" spans="1:13">
      <c r="A820" s="1" t="s">
        <v>3919</v>
      </c>
      <c r="B820" s="1" t="s">
        <v>13</v>
      </c>
      <c r="C820" s="4" t="s">
        <v>3920</v>
      </c>
      <c r="D820" s="1" t="s">
        <v>3921</v>
      </c>
      <c r="E820" s="1" t="s">
        <v>3922</v>
      </c>
      <c r="F820" s="4" t="s">
        <v>17</v>
      </c>
      <c r="G820" s="1" t="s">
        <v>18</v>
      </c>
      <c r="H820" s="1" t="s">
        <v>19</v>
      </c>
      <c r="I820" s="1" t="s">
        <v>20</v>
      </c>
      <c r="J820" s="1" t="s">
        <v>3923</v>
      </c>
      <c r="K820" s="1" t="s">
        <v>22</v>
      </c>
      <c r="L820" s="1" t="str">
        <f>HYPERLINK("https://files.afu.se/Downloads/Transcripts/0%20-%20Government/USA%20-%20NASA/2018 12 13 - NASA - NASA Explorers  The Launch_zJ-kcuBuR3c - transcript (automated).pdf","Transcript Link")</f>
        <v>Transcript Link</v>
      </c>
      <c r="M820" s="2" t="str">
        <f>HYPERLINK("https://files.afu.se/Downloads/Transcripts/0%20-%20Government/USA%20-%20NASA/2018 12 13 - NASA - NASA Explorers  The Launch_zJ-kcuBuR3c - transcript (automated).pdf","Transcript Link")</f>
        <v>Transcript Link</v>
      </c>
    </row>
    <row r="821" ht="270" spans="1:13">
      <c r="A821" s="1" t="s">
        <v>3924</v>
      </c>
      <c r="B821" s="1" t="s">
        <v>13</v>
      </c>
      <c r="C821" s="4" t="s">
        <v>3925</v>
      </c>
      <c r="D821" s="1" t="s">
        <v>3926</v>
      </c>
      <c r="E821" s="1" t="s">
        <v>3927</v>
      </c>
      <c r="F821" s="4" t="s">
        <v>17</v>
      </c>
      <c r="G821" s="1" t="s">
        <v>18</v>
      </c>
      <c r="H821" s="1" t="s">
        <v>19</v>
      </c>
      <c r="I821" s="1" t="s">
        <v>20</v>
      </c>
      <c r="J821" s="1" t="s">
        <v>3928</v>
      </c>
      <c r="K821" s="1" t="s">
        <v>22</v>
      </c>
      <c r="L821" s="1" t="str">
        <f>HYPERLINK("https://files.afu.se/Downloads/Transcripts/0%20-%20Government/USA%20-%20NASA/2018 12 11 - NASA - Apollo 8  A Story of Christmas Around the Moon_OfIlau2VVp4 - transcript (automated).pdf","Transcript Link")</f>
        <v>Transcript Link</v>
      </c>
      <c r="M821" s="2" t="str">
        <f>HYPERLINK("https://files.afu.se/Downloads/Transcripts/0%20-%20Government/USA%20-%20NASA/2018 12 11 - NASA - Apollo 8  A Story of Christmas Around the Moon_OfIlau2VVp4 - transcript (automated).pdf","Transcript Link")</f>
        <v>Transcript Link</v>
      </c>
    </row>
    <row r="822" ht="165" spans="1:13">
      <c r="A822" s="1" t="s">
        <v>3929</v>
      </c>
      <c r="B822" s="1" t="s">
        <v>13</v>
      </c>
      <c r="C822" s="4" t="s">
        <v>3930</v>
      </c>
      <c r="D822" s="1" t="s">
        <v>3931</v>
      </c>
      <c r="E822" s="1" t="s">
        <v>3932</v>
      </c>
      <c r="F822" s="4" t="s">
        <v>17</v>
      </c>
      <c r="G822" s="1" t="s">
        <v>18</v>
      </c>
      <c r="H822" s="1" t="s">
        <v>19</v>
      </c>
      <c r="I822" s="1" t="s">
        <v>20</v>
      </c>
      <c r="J822" s="1" t="s">
        <v>3933</v>
      </c>
      <c r="K822" s="1" t="s">
        <v>22</v>
      </c>
      <c r="L822" s="1" t="str">
        <f>HYPERLINK("https://files.afu.se/Downloads/Transcripts/0%20-%20Government/USA%20-%20NASA/2018 12 07 - NASA - NASA Explorers  Permafrost_y7ZbghndiwQ - transcript (automated).pdf","Transcript Link")</f>
        <v>Transcript Link</v>
      </c>
      <c r="M822" s="2" t="str">
        <f>HYPERLINK("https://files.afu.se/Downloads/Transcripts/0%20-%20Government/USA%20-%20NASA/2018 12 07 - NASA - NASA Explorers  Permafrost_y7ZbghndiwQ - transcript (automated).pdf","Transcript Link")</f>
        <v>Transcript Link</v>
      </c>
    </row>
    <row r="823" ht="165" spans="1:13">
      <c r="A823" s="1" t="s">
        <v>3929</v>
      </c>
      <c r="B823" s="1" t="s">
        <v>13</v>
      </c>
      <c r="C823" s="4" t="s">
        <v>3934</v>
      </c>
      <c r="D823" s="1" t="s">
        <v>3935</v>
      </c>
      <c r="E823" s="1" t="s">
        <v>3936</v>
      </c>
      <c r="F823" s="4" t="s">
        <v>17</v>
      </c>
      <c r="G823" s="1" t="s">
        <v>18</v>
      </c>
      <c r="H823" s="1" t="s">
        <v>19</v>
      </c>
      <c r="I823" s="1" t="s">
        <v>20</v>
      </c>
      <c r="J823" s="1" t="s">
        <v>3937</v>
      </c>
      <c r="K823" s="1" t="s">
        <v>22</v>
      </c>
      <c r="L823" s="1" t="str">
        <f>HYPERLINK("https://files.afu.se/Downloads/Transcripts/0%20-%20Government/USA%20-%20NASA/2018 12 07 - NASA - New Crewmembers Onboard the Space Station on This Week @NASA – December 7, 2018_9B9YyxiLvZI - transcript (automated).pdf","Transcript Link")</f>
        <v>Transcript Link</v>
      </c>
      <c r="M823" s="2" t="str">
        <f>HYPERLINK("https://files.afu.se/Downloads/Transcripts/0%20-%20Government/USA%20-%20NASA/2018 12 07 - NASA - New Crewmembers Onboard the Space Station on This Week @NASA – December 7, 2018_9B9YyxiLvZI - transcript (automated).pdf","Transcript Link")</f>
        <v>Transcript Link</v>
      </c>
    </row>
    <row r="824" ht="165" spans="1:13">
      <c r="A824" s="1" t="s">
        <v>3938</v>
      </c>
      <c r="B824" s="1" t="s">
        <v>13</v>
      </c>
      <c r="C824" s="4" t="s">
        <v>3939</v>
      </c>
      <c r="D824" s="1" t="s">
        <v>3940</v>
      </c>
      <c r="E824" s="1" t="s">
        <v>3941</v>
      </c>
      <c r="F824" s="4" t="s">
        <v>17</v>
      </c>
      <c r="G824" s="1" t="s">
        <v>18</v>
      </c>
      <c r="H824" s="1" t="s">
        <v>19</v>
      </c>
      <c r="I824" s="1" t="s">
        <v>20</v>
      </c>
      <c r="J824" s="1" t="s">
        <v>3942</v>
      </c>
      <c r="K824" s="1" t="s">
        <v>22</v>
      </c>
      <c r="L824" s="1" t="str">
        <f>HYPERLINK("https://files.afu.se/Downloads/Transcripts/0%20-%20Government/USA%20-%20NASA/2018 12 04 - NASA - SpaceX's CRS-16 Mission to the Space Station  What's On Board _yZoGUm_SFs8 - transcript (automated).pdf","Transcript Link")</f>
        <v>Transcript Link</v>
      </c>
      <c r="M824" s="2" t="str">
        <f>HYPERLINK("https://files.afu.se/Downloads/Transcripts/0%20-%20Government/USA%20-%20NASA/2018 12 04 - NASA - SpaceX's CRS-16 Mission to the Space Station  What's On Board _yZoGUm_SFs8 - transcript (automated).pdf","Transcript Link")</f>
        <v>Transcript Link</v>
      </c>
    </row>
    <row r="825" ht="165" spans="1:13">
      <c r="A825" s="1" t="s">
        <v>3943</v>
      </c>
      <c r="B825" s="1" t="s">
        <v>13</v>
      </c>
      <c r="C825" s="4" t="s">
        <v>3944</v>
      </c>
      <c r="D825" s="1" t="s">
        <v>3945</v>
      </c>
      <c r="E825" s="1" t="s">
        <v>3946</v>
      </c>
      <c r="F825" s="4" t="s">
        <v>17</v>
      </c>
      <c r="G825" s="1" t="s">
        <v>18</v>
      </c>
      <c r="H825" s="1" t="s">
        <v>19</v>
      </c>
      <c r="I825" s="1" t="s">
        <v>20</v>
      </c>
      <c r="J825" s="1" t="s">
        <v>3947</v>
      </c>
      <c r="K825" s="1" t="s">
        <v>22</v>
      </c>
      <c r="L825" s="1" t="str">
        <f>HYPERLINK("https://files.afu.se/Downloads/Transcripts/0%20-%20Government/USA%20-%20NASA/2018 12 03 - NASA - How and Why Is NASA's OSIRIS-REx Mission Visiting Asteroid Bennu _UhSemu3P8aY - transcript (automated).pdf","Transcript Link")</f>
        <v>Transcript Link</v>
      </c>
      <c r="M825" s="2" t="str">
        <f>HYPERLINK("https://files.afu.se/Downloads/Transcripts/0%20-%20Government/USA%20-%20NASA/2018 12 03 - NASA - How and Why Is NASA's OSIRIS-REx Mission Visiting Asteroid Bennu _UhSemu3P8aY - transcript (automated).pdf","Transcript Link")</f>
        <v>Transcript Link</v>
      </c>
    </row>
    <row r="826" ht="165" spans="1:13">
      <c r="A826" s="1" t="s">
        <v>3948</v>
      </c>
      <c r="B826" s="1" t="s">
        <v>13</v>
      </c>
      <c r="C826" s="4" t="s">
        <v>3949</v>
      </c>
      <c r="D826" s="1" t="s">
        <v>3950</v>
      </c>
      <c r="E826" s="1" t="s">
        <v>3951</v>
      </c>
      <c r="F826" s="4" t="s">
        <v>17</v>
      </c>
      <c r="G826" s="1" t="s">
        <v>18</v>
      </c>
      <c r="H826" s="1" t="s">
        <v>19</v>
      </c>
      <c r="I826" s="1" t="s">
        <v>20</v>
      </c>
      <c r="J826" s="1" t="s">
        <v>3952</v>
      </c>
      <c r="K826" s="1" t="s">
        <v>22</v>
      </c>
      <c r="L826" s="1" t="str">
        <f>HYPERLINK("https://files.afu.se/Downloads/Transcripts/0%20-%20Government/USA%20-%20NASA/2018 12 02 - NASA - NASA Explorers  High Mountain Glaciers_6MS_vXQ50vc - transcript (automated).pdf","Transcript Link")</f>
        <v>Transcript Link</v>
      </c>
      <c r="M826" s="2" t="str">
        <f>HYPERLINK("https://files.afu.se/Downloads/Transcripts/0%20-%20Government/USA%20-%20NASA/2018 12 02 - NASA - NASA Explorers  High Mountain Glaciers_6MS_vXQ50vc - transcript (automated).pdf","Transcript Link")</f>
        <v>Transcript Link</v>
      </c>
    </row>
    <row r="827" ht="165" spans="1:13">
      <c r="A827" s="1" t="s">
        <v>3953</v>
      </c>
      <c r="B827" s="1" t="s">
        <v>13</v>
      </c>
      <c r="C827" s="4" t="s">
        <v>3954</v>
      </c>
      <c r="D827" s="1" t="s">
        <v>3955</v>
      </c>
      <c r="E827" s="1" t="s">
        <v>3956</v>
      </c>
      <c r="F827" s="4" t="s">
        <v>17</v>
      </c>
      <c r="G827" s="1" t="s">
        <v>18</v>
      </c>
      <c r="H827" s="1" t="s">
        <v>19</v>
      </c>
      <c r="I827" s="1" t="s">
        <v>20</v>
      </c>
      <c r="J827" s="1" t="s">
        <v>3957</v>
      </c>
      <c r="K827" s="1" t="s">
        <v>22</v>
      </c>
      <c r="L827" s="1" t="str">
        <f>HYPERLINK("https://files.afu.se/Downloads/Transcripts/0%20-%20Government/USA%20-%20NASA/2018 12 01 - NASA - How Do You Assemble the Largest Rocket Ever Made _ulr36BypZTU - transcript (automated).pdf","Transcript Link")</f>
        <v>Transcript Link</v>
      </c>
      <c r="M827" s="2" t="str">
        <f>HYPERLINK("https://files.afu.se/Downloads/Transcripts/0%20-%20Government/USA%20-%20NASA/2018 12 01 - NASA - How Do You Assemble the Largest Rocket Ever Made _ulr36BypZTU - transcript (automated).pdf","Transcript Link")</f>
        <v>Transcript Link</v>
      </c>
    </row>
    <row r="828" ht="165" spans="1:13">
      <c r="A828" s="1" t="s">
        <v>3958</v>
      </c>
      <c r="B828" s="1" t="s">
        <v>13</v>
      </c>
      <c r="C828" s="4" t="s">
        <v>3959</v>
      </c>
      <c r="D828" s="1" t="s">
        <v>3960</v>
      </c>
      <c r="E828" s="1" t="s">
        <v>3961</v>
      </c>
      <c r="F828" s="4" t="s">
        <v>17</v>
      </c>
      <c r="G828" s="1" t="s">
        <v>18</v>
      </c>
      <c r="H828" s="1" t="s">
        <v>19</v>
      </c>
      <c r="I828" s="1" t="s">
        <v>20</v>
      </c>
      <c r="J828" s="1" t="s">
        <v>3962</v>
      </c>
      <c r="K828" s="1" t="s">
        <v>22</v>
      </c>
      <c r="L828" s="1" t="str">
        <f>HYPERLINK("https://files.afu.se/Downloads/Transcripts/0%20-%20Government/USA%20-%20NASA/2018 11 30 - NASA - InSight Mission Lands Safely on Mars on This Week @NASA – November 30, 2018__F4Y4NOQJHk - transcript (automated).pdf","Transcript Link")</f>
        <v>Transcript Link</v>
      </c>
      <c r="M828" s="2" t="str">
        <f>HYPERLINK("https://files.afu.se/Downloads/Transcripts/0%20-%20Government/USA%20-%20NASA/2018 11 30 - NASA - InSight Mission Lands Safely on Mars on This Week @NASA – November 30, 2018__F4Y4NOQJHk - transcript (automated).pdf","Transcript Link")</f>
        <v>Transcript Link</v>
      </c>
    </row>
    <row r="829" ht="165" spans="1:13">
      <c r="A829" s="1" t="s">
        <v>3963</v>
      </c>
      <c r="B829" s="1" t="s">
        <v>13</v>
      </c>
      <c r="C829" s="4" t="s">
        <v>3964</v>
      </c>
      <c r="D829" s="1" t="s">
        <v>3965</v>
      </c>
      <c r="E829" s="1" t="s">
        <v>3966</v>
      </c>
      <c r="F829" s="4" t="s">
        <v>17</v>
      </c>
      <c r="G829" s="1" t="s">
        <v>18</v>
      </c>
      <c r="H829" s="1" t="s">
        <v>19</v>
      </c>
      <c r="I829" s="1" t="s">
        <v>20</v>
      </c>
      <c r="J829" s="1" t="s">
        <v>3967</v>
      </c>
      <c r="K829" s="1" t="s">
        <v>22</v>
      </c>
      <c r="L829" s="1" t="str">
        <f>HYPERLINK("https://files.afu.se/Downloads/Transcripts/0%20-%20Government/USA%20-%20NASA/2018 11 24 - NASA - How Will NASA's InSight Spacecraft Land on Mars _kyD0q57zw40 - transcript (automated).pdf","Transcript Link")</f>
        <v>Transcript Link</v>
      </c>
      <c r="M829" s="2" t="str">
        <f>HYPERLINK("https://files.afu.se/Downloads/Transcripts/0%20-%20Government/USA%20-%20NASA/2018 11 24 - NASA - How Will NASA's InSight Spacecraft Land on Mars _kyD0q57zw40 - transcript (automated).pdf","Transcript Link")</f>
        <v>Transcript Link</v>
      </c>
    </row>
    <row r="830" ht="165" spans="1:13">
      <c r="A830" s="1" t="s">
        <v>3968</v>
      </c>
      <c r="B830" s="1" t="s">
        <v>13</v>
      </c>
      <c r="C830" s="4" t="s">
        <v>3969</v>
      </c>
      <c r="D830" s="1" t="s">
        <v>3970</v>
      </c>
      <c r="E830" s="1" t="s">
        <v>3971</v>
      </c>
      <c r="F830" s="4" t="s">
        <v>17</v>
      </c>
      <c r="G830" s="1" t="s">
        <v>18</v>
      </c>
      <c r="H830" s="1" t="s">
        <v>19</v>
      </c>
      <c r="I830" s="1" t="s">
        <v>20</v>
      </c>
      <c r="J830" s="1" t="s">
        <v>3972</v>
      </c>
      <c r="K830" s="1" t="s">
        <v>22</v>
      </c>
      <c r="L830" s="1" t="str">
        <f>HYPERLINK("https://files.afu.se/Downloads/Transcripts/0%20-%20Government/USA%20-%20NASA/2018 11 23 - NASA - Landing Site Selected for Mars 2020 Mission on This Week @NASA – November 23, 2018_wSetbwukWDQ - transcript (automated).pdf","Transcript Link")</f>
        <v>Transcript Link</v>
      </c>
      <c r="M830" s="2" t="str">
        <f>HYPERLINK("https://files.afu.se/Downloads/Transcripts/0%20-%20Government/USA%20-%20NASA/2018 11 23 - NASA - Landing Site Selected for Mars 2020 Mission on This Week @NASA – November 23, 2018_wSetbwukWDQ - transcript (automated).pdf","Transcript Link")</f>
        <v>Transcript Link</v>
      </c>
    </row>
    <row r="831" ht="165" spans="1:13">
      <c r="A831" s="1" t="s">
        <v>3968</v>
      </c>
      <c r="B831" s="1" t="s">
        <v>13</v>
      </c>
      <c r="C831" s="4" t="s">
        <v>3973</v>
      </c>
      <c r="D831" s="1" t="s">
        <v>3974</v>
      </c>
      <c r="E831" s="1" t="s">
        <v>3975</v>
      </c>
      <c r="F831" s="4" t="s">
        <v>17</v>
      </c>
      <c r="G831" s="1" t="s">
        <v>18</v>
      </c>
      <c r="H831" s="1" t="s">
        <v>19</v>
      </c>
      <c r="I831" s="1" t="s">
        <v>20</v>
      </c>
      <c r="J831" s="1" t="s">
        <v>3976</v>
      </c>
      <c r="K831" s="1" t="s">
        <v>22</v>
      </c>
      <c r="L831" s="1" t="str">
        <f>HYPERLINK("https://files.afu.se/Downloads/Transcripts/0%20-%20Government/USA%20-%20NASA/2018 11 23 - NASA - NASA Explorers  Frozen World_O1W4xVpAQio - transcript (automated).pdf","Transcript Link")</f>
        <v>Transcript Link</v>
      </c>
      <c r="M831" s="2" t="str">
        <f>HYPERLINK("https://files.afu.se/Downloads/Transcripts/0%20-%20Government/USA%20-%20NASA/2018 11 23 - NASA - NASA Explorers  Frozen World_O1W4xVpAQio - transcript (automated).pdf","Transcript Link")</f>
        <v>Transcript Link</v>
      </c>
    </row>
    <row r="832" ht="165" spans="1:13">
      <c r="A832" s="1" t="s">
        <v>3977</v>
      </c>
      <c r="B832" s="1" t="s">
        <v>13</v>
      </c>
      <c r="C832" s="4" t="s">
        <v>3978</v>
      </c>
      <c r="D832" s="1" t="s">
        <v>3979</v>
      </c>
      <c r="E832" s="1" t="s">
        <v>3980</v>
      </c>
      <c r="F832" s="4" t="s">
        <v>17</v>
      </c>
      <c r="G832" s="1" t="s">
        <v>18</v>
      </c>
      <c r="H832" s="1" t="s">
        <v>19</v>
      </c>
      <c r="I832" s="1" t="s">
        <v>20</v>
      </c>
      <c r="J832" s="1" t="s">
        <v>3981</v>
      </c>
      <c r="K832" s="1" t="s">
        <v>22</v>
      </c>
      <c r="L832" s="1" t="str">
        <f>HYPERLINK("https://files.afu.se/Downloads/Transcripts/0%20-%20Government/USA%20-%20NASA/2018 11 22 - NASA - Happy Thanksgiving From the International Space Station_Zg7i4q_EX9E - transcript (automated).pdf","Transcript Link")</f>
        <v>Transcript Link</v>
      </c>
      <c r="M832" s="2" t="str">
        <f>HYPERLINK("https://files.afu.se/Downloads/Transcripts/0%20-%20Government/USA%20-%20NASA/2018 11 22 - NASA - Happy Thanksgiving From the International Space Station_Zg7i4q_EX9E - transcript (automated).pdf","Transcript Link")</f>
        <v>Transcript Link</v>
      </c>
    </row>
    <row r="833" ht="165" spans="1:13">
      <c r="A833" s="1" t="s">
        <v>3982</v>
      </c>
      <c r="B833" s="1" t="s">
        <v>13</v>
      </c>
      <c r="C833" s="4" t="s">
        <v>3983</v>
      </c>
      <c r="D833" s="1" t="s">
        <v>3984</v>
      </c>
      <c r="E833" s="1" t="s">
        <v>3985</v>
      </c>
      <c r="F833" s="4" t="s">
        <v>17</v>
      </c>
      <c r="G833" s="1" t="s">
        <v>18</v>
      </c>
      <c r="H833" s="1" t="s">
        <v>19</v>
      </c>
      <c r="I833" s="1" t="s">
        <v>20</v>
      </c>
      <c r="J833" s="1" t="s">
        <v>3986</v>
      </c>
      <c r="K833" s="1" t="s">
        <v>22</v>
      </c>
      <c r="L833" s="1" t="str">
        <f>HYPERLINK("https://files.afu.se/Downloads/Transcripts/0%20-%20Government/USA%20-%20NASA/2018 11 20 - NASA - InSight Mars Mission's Road to Launch  Countdown to T-Zero_m6308PIJ130 - transcript (automated).pdf","Transcript Link")</f>
        <v>Transcript Link</v>
      </c>
      <c r="M833" s="2" t="str">
        <f>HYPERLINK("https://files.afu.se/Downloads/Transcripts/0%20-%20Government/USA%20-%20NASA/2018 11 20 - NASA - InSight Mars Mission's Road to Launch  Countdown to T-Zero_m6308PIJ130 - transcript (automated).pdf","Transcript Link")</f>
        <v>Transcript Link</v>
      </c>
    </row>
    <row r="834" ht="165" spans="1:13">
      <c r="A834" s="1" t="s">
        <v>3987</v>
      </c>
      <c r="B834" s="1" t="s">
        <v>13</v>
      </c>
      <c r="C834" s="4" t="s">
        <v>3988</v>
      </c>
      <c r="D834" s="1" t="s">
        <v>3989</v>
      </c>
      <c r="E834" s="1" t="s">
        <v>3990</v>
      </c>
      <c r="F834" s="4" t="s">
        <v>17</v>
      </c>
      <c r="G834" s="1" t="s">
        <v>18</v>
      </c>
      <c r="H834" s="1" t="s">
        <v>19</v>
      </c>
      <c r="I834" s="1" t="s">
        <v>20</v>
      </c>
      <c r="J834" s="1" t="s">
        <v>3991</v>
      </c>
      <c r="K834" s="1" t="s">
        <v>22</v>
      </c>
      <c r="L834" s="1" t="str">
        <f>HYPERLINK("https://files.afu.se/Downloads/Transcripts/0%20-%20Government/USA%20-%20NASA/2018 11 17 - NASA - Assisting Those Fighting the California Wildfires on This Week @NASA – November 17, 2018_01mdhIhZZy4 - transcript (automated).pdf","Transcript Link")</f>
        <v>Transcript Link</v>
      </c>
      <c r="M834" s="2" t="str">
        <f>HYPERLINK("https://files.afu.se/Downloads/Transcripts/0%20-%20Government/USA%20-%20NASA/2018 11 17 - NASA - Assisting Those Fighting the California Wildfires on This Week @NASA – November 17, 2018_01mdhIhZZy4 - transcript (automated).pdf","Transcript Link")</f>
        <v>Transcript Link</v>
      </c>
    </row>
    <row r="835" ht="165" spans="1:13">
      <c r="A835" s="1" t="s">
        <v>3992</v>
      </c>
      <c r="B835" s="1" t="s">
        <v>13</v>
      </c>
      <c r="C835" s="4" t="s">
        <v>3993</v>
      </c>
      <c r="D835" s="1" t="s">
        <v>3994</v>
      </c>
      <c r="E835" s="1" t="s">
        <v>3995</v>
      </c>
      <c r="F835" s="4" t="s">
        <v>17</v>
      </c>
      <c r="G835" s="1" t="s">
        <v>18</v>
      </c>
      <c r="H835" s="1" t="s">
        <v>19</v>
      </c>
      <c r="I835" s="1" t="s">
        <v>20</v>
      </c>
      <c r="J835" s="1" t="s">
        <v>3996</v>
      </c>
      <c r="K835" s="1" t="s">
        <v>22</v>
      </c>
      <c r="L835" s="1" t="str">
        <f>HYPERLINK("https://files.afu.se/Downloads/Transcripts/0%20-%20Government/USA%20-%20NASA/2018 11 16 - NASA - We Are NASA_WeA7edXsU40 - transcript (automated).pdf","Transcript Link")</f>
        <v>Transcript Link</v>
      </c>
      <c r="M835" s="2" t="str">
        <f>HYPERLINK("https://files.afu.se/Downloads/Transcripts/0%20-%20Government/USA%20-%20NASA/2018 11 16 - NASA - We Are NASA_WeA7edXsU40 - transcript (automated).pdf","Transcript Link")</f>
        <v>Transcript Link</v>
      </c>
    </row>
    <row r="836" ht="165" spans="1:13">
      <c r="A836" s="1" t="s">
        <v>3997</v>
      </c>
      <c r="B836" s="1" t="s">
        <v>13</v>
      </c>
      <c r="C836" s="4" t="s">
        <v>3998</v>
      </c>
      <c r="D836" s="1" t="s">
        <v>3999</v>
      </c>
      <c r="E836" s="1" t="s">
        <v>4000</v>
      </c>
      <c r="F836" s="4" t="s">
        <v>17</v>
      </c>
      <c r="G836" s="1" t="s">
        <v>18</v>
      </c>
      <c r="H836" s="1" t="s">
        <v>19</v>
      </c>
      <c r="I836" s="1" t="s">
        <v>20</v>
      </c>
      <c r="J836" s="1" t="s">
        <v>4001</v>
      </c>
      <c r="K836" s="1" t="s">
        <v>22</v>
      </c>
      <c r="L836" s="1" t="str">
        <f>HYPERLINK("https://files.afu.se/Downloads/Transcripts/0%20-%20Government/USA%20-%20NASA/2018 11 15 - NASA - NASA Explorers  Glacial Pace_oFHy8vaP_Bw - transcript (automated).pdf","Transcript Link")</f>
        <v>Transcript Link</v>
      </c>
      <c r="M836" s="2" t="str">
        <f>HYPERLINK("https://files.afu.se/Downloads/Transcripts/0%20-%20Government/USA%20-%20NASA/2018 11 15 - NASA - NASA Explorers  Glacial Pace_oFHy8vaP_Bw - transcript (automated).pdf","Transcript Link")</f>
        <v>Transcript Link</v>
      </c>
    </row>
    <row r="837" ht="165" spans="1:13">
      <c r="A837" s="1" t="s">
        <v>4002</v>
      </c>
      <c r="B837" s="1" t="s">
        <v>13</v>
      </c>
      <c r="C837" s="4" t="s">
        <v>4003</v>
      </c>
      <c r="D837" s="1" t="s">
        <v>4004</v>
      </c>
      <c r="E837" s="1" t="s">
        <v>4005</v>
      </c>
      <c r="F837" s="4" t="s">
        <v>17</v>
      </c>
      <c r="G837" s="1" t="s">
        <v>18</v>
      </c>
      <c r="H837" s="1" t="s">
        <v>19</v>
      </c>
      <c r="I837" s="1" t="s">
        <v>20</v>
      </c>
      <c r="J837" s="1" t="s">
        <v>4006</v>
      </c>
      <c r="K837" s="1" t="s">
        <v>22</v>
      </c>
      <c r="L837" s="1" t="str">
        <f>HYPERLINK("https://files.afu.se/Downloads/Transcripts/0%20-%20Government/USA%20-%20NASA/2018 11 14 - NASA - Northrop Grumman CRS-10 Mission to the Space Station  What's On Board _q09lz9q3-yM - transcript (automated).pdf","Transcript Link")</f>
        <v>Transcript Link</v>
      </c>
      <c r="M837" s="2" t="str">
        <f>HYPERLINK("https://files.afu.se/Downloads/Transcripts/0%20-%20Government/USA%20-%20NASA/2018 11 14 - NASA - Northrop Grumman CRS-10 Mission to the Space Station  What's On Board _q09lz9q3-yM - transcript (automated).pdf","Transcript Link")</f>
        <v>Transcript Link</v>
      </c>
    </row>
    <row r="838" ht="165" spans="1:13">
      <c r="A838" s="1" t="s">
        <v>4007</v>
      </c>
      <c r="B838" s="1" t="s">
        <v>13</v>
      </c>
      <c r="C838" s="4" t="s">
        <v>4008</v>
      </c>
      <c r="D838" s="1" t="s">
        <v>4009</v>
      </c>
      <c r="E838" s="1" t="s">
        <v>4010</v>
      </c>
      <c r="F838" s="4" t="s">
        <v>17</v>
      </c>
      <c r="G838" s="1" t="s">
        <v>18</v>
      </c>
      <c r="H838" s="1" t="s">
        <v>19</v>
      </c>
      <c r="I838" s="1" t="s">
        <v>20</v>
      </c>
      <c r="J838" s="1" t="s">
        <v>4011</v>
      </c>
      <c r="K838" s="1" t="s">
        <v>22</v>
      </c>
      <c r="L838" s="1" t="str">
        <f>HYPERLINK("https://files.afu.se/Downloads/Transcripts/0%20-%20Government/USA%20-%20NASA/2018 11 11 - NASA - NASA Administrator Jim Bridenstine Veterans Day Message__tVMaG7KLmY - transcript (automated).pdf","Transcript Link")</f>
        <v>Transcript Link</v>
      </c>
      <c r="M838" s="2" t="str">
        <f>HYPERLINK("https://files.afu.se/Downloads/Transcripts/0%20-%20Government/USA%20-%20NASA/2018 11 11 - NASA - NASA Administrator Jim Bridenstine Veterans Day Message__tVMaG7KLmY - transcript (automated).pdf","Transcript Link")</f>
        <v>Transcript Link</v>
      </c>
    </row>
    <row r="839" ht="165" spans="1:13">
      <c r="A839" s="1" t="s">
        <v>4012</v>
      </c>
      <c r="B839" s="1" t="s">
        <v>13</v>
      </c>
      <c r="C839" s="4" t="s">
        <v>4013</v>
      </c>
      <c r="D839" s="1" t="s">
        <v>4014</v>
      </c>
      <c r="E839" s="1" t="s">
        <v>4015</v>
      </c>
      <c r="F839" s="4" t="s">
        <v>17</v>
      </c>
      <c r="G839" s="1" t="s">
        <v>18</v>
      </c>
      <c r="H839" s="1" t="s">
        <v>19</v>
      </c>
      <c r="I839" s="1" t="s">
        <v>20</v>
      </c>
      <c r="J839" s="1" t="s">
        <v>4016</v>
      </c>
      <c r="K839" s="1" t="s">
        <v>22</v>
      </c>
      <c r="L839" s="1" t="str">
        <f>HYPERLINK("https://files.afu.se/Downloads/Transcripts/0%20-%20Government/USA%20-%20NASA/2018 11 09 - NASA - Parker Solar Probe “A okay” After Close Solar Approach on This Week @NASA – November 9, 2018_0e8U2wQ51l0 - transcript (automated).pdf","Transcript Link")</f>
        <v>Transcript Link</v>
      </c>
      <c r="M839" s="2" t="str">
        <f>HYPERLINK("https://files.afu.se/Downloads/Transcripts/0%20-%20Government/USA%20-%20NASA/2018 11 09 - NASA - Parker Solar Probe “A okay” After Close Solar Approach on This Week @NASA – November 9, 2018_0e8U2wQ51l0 - transcript (automated).pdf","Transcript Link")</f>
        <v>Transcript Link</v>
      </c>
    </row>
    <row r="840" ht="165" spans="1:13">
      <c r="A840" s="1" t="s">
        <v>4012</v>
      </c>
      <c r="B840" s="1" t="s">
        <v>13</v>
      </c>
      <c r="C840" s="4" t="s">
        <v>4017</v>
      </c>
      <c r="D840" s="1" t="s">
        <v>4018</v>
      </c>
      <c r="E840" s="1" t="s">
        <v>4019</v>
      </c>
      <c r="F840" s="4" t="s">
        <v>17</v>
      </c>
      <c r="G840" s="1" t="s">
        <v>18</v>
      </c>
      <c r="H840" s="1" t="s">
        <v>19</v>
      </c>
      <c r="I840" s="1" t="s">
        <v>20</v>
      </c>
      <c r="J840" s="1" t="s">
        <v>4020</v>
      </c>
      <c r="K840" s="1" t="s">
        <v>22</v>
      </c>
      <c r="L840" s="1" t="str">
        <f>HYPERLINK("https://files.afu.se/Downloads/Transcripts/0%20-%20Government/USA%20-%20NASA/2018 11 09 - NASA - NASA Explorers  Ice Odyssey_hrNRr4ChKWg - transcript (automated).pdf","Transcript Link")</f>
        <v>Transcript Link</v>
      </c>
      <c r="M840" s="2" t="str">
        <f>HYPERLINK("https://files.afu.se/Downloads/Transcripts/0%20-%20Government/USA%20-%20NASA/2018 11 09 - NASA - NASA Explorers  Ice Odyssey_hrNRr4ChKWg - transcript (automated).pdf","Transcript Link")</f>
        <v>Transcript Link</v>
      </c>
    </row>
    <row r="841" ht="330" spans="1:13">
      <c r="A841" s="1" t="s">
        <v>4021</v>
      </c>
      <c r="B841" s="1" t="s">
        <v>13</v>
      </c>
      <c r="C841" s="4" t="s">
        <v>4022</v>
      </c>
      <c r="D841" s="1" t="s">
        <v>4023</v>
      </c>
      <c r="E841" s="1" t="s">
        <v>4024</v>
      </c>
      <c r="F841" s="4" t="s">
        <v>17</v>
      </c>
      <c r="G841" s="1" t="s">
        <v>18</v>
      </c>
      <c r="H841" s="1" t="s">
        <v>19</v>
      </c>
      <c r="I841" s="1" t="s">
        <v>20</v>
      </c>
      <c r="J841" s="1" t="s">
        <v>4025</v>
      </c>
      <c r="K841" s="1" t="s">
        <v>22</v>
      </c>
      <c r="L841" s="1" t="str">
        <f>HYPERLINK("https://files.afu.se/Downloads/Transcripts/0%20-%20Government/USA%20-%20NASA/2018 11 08 - NASA - NASA's Test Orion Spacecraft in the Pacific Ocean at Sunset_XHpwtRkrxdw - transcript (automated).pdf","Transcript Link")</f>
        <v>Transcript Link</v>
      </c>
      <c r="M841" s="2" t="str">
        <f>HYPERLINK("https://files.afu.se/Downloads/Transcripts/0%20-%20Government/USA%20-%20NASA/2018 11 08 - NASA - NASA's Test Orion Spacecraft in the Pacific Ocean at Sunset_XHpwtRkrxdw - transcript (automated).pdf","Transcript Link")</f>
        <v>Transcript Link</v>
      </c>
    </row>
    <row r="842" ht="409.5" spans="1:13">
      <c r="A842" s="1" t="s">
        <v>4026</v>
      </c>
      <c r="B842" s="1" t="s">
        <v>13</v>
      </c>
      <c r="C842" s="4" t="s">
        <v>4027</v>
      </c>
      <c r="D842" s="1" t="s">
        <v>4028</v>
      </c>
      <c r="E842" s="1" t="s">
        <v>4029</v>
      </c>
      <c r="F842" s="4" t="s">
        <v>17</v>
      </c>
      <c r="G842" s="1" t="s">
        <v>18</v>
      </c>
      <c r="H842" s="1" t="s">
        <v>19</v>
      </c>
      <c r="I842" s="1" t="s">
        <v>20</v>
      </c>
      <c r="J842" s="1" t="s">
        <v>4030</v>
      </c>
      <c r="K842" s="1" t="s">
        <v>22</v>
      </c>
      <c r="L842" s="1" t="str">
        <f>HYPERLINK("https://files.afu.se/Downloads/Transcripts/0%20-%20Government/USA%20-%20NASA/2018 11 06 - NASA - ICON Mission Is Go for Launch_8jdFlRDEkAA - transcript (automated).pdf","Transcript Link")</f>
        <v>Transcript Link</v>
      </c>
      <c r="M842" s="2" t="str">
        <f>HYPERLINK("https://files.afu.se/Downloads/Transcripts/0%20-%20Government/USA%20-%20NASA/2018 11 06 - NASA - ICON Mission Is Go for Launch_8jdFlRDEkAA - transcript (automated).pdf","Transcript Link")</f>
        <v>Transcript Link</v>
      </c>
    </row>
    <row r="843" ht="165" spans="1:13">
      <c r="A843" s="1" t="s">
        <v>4031</v>
      </c>
      <c r="B843" s="1" t="s">
        <v>13</v>
      </c>
      <c r="C843" s="4" t="s">
        <v>4032</v>
      </c>
      <c r="D843" s="1" t="s">
        <v>4033</v>
      </c>
      <c r="E843" s="1" t="s">
        <v>4034</v>
      </c>
      <c r="F843" s="4" t="s">
        <v>17</v>
      </c>
      <c r="G843" s="1" t="s">
        <v>18</v>
      </c>
      <c r="H843" s="1" t="s">
        <v>19</v>
      </c>
      <c r="I843" s="1" t="s">
        <v>20</v>
      </c>
      <c r="J843" s="1" t="s">
        <v>4035</v>
      </c>
      <c r="K843" s="1" t="s">
        <v>22</v>
      </c>
      <c r="L843" s="1" t="str">
        <f>HYPERLINK("https://files.afu.se/Downloads/Transcripts/0%20-%20Government/USA%20-%20NASA/2018 11 02 - NASA - The Closest Spacecraft to the Sun on This Week @NASA – November 2, 2018_le6NhxabmHs - transcript (automated).pdf","Transcript Link")</f>
        <v>Transcript Link</v>
      </c>
      <c r="M843" s="2" t="str">
        <f>HYPERLINK("https://files.afu.se/Downloads/Transcripts/0%20-%20Government/USA%20-%20NASA/2018 11 02 - NASA - The Closest Spacecraft to the Sun on This Week @NASA – November 2, 2018_le6NhxabmHs - transcript (automated).pdf","Transcript Link")</f>
        <v>Transcript Link</v>
      </c>
    </row>
    <row r="844" ht="409.5" spans="1:13">
      <c r="A844" s="1" t="s">
        <v>4031</v>
      </c>
      <c r="B844" s="1" t="s">
        <v>13</v>
      </c>
      <c r="C844" s="4" t="s">
        <v>4036</v>
      </c>
      <c r="D844" s="1" t="s">
        <v>4037</v>
      </c>
      <c r="E844" s="1" t="s">
        <v>4038</v>
      </c>
      <c r="F844" s="4" t="s">
        <v>17</v>
      </c>
      <c r="G844" s="1" t="s">
        <v>18</v>
      </c>
      <c r="H844" s="1" t="s">
        <v>19</v>
      </c>
      <c r="I844" s="1" t="s">
        <v>20</v>
      </c>
      <c r="J844" s="1" t="s">
        <v>4039</v>
      </c>
      <c r="K844" s="1" t="s">
        <v>22</v>
      </c>
      <c r="L844" s="1" t="str">
        <f>HYPERLINK("https://files.afu.se/Downloads/Transcripts/0%20-%20Government/USA%20-%20NASA/2018 11 02 - NASA - First 8K Video from Space - Ultra HD_7k2uKb9vCOI - transcript (automated).pdf","Transcript Link")</f>
        <v>Transcript Link</v>
      </c>
      <c r="M844" s="2" t="str">
        <f>HYPERLINK("https://files.afu.se/Downloads/Transcripts/0%20-%20Government/USA%20-%20NASA/2018 11 02 - NASA - First 8K Video from Space - Ultra HD_7k2uKb9vCOI - transcript (automated).pdf","Transcript Link")</f>
        <v>Transcript Link</v>
      </c>
    </row>
    <row r="845" ht="165" spans="1:13">
      <c r="A845" s="1" t="s">
        <v>4040</v>
      </c>
      <c r="B845" s="1" t="s">
        <v>13</v>
      </c>
      <c r="C845" s="4" t="s">
        <v>4041</v>
      </c>
      <c r="D845" s="1" t="s">
        <v>4042</v>
      </c>
      <c r="E845" s="1" t="s">
        <v>4043</v>
      </c>
      <c r="F845" s="4" t="s">
        <v>17</v>
      </c>
      <c r="G845" s="1" t="s">
        <v>18</v>
      </c>
      <c r="H845" s="1" t="s">
        <v>19</v>
      </c>
      <c r="I845" s="1" t="s">
        <v>20</v>
      </c>
      <c r="J845" s="1" t="s">
        <v>4044</v>
      </c>
      <c r="K845" s="1" t="s">
        <v>22</v>
      </c>
      <c r="L845" s="1" t="str">
        <f>HYPERLINK("https://files.afu.se/Downloads/Transcripts/0%20-%20Government/USA%20-%20NASA/2018 11 01 - NASA - Dusk for Dawn, NASA's Mission to the Asteroid Belt_a3NF-r98y1M - transcript (automated).pdf","Transcript Link")</f>
        <v>Transcript Link</v>
      </c>
      <c r="M845" s="2" t="str">
        <f>HYPERLINK("https://files.afu.se/Downloads/Transcripts/0%20-%20Government/USA%20-%20NASA/2018 11 01 - NASA - Dusk for Dawn, NASA's Mission to the Asteroid Belt_a3NF-r98y1M - transcript (automated).pdf","Transcript Link")</f>
        <v>Transcript Link</v>
      </c>
    </row>
    <row r="846" ht="165" spans="1:13">
      <c r="A846" s="1" t="s">
        <v>4045</v>
      </c>
      <c r="B846" s="1" t="s">
        <v>13</v>
      </c>
      <c r="C846" s="4" t="s">
        <v>4046</v>
      </c>
      <c r="D846" s="1" t="s">
        <v>4047</v>
      </c>
      <c r="E846" s="1" t="s">
        <v>4048</v>
      </c>
      <c r="F846" s="4" t="s">
        <v>17</v>
      </c>
      <c r="G846" s="1" t="s">
        <v>18</v>
      </c>
      <c r="H846" s="1" t="s">
        <v>19</v>
      </c>
      <c r="I846" s="1" t="s">
        <v>20</v>
      </c>
      <c r="J846" s="1" t="s">
        <v>4049</v>
      </c>
      <c r="K846" s="1" t="s">
        <v>22</v>
      </c>
      <c r="L846" s="1" t="str">
        <f>HYPERLINK("https://files.afu.se/Downloads/Transcripts/0%20-%20Government/USA%20-%20NASA/2018 10 31 - NASA - NASA Explorers  The Snow Below_60D5EWLb20Y - transcript (automated).pdf","Transcript Link")</f>
        <v>Transcript Link</v>
      </c>
      <c r="M846" s="2" t="str">
        <f>HYPERLINK("https://files.afu.se/Downloads/Transcripts/0%20-%20Government/USA%20-%20NASA/2018 10 31 - NASA - NASA Explorers  The Snow Below_60D5EWLb20Y - transcript (automated).pdf","Transcript Link")</f>
        <v>Transcript Link</v>
      </c>
    </row>
    <row r="847" ht="165" spans="1:13">
      <c r="A847" s="1" t="s">
        <v>4045</v>
      </c>
      <c r="B847" s="1" t="s">
        <v>13</v>
      </c>
      <c r="C847" s="4" t="s">
        <v>4050</v>
      </c>
      <c r="D847" s="1" t="s">
        <v>4051</v>
      </c>
      <c r="E847" s="1" t="s">
        <v>4052</v>
      </c>
      <c r="F847" s="4" t="s">
        <v>17</v>
      </c>
      <c r="G847" s="1" t="s">
        <v>18</v>
      </c>
      <c r="H847" s="1" t="s">
        <v>19</v>
      </c>
      <c r="I847" s="1" t="s">
        <v>20</v>
      </c>
      <c r="J847" s="1" t="s">
        <v>4053</v>
      </c>
      <c r="K847" s="1" t="s">
        <v>22</v>
      </c>
      <c r="L847" s="1" t="str">
        <f>HYPERLINK("https://files.afu.se/Downloads/Transcripts/0%20-%20Government/USA%20-%20NASA/2018 10 31 - NASA - Legacy of NASA’s Kepler Space Telescope  More Planets Than Stars__V7J05fK5e0 - transcript (automated).pdf","Transcript Link")</f>
        <v>Transcript Link</v>
      </c>
      <c r="M847" s="2" t="str">
        <f>HYPERLINK("https://files.afu.se/Downloads/Transcripts/0%20-%20Government/USA%20-%20NASA/2018 10 31 - NASA - Legacy of NASA’s Kepler Space Telescope  More Planets Than Stars__V7J05fK5e0 - transcript (automated).pdf","Transcript Link")</f>
        <v>Transcript Link</v>
      </c>
    </row>
    <row r="848" ht="165" spans="1:13">
      <c r="A848" s="1" t="s">
        <v>4054</v>
      </c>
      <c r="B848" s="1" t="s">
        <v>13</v>
      </c>
      <c r="C848" s="4" t="s">
        <v>4055</v>
      </c>
      <c r="D848" s="1" t="s">
        <v>3119</v>
      </c>
      <c r="E848" s="1" t="s">
        <v>4056</v>
      </c>
      <c r="F848" s="4" t="s">
        <v>17</v>
      </c>
      <c r="G848" s="1" t="s">
        <v>18</v>
      </c>
      <c r="H848" s="1" t="s">
        <v>19</v>
      </c>
      <c r="I848" s="1" t="s">
        <v>20</v>
      </c>
      <c r="J848" s="1" t="s">
        <v>4057</v>
      </c>
      <c r="K848" s="1" t="s">
        <v>22</v>
      </c>
      <c r="L848" s="1" t="str">
        <f>HYPERLINK("https://files.afu.se/Downloads/Transcripts/0%20-%20Government/USA%20-%20NASA/2018 10 30 - NASA - Happy Halloween from NASA_tznqvq2Po8o - transcript (automated).pdf","Transcript Link")</f>
        <v>Transcript Link</v>
      </c>
      <c r="M848" s="2" t="str">
        <f>HYPERLINK("https://files.afu.se/Downloads/Transcripts/0%20-%20Government/USA%20-%20NASA/2018 10 30 - NASA - Happy Halloween from NASA_tznqvq2Po8o - transcript (automated).pdf","Transcript Link")</f>
        <v>Transcript Link</v>
      </c>
    </row>
    <row r="849" ht="165" spans="1:13">
      <c r="A849" s="1" t="s">
        <v>4058</v>
      </c>
      <c r="B849" s="1" t="s">
        <v>13</v>
      </c>
      <c r="C849" s="4" t="s">
        <v>4059</v>
      </c>
      <c r="D849" s="1" t="s">
        <v>4060</v>
      </c>
      <c r="E849" s="1" t="s">
        <v>4061</v>
      </c>
      <c r="F849" s="4" t="s">
        <v>17</v>
      </c>
      <c r="G849" s="1" t="s">
        <v>18</v>
      </c>
      <c r="H849" s="1" t="s">
        <v>19</v>
      </c>
      <c r="I849" s="1" t="s">
        <v>20</v>
      </c>
      <c r="J849" s="1" t="s">
        <v>4062</v>
      </c>
      <c r="K849" s="1" t="s">
        <v>22</v>
      </c>
      <c r="L849" s="1" t="str">
        <f>HYPERLINK("https://files.afu.se/Downloads/Transcripts/0%20-%20Government/USA%20-%20NASA/2018 10 28 - NASA - Supersonic Parachute for NASA's Mars 2020 Rover Is Go_1Lb-r9-Dczw - transcript (automated).pdf","Transcript Link")</f>
        <v>Transcript Link</v>
      </c>
      <c r="M849" s="2" t="str">
        <f>HYPERLINK("https://files.afu.se/Downloads/Transcripts/0%20-%20Government/USA%20-%20NASA/2018 10 28 - NASA - Supersonic Parachute for NASA's Mars 2020 Rover Is Go_1Lb-r9-Dczw - transcript (automated).pdf","Transcript Link")</f>
        <v>Transcript Link</v>
      </c>
    </row>
    <row r="850" ht="165" spans="1:13">
      <c r="A850" s="1" t="s">
        <v>4063</v>
      </c>
      <c r="B850" s="1" t="s">
        <v>13</v>
      </c>
      <c r="C850" s="4" t="s">
        <v>4064</v>
      </c>
      <c r="D850" s="1" t="s">
        <v>4065</v>
      </c>
      <c r="E850" s="1" t="s">
        <v>4066</v>
      </c>
      <c r="F850" s="4" t="s">
        <v>17</v>
      </c>
      <c r="G850" s="1" t="s">
        <v>18</v>
      </c>
      <c r="H850" s="1" t="s">
        <v>19</v>
      </c>
      <c r="I850" s="1" t="s">
        <v>20</v>
      </c>
      <c r="J850" s="1" t="s">
        <v>4067</v>
      </c>
      <c r="K850" s="1" t="s">
        <v>22</v>
      </c>
      <c r="L850" s="1" t="str">
        <f>HYPERLINK("https://files.afu.se/Downloads/Transcripts/0%20-%20Government/USA%20-%20NASA/2018 10 26 - NASA - Talking Moon to Mars and more on This Week @NASA – October 26, 2018_mi2PCuGSllo - transcript (automated).pdf","Transcript Link")</f>
        <v>Transcript Link</v>
      </c>
      <c r="M850" s="2" t="str">
        <f>HYPERLINK("https://files.afu.se/Downloads/Transcripts/0%20-%20Government/USA%20-%20NASA/2018 10 26 - NASA - Talking Moon to Mars and more on This Week @NASA – October 26, 2018_mi2PCuGSllo - transcript (automated).pdf","Transcript Link")</f>
        <v>Transcript Link</v>
      </c>
    </row>
    <row r="851" ht="165" spans="1:13">
      <c r="A851" s="1" t="s">
        <v>4068</v>
      </c>
      <c r="B851" s="1" t="s">
        <v>13</v>
      </c>
      <c r="C851" s="4" t="s">
        <v>4069</v>
      </c>
      <c r="D851" s="1" t="s">
        <v>4070</v>
      </c>
      <c r="E851" s="1" t="s">
        <v>4071</v>
      </c>
      <c r="F851" s="4" t="s">
        <v>17</v>
      </c>
      <c r="G851" s="1" t="s">
        <v>18</v>
      </c>
      <c r="H851" s="1" t="s">
        <v>19</v>
      </c>
      <c r="I851" s="1" t="s">
        <v>20</v>
      </c>
      <c r="J851" s="1" t="s">
        <v>4072</v>
      </c>
      <c r="K851" s="1" t="s">
        <v>22</v>
      </c>
      <c r="L851" s="1" t="str">
        <f>HYPERLINK("https://files.afu.se/Downloads/Transcripts/0%20-%20Government/USA%20-%20NASA/2018 10 25 - NASA - Life at the Lab  Predicting Severe Weather_cToazVt_aCc - transcript (automated).pdf","Transcript Link")</f>
        <v>Transcript Link</v>
      </c>
      <c r="M851" s="2" t="str">
        <f>HYPERLINK("https://files.afu.se/Downloads/Transcripts/0%20-%20Government/USA%20-%20NASA/2018 10 25 - NASA - Life at the Lab  Predicting Severe Weather_cToazVt_aCc - transcript (automated).pdf","Transcript Link")</f>
        <v>Transcript Link</v>
      </c>
    </row>
    <row r="852" ht="165" spans="1:13">
      <c r="A852" s="1" t="s">
        <v>4073</v>
      </c>
      <c r="B852" s="1" t="s">
        <v>13</v>
      </c>
      <c r="C852" s="4" t="s">
        <v>4074</v>
      </c>
      <c r="D852" s="1" t="s">
        <v>4075</v>
      </c>
      <c r="E852" s="1" t="s">
        <v>4076</v>
      </c>
      <c r="F852" s="4" t="s">
        <v>17</v>
      </c>
      <c r="G852" s="1" t="s">
        <v>18</v>
      </c>
      <c r="H852" s="1" t="s">
        <v>19</v>
      </c>
      <c r="I852" s="1" t="s">
        <v>20</v>
      </c>
      <c r="J852" s="1" t="s">
        <v>4077</v>
      </c>
      <c r="K852" s="1" t="s">
        <v>22</v>
      </c>
      <c r="L852" s="1" t="str">
        <f>HYPERLINK("https://files.afu.se/Downloads/Transcripts/0%20-%20Government/USA%20-%20NASA/2018 10 24 - NASA - NASA Explorers  Cryosphere - The Big Thaw_L2H_vIqyWTU - transcript (automated).pdf","Transcript Link")</f>
        <v>Transcript Link</v>
      </c>
      <c r="M852" s="2" t="str">
        <f>HYPERLINK("https://files.afu.se/Downloads/Transcripts/0%20-%20Government/USA%20-%20NASA/2018 10 24 - NASA - NASA Explorers  Cryosphere - The Big Thaw_L2H_vIqyWTU - transcript (automated).pdf","Transcript Link")</f>
        <v>Transcript Link</v>
      </c>
    </row>
    <row r="853" ht="210" spans="1:13">
      <c r="A853" s="1" t="s">
        <v>4073</v>
      </c>
      <c r="B853" s="1" t="s">
        <v>13</v>
      </c>
      <c r="C853" s="4" t="s">
        <v>4078</v>
      </c>
      <c r="D853" s="1" t="s">
        <v>4079</v>
      </c>
      <c r="E853" s="1" t="s">
        <v>4080</v>
      </c>
      <c r="F853" s="4" t="s">
        <v>17</v>
      </c>
      <c r="G853" s="1" t="s">
        <v>18</v>
      </c>
      <c r="H853" s="1" t="s">
        <v>19</v>
      </c>
      <c r="I853" s="1" t="s">
        <v>20</v>
      </c>
      <c r="J853" s="1" t="s">
        <v>4081</v>
      </c>
      <c r="K853" s="1" t="s">
        <v>22</v>
      </c>
      <c r="L853" s="1" t="str">
        <f>HYPERLINK("https://files.afu.se/Downloads/Transcripts/0%20-%20Government/USA%20-%20NASA/2018 10 24 - NASA - Flight Over a Rectangular Iceberg in the Antarctic_3KrToNURGvI - transcript (automated).pdf","Transcript Link")</f>
        <v>Transcript Link</v>
      </c>
      <c r="M853" s="2" t="str">
        <f>HYPERLINK("https://files.afu.se/Downloads/Transcripts/0%20-%20Government/USA%20-%20NASA/2018 10 24 - NASA - Flight Over a Rectangular Iceberg in the Antarctic_3KrToNURGvI - transcript (automated).pdf","Transcript Link")</f>
        <v>Transcript Link</v>
      </c>
    </row>
    <row r="854" ht="165" spans="1:13">
      <c r="A854" s="1" t="s">
        <v>4082</v>
      </c>
      <c r="B854" s="1" t="s">
        <v>13</v>
      </c>
      <c r="C854" s="4" t="s">
        <v>4083</v>
      </c>
      <c r="D854" s="1" t="s">
        <v>4084</v>
      </c>
      <c r="E854" s="1" t="s">
        <v>4085</v>
      </c>
      <c r="F854" s="4" t="s">
        <v>17</v>
      </c>
      <c r="G854" s="1" t="s">
        <v>18</v>
      </c>
      <c r="H854" s="1" t="s">
        <v>19</v>
      </c>
      <c r="I854" s="1" t="s">
        <v>20</v>
      </c>
      <c r="J854" s="1" t="s">
        <v>4086</v>
      </c>
      <c r="K854" s="1" t="s">
        <v>22</v>
      </c>
      <c r="L854" s="1" t="str">
        <f>HYPERLINK("https://files.afu.se/Downloads/Transcripts/0%20-%20Government/USA%20-%20NASA/2018 10 23 - NASA - NASA Explorers  Cryosphere Trailer_g9dNgHGtHqU - transcript (automated).pdf","Transcript Link")</f>
        <v>Transcript Link</v>
      </c>
      <c r="M854" s="2" t="str">
        <f>HYPERLINK("https://files.afu.se/Downloads/Transcripts/0%20-%20Government/USA%20-%20NASA/2018 10 23 - NASA - NASA Explorers  Cryosphere Trailer_g9dNgHGtHqU - transcript (automated).pdf","Transcript Link")</f>
        <v>Transcript Link</v>
      </c>
    </row>
    <row r="855" ht="240" spans="1:13">
      <c r="A855" s="1" t="s">
        <v>4082</v>
      </c>
      <c r="B855" s="1" t="s">
        <v>13</v>
      </c>
      <c r="C855" s="4" t="s">
        <v>4087</v>
      </c>
      <c r="D855" s="1" t="s">
        <v>4088</v>
      </c>
      <c r="E855" s="1" t="s">
        <v>4089</v>
      </c>
      <c r="F855" s="4" t="s">
        <v>17</v>
      </c>
      <c r="G855" s="1" t="s">
        <v>18</v>
      </c>
      <c r="H855" s="1" t="s">
        <v>19</v>
      </c>
      <c r="I855" s="1" t="s">
        <v>20</v>
      </c>
      <c r="J855" s="1" t="s">
        <v>4090</v>
      </c>
      <c r="K855" s="1" t="s">
        <v>22</v>
      </c>
      <c r="L855" s="1" t="str">
        <f>HYPERLINK("https://files.afu.se/Downloads/Transcripts/0%20-%20Government/USA%20-%20NASA/2018 10 23 - NASA - Administrator Bridenstine Joins Washington Post Discussion  The New Space Age_hLP_IQJ8Tso - transcript (automated).pdf","Transcript Link")</f>
        <v>Transcript Link</v>
      </c>
      <c r="M855" s="2" t="str">
        <f>HYPERLINK("https://files.afu.se/Downloads/Transcripts/0%20-%20Government/USA%20-%20NASA/2018 10 23 - NASA - Administrator Bridenstine Joins Washington Post Discussion  The New Space Age_hLP_IQJ8Tso - transcript (automated).pdf","Transcript Link")</f>
        <v>Transcript Link</v>
      </c>
    </row>
    <row r="856" ht="165" spans="1:13">
      <c r="A856" s="1" t="s">
        <v>4091</v>
      </c>
      <c r="B856" s="1" t="s">
        <v>13</v>
      </c>
      <c r="C856" s="4" t="s">
        <v>4092</v>
      </c>
      <c r="D856" s="1" t="s">
        <v>4093</v>
      </c>
      <c r="E856" s="1" t="s">
        <v>4094</v>
      </c>
      <c r="F856" s="4" t="s">
        <v>17</v>
      </c>
      <c r="G856" s="1" t="s">
        <v>18</v>
      </c>
      <c r="H856" s="1" t="s">
        <v>19</v>
      </c>
      <c r="I856" s="1" t="s">
        <v>20</v>
      </c>
      <c r="J856" s="1" t="s">
        <v>4095</v>
      </c>
      <c r="K856" s="1" t="s">
        <v>22</v>
      </c>
      <c r="L856" s="1" t="str">
        <f>HYPERLINK("https://files.afu.se/Downloads/Transcripts/0%20-%20Government/USA%20-%20NASA/2018 10 22 - NASA - Take a Tour of Distant Cosmic Object GRB150101B_ur5txa42D9I - transcript (automated).pdf","Transcript Link")</f>
        <v>Transcript Link</v>
      </c>
      <c r="M856" s="2" t="str">
        <f>HYPERLINK("https://files.afu.se/Downloads/Transcripts/0%20-%20Government/USA%20-%20NASA/2018 10 22 - NASA - Take a Tour of Distant Cosmic Object GRB150101B_ur5txa42D9I - transcript (automated).pdf","Transcript Link")</f>
        <v>Transcript Link</v>
      </c>
    </row>
    <row r="857" ht="409.5" spans="1:13">
      <c r="A857" s="1" t="s">
        <v>4096</v>
      </c>
      <c r="B857" s="1" t="s">
        <v>13</v>
      </c>
      <c r="C857" s="4" t="s">
        <v>4097</v>
      </c>
      <c r="D857" s="1" t="s">
        <v>4098</v>
      </c>
      <c r="E857" s="1" t="s">
        <v>4099</v>
      </c>
      <c r="F857" s="4" t="s">
        <v>17</v>
      </c>
      <c r="G857" s="1" t="s">
        <v>18</v>
      </c>
      <c r="H857" s="1" t="s">
        <v>19</v>
      </c>
      <c r="I857" s="1" t="s">
        <v>20</v>
      </c>
      <c r="J857" s="1" t="s">
        <v>4100</v>
      </c>
      <c r="K857" s="1" t="s">
        <v>22</v>
      </c>
      <c r="L857" s="1" t="str">
        <f>HYPERLINK("https://files.afu.se/Downloads/Transcripts/0%20-%20Government/USA%20-%20NASA/2018 10 20 - NASA - Clair de Lune 4K Version - Moon Images from NASA's Lunar Reconnaissance Orbiter_cFC71rFejvo - transcript (automated).pdf","Transcript Link")</f>
        <v>Transcript Link</v>
      </c>
      <c r="M857" s="2" t="str">
        <f>HYPERLINK("https://files.afu.se/Downloads/Transcripts/0%20-%20Government/USA%20-%20NASA/2018 10 20 - NASA - Clair de Lune 4K Version - Moon Images from NASA's Lunar Reconnaissance Orbiter_cFC71rFejvo - transcript (automated).pdf","Transcript Link")</f>
        <v>Transcript Link</v>
      </c>
    </row>
    <row r="858" ht="409.5" spans="1:13">
      <c r="A858" s="1" t="s">
        <v>4096</v>
      </c>
      <c r="B858" s="1" t="s">
        <v>13</v>
      </c>
      <c r="C858" s="4" t="s">
        <v>4101</v>
      </c>
      <c r="D858" s="1" t="s">
        <v>4102</v>
      </c>
      <c r="E858" s="1" t="s">
        <v>4103</v>
      </c>
      <c r="F858" s="4" t="s">
        <v>17</v>
      </c>
      <c r="G858" s="1" t="s">
        <v>18</v>
      </c>
      <c r="H858" s="1" t="s">
        <v>19</v>
      </c>
      <c r="I858" s="1" t="s">
        <v>20</v>
      </c>
      <c r="J858" s="1" t="s">
        <v>4104</v>
      </c>
      <c r="K858" s="1" t="s">
        <v>22</v>
      </c>
      <c r="L858" s="1" t="str">
        <f>HYPERLINK("https://files.afu.se/Downloads/Transcripts/0%20-%20Government/USA%20-%20NASA/2018 10 20 - NASA - NASA Administrator Talks Training, Future Missions with Newest Astronaut Class_QcFmSH9GY2k - transcript (automated).pdf","Transcript Link")</f>
        <v>Transcript Link</v>
      </c>
      <c r="M858" s="2" t="str">
        <f>HYPERLINK("https://files.afu.se/Downloads/Transcripts/0%20-%20Government/USA%20-%20NASA/2018 10 20 - NASA - NASA Administrator Talks Training, Future Missions with Newest Astronaut Class_QcFmSH9GY2k - transcript (automated).pdf","Transcript Link")</f>
        <v>Transcript Link</v>
      </c>
    </row>
    <row r="859" ht="165" spans="1:13">
      <c r="A859" s="1" t="s">
        <v>4105</v>
      </c>
      <c r="B859" s="1" t="s">
        <v>13</v>
      </c>
      <c r="C859" s="4" t="s">
        <v>4106</v>
      </c>
      <c r="D859" s="1" t="s">
        <v>4107</v>
      </c>
      <c r="E859" s="1" t="s">
        <v>4108</v>
      </c>
      <c r="F859" s="4" t="s">
        <v>17</v>
      </c>
      <c r="G859" s="1" t="s">
        <v>18</v>
      </c>
      <c r="H859" s="1" t="s">
        <v>19</v>
      </c>
      <c r="I859" s="1" t="s">
        <v>20</v>
      </c>
      <c r="J859" s="1" t="s">
        <v>4109</v>
      </c>
      <c r="K859" s="1" t="s">
        <v>22</v>
      </c>
      <c r="L859" s="1" t="str">
        <f>HYPERLINK("https://files.afu.se/Downloads/Transcripts/0%20-%20Government/USA%20-%20NASA/2018 10 19 - NASA - Administrator Bridenstine chats with astronaut Nick Hague on This Week @NASA – October 19, 2018_iauo11KsAPY - transcript (automated).pdf","Transcript Link")</f>
        <v>Transcript Link</v>
      </c>
      <c r="M859" s="2" t="str">
        <f>HYPERLINK("https://files.afu.se/Downloads/Transcripts/0%20-%20Government/USA%20-%20NASA/2018 10 19 - NASA - Administrator Bridenstine chats with astronaut Nick Hague on This Week @NASA – October 19, 2018_iauo11KsAPY - transcript (automated).pdf","Transcript Link")</f>
        <v>Transcript Link</v>
      </c>
    </row>
    <row r="860" ht="225" spans="1:13">
      <c r="A860" s="1" t="s">
        <v>4105</v>
      </c>
      <c r="B860" s="1" t="s">
        <v>13</v>
      </c>
      <c r="C860" s="4" t="s">
        <v>4110</v>
      </c>
      <c r="D860" s="1" t="s">
        <v>4111</v>
      </c>
      <c r="E860" s="1" t="s">
        <v>4112</v>
      </c>
      <c r="F860" s="4" t="s">
        <v>17</v>
      </c>
      <c r="G860" s="1" t="s">
        <v>18</v>
      </c>
      <c r="H860" s="1" t="s">
        <v>19</v>
      </c>
      <c r="I860" s="1" t="s">
        <v>20</v>
      </c>
      <c r="J860" s="1" t="s">
        <v>4113</v>
      </c>
      <c r="K860" s="1" t="s">
        <v>22</v>
      </c>
      <c r="L860" s="1" t="str">
        <f>HYPERLINK("https://files.afu.se/Downloads/Transcripts/0%20-%20Government/USA%20-%20NASA/2018 10 19 - NASA - Launch Pad Water Deluge System Test at NASA Kennedy Space Center_LNkmwrTjKuo - transcript (automated).pdf","Transcript Link")</f>
        <v>Transcript Link</v>
      </c>
      <c r="M860" s="2" t="str">
        <f>HYPERLINK("https://files.afu.se/Downloads/Transcripts/0%20-%20Government/USA%20-%20NASA/2018 10 19 - NASA - Launch Pad Water Deluge System Test at NASA Kennedy Space Center_LNkmwrTjKuo - transcript (automated).pdf","Transcript Link")</f>
        <v>Transcript Link</v>
      </c>
    </row>
    <row r="861" ht="165" spans="1:13">
      <c r="A861" s="1" t="s">
        <v>4114</v>
      </c>
      <c r="B861" s="1" t="s">
        <v>13</v>
      </c>
      <c r="C861" s="4" t="s">
        <v>4115</v>
      </c>
      <c r="D861" s="1" t="s">
        <v>4116</v>
      </c>
      <c r="E861" s="1" t="s">
        <v>4117</v>
      </c>
      <c r="F861" s="4" t="s">
        <v>17</v>
      </c>
      <c r="G861" s="1" t="s">
        <v>18</v>
      </c>
      <c r="H861" s="1" t="s">
        <v>19</v>
      </c>
      <c r="I861" s="1" t="s">
        <v>20</v>
      </c>
      <c r="J861" s="1" t="s">
        <v>4118</v>
      </c>
      <c r="K861" s="1" t="s">
        <v>22</v>
      </c>
      <c r="L861" s="1" t="str">
        <f>HYPERLINK("https://files.afu.se/Downloads/Transcripts/0%20-%20Government/USA%20-%20NASA/2018 10 18 - NASA - NASA's Dawn Mission Nears the End_40VBnLyrUyw - transcript (automated).pdf","Transcript Link")</f>
        <v>Transcript Link</v>
      </c>
      <c r="M861" s="2" t="str">
        <f>HYPERLINK("https://files.afu.se/Downloads/Transcripts/0%20-%20Government/USA%20-%20NASA/2018 10 18 - NASA - NASA's Dawn Mission Nears the End_40VBnLyrUyw - transcript (automated).pdf","Transcript Link")</f>
        <v>Transcript Link</v>
      </c>
    </row>
    <row r="862" ht="165" spans="1:13">
      <c r="A862" s="1" t="s">
        <v>4119</v>
      </c>
      <c r="B862" s="1" t="s">
        <v>13</v>
      </c>
      <c r="C862" s="4" t="s">
        <v>4120</v>
      </c>
      <c r="D862" s="1" t="s">
        <v>4121</v>
      </c>
      <c r="E862" s="1" t="s">
        <v>4122</v>
      </c>
      <c r="F862" s="4" t="s">
        <v>17</v>
      </c>
      <c r="G862" s="1" t="s">
        <v>18</v>
      </c>
      <c r="H862" s="1" t="s">
        <v>19</v>
      </c>
      <c r="I862" s="1" t="s">
        <v>20</v>
      </c>
      <c r="J862" s="1" t="s">
        <v>4123</v>
      </c>
      <c r="K862" s="1" t="s">
        <v>22</v>
      </c>
      <c r="L862" s="1" t="str">
        <f>HYPERLINK("https://files.afu.se/Downloads/Transcripts/0%20-%20Government/USA%20-%20NASA/2018 10 17 - NASA - NASA Administrator Bridenstine Talks With Astronaut Nick Hague_UTaE0_jrHk0 - transcript (automated).pdf","Transcript Link")</f>
        <v>Transcript Link</v>
      </c>
      <c r="M862" s="2" t="str">
        <f>HYPERLINK("https://files.afu.se/Downloads/Transcripts/0%20-%20Government/USA%20-%20NASA/2018 10 17 - NASA - NASA Administrator Bridenstine Talks With Astronaut Nick Hague_UTaE0_jrHk0 - transcript (automated).pdf","Transcript Link")</f>
        <v>Transcript Link</v>
      </c>
    </row>
    <row r="863" ht="195" spans="1:13">
      <c r="A863" s="1" t="s">
        <v>4119</v>
      </c>
      <c r="B863" s="1" t="s">
        <v>13</v>
      </c>
      <c r="C863" s="4" t="s">
        <v>4124</v>
      </c>
      <c r="D863" s="1" t="s">
        <v>4125</v>
      </c>
      <c r="E863" s="1" t="s">
        <v>4126</v>
      </c>
      <c r="F863" s="4" t="s">
        <v>17</v>
      </c>
      <c r="G863" s="1" t="s">
        <v>18</v>
      </c>
      <c r="H863" s="1" t="s">
        <v>19</v>
      </c>
      <c r="I863" s="1" t="s">
        <v>20</v>
      </c>
      <c r="J863" s="1" t="s">
        <v>4127</v>
      </c>
      <c r="K863" s="1" t="s">
        <v>22</v>
      </c>
      <c r="L863" s="1" t="str">
        <f>HYPERLINK("https://files.afu.se/Downloads/Transcripts/0%20-%20Government/USA%20-%20NASA/2018 10 17 - NASA - Q&amp;A with Astronaut Nick Hague on Launch Anomaly and Safe Landing_vqEpCDCnduU - transcript (automated).pdf","Transcript Link")</f>
        <v>Transcript Link</v>
      </c>
      <c r="M863" s="2" t="str">
        <f>HYPERLINK("https://files.afu.se/Downloads/Transcripts/0%20-%20Government/USA%20-%20NASA/2018 10 17 - NASA - Q&amp;A with Astronaut Nick Hague on Launch Anomaly and Safe Landing_vqEpCDCnduU - transcript (automated).pdf","Transcript Link")</f>
        <v>Transcript Link</v>
      </c>
    </row>
    <row r="864" ht="165" spans="1:13">
      <c r="A864" s="1" t="s">
        <v>4128</v>
      </c>
      <c r="B864" s="1" t="s">
        <v>13</v>
      </c>
      <c r="C864" s="4" t="s">
        <v>4129</v>
      </c>
      <c r="D864" s="1" t="s">
        <v>4130</v>
      </c>
      <c r="E864" s="1" t="s">
        <v>4131</v>
      </c>
      <c r="F864" s="4" t="s">
        <v>17</v>
      </c>
      <c r="G864" s="1" t="s">
        <v>18</v>
      </c>
      <c r="H864" s="1" t="s">
        <v>19</v>
      </c>
      <c r="I864" s="1" t="s">
        <v>20</v>
      </c>
      <c r="J864" s="1" t="s">
        <v>4132</v>
      </c>
      <c r="K864" s="1" t="s">
        <v>22</v>
      </c>
      <c r="L864" s="1" t="str">
        <f>HYPERLINK("https://files.afu.se/Downloads/Transcripts/0%20-%20Government/USA%20-%20NASA/2018 10 15 - NASA - NASA Employees Celebrate Hispanic Heritage Month_Vk2AkJmt6GQ - transcript (automated).pdf","Transcript Link")</f>
        <v>Transcript Link</v>
      </c>
      <c r="M864" s="2" t="str">
        <f>HYPERLINK("https://files.afu.se/Downloads/Transcripts/0%20-%20Government/USA%20-%20NASA/2018 10 15 - NASA - NASA Employees Celebrate Hispanic Heritage Month_Vk2AkJmt6GQ - transcript (automated).pdf","Transcript Link")</f>
        <v>Transcript Link</v>
      </c>
    </row>
    <row r="865" ht="165" spans="1:13">
      <c r="A865" s="1" t="s">
        <v>4128</v>
      </c>
      <c r="B865" s="1" t="s">
        <v>13</v>
      </c>
      <c r="C865" s="4" t="s">
        <v>4133</v>
      </c>
      <c r="D865" s="1" t="s">
        <v>4134</v>
      </c>
      <c r="E865" s="1" t="s">
        <v>4135</v>
      </c>
      <c r="F865" s="4" t="s">
        <v>17</v>
      </c>
      <c r="G865" s="1" t="s">
        <v>18</v>
      </c>
      <c r="H865" s="1" t="s">
        <v>19</v>
      </c>
      <c r="I865" s="1" t="s">
        <v>20</v>
      </c>
      <c r="J865" s="1" t="s">
        <v>4136</v>
      </c>
      <c r="K865" s="1" t="s">
        <v>22</v>
      </c>
      <c r="L865" s="1" t="str">
        <f>HYPERLINK("https://files.afu.se/Downloads/Transcripts/0%20-%20Government/USA%20-%20NASA/2018 10 15 - NASA - Space Station Science at 17,500 Miles Per Hour_jxlvbFOIXUk - transcript (automated).pdf","Transcript Link")</f>
        <v>Transcript Link</v>
      </c>
      <c r="M865" s="2" t="str">
        <f>HYPERLINK("https://files.afu.se/Downloads/Transcripts/0%20-%20Government/USA%20-%20NASA/2018 10 15 - NASA - Space Station Science at 17,500 Miles Per Hour_jxlvbFOIXUk - transcript (automated).pdf","Transcript Link")</f>
        <v>Transcript Link</v>
      </c>
    </row>
    <row r="866" ht="165" spans="1:13">
      <c r="A866" s="1" t="s">
        <v>4137</v>
      </c>
      <c r="B866" s="1" t="s">
        <v>13</v>
      </c>
      <c r="C866" s="4" t="s">
        <v>4138</v>
      </c>
      <c r="D866" s="1" t="s">
        <v>4139</v>
      </c>
      <c r="E866" s="1" t="s">
        <v>4140</v>
      </c>
      <c r="F866" s="4" t="s">
        <v>17</v>
      </c>
      <c r="G866" s="1" t="s">
        <v>18</v>
      </c>
      <c r="H866" s="1" t="s">
        <v>19</v>
      </c>
      <c r="I866" s="1" t="s">
        <v>20</v>
      </c>
      <c r="J866" s="1" t="s">
        <v>4141</v>
      </c>
      <c r="K866" s="1" t="s">
        <v>22</v>
      </c>
      <c r="L866" s="1" t="str">
        <f>HYPERLINK("https://files.afu.se/Downloads/Transcripts/0%20-%20Government/USA%20-%20NASA/2018 10 12 - NASA - Soyuz Crew Lands Safely After Launch Anomaly on This Week @NASA – October 12, 2018_KNElTfFtBL4 - transcript (automated).pdf","Transcript Link")</f>
        <v>Transcript Link</v>
      </c>
      <c r="M866" s="2" t="str">
        <f>HYPERLINK("https://files.afu.se/Downloads/Transcripts/0%20-%20Government/USA%20-%20NASA/2018 10 12 - NASA - Soyuz Crew Lands Safely After Launch Anomaly on This Week @NASA – October 12, 2018_KNElTfFtBL4 - transcript (automated).pdf","Transcript Link")</f>
        <v>Transcript Link</v>
      </c>
    </row>
    <row r="867" ht="165" spans="1:13">
      <c r="A867" s="1" t="s">
        <v>4137</v>
      </c>
      <c r="B867" s="1" t="s">
        <v>13</v>
      </c>
      <c r="C867" s="4" t="s">
        <v>4142</v>
      </c>
      <c r="D867" s="1" t="s">
        <v>4143</v>
      </c>
      <c r="E867" s="1" t="s">
        <v>4144</v>
      </c>
      <c r="F867" s="4" t="s">
        <v>17</v>
      </c>
      <c r="G867" s="1" t="s">
        <v>18</v>
      </c>
      <c r="H867" s="1" t="s">
        <v>19</v>
      </c>
      <c r="I867" s="1" t="s">
        <v>20</v>
      </c>
      <c r="J867" s="1" t="s">
        <v>4145</v>
      </c>
      <c r="K867" s="1" t="s">
        <v>22</v>
      </c>
      <c r="L867" s="1" t="str">
        <f>HYPERLINK("https://files.afu.se/Downloads/Transcripts/0%20-%20Government/USA%20-%20NASA/2018 10 12 - NASA - Historic NASA Mission Hits the Big Screen_VTFHiRbOFkU - transcript (automated).pdf","Transcript Link")</f>
        <v>Transcript Link</v>
      </c>
      <c r="M867" s="2" t="str">
        <f>HYPERLINK("https://files.afu.se/Downloads/Transcripts/0%20-%20Government/USA%20-%20NASA/2018 10 12 - NASA - Historic NASA Mission Hits the Big Screen_VTFHiRbOFkU - transcript (automated).pdf","Transcript Link")</f>
        <v>Transcript Link</v>
      </c>
    </row>
    <row r="868" ht="180" spans="1:13">
      <c r="A868" s="1" t="s">
        <v>4146</v>
      </c>
      <c r="B868" s="1" t="s">
        <v>13</v>
      </c>
      <c r="C868" s="4" t="s">
        <v>4147</v>
      </c>
      <c r="D868" s="1" t="s">
        <v>4148</v>
      </c>
      <c r="E868" s="1" t="s">
        <v>4149</v>
      </c>
      <c r="F868" s="4" t="s">
        <v>17</v>
      </c>
      <c r="G868" s="1" t="s">
        <v>18</v>
      </c>
      <c r="H868" s="1" t="s">
        <v>19</v>
      </c>
      <c r="I868" s="1" t="s">
        <v>20</v>
      </c>
      <c r="J868" s="1" t="s">
        <v>4150</v>
      </c>
      <c r="K868" s="1" t="s">
        <v>22</v>
      </c>
      <c r="L868" s="1" t="str">
        <f>HYPERLINK("https://files.afu.se/Downloads/Transcripts/0%20-%20Government/USA%20-%20NASA/2018 10 11 - NASA - Apollo 50th  First Crew Launches on Apollo 7_wolBYX84Efk - transcript (automated).pdf","Transcript Link")</f>
        <v>Transcript Link</v>
      </c>
      <c r="M868" s="2" t="str">
        <f>HYPERLINK("https://files.afu.se/Downloads/Transcripts/0%20-%20Government/USA%20-%20NASA/2018 10 11 - NASA - Apollo 50th  First Crew Launches on Apollo 7_wolBYX84Efk - transcript (automated).pdf","Transcript Link")</f>
        <v>Transcript Link</v>
      </c>
    </row>
    <row r="869" ht="270" spans="1:13">
      <c r="A869" s="1" t="s">
        <v>4146</v>
      </c>
      <c r="B869" s="1" t="s">
        <v>13</v>
      </c>
      <c r="C869" s="4" t="s">
        <v>4151</v>
      </c>
      <c r="D869" s="1" t="s">
        <v>4152</v>
      </c>
      <c r="E869" s="1" t="s">
        <v>4153</v>
      </c>
      <c r="F869" s="4" t="s">
        <v>17</v>
      </c>
      <c r="G869" s="1" t="s">
        <v>18</v>
      </c>
      <c r="H869" s="1" t="s">
        <v>19</v>
      </c>
      <c r="I869" s="1" t="s">
        <v>20</v>
      </c>
      <c r="J869" s="1" t="s">
        <v>4154</v>
      </c>
      <c r="K869" s="1" t="s">
        <v>22</v>
      </c>
      <c r="L869" s="1" t="str">
        <f>HYPERLINK("https://files.afu.se/Downloads/Transcripts/0%20-%20Government/USA%20-%20NASA/2018 10 11 - NASA - Crew Safe After Soyuz Launch Abort_LUwnLFKfuBE - transcript (automated).pdf","Transcript Link")</f>
        <v>Transcript Link</v>
      </c>
      <c r="M869" s="2" t="str">
        <f>HYPERLINK("https://files.afu.se/Downloads/Transcripts/0%20-%20Government/USA%20-%20NASA/2018 10 11 - NASA - Crew Safe After Soyuz Launch Abort_LUwnLFKfuBE - transcript (automated).pdf","Transcript Link")</f>
        <v>Transcript Link</v>
      </c>
    </row>
    <row r="870" ht="165" spans="1:13">
      <c r="A870" s="1" t="s">
        <v>4155</v>
      </c>
      <c r="B870" s="1" t="s">
        <v>13</v>
      </c>
      <c r="C870" s="4" t="s">
        <v>4156</v>
      </c>
      <c r="D870" s="1" t="s">
        <v>4157</v>
      </c>
      <c r="E870" s="1" t="s">
        <v>4158</v>
      </c>
      <c r="F870" s="4" t="s">
        <v>17</v>
      </c>
      <c r="G870" s="1" t="s">
        <v>18</v>
      </c>
      <c r="H870" s="1" t="s">
        <v>19</v>
      </c>
      <c r="I870" s="1" t="s">
        <v>20</v>
      </c>
      <c r="J870" s="1" t="s">
        <v>4159</v>
      </c>
      <c r="K870" s="1" t="s">
        <v>22</v>
      </c>
      <c r="L870" s="1" t="str">
        <f>HYPERLINK("https://files.afu.se/Downloads/Transcripts/0%20-%20Government/USA%20-%20NASA/2018 10 09 - NASA - Hurricane Michael From Space on October 9_QbDb4J7dgUk - transcript (automated).pdf","Transcript Link")</f>
        <v>Transcript Link</v>
      </c>
      <c r="M870" s="2" t="str">
        <f>HYPERLINK("https://files.afu.se/Downloads/Transcripts/0%20-%20Government/USA%20-%20NASA/2018 10 09 - NASA - Hurricane Michael From Space on October 9_QbDb4J7dgUk - transcript (automated).pdf","Transcript Link")</f>
        <v>Transcript Link</v>
      </c>
    </row>
    <row r="871" ht="165" spans="1:13">
      <c r="A871" s="1" t="s">
        <v>4160</v>
      </c>
      <c r="B871" s="1" t="s">
        <v>13</v>
      </c>
      <c r="C871" s="4" t="s">
        <v>4161</v>
      </c>
      <c r="D871" s="1" t="s">
        <v>4162</v>
      </c>
      <c r="E871" s="1" t="s">
        <v>4163</v>
      </c>
      <c r="F871" s="4" t="s">
        <v>17</v>
      </c>
      <c r="G871" s="1" t="s">
        <v>18</v>
      </c>
      <c r="H871" s="1" t="s">
        <v>19</v>
      </c>
      <c r="I871" s="1" t="s">
        <v>20</v>
      </c>
      <c r="J871" s="1" t="s">
        <v>4164</v>
      </c>
      <c r="K871" s="1" t="s">
        <v>22</v>
      </c>
      <c r="L871" s="1" t="str">
        <f>HYPERLINK("https://files.afu.se/Downloads/Transcripts/0%20-%20Government/USA%20-%20NASA/2018 10 05 - NASA - Sixty Years of NASA and Counting, on This Week @NASA – October 5, 2018_SH7koYc0tac - transcript (automated).pdf","Transcript Link")</f>
        <v>Transcript Link</v>
      </c>
      <c r="M871" s="2" t="str">
        <f>HYPERLINK("https://files.afu.se/Downloads/Transcripts/0%20-%20Government/USA%20-%20NASA/2018 10 05 - NASA - Sixty Years of NASA and Counting, on This Week @NASA – October 5, 2018_SH7koYc0tac - transcript (automated).pdf","Transcript Link")</f>
        <v>Transcript Link</v>
      </c>
    </row>
    <row r="872" ht="405" spans="1:13">
      <c r="A872" s="1" t="s">
        <v>4160</v>
      </c>
      <c r="B872" s="1" t="s">
        <v>13</v>
      </c>
      <c r="C872" s="4" t="s">
        <v>4165</v>
      </c>
      <c r="D872" s="1" t="s">
        <v>4166</v>
      </c>
      <c r="E872" s="1" t="s">
        <v>4167</v>
      </c>
      <c r="F872" s="4" t="s">
        <v>17</v>
      </c>
      <c r="G872" s="1" t="s">
        <v>18</v>
      </c>
      <c r="H872" s="1" t="s">
        <v>19</v>
      </c>
      <c r="I872" s="1" t="s">
        <v>20</v>
      </c>
      <c r="J872" s="1" t="s">
        <v>4168</v>
      </c>
      <c r="K872" s="1" t="s">
        <v>22</v>
      </c>
      <c r="L872" s="1" t="str">
        <f>HYPERLINK("https://files.afu.se/Downloads/Transcripts/0%20-%20Government/USA%20-%20NASA/2018 10 05 - NASA - Possible Moon Found Outside Solar System by Hubble and Kepler Telescopes_3lQA9K9CrQk - transcript (automated).pdf","Transcript Link")</f>
        <v>Transcript Link</v>
      </c>
      <c r="M872" s="2" t="str">
        <f>HYPERLINK("https://files.afu.se/Downloads/Transcripts/0%20-%20Government/USA%20-%20NASA/2018 10 05 - NASA - Possible Moon Found Outside Solar System by Hubble and Kepler Telescopes_3lQA9K9CrQk - transcript (automated).pdf","Transcript Link")</f>
        <v>Transcript Link</v>
      </c>
    </row>
    <row r="873" ht="180" spans="1:13">
      <c r="A873" s="1" t="s">
        <v>4169</v>
      </c>
      <c r="B873" s="1" t="s">
        <v>13</v>
      </c>
      <c r="C873" s="4" t="s">
        <v>4170</v>
      </c>
      <c r="D873" s="1" t="s">
        <v>4171</v>
      </c>
      <c r="E873" s="1" t="s">
        <v>4172</v>
      </c>
      <c r="F873" s="4" t="s">
        <v>17</v>
      </c>
      <c r="G873" s="1" t="s">
        <v>18</v>
      </c>
      <c r="H873" s="1" t="s">
        <v>19</v>
      </c>
      <c r="I873" s="1" t="s">
        <v>20</v>
      </c>
      <c r="J873" s="1" t="s">
        <v>4173</v>
      </c>
      <c r="K873" s="1" t="s">
        <v>22</v>
      </c>
      <c r="L873" s="1" t="str">
        <f>HYPERLINK("https://files.afu.se/Downloads/Transcripts/0%20-%20Government/USA%20-%20NASA/2018 10 02 - NASA - Supercomputer Simulation Reveals Supermassive Black Holes_uDhDZi9Qxhk - transcript (automated).pdf","Transcript Link")</f>
        <v>Transcript Link</v>
      </c>
      <c r="M873" s="2" t="str">
        <f>HYPERLINK("https://files.afu.se/Downloads/Transcripts/0%20-%20Government/USA%20-%20NASA/2018 10 02 - NASA - Supercomputer Simulation Reveals Supermassive Black Holes_uDhDZi9Qxhk - transcript (automated).pdf","Transcript Link")</f>
        <v>Transcript Link</v>
      </c>
    </row>
    <row r="874" ht="165" spans="1:13">
      <c r="A874" s="1" t="s">
        <v>4174</v>
      </c>
      <c r="B874" s="1" t="s">
        <v>13</v>
      </c>
      <c r="C874" s="4" t="s">
        <v>4175</v>
      </c>
      <c r="D874" s="1" t="s">
        <v>4176</v>
      </c>
      <c r="E874" s="1" t="s">
        <v>4177</v>
      </c>
      <c r="F874" s="4" t="s">
        <v>17</v>
      </c>
      <c r="G874" s="1" t="s">
        <v>18</v>
      </c>
      <c r="H874" s="1" t="s">
        <v>19</v>
      </c>
      <c r="I874" s="1" t="s">
        <v>20</v>
      </c>
      <c r="J874" s="1" t="s">
        <v>4178</v>
      </c>
      <c r="K874" s="1" t="s">
        <v>22</v>
      </c>
      <c r="L874" s="1" t="str">
        <f>HYPERLINK("https://files.afu.se/Downloads/Transcripts/0%20-%20Government/USA%20-%20NASA/2018 10 01 - NASA - Message from the Administrator  Celebrating NASA's 60th Birthday_i5k7von5rKI - transcript (automated).pdf","Transcript Link")</f>
        <v>Transcript Link</v>
      </c>
      <c r="M874" s="2" t="str">
        <f>HYPERLINK("https://files.afu.se/Downloads/Transcripts/0%20-%20Government/USA%20-%20NASA/2018 10 01 - NASA - Message from the Administrator  Celebrating NASA's 60th Birthday_i5k7von5rKI - transcript (automated).pdf","Transcript Link")</f>
        <v>Transcript Link</v>
      </c>
    </row>
    <row r="875" ht="165" spans="1:13">
      <c r="A875" s="1" t="s">
        <v>4174</v>
      </c>
      <c r="B875" s="1" t="s">
        <v>13</v>
      </c>
      <c r="C875" s="4" t="s">
        <v>4179</v>
      </c>
      <c r="D875" s="1" t="s">
        <v>4180</v>
      </c>
      <c r="E875" s="1" t="s">
        <v>4181</v>
      </c>
      <c r="F875" s="4" t="s">
        <v>17</v>
      </c>
      <c r="G875" s="1" t="s">
        <v>18</v>
      </c>
      <c r="H875" s="1" t="s">
        <v>19</v>
      </c>
      <c r="I875" s="1" t="s">
        <v>20</v>
      </c>
      <c r="J875" s="1" t="s">
        <v>4182</v>
      </c>
      <c r="K875" s="1" t="s">
        <v>22</v>
      </c>
      <c r="L875" s="1" t="str">
        <f>HYPERLINK("https://files.afu.se/Downloads/Transcripts/0%20-%20Government/USA%20-%20NASA/2018 10 01 - NASA - NASA  60 Years in 60 Seconds_1UaBgr_sq9A - transcript (automated).pdf","Transcript Link")</f>
        <v>Transcript Link</v>
      </c>
      <c r="M875" s="2" t="str">
        <f>HYPERLINK("https://files.afu.se/Downloads/Transcripts/0%20-%20Government/USA%20-%20NASA/2018 10 01 - NASA - NASA  60 Years in 60 Seconds_1UaBgr_sq9A - transcript (automated).pdf","Transcript Link")</f>
        <v>Transcript Link</v>
      </c>
    </row>
    <row r="876" ht="195" spans="1:13">
      <c r="A876" s="1" t="s">
        <v>4183</v>
      </c>
      <c r="B876" s="1" t="s">
        <v>13</v>
      </c>
      <c r="C876" s="4" t="s">
        <v>4184</v>
      </c>
      <c r="D876" s="1" t="s">
        <v>4185</v>
      </c>
      <c r="E876" s="1" t="s">
        <v>4186</v>
      </c>
      <c r="F876" s="4" t="s">
        <v>17</v>
      </c>
      <c r="G876" s="1" t="s">
        <v>18</v>
      </c>
      <c r="H876" s="1" t="s">
        <v>19</v>
      </c>
      <c r="I876" s="1" t="s">
        <v>20</v>
      </c>
      <c r="J876" s="1" t="s">
        <v>4187</v>
      </c>
      <c r="K876" s="1" t="s">
        <v>22</v>
      </c>
      <c r="L876" s="1" t="str">
        <f>HYPERLINK("https://files.afu.se/Downloads/Transcripts/0%20-%20Government/USA%20-%20NASA/2018 09 30 - NASA - NASA Astronaut Drew Feustel Records Music Video from Space_BKxrkKSzILs - transcript (automated).pdf","Transcript Link")</f>
        <v>Transcript Link</v>
      </c>
      <c r="M876" s="2" t="str">
        <f>HYPERLINK("https://files.afu.se/Downloads/Transcripts/0%20-%20Government/USA%20-%20NASA/2018 09 30 - NASA - NASA Astronaut Drew Feustel Records Music Video from Space_BKxrkKSzILs - transcript (automated).pdf","Transcript Link")</f>
        <v>Transcript Link</v>
      </c>
    </row>
    <row r="877" ht="165" spans="1:13">
      <c r="A877" s="1" t="s">
        <v>4188</v>
      </c>
      <c r="B877" s="1" t="s">
        <v>13</v>
      </c>
      <c r="C877" s="4" t="s">
        <v>4189</v>
      </c>
      <c r="D877" s="1" t="s">
        <v>4190</v>
      </c>
      <c r="E877" s="1" t="s">
        <v>4191</v>
      </c>
      <c r="F877" s="4" t="s">
        <v>17</v>
      </c>
      <c r="G877" s="1" t="s">
        <v>18</v>
      </c>
      <c r="H877" s="1" t="s">
        <v>19</v>
      </c>
      <c r="I877" s="1" t="s">
        <v>20</v>
      </c>
      <c r="J877" s="1" t="s">
        <v>4192</v>
      </c>
      <c r="K877" s="1" t="s">
        <v>22</v>
      </c>
      <c r="L877" s="1" t="str">
        <f>HYPERLINK("https://files.afu.se/Downloads/Transcripts/0%20-%20Government/USA%20-%20NASA/2018 09 28 - NASA - Opportunity Spotted as Dust Settles on Mars on This Week @NASA – September 28, 2018_vZBSZLn60Ms - transcript (automated).pdf","Transcript Link")</f>
        <v>Transcript Link</v>
      </c>
      <c r="M877" s="2" t="str">
        <f>HYPERLINK("https://files.afu.se/Downloads/Transcripts/0%20-%20Government/USA%20-%20NASA/2018 09 28 - NASA - Opportunity Spotted as Dust Settles on Mars on This Week @NASA – September 28, 2018_vZBSZLn60Ms - transcript (automated).pdf","Transcript Link")</f>
        <v>Transcript Link</v>
      </c>
    </row>
    <row r="878" ht="255" spans="1:13">
      <c r="A878" s="1" t="s">
        <v>4188</v>
      </c>
      <c r="B878" s="1" t="s">
        <v>13</v>
      </c>
      <c r="C878" s="4" t="s">
        <v>4193</v>
      </c>
      <c r="D878" s="1" t="s">
        <v>4194</v>
      </c>
      <c r="E878" s="1" t="s">
        <v>4195</v>
      </c>
      <c r="F878" s="4" t="s">
        <v>17</v>
      </c>
      <c r="G878" s="1" t="s">
        <v>18</v>
      </c>
      <c r="H878" s="1" t="s">
        <v>19</v>
      </c>
      <c r="I878" s="1" t="s">
        <v>20</v>
      </c>
      <c r="J878" s="1" t="s">
        <v>4196</v>
      </c>
      <c r="K878" s="1" t="s">
        <v>22</v>
      </c>
      <c r="L878" s="1" t="str">
        <f>HYPERLINK("https://files.afu.se/Downloads/Transcripts/0%20-%20Government/USA%20-%20NASA/2018 09 28 - NASA - NASA 60th  Humans in Space_GMDiL_DICeU - transcript (automated).pdf","Transcript Link")</f>
        <v>Transcript Link</v>
      </c>
      <c r="M878" s="2" t="str">
        <f>HYPERLINK("https://files.afu.se/Downloads/Transcripts/0%20-%20Government/USA%20-%20NASA/2018 09 28 - NASA - NASA 60th  Humans in Space_GMDiL_DICeU - transcript (automated).pdf","Transcript Link")</f>
        <v>Transcript Link</v>
      </c>
    </row>
    <row r="879" ht="165" spans="1:13">
      <c r="A879" s="1" t="s">
        <v>4197</v>
      </c>
      <c r="B879" s="1" t="s">
        <v>13</v>
      </c>
      <c r="C879" s="4" t="s">
        <v>4198</v>
      </c>
      <c r="D879" s="1" t="s">
        <v>4199</v>
      </c>
      <c r="E879" s="1" t="s">
        <v>4200</v>
      </c>
      <c r="F879" s="4" t="s">
        <v>17</v>
      </c>
      <c r="G879" s="1" t="s">
        <v>18</v>
      </c>
      <c r="H879" s="1" t="s">
        <v>19</v>
      </c>
      <c r="I879" s="1" t="s">
        <v>20</v>
      </c>
      <c r="J879" s="1" t="s">
        <v>4201</v>
      </c>
      <c r="K879" s="1" t="s">
        <v>22</v>
      </c>
      <c r="L879" s="1" t="str">
        <f>HYPERLINK("https://files.afu.se/Downloads/Transcripts/0%20-%20Government/USA%20-%20NASA/2018 09 25 - NASA - Sunset, Nighttime and Sunrise from the International Space Station_6jq8-UjhHh4 - transcript (automated).pdf","Transcript Link")</f>
        <v>Transcript Link</v>
      </c>
      <c r="M879" s="2" t="str">
        <f>HYPERLINK("https://files.afu.se/Downloads/Transcripts/0%20-%20Government/USA%20-%20NASA/2018 09 25 - NASA - Sunset, Nighttime and Sunrise from the International Space Station_6jq8-UjhHh4 - transcript (automated).pdf","Transcript Link")</f>
        <v>Transcript Link</v>
      </c>
    </row>
    <row r="880" ht="180" spans="1:13">
      <c r="A880" s="1" t="s">
        <v>4202</v>
      </c>
      <c r="B880" s="1" t="s">
        <v>13</v>
      </c>
      <c r="C880" s="4" t="s">
        <v>4203</v>
      </c>
      <c r="D880" s="1" t="s">
        <v>4204</v>
      </c>
      <c r="E880" s="1" t="s">
        <v>4205</v>
      </c>
      <c r="F880" s="4" t="s">
        <v>17</v>
      </c>
      <c r="G880" s="1" t="s">
        <v>18</v>
      </c>
      <c r="H880" s="1" t="s">
        <v>19</v>
      </c>
      <c r="I880" s="1" t="s">
        <v>20</v>
      </c>
      <c r="J880" s="1" t="s">
        <v>4206</v>
      </c>
      <c r="K880" s="1" t="s">
        <v>22</v>
      </c>
      <c r="L880" s="1" t="str">
        <f>HYPERLINK("https://files.afu.se/Downloads/Transcripts/0%20-%20Government/USA%20-%20NASA/2018 09 24 - NASA - How Do We Prepare a Spacecraft for Launch  Countdown to T-Zero for NASA's TESS Mission_TrIyqnAFHNs - transcript (automated).pdf","Transcript Link")</f>
        <v>Transcript Link</v>
      </c>
      <c r="M880" s="2" t="str">
        <f>HYPERLINK("https://files.afu.se/Downloads/Transcripts/0%20-%20Government/USA%20-%20NASA/2018 09 24 - NASA - How Do We Prepare a Spacecraft for Launch  Countdown to T-Zero for NASA's TESS Mission_TrIyqnAFHNs - transcript (automated).pdf","Transcript Link")</f>
        <v>Transcript Link</v>
      </c>
    </row>
    <row r="881" ht="195" spans="1:13">
      <c r="A881" s="1" t="s">
        <v>4207</v>
      </c>
      <c r="B881" s="1" t="s">
        <v>13</v>
      </c>
      <c r="C881" s="4" t="s">
        <v>4208</v>
      </c>
      <c r="D881" s="1" t="s">
        <v>4209</v>
      </c>
      <c r="E881" s="1" t="s">
        <v>4210</v>
      </c>
      <c r="F881" s="4" t="s">
        <v>17</v>
      </c>
      <c r="G881" s="1" t="s">
        <v>18</v>
      </c>
      <c r="H881" s="1" t="s">
        <v>19</v>
      </c>
      <c r="I881" s="1" t="s">
        <v>20</v>
      </c>
      <c r="J881" s="1" t="s">
        <v>4211</v>
      </c>
      <c r="K881" s="1" t="s">
        <v>22</v>
      </c>
      <c r="L881" s="1" t="str">
        <f>HYPERLINK("https://files.afu.se/Downloads/Transcripts/0%20-%20Government/USA%20-%20NASA/2018 09 22 - NASA - Citizen Scientists  Help Make a Better World Land Map_coF4nm-y1Uw - transcript (automated).pdf","Transcript Link")</f>
        <v>Transcript Link</v>
      </c>
      <c r="M881" s="2" t="str">
        <f>HYPERLINK("https://files.afu.se/Downloads/Transcripts/0%20-%20Government/USA%20-%20NASA/2018 09 22 - NASA - Citizen Scientists  Help Make a Better World Land Map_coF4nm-y1Uw - transcript (automated).pdf","Transcript Link")</f>
        <v>Transcript Link</v>
      </c>
    </row>
    <row r="882" ht="165" spans="1:13">
      <c r="A882" s="1" t="s">
        <v>4212</v>
      </c>
      <c r="B882" s="1" t="s">
        <v>13</v>
      </c>
      <c r="C882" s="4" t="s">
        <v>4213</v>
      </c>
      <c r="D882" s="1" t="s">
        <v>4214</v>
      </c>
      <c r="E882" s="1" t="s">
        <v>4215</v>
      </c>
      <c r="F882" s="4" t="s">
        <v>17</v>
      </c>
      <c r="G882" s="1" t="s">
        <v>18</v>
      </c>
      <c r="H882" s="1" t="s">
        <v>19</v>
      </c>
      <c r="I882" s="1" t="s">
        <v>20</v>
      </c>
      <c r="J882" s="1" t="s">
        <v>4216</v>
      </c>
      <c r="K882" s="1" t="s">
        <v>22</v>
      </c>
      <c r="L882" s="1" t="str">
        <f>HYPERLINK("https://files.afu.se/Downloads/Transcripts/0%20-%20Government/USA%20-%20NASA/2018 09 21 - NASA - A Festival of “First Lights” on This Week @NASA – September 21, 2018_fO1LK8IAX9s - transcript (automated).pdf","Transcript Link")</f>
        <v>Transcript Link</v>
      </c>
      <c r="M882" s="2" t="str">
        <f>HYPERLINK("https://files.afu.se/Downloads/Transcripts/0%20-%20Government/USA%20-%20NASA/2018 09 21 - NASA - A Festival of “First Lights” on This Week @NASA – September 21, 2018_fO1LK8IAX9s - transcript (automated).pdf","Transcript Link")</f>
        <v>Transcript Link</v>
      </c>
    </row>
    <row r="883" ht="375" spans="1:13">
      <c r="A883" s="1" t="s">
        <v>4212</v>
      </c>
      <c r="B883" s="1" t="s">
        <v>13</v>
      </c>
      <c r="C883" s="4" t="s">
        <v>4217</v>
      </c>
      <c r="D883" s="1" t="s">
        <v>4218</v>
      </c>
      <c r="E883" s="1" t="s">
        <v>4219</v>
      </c>
      <c r="F883" s="4" t="s">
        <v>17</v>
      </c>
      <c r="G883" s="1" t="s">
        <v>18</v>
      </c>
      <c r="H883" s="1" t="s">
        <v>19</v>
      </c>
      <c r="I883" s="1" t="s">
        <v>20</v>
      </c>
      <c r="J883" s="1" t="s">
        <v>4220</v>
      </c>
      <c r="K883" s="1" t="s">
        <v>22</v>
      </c>
      <c r="L883" s="1" t="str">
        <f>HYPERLINK("https://files.afu.se/Downloads/Transcripts/0%20-%20Government/USA%20-%20NASA/2018 09 21 - NASA - NASA Balloon Observes Rare Electric Blue Clouds_YvGFtrr4KkY - transcript (automated).pdf","Transcript Link")</f>
        <v>Transcript Link</v>
      </c>
      <c r="M883" s="2" t="str">
        <f>HYPERLINK("https://files.afu.se/Downloads/Transcripts/0%20-%20Government/USA%20-%20NASA/2018 09 21 - NASA - NASA Balloon Observes Rare Electric Blue Clouds_YvGFtrr4KkY - transcript (automated).pdf","Transcript Link")</f>
        <v>Transcript Link</v>
      </c>
    </row>
    <row r="884" ht="165" spans="1:13">
      <c r="A884" s="1" t="s">
        <v>4221</v>
      </c>
      <c r="B884" s="1" t="s">
        <v>13</v>
      </c>
      <c r="C884" s="4" t="s">
        <v>4222</v>
      </c>
      <c r="D884" s="1" t="s">
        <v>4223</v>
      </c>
      <c r="E884" s="1" t="s">
        <v>4224</v>
      </c>
      <c r="F884" s="4" t="s">
        <v>17</v>
      </c>
      <c r="G884" s="1" t="s">
        <v>18</v>
      </c>
      <c r="H884" s="1" t="s">
        <v>19</v>
      </c>
      <c r="I884" s="1" t="s">
        <v>20</v>
      </c>
      <c r="J884" s="1" t="s">
        <v>4225</v>
      </c>
      <c r="K884" s="1" t="s">
        <v>22</v>
      </c>
      <c r="L884" s="1" t="str">
        <f>HYPERLINK("https://files.afu.se/Downloads/Transcripts/0%20-%20Government/USA%20-%20NASA/2018 09 18 - NASA - NASA Technology We Use Everyday  Introducing Home &amp; City_uqzovqnP5nc - transcript (automated).pdf","Transcript Link")</f>
        <v>Transcript Link</v>
      </c>
      <c r="M884" s="2" t="str">
        <f>HYPERLINK("https://files.afu.se/Downloads/Transcripts/0%20-%20Government/USA%20-%20NASA/2018 09 18 - NASA - NASA Technology We Use Everyday  Introducing Home &amp; City_uqzovqnP5nc - transcript (automated).pdf","Transcript Link")</f>
        <v>Transcript Link</v>
      </c>
    </row>
    <row r="885" ht="300" spans="1:13">
      <c r="A885" s="1" t="s">
        <v>4226</v>
      </c>
      <c r="B885" s="1" t="s">
        <v>13</v>
      </c>
      <c r="C885" s="4" t="s">
        <v>4227</v>
      </c>
      <c r="D885" s="1" t="s">
        <v>4228</v>
      </c>
      <c r="E885" s="1" t="s">
        <v>4229</v>
      </c>
      <c r="F885" s="4" t="s">
        <v>17</v>
      </c>
      <c r="G885" s="1" t="s">
        <v>18</v>
      </c>
      <c r="H885" s="1" t="s">
        <v>19</v>
      </c>
      <c r="I885" s="1" t="s">
        <v>20</v>
      </c>
      <c r="J885" s="1" t="s">
        <v>4230</v>
      </c>
      <c r="K885" s="1" t="s">
        <v>22</v>
      </c>
      <c r="L885" s="1" t="str">
        <f>HYPERLINK("https://files.afu.se/Downloads/Transcripts/0%20-%20Government/USA%20-%20NASA/2018 09 17 - NASA - NASA 60th  Home, Sweet Home_39jNpn3RLqI - transcript (automated).pdf","Transcript Link")</f>
        <v>Transcript Link</v>
      </c>
      <c r="M885" s="2" t="str">
        <f>HYPERLINK("https://files.afu.se/Downloads/Transcripts/0%20-%20Government/USA%20-%20NASA/2018 09 17 - NASA - NASA 60th  Home, Sweet Home_39jNpn3RLqI - transcript (automated).pdf","Transcript Link")</f>
        <v>Transcript Link</v>
      </c>
    </row>
    <row r="886" ht="165" spans="1:13">
      <c r="A886" s="1" t="s">
        <v>4231</v>
      </c>
      <c r="B886" s="1" t="s">
        <v>13</v>
      </c>
      <c r="C886" s="4" t="s">
        <v>4232</v>
      </c>
      <c r="D886" s="1" t="s">
        <v>4233</v>
      </c>
      <c r="E886" s="1" t="s">
        <v>4234</v>
      </c>
      <c r="F886" s="4" t="s">
        <v>17</v>
      </c>
      <c r="G886" s="1" t="s">
        <v>18</v>
      </c>
      <c r="H886" s="1" t="s">
        <v>19</v>
      </c>
      <c r="I886" s="1" t="s">
        <v>20</v>
      </c>
      <c r="J886" s="1" t="s">
        <v>4235</v>
      </c>
      <c r="K886" s="1" t="s">
        <v>22</v>
      </c>
      <c r="L886" s="1" t="str">
        <f>HYPERLINK("https://files.afu.se/Downloads/Transcripts/0%20-%20Government/USA%20-%20NASA/2018 09 15 - NASA - Watching Hurricane Florence from Space on This Week @NASA – September 15, 2018_PCcO0gftbPQ - transcript (automated).pdf","Transcript Link")</f>
        <v>Transcript Link</v>
      </c>
      <c r="M886" s="2" t="str">
        <f>HYPERLINK("https://files.afu.se/Downloads/Transcripts/0%20-%20Government/USA%20-%20NASA/2018 09 15 - NASA - Watching Hurricane Florence from Space on This Week @NASA – September 15, 2018_PCcO0gftbPQ - transcript (automated).pdf","Transcript Link")</f>
        <v>Transcript Link</v>
      </c>
    </row>
    <row r="887" ht="165" spans="1:13">
      <c r="A887" s="1" t="s">
        <v>4236</v>
      </c>
      <c r="B887" s="1" t="s">
        <v>13</v>
      </c>
      <c r="C887" s="4" t="s">
        <v>4237</v>
      </c>
      <c r="D887" s="1" t="s">
        <v>4238</v>
      </c>
      <c r="E887" s="1" t="s">
        <v>4239</v>
      </c>
      <c r="F887" s="4" t="s">
        <v>17</v>
      </c>
      <c r="G887" s="1" t="s">
        <v>18</v>
      </c>
      <c r="H887" s="1" t="s">
        <v>19</v>
      </c>
      <c r="I887" s="1" t="s">
        <v>20</v>
      </c>
      <c r="J887" s="1" t="s">
        <v>4240</v>
      </c>
      <c r="K887" s="1" t="s">
        <v>22</v>
      </c>
      <c r="L887" s="1" t="str">
        <f>HYPERLINK("https://files.afu.se/Downloads/Transcripts/0%20-%20Government/USA%20-%20NASA/2018 09 14 - NASA - Landfall of Hurricane Florence From Space_2HmsjyJclWY - transcript (automated).pdf","Transcript Link")</f>
        <v>Transcript Link</v>
      </c>
      <c r="M887" s="2" t="str">
        <f>HYPERLINK("https://files.afu.se/Downloads/Transcripts/0%20-%20Government/USA%20-%20NASA/2018 09 14 - NASA - Landfall of Hurricane Florence From Space_2HmsjyJclWY - transcript (automated).pdf","Transcript Link")</f>
        <v>Transcript Link</v>
      </c>
    </row>
    <row r="888" ht="240" spans="1:13">
      <c r="A888" s="1" t="s">
        <v>4241</v>
      </c>
      <c r="B888" s="1" t="s">
        <v>13</v>
      </c>
      <c r="C888" s="4" t="s">
        <v>4242</v>
      </c>
      <c r="D888" s="1" t="s">
        <v>4243</v>
      </c>
      <c r="E888" s="1" t="s">
        <v>4244</v>
      </c>
      <c r="F888" s="4" t="s">
        <v>17</v>
      </c>
      <c r="G888" s="1" t="s">
        <v>18</v>
      </c>
      <c r="H888" s="1" t="s">
        <v>19</v>
      </c>
      <c r="I888" s="1" t="s">
        <v>20</v>
      </c>
      <c r="J888" s="1" t="s">
        <v>4245</v>
      </c>
      <c r="K888" s="1" t="s">
        <v>22</v>
      </c>
      <c r="L888" s="1" t="str">
        <f>HYPERLINK("https://files.afu.se/Downloads/Transcripts/0%20-%20Government/USA%20-%20NASA/2018 09 13 - NASA - Hurricane Florence From Space on September 13_N02R_sqjOmI - transcript (automated).pdf","Transcript Link")</f>
        <v>Transcript Link</v>
      </c>
      <c r="M888" s="2" t="str">
        <f>HYPERLINK("https://files.afu.se/Downloads/Transcripts/0%20-%20Government/USA%20-%20NASA/2018 09 13 - NASA - Hurricane Florence From Space on September 13_N02R_sqjOmI - transcript (automated).pdf","Transcript Link")</f>
        <v>Transcript Link</v>
      </c>
    </row>
    <row r="889" ht="165" spans="1:13">
      <c r="A889" s="1" t="s">
        <v>4246</v>
      </c>
      <c r="B889" s="1" t="s">
        <v>13</v>
      </c>
      <c r="C889" s="4" t="s">
        <v>4247</v>
      </c>
      <c r="D889" s="1" t="s">
        <v>4248</v>
      </c>
      <c r="E889" s="1" t="s">
        <v>4249</v>
      </c>
      <c r="F889" s="4" t="s">
        <v>17</v>
      </c>
      <c r="G889" s="1" t="s">
        <v>18</v>
      </c>
      <c r="H889" s="1" t="s">
        <v>19</v>
      </c>
      <c r="I889" s="1" t="s">
        <v>20</v>
      </c>
      <c r="J889" s="1" t="s">
        <v>4250</v>
      </c>
      <c r="K889" s="1" t="s">
        <v>22</v>
      </c>
      <c r="L889" s="1" t="str">
        <f>HYPERLINK("https://files.afu.se/Downloads/Transcripts/0%20-%20Government/USA%20-%20NASA/2018 09 12 - NASA - Hurricane Florence From Space on September 12_weoWlAs4Dr4 - transcript (automated).pdf","Transcript Link")</f>
        <v>Transcript Link</v>
      </c>
      <c r="M889" s="2" t="str">
        <f>HYPERLINK("https://files.afu.se/Downloads/Transcripts/0%20-%20Government/USA%20-%20NASA/2018 09 12 - NASA - Hurricane Florence From Space on September 12_weoWlAs4Dr4 - transcript (automated).pdf","Transcript Link")</f>
        <v>Transcript Link</v>
      </c>
    </row>
    <row r="890" ht="330" spans="1:13">
      <c r="A890" s="1" t="s">
        <v>4251</v>
      </c>
      <c r="B890" s="1" t="s">
        <v>13</v>
      </c>
      <c r="C890" s="4" t="s">
        <v>4252</v>
      </c>
      <c r="D890" s="1" t="s">
        <v>4253</v>
      </c>
      <c r="E890" s="1" t="s">
        <v>4254</v>
      </c>
      <c r="F890" s="4" t="s">
        <v>17</v>
      </c>
      <c r="G890" s="1" t="s">
        <v>18</v>
      </c>
      <c r="H890" s="1" t="s">
        <v>19</v>
      </c>
      <c r="I890" s="1" t="s">
        <v>20</v>
      </c>
      <c r="J890" s="1" t="s">
        <v>4255</v>
      </c>
      <c r="K890" s="1" t="s">
        <v>22</v>
      </c>
      <c r="L890" s="1" t="str">
        <f>HYPERLINK("https://files.afu.se/Downloads/Transcripts/0%20-%20Government/USA%20-%20NASA/2018 09 11 - NASA - International Space Station Benefits for Humanity, 3rd Edition_5rMN2rtPOTo - transcript (automated).pdf","Transcript Link")</f>
        <v>Transcript Link</v>
      </c>
      <c r="M890" s="2" t="str">
        <f>HYPERLINK("https://files.afu.se/Downloads/Transcripts/0%20-%20Government/USA%20-%20NASA/2018 09 11 - NASA - International Space Station Benefits for Humanity, 3rd Edition_5rMN2rtPOTo - transcript (automated).pdf","Transcript Link")</f>
        <v>Transcript Link</v>
      </c>
    </row>
    <row r="891" ht="225" spans="1:13">
      <c r="A891" s="1" t="s">
        <v>4256</v>
      </c>
      <c r="B891" s="1" t="s">
        <v>13</v>
      </c>
      <c r="C891" s="4" t="s">
        <v>4257</v>
      </c>
      <c r="D891" s="1" t="s">
        <v>4258</v>
      </c>
      <c r="E891" s="1" t="s">
        <v>4259</v>
      </c>
      <c r="F891" s="4" t="s">
        <v>17</v>
      </c>
      <c r="G891" s="1" t="s">
        <v>18</v>
      </c>
      <c r="H891" s="1" t="s">
        <v>19</v>
      </c>
      <c r="I891" s="1" t="s">
        <v>20</v>
      </c>
      <c r="J891" s="1" t="s">
        <v>4260</v>
      </c>
      <c r="K891" s="1" t="s">
        <v>22</v>
      </c>
      <c r="L891" s="1" t="str">
        <f>HYPERLINK("https://files.afu.se/Downloads/Transcripts/0%20-%20Government/USA%20-%20NASA/2018 09 10 - NASA - Hurricane Florence From Space on September 10_IllWRRayBk8 - transcript (automated).pdf","Transcript Link")</f>
        <v>Transcript Link</v>
      </c>
      <c r="M891" s="2" t="str">
        <f>HYPERLINK("https://files.afu.se/Downloads/Transcripts/0%20-%20Government/USA%20-%20NASA/2018 09 10 - NASA - Hurricane Florence From Space on September 10_IllWRRayBk8 - transcript (automated).pdf","Transcript Link")</f>
        <v>Transcript Link</v>
      </c>
    </row>
    <row r="892" ht="225" spans="1:13">
      <c r="A892" s="1" t="s">
        <v>4256</v>
      </c>
      <c r="B892" s="1" t="s">
        <v>13</v>
      </c>
      <c r="C892" s="4" t="s">
        <v>4261</v>
      </c>
      <c r="D892" s="1" t="s">
        <v>4262</v>
      </c>
      <c r="E892" s="1" t="s">
        <v>4263</v>
      </c>
      <c r="F892" s="4" t="s">
        <v>17</v>
      </c>
      <c r="G892" s="1" t="s">
        <v>18</v>
      </c>
      <c r="H892" s="1" t="s">
        <v>19</v>
      </c>
      <c r="I892" s="1" t="s">
        <v>20</v>
      </c>
      <c r="J892" s="1" t="s">
        <v>4264</v>
      </c>
      <c r="K892" s="1" t="s">
        <v>22</v>
      </c>
      <c r="L892" s="1" t="str">
        <f>HYPERLINK("https://files.afu.se/Downloads/Transcripts/0%20-%20Government/USA%20-%20NASA/2018 09 10 - NASA - NASA 60th  Trailblazing Technology_KFFmSA4TDKA - transcript (automated).pdf","Transcript Link")</f>
        <v>Transcript Link</v>
      </c>
      <c r="M892" s="2" t="str">
        <f>HYPERLINK("https://files.afu.se/Downloads/Transcripts/0%20-%20Government/USA%20-%20NASA/2018 09 10 - NASA - NASA 60th  Trailblazing Technology_KFFmSA4TDKA - transcript (automated).pdf","Transcript Link")</f>
        <v>Transcript Link</v>
      </c>
    </row>
    <row r="893" ht="165" spans="1:13">
      <c r="A893" s="1" t="s">
        <v>4265</v>
      </c>
      <c r="B893" s="1" t="s">
        <v>13</v>
      </c>
      <c r="C893" s="4" t="s">
        <v>4266</v>
      </c>
      <c r="D893" s="1" t="s">
        <v>4267</v>
      </c>
      <c r="E893" s="1" t="s">
        <v>4268</v>
      </c>
      <c r="F893" s="4" t="s">
        <v>17</v>
      </c>
      <c r="G893" s="1" t="s">
        <v>18</v>
      </c>
      <c r="H893" s="1" t="s">
        <v>19</v>
      </c>
      <c r="I893" s="1" t="s">
        <v>20</v>
      </c>
      <c r="J893" s="1" t="s">
        <v>4269</v>
      </c>
      <c r="K893" s="1" t="s">
        <v>22</v>
      </c>
      <c r="L893" s="1" t="str">
        <f>HYPERLINK("https://files.afu.se/Downloads/Transcripts/0%20-%20Government/USA%20-%20NASA/2018 09 07 - NASA - Clearing Skies for our Rovers on Mars on This Week @NASA – September 7, 2018_PTMbHVD6DpI - transcript (automated).pdf","Transcript Link")</f>
        <v>Transcript Link</v>
      </c>
      <c r="M893" s="2" t="str">
        <f>HYPERLINK("https://files.afu.se/Downloads/Transcripts/0%20-%20Government/USA%20-%20NASA/2018 09 07 - NASA - Clearing Skies for our Rovers on Mars on This Week @NASA – September 7, 2018_PTMbHVD6DpI - transcript (automated).pdf","Transcript Link")</f>
        <v>Transcript Link</v>
      </c>
    </row>
    <row r="894" ht="165" spans="1:13">
      <c r="A894" s="1" t="s">
        <v>4270</v>
      </c>
      <c r="B894" s="1" t="s">
        <v>13</v>
      </c>
      <c r="C894" s="4" t="s">
        <v>4271</v>
      </c>
      <c r="D894" s="1" t="s">
        <v>4272</v>
      </c>
      <c r="E894" s="1" t="s">
        <v>4273</v>
      </c>
      <c r="F894" s="4" t="s">
        <v>17</v>
      </c>
      <c r="G894" s="1" t="s">
        <v>18</v>
      </c>
      <c r="H894" s="1" t="s">
        <v>19</v>
      </c>
      <c r="I894" s="1" t="s">
        <v>20</v>
      </c>
      <c r="J894" s="1" t="s">
        <v>4274</v>
      </c>
      <c r="K894" s="1" t="s">
        <v>22</v>
      </c>
      <c r="L894" s="1" t="str">
        <f>HYPERLINK("https://files.afu.se/Downloads/Transcripts/0%20-%20Government/USA%20-%20NASA/2018 09 06 - NASA - NASA   360 Video of Parker Solar Probe Mission to  Touch  the Sun_BUClxcUbuNM - transcript (automated).pdf","Transcript Link")</f>
        <v>Transcript Link</v>
      </c>
      <c r="M894" s="2" t="str">
        <f>HYPERLINK("https://files.afu.se/Downloads/Transcripts/0%20-%20Government/USA%20-%20NASA/2018 09 06 - NASA - NASA   360 Video of Parker Solar Probe Mission to  Touch  the Sun_BUClxcUbuNM - transcript (automated).pdf","Transcript Link")</f>
        <v>Transcript Link</v>
      </c>
    </row>
    <row r="895" ht="409.5" spans="1:13">
      <c r="A895" s="1" t="s">
        <v>4270</v>
      </c>
      <c r="B895" s="1" t="s">
        <v>13</v>
      </c>
      <c r="C895" s="4" t="s">
        <v>4275</v>
      </c>
      <c r="D895" s="1" t="s">
        <v>4276</v>
      </c>
      <c r="E895" s="1" t="s">
        <v>4277</v>
      </c>
      <c r="F895" s="4" t="s">
        <v>17</v>
      </c>
      <c r="G895" s="1" t="s">
        <v>18</v>
      </c>
      <c r="H895" s="1" t="s">
        <v>19</v>
      </c>
      <c r="I895" s="1" t="s">
        <v>20</v>
      </c>
      <c r="J895" s="1" t="s">
        <v>4278</v>
      </c>
      <c r="K895" s="1" t="s">
        <v>22</v>
      </c>
      <c r="L895" s="1" t="str">
        <f>HYPERLINK("https://files.afu.se/Downloads/Transcripts/0%20-%20Government/USA%20-%20NASA/2018 09 06 - NASA - NASA Administrator Jim Bridenstine talks to Commercial Crew Astronauts_PPIGi45cZKM - transcript (automated).pdf","Transcript Link")</f>
        <v>Transcript Link</v>
      </c>
      <c r="M895" s="2" t="str">
        <f>HYPERLINK("https://files.afu.se/Downloads/Transcripts/0%20-%20Government/USA%20-%20NASA/2018 09 06 - NASA - NASA Administrator Jim Bridenstine talks to Commercial Crew Astronauts_PPIGi45cZKM - transcript (automated).pdf","Transcript Link")</f>
        <v>Transcript Link</v>
      </c>
    </row>
    <row r="896" ht="165" spans="1:13">
      <c r="A896" s="1" t="s">
        <v>4279</v>
      </c>
      <c r="B896" s="1" t="s">
        <v>13</v>
      </c>
      <c r="C896" s="4" t="s">
        <v>4280</v>
      </c>
      <c r="D896" s="1" t="s">
        <v>4281</v>
      </c>
      <c r="E896" s="1" t="s">
        <v>4282</v>
      </c>
      <c r="F896" s="4" t="s">
        <v>17</v>
      </c>
      <c r="G896" s="1" t="s">
        <v>18</v>
      </c>
      <c r="H896" s="1" t="s">
        <v>19</v>
      </c>
      <c r="I896" s="1" t="s">
        <v>20</v>
      </c>
      <c r="J896" s="1" t="s">
        <v>4283</v>
      </c>
      <c r="K896" s="1" t="s">
        <v>22</v>
      </c>
      <c r="L896" s="1" t="str">
        <f>HYPERLINK("https://files.afu.se/Downloads/Transcripts/0%20-%20Government/USA%20-%20NASA/2018 08 31 - NASA - New Horizons Detects Next Flyby Target on This Week @NASA – August 31, 2018_dr-drmOdfoY - transcript (automated).pdf","Transcript Link")</f>
        <v>Transcript Link</v>
      </c>
      <c r="M896" s="2" t="str">
        <f>HYPERLINK("https://files.afu.se/Downloads/Transcripts/0%20-%20Government/USA%20-%20NASA/2018 08 31 - NASA - New Horizons Detects Next Flyby Target on This Week @NASA – August 31, 2018_dr-drmOdfoY - transcript (automated).pdf","Transcript Link")</f>
        <v>Transcript Link</v>
      </c>
    </row>
    <row r="897" ht="165" spans="1:13">
      <c r="A897" s="1" t="s">
        <v>4284</v>
      </c>
      <c r="B897" s="1" t="s">
        <v>13</v>
      </c>
      <c r="C897" s="4" t="s">
        <v>4285</v>
      </c>
      <c r="D897" s="1" t="s">
        <v>4286</v>
      </c>
      <c r="E897" s="1" t="s">
        <v>4287</v>
      </c>
      <c r="F897" s="4" t="s">
        <v>17</v>
      </c>
      <c r="G897" s="1" t="s">
        <v>18</v>
      </c>
      <c r="H897" s="1" t="s">
        <v>19</v>
      </c>
      <c r="I897" s="1" t="s">
        <v>20</v>
      </c>
      <c r="J897" s="1" t="s">
        <v>4288</v>
      </c>
      <c r="K897" s="1" t="s">
        <v>22</v>
      </c>
      <c r="L897" s="1" t="str">
        <f>HYPERLINK("https://files.afu.se/Downloads/Transcripts/0%20-%20Government/USA%20-%20NASA/2018 08 30 - NASA - NASA   Guy Bluford Reflects on the 35th Anniversary of His First Space Flight_6BHQWGw8QNY - transcript (automated).pdf","Transcript Link")</f>
        <v>Transcript Link</v>
      </c>
      <c r="M897" s="2" t="str">
        <f>HYPERLINK("https://files.afu.se/Downloads/Transcripts/0%20-%20Government/USA%20-%20NASA/2018 08 30 - NASA - NASA   Guy Bluford Reflects on the 35th Anniversary of His First Space Flight_6BHQWGw8QNY - transcript (automated).pdf","Transcript Link")</f>
        <v>Transcript Link</v>
      </c>
    </row>
    <row r="898" ht="180" spans="1:13">
      <c r="A898" s="1" t="s">
        <v>4284</v>
      </c>
      <c r="B898" s="1" t="s">
        <v>13</v>
      </c>
      <c r="C898" s="4" t="s">
        <v>4289</v>
      </c>
      <c r="D898" s="1" t="s">
        <v>4290</v>
      </c>
      <c r="E898" s="1" t="s">
        <v>4291</v>
      </c>
      <c r="F898" s="4" t="s">
        <v>17</v>
      </c>
      <c r="G898" s="1" t="s">
        <v>18</v>
      </c>
      <c r="H898" s="1" t="s">
        <v>19</v>
      </c>
      <c r="I898" s="1" t="s">
        <v>20</v>
      </c>
      <c r="J898" s="1" t="s">
        <v>4292</v>
      </c>
      <c r="K898" s="1" t="s">
        <v>22</v>
      </c>
      <c r="L898" s="1" t="str">
        <f>HYPERLINK("https://files.afu.se/Downloads/Transcripts/0%20-%20Government/USA%20-%20NASA/2018 08 30 - NASA - Bridenstine Speaks at NASA Advisory Council Meeting_dxV-v_YaboQ - transcript (automated).pdf","Transcript Link")</f>
        <v>Transcript Link</v>
      </c>
      <c r="M898" s="2" t="str">
        <f>HYPERLINK("https://files.afu.se/Downloads/Transcripts/0%20-%20Government/USA%20-%20NASA/2018 08 30 - NASA - Bridenstine Speaks at NASA Advisory Council Meeting_dxV-v_YaboQ - transcript (automated).pdf","Transcript Link")</f>
        <v>Transcript Link</v>
      </c>
    </row>
    <row r="899" ht="195" spans="1:13">
      <c r="A899" s="1" t="s">
        <v>4293</v>
      </c>
      <c r="B899" s="1" t="s">
        <v>13</v>
      </c>
      <c r="C899" s="4" t="s">
        <v>4294</v>
      </c>
      <c r="D899" s="1" t="s">
        <v>4295</v>
      </c>
      <c r="E899" s="1" t="s">
        <v>4296</v>
      </c>
      <c r="F899" s="4" t="s">
        <v>17</v>
      </c>
      <c r="G899" s="1" t="s">
        <v>18</v>
      </c>
      <c r="H899" s="1" t="s">
        <v>19</v>
      </c>
      <c r="I899" s="1" t="s">
        <v>20</v>
      </c>
      <c r="J899" s="1" t="s">
        <v>4297</v>
      </c>
      <c r="K899" s="1" t="s">
        <v>22</v>
      </c>
      <c r="L899" s="1" t="str">
        <f>HYPERLINK("https://files.afu.se/Downloads/Transcripts/0%20-%20Government/USA%20-%20NASA/2018 08 29 - NASA - Parker Solar Probe Countdown to T-Zero for a Journey to “Touch” the Sun_tvgrXBoQY_M - transcript (automated).pdf","Transcript Link")</f>
        <v>Transcript Link</v>
      </c>
      <c r="M899" s="2" t="str">
        <f>HYPERLINK("https://files.afu.se/Downloads/Transcripts/0%20-%20Government/USA%20-%20NASA/2018 08 29 - NASA - Parker Solar Probe Countdown to T-Zero for a Journey to “Touch” the Sun_tvgrXBoQY_M - transcript (automated).pdf","Transcript Link")</f>
        <v>Transcript Link</v>
      </c>
    </row>
    <row r="900" ht="225" spans="1:13">
      <c r="A900" s="1" t="s">
        <v>4293</v>
      </c>
      <c r="B900" s="1" t="s">
        <v>13</v>
      </c>
      <c r="C900" s="4" t="s">
        <v>4298</v>
      </c>
      <c r="D900" s="1" t="s">
        <v>4299</v>
      </c>
      <c r="E900" s="1" t="s">
        <v>4300</v>
      </c>
      <c r="F900" s="4" t="s">
        <v>17</v>
      </c>
      <c r="G900" s="1" t="s">
        <v>18</v>
      </c>
      <c r="H900" s="1" t="s">
        <v>19</v>
      </c>
      <c r="I900" s="1" t="s">
        <v>20</v>
      </c>
      <c r="J900" s="1" t="s">
        <v>4301</v>
      </c>
      <c r="K900" s="1" t="s">
        <v>22</v>
      </c>
      <c r="L900" s="1" t="str">
        <f>HYPERLINK("https://files.afu.se/Downloads/Transcripts/0%20-%20Government/USA%20-%20NASA/2018 08 29 - NASA - NASA 60th  The Leading Edge of Flight_BCBQYvr7dAM - transcript (automated).pdf","Transcript Link")</f>
        <v>Transcript Link</v>
      </c>
      <c r="M900" s="2" t="str">
        <f>HYPERLINK("https://files.afu.se/Downloads/Transcripts/0%20-%20Government/USA%20-%20NASA/2018 08 29 - NASA - NASA 60th  The Leading Edge of Flight_BCBQYvr7dAM - transcript (automated).pdf","Transcript Link")</f>
        <v>Transcript Link</v>
      </c>
    </row>
    <row r="901" ht="165" spans="1:13">
      <c r="A901" s="1" t="s">
        <v>4302</v>
      </c>
      <c r="B901" s="1" t="s">
        <v>13</v>
      </c>
      <c r="C901" s="4" t="s">
        <v>4303</v>
      </c>
      <c r="D901" s="1" t="s">
        <v>4304</v>
      </c>
      <c r="E901" s="1" t="s">
        <v>4305</v>
      </c>
      <c r="F901" s="4" t="s">
        <v>17</v>
      </c>
      <c r="G901" s="1" t="s">
        <v>18</v>
      </c>
      <c r="H901" s="1" t="s">
        <v>19</v>
      </c>
      <c r="I901" s="1" t="s">
        <v>20</v>
      </c>
      <c r="J901" s="1" t="s">
        <v>4306</v>
      </c>
      <c r="K901" s="1" t="s">
        <v>22</v>
      </c>
      <c r="L901" s="1" t="str">
        <f>HYPERLINK("https://files.afu.se/Downloads/Transcripts/0%20-%20Government/USA%20-%20NASA/2018 08 26 - NASA - NASA Administrator Kicks Off a Celebration of Katherine Johnson’s 100th Birthday_7twrDde6P0g - transcript (automated).pdf","Transcript Link")</f>
        <v>Transcript Link</v>
      </c>
      <c r="M901" s="2" t="str">
        <f>HYPERLINK("https://files.afu.se/Downloads/Transcripts/0%20-%20Government/USA%20-%20NASA/2018 08 26 - NASA - NASA Administrator Kicks Off a Celebration of Katherine Johnson’s 100th Birthday_7twrDde6P0g - transcript (automated).pdf","Transcript Link")</f>
        <v>Transcript Link</v>
      </c>
    </row>
    <row r="902" ht="225" spans="1:13">
      <c r="A902" s="1" t="s">
        <v>4302</v>
      </c>
      <c r="B902" s="1" t="s">
        <v>13</v>
      </c>
      <c r="C902" s="4" t="s">
        <v>4307</v>
      </c>
      <c r="D902" s="1" t="s">
        <v>4308</v>
      </c>
      <c r="E902" s="1" t="s">
        <v>4309</v>
      </c>
      <c r="F902" s="4" t="s">
        <v>17</v>
      </c>
      <c r="G902" s="1" t="s">
        <v>18</v>
      </c>
      <c r="H902" s="1" t="s">
        <v>19</v>
      </c>
      <c r="I902" s="1" t="s">
        <v>20</v>
      </c>
      <c r="J902" s="1" t="s">
        <v>4310</v>
      </c>
      <c r="K902" s="1" t="s">
        <v>22</v>
      </c>
      <c r="L902" s="1" t="str">
        <f>HYPERLINK("https://files.afu.se/Downloads/Transcripts/0%20-%20Government/USA%20-%20NASA/2018 08 26 - NASA - NASA wishes Katherine Johnson a Happy 100th Birthday__ERy7-Pd0dU - transcript (automated).pdf","Transcript Link")</f>
        <v>Transcript Link</v>
      </c>
      <c r="M902" s="2" t="str">
        <f>HYPERLINK("https://files.afu.se/Downloads/Transcripts/0%20-%20Government/USA%20-%20NASA/2018 08 26 - NASA - NASA wishes Katherine Johnson a Happy 100th Birthday__ERy7-Pd0dU - transcript (automated).pdf","Transcript Link")</f>
        <v>Transcript Link</v>
      </c>
    </row>
    <row r="903" ht="165" spans="1:13">
      <c r="A903" s="1" t="s">
        <v>4311</v>
      </c>
      <c r="B903" s="1" t="s">
        <v>13</v>
      </c>
      <c r="C903" s="4" t="s">
        <v>4312</v>
      </c>
      <c r="D903" s="1" t="s">
        <v>4313</v>
      </c>
      <c r="E903" s="1" t="s">
        <v>4314</v>
      </c>
      <c r="F903" s="4" t="s">
        <v>17</v>
      </c>
      <c r="G903" s="1" t="s">
        <v>18</v>
      </c>
      <c r="H903" s="1" t="s">
        <v>19</v>
      </c>
      <c r="I903" s="1" t="s">
        <v>20</v>
      </c>
      <c r="J903" s="1" t="s">
        <v>4315</v>
      </c>
      <c r="K903" s="1" t="s">
        <v>22</v>
      </c>
      <c r="L903" s="1" t="str">
        <f>HYPERLINK("https://files.afu.se/Downloads/Transcripts/0%20-%20Government/USA%20-%20NASA/2018 08 24 - NASA - Vice President Pence Talks Future Human Space Exploration on This Week @NASA – August 24, 2018_qJnjcmxzpOs - transcript (automated).pdf","Transcript Link")</f>
        <v>Transcript Link</v>
      </c>
      <c r="M903" s="2" t="str">
        <f>HYPERLINK("https://files.afu.se/Downloads/Transcripts/0%20-%20Government/USA%20-%20NASA/2018 08 24 - NASA - Vice President Pence Talks Future Human Space Exploration on This Week @NASA – August 24, 2018_qJnjcmxzpOs - transcript (automated).pdf","Transcript Link")</f>
        <v>Transcript Link</v>
      </c>
    </row>
    <row r="904" ht="165" spans="1:13">
      <c r="A904" s="1" t="s">
        <v>4316</v>
      </c>
      <c r="B904" s="1" t="s">
        <v>13</v>
      </c>
      <c r="C904" s="4" t="s">
        <v>4317</v>
      </c>
      <c r="D904" s="1" t="s">
        <v>4318</v>
      </c>
      <c r="E904" s="1" t="s">
        <v>4319</v>
      </c>
      <c r="F904" s="4" t="s">
        <v>17</v>
      </c>
      <c r="G904" s="1" t="s">
        <v>18</v>
      </c>
      <c r="H904" s="1" t="s">
        <v>19</v>
      </c>
      <c r="I904" s="1" t="s">
        <v>20</v>
      </c>
      <c r="J904" s="1" t="s">
        <v>4320</v>
      </c>
      <c r="K904" s="1" t="s">
        <v>22</v>
      </c>
      <c r="L904" s="1" t="str">
        <f>HYPERLINK("https://files.afu.se/Downloads/Transcripts/0%20-%20Government/USA%20-%20NASA/2018 08 23 - NASA - Vice President Pence Visits the Johnson Space Center to Discuss Future Exploration_uGI-8_G7dQY - transcript (automated).pdf","Transcript Link")</f>
        <v>Transcript Link</v>
      </c>
      <c r="M904" s="2" t="str">
        <f>HYPERLINK("https://files.afu.se/Downloads/Transcripts/0%20-%20Government/USA%20-%20NASA/2018 08 23 - NASA - Vice President Pence Visits the Johnson Space Center to Discuss Future Exploration_uGI-8_G7dQY - transcript (automated).pdf","Transcript Link")</f>
        <v>Transcript Link</v>
      </c>
    </row>
    <row r="905" ht="165" spans="1:13">
      <c r="A905" s="1" t="s">
        <v>4321</v>
      </c>
      <c r="B905" s="1" t="s">
        <v>13</v>
      </c>
      <c r="C905" s="4" t="s">
        <v>4322</v>
      </c>
      <c r="D905" s="1" t="s">
        <v>4323</v>
      </c>
      <c r="E905" s="1" t="s">
        <v>4324</v>
      </c>
      <c r="F905" s="4" t="s">
        <v>17</v>
      </c>
      <c r="G905" s="1" t="s">
        <v>18</v>
      </c>
      <c r="H905" s="1" t="s">
        <v>19</v>
      </c>
      <c r="I905" s="1" t="s">
        <v>20</v>
      </c>
      <c r="J905" s="1" t="s">
        <v>4325</v>
      </c>
      <c r="K905" s="1" t="s">
        <v>22</v>
      </c>
      <c r="L905" s="1" t="str">
        <f>HYPERLINK("https://files.afu.se/Downloads/Transcripts/0%20-%20Government/USA%20-%20NASA/2018 08 17 - NASA - Our Journey to Touch the Sun is Underway on This Week @NASA – August 17, 2018_C0NyvxTJGcQ - transcript (automated).pdf","Transcript Link")</f>
        <v>Transcript Link</v>
      </c>
      <c r="M905" s="2" t="str">
        <f>HYPERLINK("https://files.afu.se/Downloads/Transcripts/0%20-%20Government/USA%20-%20NASA/2018 08 17 - NASA - Our Journey to Touch the Sun is Underway on This Week @NASA – August 17, 2018_C0NyvxTJGcQ - transcript (automated).pdf","Transcript Link")</f>
        <v>Transcript Link</v>
      </c>
    </row>
    <row r="906" ht="210" spans="1:13">
      <c r="A906" s="1" t="s">
        <v>4326</v>
      </c>
      <c r="B906" s="1" t="s">
        <v>13</v>
      </c>
      <c r="C906" s="4" t="s">
        <v>4327</v>
      </c>
      <c r="D906" s="1" t="s">
        <v>4328</v>
      </c>
      <c r="E906" s="1" t="s">
        <v>4329</v>
      </c>
      <c r="F906" s="4" t="s">
        <v>17</v>
      </c>
      <c r="G906" s="1" t="s">
        <v>18</v>
      </c>
      <c r="H906" s="1" t="s">
        <v>19</v>
      </c>
      <c r="I906" s="1" t="s">
        <v>20</v>
      </c>
      <c r="J906" s="1" t="s">
        <v>4330</v>
      </c>
      <c r="K906" s="1" t="s">
        <v>22</v>
      </c>
      <c r="L906" s="1" t="str">
        <f>HYPERLINK("https://files.afu.se/Downloads/Transcripts/0%20-%20Government/USA%20-%20NASA/2018 08 13 - NASA - NASA 60th  What’s Out There_0are7UM5kMU - transcript (automated).pdf","Transcript Link")</f>
        <v>Transcript Link</v>
      </c>
      <c r="M906" s="2" t="str">
        <f>HYPERLINK("https://files.afu.se/Downloads/Transcripts/0%20-%20Government/USA%20-%20NASA/2018 08 13 - NASA - NASA 60th  What’s Out There_0are7UM5kMU - transcript (automated).pdf","Transcript Link")</f>
        <v>Transcript Link</v>
      </c>
    </row>
    <row r="907" ht="255" spans="1:13">
      <c r="A907" s="1" t="s">
        <v>4331</v>
      </c>
      <c r="B907" s="1" t="s">
        <v>13</v>
      </c>
      <c r="C907" s="4" t="s">
        <v>4332</v>
      </c>
      <c r="D907" s="1" t="s">
        <v>4333</v>
      </c>
      <c r="E907" s="1" t="s">
        <v>4334</v>
      </c>
      <c r="F907" s="4" t="s">
        <v>17</v>
      </c>
      <c r="G907" s="1" t="s">
        <v>18</v>
      </c>
      <c r="H907" s="1" t="s">
        <v>19</v>
      </c>
      <c r="I907" s="1" t="s">
        <v>20</v>
      </c>
      <c r="J907" s="1" t="s">
        <v>4335</v>
      </c>
      <c r="K907" s="1" t="s">
        <v>22</v>
      </c>
      <c r="L907" s="1" t="str">
        <f>HYPERLINK("https://files.afu.se/Downloads/Transcripts/0%20-%20Government/USA%20-%20NASA/2018 08 12 - NASA - NASA's Parker Solar Probe Mission Launches to Touch the Sun_AlyuSwRSVHU - transcript (automated).pdf","Transcript Link")</f>
        <v>Transcript Link</v>
      </c>
      <c r="M907" s="2" t="str">
        <f>HYPERLINK("https://files.afu.se/Downloads/Transcripts/0%20-%20Government/USA%20-%20NASA/2018 08 12 - NASA - NASA's Parker Solar Probe Mission Launches to Touch the Sun_AlyuSwRSVHU - transcript (automated).pdf","Transcript Link")</f>
        <v>Transcript Link</v>
      </c>
    </row>
    <row r="908" ht="165" spans="1:13">
      <c r="A908" s="1" t="s">
        <v>4336</v>
      </c>
      <c r="B908" s="1" t="s">
        <v>13</v>
      </c>
      <c r="C908" s="4" t="s">
        <v>4337</v>
      </c>
      <c r="D908" s="1" t="s">
        <v>4338</v>
      </c>
      <c r="E908" s="1" t="s">
        <v>4339</v>
      </c>
      <c r="F908" s="4" t="s">
        <v>17</v>
      </c>
      <c r="G908" s="1" t="s">
        <v>18</v>
      </c>
      <c r="H908" s="1" t="s">
        <v>19</v>
      </c>
      <c r="I908" s="1" t="s">
        <v>20</v>
      </c>
      <c r="J908" s="1" t="s">
        <v>4340</v>
      </c>
      <c r="K908" s="1" t="s">
        <v>22</v>
      </c>
      <c r="L908" s="1" t="str">
        <f>HYPERLINK("https://files.afu.se/Downloads/Transcripts/0%20-%20Government/USA%20-%20NASA/2018 08 11 - NASA - Humanity’s first mission to touch the Sun on This Week @NASA – August 11, 2018_vme1j6kivnk - transcript (automated).pdf","Transcript Link")</f>
        <v>Transcript Link</v>
      </c>
      <c r="M908" s="2" t="str">
        <f>HYPERLINK("https://files.afu.se/Downloads/Transcripts/0%20-%20Government/USA%20-%20NASA/2018 08 11 - NASA - Humanity’s first mission to touch the Sun on This Week @NASA – August 11, 2018_vme1j6kivnk - transcript (automated).pdf","Transcript Link")</f>
        <v>Transcript Link</v>
      </c>
    </row>
    <row r="909" ht="409.5" spans="1:13">
      <c r="A909" s="1" t="s">
        <v>4341</v>
      </c>
      <c r="B909" s="1" t="s">
        <v>13</v>
      </c>
      <c r="C909" s="4" t="s">
        <v>4342</v>
      </c>
      <c r="D909" s="1" t="s">
        <v>4343</v>
      </c>
      <c r="E909" s="1" t="s">
        <v>4344</v>
      </c>
      <c r="F909" s="4" t="s">
        <v>17</v>
      </c>
      <c r="G909" s="1" t="s">
        <v>18</v>
      </c>
      <c r="H909" s="1" t="s">
        <v>19</v>
      </c>
      <c r="I909" s="1" t="s">
        <v>20</v>
      </c>
      <c r="J909" s="1" t="s">
        <v>4345</v>
      </c>
      <c r="K909" s="1" t="s">
        <v>22</v>
      </c>
      <c r="L909" s="1" t="str">
        <f>HYPERLINK("https://files.afu.se/Downloads/Transcripts/0%20-%20Government/USA%20-%20NASA/2018 08 09 - NASA - NASA   Parker Solar Probe  It's Surprisingly Hard to Go to the Sun_MvKvX-niMLA - transcript (automated).pdf","Transcript Link")</f>
        <v>Transcript Link</v>
      </c>
      <c r="M909" s="2" t="str">
        <f>HYPERLINK("https://files.afu.se/Downloads/Transcripts/0%20-%20Government/USA%20-%20NASA/2018 08 09 - NASA - NASA   Parker Solar Probe  It's Surprisingly Hard to Go to the Sun_MvKvX-niMLA - transcript (automated).pdf","Transcript Link")</f>
        <v>Transcript Link</v>
      </c>
    </row>
    <row r="910" ht="165" spans="1:13">
      <c r="A910" s="1" t="s">
        <v>4346</v>
      </c>
      <c r="B910" s="1" t="s">
        <v>13</v>
      </c>
      <c r="C910" s="4" t="s">
        <v>4347</v>
      </c>
      <c r="D910" s="1" t="s">
        <v>4348</v>
      </c>
      <c r="E910" s="1" t="s">
        <v>4349</v>
      </c>
      <c r="F910" s="4" t="s">
        <v>17</v>
      </c>
      <c r="G910" s="1" t="s">
        <v>18</v>
      </c>
      <c r="H910" s="1" t="s">
        <v>19</v>
      </c>
      <c r="I910" s="1" t="s">
        <v>20</v>
      </c>
      <c r="J910" s="1" t="s">
        <v>4350</v>
      </c>
      <c r="K910" s="1" t="s">
        <v>22</v>
      </c>
      <c r="L910" s="1" t="str">
        <f>HYPERLINK("https://files.afu.se/Downloads/Transcripts/0%20-%20Government/USA%20-%20NASA/2018 08 03 - NASA - Astronauts Assigned to First Commercial Crew Flights on This Week @NASA – August 3, 2018_Xd5hyAkmRQQ - transcript (automated).pdf","Transcript Link")</f>
        <v>Transcript Link</v>
      </c>
      <c r="M910" s="2" t="str">
        <f>HYPERLINK("https://files.afu.se/Downloads/Transcripts/0%20-%20Government/USA%20-%20NASA/2018 08 03 - NASA - Astronauts Assigned to First Commercial Crew Flights on This Week @NASA – August 3, 2018_Xd5hyAkmRQQ - transcript (automated).pdf","Transcript Link")</f>
        <v>Transcript Link</v>
      </c>
    </row>
    <row r="911" ht="210" spans="1:13">
      <c r="A911" s="1" t="s">
        <v>4346</v>
      </c>
      <c r="B911" s="1" t="s">
        <v>13</v>
      </c>
      <c r="C911" s="4" t="s">
        <v>4351</v>
      </c>
      <c r="D911" s="1" t="s">
        <v>4352</v>
      </c>
      <c r="E911" s="1" t="s">
        <v>4353</v>
      </c>
      <c r="F911" s="4" t="s">
        <v>17</v>
      </c>
      <c r="G911" s="1" t="s">
        <v>18</v>
      </c>
      <c r="H911" s="1" t="s">
        <v>19</v>
      </c>
      <c r="I911" s="1" t="s">
        <v>20</v>
      </c>
      <c r="J911" s="1" t="s">
        <v>4354</v>
      </c>
      <c r="K911" s="1" t="s">
        <v>22</v>
      </c>
      <c r="L911" s="1" t="str">
        <f>HYPERLINK("https://files.afu.se/Downloads/Transcripts/0%20-%20Government/USA%20-%20NASA/2018 08 03 - NASA - NASA Announces Astronaut Crews for First Commercial Vehicle Flights_Eu13IPVFGp0 - transcript (automated).pdf","Transcript Link")</f>
        <v>Transcript Link</v>
      </c>
      <c r="M911" s="2" t="str">
        <f>HYPERLINK("https://files.afu.se/Downloads/Transcripts/0%20-%20Government/USA%20-%20NASA/2018 08 03 - NASA - NASA Announces Astronaut Crews for First Commercial Vehicle Flights_Eu13IPVFGp0 - transcript (automated).pdf","Transcript Link")</f>
        <v>Transcript Link</v>
      </c>
    </row>
    <row r="912" ht="285" spans="1:13">
      <c r="A912" s="1" t="s">
        <v>4355</v>
      </c>
      <c r="B912" s="1" t="s">
        <v>13</v>
      </c>
      <c r="C912" s="4" t="s">
        <v>4356</v>
      </c>
      <c r="D912" s="1" t="s">
        <v>4357</v>
      </c>
      <c r="E912" s="1" t="s">
        <v>4358</v>
      </c>
      <c r="F912" s="4" t="s">
        <v>17</v>
      </c>
      <c r="G912" s="1" t="s">
        <v>18</v>
      </c>
      <c r="H912" s="1" t="s">
        <v>19</v>
      </c>
      <c r="I912" s="1" t="s">
        <v>20</v>
      </c>
      <c r="J912" s="1" t="s">
        <v>4359</v>
      </c>
      <c r="K912" s="1" t="s">
        <v>22</v>
      </c>
      <c r="L912" s="1" t="str">
        <f>HYPERLINK("https://files.afu.se/Downloads/Transcripts/0%20-%20Government/USA%20-%20NASA/2018 07 31 - NASA - Sounds of NASA Goddard's Robotic Operations Center_BzWtbN9nKB0 - transcript (automated).pdf","Transcript Link")</f>
        <v>Transcript Link</v>
      </c>
      <c r="M912" s="2" t="str">
        <f>HYPERLINK("https://files.afu.se/Downloads/Transcripts/0%20-%20Government/USA%20-%20NASA/2018 07 31 - NASA - Sounds of NASA Goddard's Robotic Operations Center_BzWtbN9nKB0 - transcript (automated).pdf","Transcript Link")</f>
        <v>Transcript Link</v>
      </c>
    </row>
    <row r="913" ht="165" spans="1:13">
      <c r="A913" s="1" t="s">
        <v>4360</v>
      </c>
      <c r="B913" s="1" t="s">
        <v>13</v>
      </c>
      <c r="C913" s="4" t="s">
        <v>4361</v>
      </c>
      <c r="D913" s="1" t="s">
        <v>4362</v>
      </c>
      <c r="E913" s="1" t="s">
        <v>4363</v>
      </c>
      <c r="F913" s="4" t="s">
        <v>17</v>
      </c>
      <c r="G913" s="1" t="s">
        <v>18</v>
      </c>
      <c r="H913" s="1" t="s">
        <v>19</v>
      </c>
      <c r="I913" s="1" t="s">
        <v>20</v>
      </c>
      <c r="J913" s="1" t="s">
        <v>4364</v>
      </c>
      <c r="K913" s="1" t="s">
        <v>22</v>
      </c>
      <c r="L913" s="1" t="str">
        <f>HYPERLINK("https://files.afu.se/Downloads/Transcripts/0%20-%20Government/USA%20-%20NASA/2018 07 29 - NASA - NASA 60th  How It All Began_VV6QeZFaVSQ - transcript (automated).pdf","Transcript Link")</f>
        <v>Transcript Link</v>
      </c>
      <c r="M913" s="2" t="str">
        <f>HYPERLINK("https://files.afu.se/Downloads/Transcripts/0%20-%20Government/USA%20-%20NASA/2018 07 29 - NASA - NASA 60th  How It All Began_VV6QeZFaVSQ - transcript (automated).pdf","Transcript Link")</f>
        <v>Transcript Link</v>
      </c>
    </row>
    <row r="914" ht="165" spans="1:13">
      <c r="A914" s="1" t="s">
        <v>4365</v>
      </c>
      <c r="B914" s="1" t="s">
        <v>13</v>
      </c>
      <c r="C914" s="4" t="s">
        <v>4366</v>
      </c>
      <c r="D914" s="1" t="s">
        <v>4367</v>
      </c>
      <c r="E914" s="1" t="s">
        <v>4368</v>
      </c>
      <c r="F914" s="4" t="s">
        <v>17</v>
      </c>
      <c r="G914" s="1" t="s">
        <v>18</v>
      </c>
      <c r="H914" s="1" t="s">
        <v>19</v>
      </c>
      <c r="I914" s="1" t="s">
        <v>20</v>
      </c>
      <c r="J914" s="1" t="s">
        <v>4369</v>
      </c>
      <c r="K914" s="1" t="s">
        <v>22</v>
      </c>
      <c r="L914" s="1" t="str">
        <f>HYPERLINK("https://files.afu.se/Downloads/Transcripts/0%20-%20Government/USA%20-%20NASA/2018 07 27 - NASA - An Active Week for Administrator Bridenstine on This Week @NASA – July 27, 2018_UwWCd4UjSdg - transcript (automated).pdf","Transcript Link")</f>
        <v>Transcript Link</v>
      </c>
      <c r="M914" s="2" t="str">
        <f>HYPERLINK("https://files.afu.se/Downloads/Transcripts/0%20-%20Government/USA%20-%20NASA/2018 07 27 - NASA - An Active Week for Administrator Bridenstine on This Week @NASA – July 27, 2018_UwWCd4UjSdg - transcript (automated).pdf","Transcript Link")</f>
        <v>Transcript Link</v>
      </c>
    </row>
    <row r="915" ht="375" spans="1:13">
      <c r="A915" s="1" t="s">
        <v>4370</v>
      </c>
      <c r="B915" s="1" t="s">
        <v>13</v>
      </c>
      <c r="C915" s="4" t="s">
        <v>4371</v>
      </c>
      <c r="D915" s="1" t="s">
        <v>4372</v>
      </c>
      <c r="E915" s="1" t="s">
        <v>4373</v>
      </c>
      <c r="F915" s="4" t="s">
        <v>17</v>
      </c>
      <c r="G915" s="1" t="s">
        <v>18</v>
      </c>
      <c r="H915" s="1" t="s">
        <v>19</v>
      </c>
      <c r="I915" s="1" t="s">
        <v>20</v>
      </c>
      <c r="J915" s="1" t="s">
        <v>4374</v>
      </c>
      <c r="K915" s="1" t="s">
        <v>22</v>
      </c>
      <c r="L915" s="1" t="str">
        <f>HYPERLINK("https://files.afu.se/Downloads/Transcripts/0%20-%20Government/USA%20-%20NASA/2018 07 26 - NASA - NASA   Sun Sonification (raw audio)_-I-zdmg_Dno - transcript (automated).pdf","Transcript Link")</f>
        <v>Transcript Link</v>
      </c>
      <c r="M915" s="2" t="str">
        <f>HYPERLINK("https://files.afu.se/Downloads/Transcripts/0%20-%20Government/USA%20-%20NASA/2018 07 26 - NASA - NASA   Sun Sonification (raw audio)_-I-zdmg_Dno - transcript (automated).pdf","Transcript Link")</f>
        <v>Transcript Link</v>
      </c>
    </row>
    <row r="916" ht="285" spans="1:13">
      <c r="A916" s="1" t="s">
        <v>4375</v>
      </c>
      <c r="B916" s="1" t="s">
        <v>13</v>
      </c>
      <c r="C916" s="4" t="s">
        <v>4376</v>
      </c>
      <c r="D916" s="1" t="s">
        <v>4377</v>
      </c>
      <c r="E916" s="1" t="s">
        <v>4378</v>
      </c>
      <c r="F916" s="4" t="s">
        <v>17</v>
      </c>
      <c r="G916" s="1" t="s">
        <v>18</v>
      </c>
      <c r="H916" s="1" t="s">
        <v>19</v>
      </c>
      <c r="I916" s="1" t="s">
        <v>20</v>
      </c>
      <c r="J916" s="1" t="s">
        <v>4379</v>
      </c>
      <c r="K916" s="1" t="s">
        <v>22</v>
      </c>
      <c r="L916" s="1" t="str">
        <f>HYPERLINK("https://files.afu.se/Downloads/Transcripts/0%20-%20Government/USA%20-%20NASA/2018 07 25 - NASA - NASA Administrator Bridenstine Chats with Astronauts Acaba and Vande Hei_K0l1RJ4Aag8 - transcript (automated).pdf","Transcript Link")</f>
        <v>Transcript Link</v>
      </c>
      <c r="M916" s="2" t="str">
        <f>HYPERLINK("https://files.afu.se/Downloads/Transcripts/0%20-%20Government/USA%20-%20NASA/2018 07 25 - NASA - NASA Administrator Bridenstine Chats with Astronauts Acaba and Vande Hei_K0l1RJ4Aag8 - transcript (automated).pdf","Transcript Link")</f>
        <v>Transcript Link</v>
      </c>
    </row>
    <row r="917" ht="240" spans="1:13">
      <c r="A917" s="1" t="s">
        <v>4375</v>
      </c>
      <c r="B917" s="1" t="s">
        <v>13</v>
      </c>
      <c r="C917" s="4" t="s">
        <v>4380</v>
      </c>
      <c r="D917" s="1" t="s">
        <v>4381</v>
      </c>
      <c r="E917" s="1" t="s">
        <v>4382</v>
      </c>
      <c r="F917" s="4" t="s">
        <v>17</v>
      </c>
      <c r="G917" s="1" t="s">
        <v>18</v>
      </c>
      <c r="H917" s="1" t="s">
        <v>19</v>
      </c>
      <c r="I917" s="1" t="s">
        <v>20</v>
      </c>
      <c r="J917" s="1" t="s">
        <v>4383</v>
      </c>
      <c r="K917" s="1" t="s">
        <v>22</v>
      </c>
      <c r="L917" s="1" t="str">
        <f>HYPERLINK("https://files.afu.se/Downloads/Transcripts/0%20-%20Government/USA%20-%20NASA/2018 07 25 - NASA - NASA   Sounds of the Sun (Low Frequency)_CRu_hG3X3bI - transcript (automated).pdf","Transcript Link")</f>
        <v>Transcript Link</v>
      </c>
      <c r="M917" s="2" t="str">
        <f>HYPERLINK("https://files.afu.se/Downloads/Transcripts/0%20-%20Government/USA%20-%20NASA/2018 07 25 - NASA - NASA   Sounds of the Sun (Low Frequency)_CRu_hG3X3bI - transcript (automated).pdf","Transcript Link")</f>
        <v>Transcript Link</v>
      </c>
    </row>
    <row r="918" ht="240" spans="1:13">
      <c r="A918" s="1" t="s">
        <v>4375</v>
      </c>
      <c r="B918" s="1" t="s">
        <v>13</v>
      </c>
      <c r="C918" s="4" t="s">
        <v>4384</v>
      </c>
      <c r="D918" s="1" t="s">
        <v>4385</v>
      </c>
      <c r="E918" s="1" t="s">
        <v>4386</v>
      </c>
      <c r="F918" s="4" t="s">
        <v>17</v>
      </c>
      <c r="G918" s="1" t="s">
        <v>18</v>
      </c>
      <c r="H918" s="1" t="s">
        <v>19</v>
      </c>
      <c r="I918" s="1" t="s">
        <v>20</v>
      </c>
      <c r="J918" s="1" t="s">
        <v>4387</v>
      </c>
      <c r="K918" s="1" t="s">
        <v>22</v>
      </c>
      <c r="L918" s="1" t="str">
        <f>HYPERLINK("https://files.afu.se/Downloads/Transcripts/0%20-%20Government/USA%20-%20NASA/2018 07 25 - NASA - NASA Administrator Bridenstine Talks Webb Science with Nobel Laureate_F5cjXCQ5Cpk - transcript (automated).pdf","Transcript Link")</f>
        <v>Transcript Link</v>
      </c>
      <c r="M918" s="2" t="str">
        <f>HYPERLINK("https://files.afu.se/Downloads/Transcripts/0%20-%20Government/USA%20-%20NASA/2018 07 25 - NASA - NASA Administrator Bridenstine Talks Webb Science with Nobel Laureate_F5cjXCQ5Cpk - transcript (automated).pdf","Transcript Link")</f>
        <v>Transcript Link</v>
      </c>
    </row>
    <row r="919" ht="165" spans="1:13">
      <c r="A919" s="1" t="s">
        <v>4388</v>
      </c>
      <c r="B919" s="1" t="s">
        <v>13</v>
      </c>
      <c r="C919" s="4" t="s">
        <v>4389</v>
      </c>
      <c r="D919" s="1" t="s">
        <v>4390</v>
      </c>
      <c r="E919" s="1" t="s">
        <v>4391</v>
      </c>
      <c r="F919" s="4" t="s">
        <v>17</v>
      </c>
      <c r="G919" s="1" t="s">
        <v>18</v>
      </c>
      <c r="H919" s="1" t="s">
        <v>19</v>
      </c>
      <c r="I919" s="1" t="s">
        <v>20</v>
      </c>
      <c r="J919" s="1" t="s">
        <v>4392</v>
      </c>
      <c r="K919" s="1" t="s">
        <v>22</v>
      </c>
      <c r="L919" s="1" t="str">
        <f>HYPERLINK("https://files.afu.se/Downloads/Transcripts/0%20-%20Government/USA%20-%20NASA/2018 07 20 - NASA - Successful Parachute Test for Orion on This Week @NASA – July 20, 2018_L06p8Jba45c - transcript (automated).pdf","Transcript Link")</f>
        <v>Transcript Link</v>
      </c>
      <c r="M919" s="2" t="str">
        <f>HYPERLINK("https://files.afu.se/Downloads/Transcripts/0%20-%20Government/USA%20-%20NASA/2018 07 20 - NASA - Successful Parachute Test for Orion on This Week @NASA – July 20, 2018_L06p8Jba45c - transcript (automated).pdf","Transcript Link")</f>
        <v>Transcript Link</v>
      </c>
    </row>
    <row r="920" ht="300" spans="1:13">
      <c r="A920" s="1" t="s">
        <v>4388</v>
      </c>
      <c r="B920" s="1" t="s">
        <v>13</v>
      </c>
      <c r="C920" s="4" t="s">
        <v>4393</v>
      </c>
      <c r="D920" s="1" t="s">
        <v>4394</v>
      </c>
      <c r="E920" s="1" t="s">
        <v>4395</v>
      </c>
      <c r="F920" s="4" t="s">
        <v>17</v>
      </c>
      <c r="G920" s="1" t="s">
        <v>18</v>
      </c>
      <c r="H920" s="1" t="s">
        <v>19</v>
      </c>
      <c r="I920" s="1" t="s">
        <v>20</v>
      </c>
      <c r="J920" s="1" t="s">
        <v>4396</v>
      </c>
      <c r="K920" s="1" t="s">
        <v>22</v>
      </c>
      <c r="L920" s="1" t="str">
        <f>HYPERLINK("https://files.afu.se/Downloads/Transcripts/0%20-%20Government/USA%20-%20NASA/2018 07 20 - NASA - How NASA's Parker Solar Probe Will Survive the Sun_RT9laVHZZQo - transcript (automated).pdf","Transcript Link")</f>
        <v>Transcript Link</v>
      </c>
      <c r="M920" s="2" t="str">
        <f>HYPERLINK("https://files.afu.se/Downloads/Transcripts/0%20-%20Government/USA%20-%20NASA/2018 07 20 - NASA - How NASA's Parker Solar Probe Will Survive the Sun_RT9laVHZZQo - transcript (automated).pdf","Transcript Link")</f>
        <v>Transcript Link</v>
      </c>
    </row>
    <row r="921" ht="180" spans="1:13">
      <c r="A921" s="1" t="s">
        <v>4397</v>
      </c>
      <c r="B921" s="1" t="s">
        <v>13</v>
      </c>
      <c r="C921" s="4" t="s">
        <v>4398</v>
      </c>
      <c r="D921" s="1" t="s">
        <v>4399</v>
      </c>
      <c r="E921" s="1" t="s">
        <v>4400</v>
      </c>
      <c r="F921" s="4" t="s">
        <v>17</v>
      </c>
      <c r="G921" s="1" t="s">
        <v>18</v>
      </c>
      <c r="H921" s="1" t="s">
        <v>19</v>
      </c>
      <c r="I921" s="1" t="s">
        <v>20</v>
      </c>
      <c r="J921" s="1" t="s">
        <v>4401</v>
      </c>
      <c r="K921" s="1" t="s">
        <v>22</v>
      </c>
      <c r="L921" s="1" t="str">
        <f>HYPERLINK("https://files.afu.se/Downloads/Transcripts/0%20-%20Government/USA%20-%20NASA/2018 07 13 - NASA - International Space Station Daytime Traverse_AmT9XeSDSno - transcript (automated).pdf","Transcript Link")</f>
        <v>Transcript Link</v>
      </c>
      <c r="M921" s="2" t="str">
        <f>HYPERLINK("https://files.afu.se/Downloads/Transcripts/0%20-%20Government/USA%20-%20NASA/2018 07 13 - NASA - International Space Station Daytime Traverse_AmT9XeSDSno - transcript (automated).pdf","Transcript Link")</f>
        <v>Transcript Link</v>
      </c>
    </row>
    <row r="922" ht="165" spans="1:13">
      <c r="A922" s="1" t="s">
        <v>4397</v>
      </c>
      <c r="B922" s="1" t="s">
        <v>13</v>
      </c>
      <c r="C922" s="4" t="s">
        <v>4402</v>
      </c>
      <c r="D922" s="1" t="s">
        <v>4403</v>
      </c>
      <c r="E922" s="1" t="s">
        <v>4404</v>
      </c>
      <c r="F922" s="4" t="s">
        <v>17</v>
      </c>
      <c r="G922" s="1" t="s">
        <v>18</v>
      </c>
      <c r="H922" s="1" t="s">
        <v>19</v>
      </c>
      <c r="I922" s="1" t="s">
        <v>20</v>
      </c>
      <c r="J922" s="1" t="s">
        <v>4405</v>
      </c>
      <c r="K922" s="1" t="s">
        <v>22</v>
      </c>
      <c r="L922" s="1" t="str">
        <f>HYPERLINK("https://files.afu.se/Downloads/Transcripts/0%20-%20Government/USA%20-%20NASA/2018 07 13 - NASA - Tracing The Source of a Cosmic Phenomenon on This Week @NASA – July 13, 2018_0M9Sxm7peC8 - transcript (automated).pdf","Transcript Link")</f>
        <v>Transcript Link</v>
      </c>
      <c r="M922" s="2" t="str">
        <f>HYPERLINK("https://files.afu.se/Downloads/Transcripts/0%20-%20Government/USA%20-%20NASA/2018 07 13 - NASA - Tracing The Source of a Cosmic Phenomenon on This Week @NASA – July 13, 2018_0M9Sxm7peC8 - transcript (automated).pdf","Transcript Link")</f>
        <v>Transcript Link</v>
      </c>
    </row>
    <row r="923" ht="180" spans="1:13">
      <c r="A923" s="1" t="s">
        <v>4406</v>
      </c>
      <c r="B923" s="1" t="s">
        <v>13</v>
      </c>
      <c r="C923" s="4" t="s">
        <v>4407</v>
      </c>
      <c r="D923" s="1" t="s">
        <v>4408</v>
      </c>
      <c r="E923" s="1" t="s">
        <v>4409</v>
      </c>
      <c r="F923" s="4" t="s">
        <v>17</v>
      </c>
      <c r="G923" s="1" t="s">
        <v>18</v>
      </c>
      <c r="H923" s="1" t="s">
        <v>19</v>
      </c>
      <c r="I923" s="1" t="s">
        <v>20</v>
      </c>
      <c r="J923" s="1" t="s">
        <v>4410</v>
      </c>
      <c r="K923" s="1" t="s">
        <v>22</v>
      </c>
      <c r="L923" s="1" t="str">
        <f>HYPERLINK("https://files.afu.se/Downloads/Transcripts/0%20-%20Government/USA%20-%20NASA/2018 07 12 - NASA - Rare Double Asteroid Revealed by NASA, Observatories_cbLqTfm_bac - transcript (automated).pdf","Transcript Link")</f>
        <v>Transcript Link</v>
      </c>
      <c r="M923" s="2" t="str">
        <f>HYPERLINK("https://files.afu.se/Downloads/Transcripts/0%20-%20Government/USA%20-%20NASA/2018 07 12 - NASA - Rare Double Asteroid Revealed by NASA, Observatories_cbLqTfm_bac - transcript (automated).pdf","Transcript Link")</f>
        <v>Transcript Link</v>
      </c>
    </row>
    <row r="924" ht="165" spans="1:13">
      <c r="A924" s="1" t="s">
        <v>4411</v>
      </c>
      <c r="B924" s="1" t="s">
        <v>13</v>
      </c>
      <c r="C924" s="4" t="s">
        <v>4412</v>
      </c>
      <c r="D924" s="1" t="s">
        <v>4413</v>
      </c>
      <c r="E924" s="1" t="s">
        <v>4414</v>
      </c>
      <c r="F924" s="4" t="s">
        <v>17</v>
      </c>
      <c r="G924" s="1" t="s">
        <v>18</v>
      </c>
      <c r="H924" s="1" t="s">
        <v>19</v>
      </c>
      <c r="I924" s="1" t="s">
        <v>20</v>
      </c>
      <c r="J924" s="1" t="s">
        <v>4415</v>
      </c>
      <c r="K924" s="1" t="s">
        <v>22</v>
      </c>
      <c r="L924" s="1" t="str">
        <f>HYPERLINK("https://files.afu.se/Downloads/Transcripts/0%20-%20Government/USA%20-%20NASA/2018 07 11 - NASA - Parker Solar Probe Countdown to T-Zero in 4K  Flying Faster, Hotter and Closer Than Ever to the Sun_7SQ3kLhXpS4 - transcript (automated).pdf","Transcript Link")</f>
        <v>Transcript Link</v>
      </c>
      <c r="M924" s="2" t="str">
        <f>HYPERLINK("https://files.afu.se/Downloads/Transcripts/0%20-%20Government/USA%20-%20NASA/2018 07 11 - NASA - Parker Solar Probe Countdown to T-Zero in 4K  Flying Faster, Hotter and Closer Than Ever to the Sun_7SQ3kLhXpS4 - transcript (automated).pdf","Transcript Link")</f>
        <v>Transcript Link</v>
      </c>
    </row>
    <row r="925" ht="165" spans="1:13">
      <c r="A925" s="1" t="s">
        <v>4416</v>
      </c>
      <c r="B925" s="1" t="s">
        <v>13</v>
      </c>
      <c r="C925" s="4" t="s">
        <v>4417</v>
      </c>
      <c r="D925" s="1" t="s">
        <v>4418</v>
      </c>
      <c r="E925" s="1" t="s">
        <v>4419</v>
      </c>
      <c r="F925" s="4" t="s">
        <v>17</v>
      </c>
      <c r="G925" s="1" t="s">
        <v>18</v>
      </c>
      <c r="H925" s="1" t="s">
        <v>19</v>
      </c>
      <c r="I925" s="1" t="s">
        <v>20</v>
      </c>
      <c r="J925" s="1" t="s">
        <v>4420</v>
      </c>
      <c r="K925" s="1" t="s">
        <v>22</v>
      </c>
      <c r="L925" s="1" t="str">
        <f>HYPERLINK("https://files.afu.se/Downloads/Transcripts/0%20-%20Government/USA%20-%20NASA/2018 07 06 - NASA - New Supplies and Research for the Space Station on This Week @NASA – July 6, 2018_rPiqC-PyLDo - transcript (automated).pdf","Transcript Link")</f>
        <v>Transcript Link</v>
      </c>
      <c r="M925" s="2" t="str">
        <f>HYPERLINK("https://files.afu.se/Downloads/Transcripts/0%20-%20Government/USA%20-%20NASA/2018 07 06 - NASA - New Supplies and Research for the Space Station on This Week @NASA – July 6, 2018_rPiqC-PyLDo - transcript (automated).pdf","Transcript Link")</f>
        <v>Transcript Link</v>
      </c>
    </row>
    <row r="926" ht="409.5" spans="1:13">
      <c r="A926" s="1" t="s">
        <v>4421</v>
      </c>
      <c r="B926" s="1" t="s">
        <v>13</v>
      </c>
      <c r="C926" s="4" t="s">
        <v>4422</v>
      </c>
      <c r="D926" s="1" t="s">
        <v>4423</v>
      </c>
      <c r="E926" s="1" t="s">
        <v>4424</v>
      </c>
      <c r="F926" s="4" t="s">
        <v>17</v>
      </c>
      <c r="G926" s="1" t="s">
        <v>18</v>
      </c>
      <c r="H926" s="1" t="s">
        <v>19</v>
      </c>
      <c r="I926" s="1" t="s">
        <v>20</v>
      </c>
      <c r="J926" s="1" t="s">
        <v>4425</v>
      </c>
      <c r="K926" s="1" t="s">
        <v>22</v>
      </c>
      <c r="L926" s="1" t="str">
        <f>HYPERLINK("https://files.afu.se/Downloads/Transcripts/0%20-%20Government/USA%20-%20NASA/2018 07 03 - NASA - NASA   Superstar Eta Carinae Shoots Cosmic Rays_3kljit1CqKI - transcript (automated).pdf","Transcript Link")</f>
        <v>Transcript Link</v>
      </c>
      <c r="M926" s="2" t="str">
        <f>HYPERLINK("https://files.afu.se/Downloads/Transcripts/0%20-%20Government/USA%20-%20NASA/2018 07 03 - NASA - NASA   Superstar Eta Carinae Shoots Cosmic Rays_3kljit1CqKI - transcript (automated).pdf","Transcript Link")</f>
        <v>Transcript Link</v>
      </c>
    </row>
    <row r="927" ht="165" spans="1:13">
      <c r="A927" s="1" t="s">
        <v>4426</v>
      </c>
      <c r="B927" s="1" t="s">
        <v>13</v>
      </c>
      <c r="C927" s="4" t="s">
        <v>4427</v>
      </c>
      <c r="D927" s="1" t="s">
        <v>4428</v>
      </c>
      <c r="E927" s="1" t="s">
        <v>4429</v>
      </c>
      <c r="F927" s="4" t="s">
        <v>17</v>
      </c>
      <c r="G927" s="1" t="s">
        <v>18</v>
      </c>
      <c r="H927" s="1" t="s">
        <v>19</v>
      </c>
      <c r="I927" s="1" t="s">
        <v>20</v>
      </c>
      <c r="J927" s="1" t="s">
        <v>4430</v>
      </c>
      <c r="K927" s="1" t="s">
        <v>22</v>
      </c>
      <c r="L927" s="1" t="str">
        <f>HYPERLINK("https://files.afu.se/Downloads/Transcripts/0%20-%20Government/USA%20-%20NASA/2018 07 02 - NASA - Happy 4th of July from NASA_qY5b4QXLSJk - transcript (automated).pdf","Transcript Link")</f>
        <v>Transcript Link</v>
      </c>
      <c r="M927" s="2" t="str">
        <f>HYPERLINK("https://files.afu.se/Downloads/Transcripts/0%20-%20Government/USA%20-%20NASA/2018 07 02 - NASA - Happy 4th of July from NASA_qY5b4QXLSJk - transcript (automated).pdf","Transcript Link")</f>
        <v>Transcript Link</v>
      </c>
    </row>
    <row r="928" ht="165" spans="1:13">
      <c r="A928" s="1" t="s">
        <v>4431</v>
      </c>
      <c r="B928" s="1" t="s">
        <v>13</v>
      </c>
      <c r="C928" s="4" t="s">
        <v>4432</v>
      </c>
      <c r="D928" s="1" t="s">
        <v>4433</v>
      </c>
      <c r="E928" s="1" t="s">
        <v>4434</v>
      </c>
      <c r="F928" s="4" t="s">
        <v>17</v>
      </c>
      <c r="G928" s="1" t="s">
        <v>18</v>
      </c>
      <c r="H928" s="1" t="s">
        <v>19</v>
      </c>
      <c r="I928" s="1" t="s">
        <v>20</v>
      </c>
      <c r="J928" s="1" t="s">
        <v>4435</v>
      </c>
      <c r="K928" s="1" t="s">
        <v>22</v>
      </c>
      <c r="L928" s="1" t="str">
        <f>HYPERLINK("https://files.afu.se/Downloads/Transcripts/0%20-%20Government/USA%20-%20NASA/2018 06 29 - NASA - New Resupply Mission Launches to Space Station on This Week @NASA – June 29, 2018_TV4oNZzRBYY - transcript (automated).pdf","Transcript Link")</f>
        <v>Transcript Link</v>
      </c>
      <c r="M928" s="2" t="str">
        <f>HYPERLINK("https://files.afu.se/Downloads/Transcripts/0%20-%20Government/USA%20-%20NASA/2018 06 29 - NASA - New Resupply Mission Launches to Space Station on This Week @NASA – June 29, 2018_TV4oNZzRBYY - transcript (automated).pdf","Transcript Link")</f>
        <v>Transcript Link</v>
      </c>
    </row>
    <row r="929" ht="405" spans="1:13">
      <c r="A929" s="1" t="s">
        <v>4436</v>
      </c>
      <c r="B929" s="1" t="s">
        <v>13</v>
      </c>
      <c r="C929" s="4" t="s">
        <v>4437</v>
      </c>
      <c r="D929" s="1" t="s">
        <v>4438</v>
      </c>
      <c r="E929" s="1" t="s">
        <v>4439</v>
      </c>
      <c r="F929" s="4" t="s">
        <v>17</v>
      </c>
      <c r="G929" s="1" t="s">
        <v>18</v>
      </c>
      <c r="H929" s="1" t="s">
        <v>19</v>
      </c>
      <c r="I929" s="1" t="s">
        <v>20</v>
      </c>
      <c r="J929" s="1" t="s">
        <v>4440</v>
      </c>
      <c r="K929" s="1" t="s">
        <v>22</v>
      </c>
      <c r="L929" s="1" t="str">
        <f>HYPERLINK("https://files.afu.se/Downloads/Transcripts/0%20-%20Government/USA%20-%20NASA/2018 06 28 - NASA - SpaceX's CRS-15 Mission to the Space Station  What's On Board _aEY6CIM7YUI - transcript (automated).pdf","Transcript Link")</f>
        <v>Transcript Link</v>
      </c>
      <c r="M929" s="2" t="str">
        <f>HYPERLINK("https://files.afu.se/Downloads/Transcripts/0%20-%20Government/USA%20-%20NASA/2018 06 28 - NASA - SpaceX's CRS-15 Mission to the Space Station  What's On Board _aEY6CIM7YUI - transcript (automated).pdf","Transcript Link")</f>
        <v>Transcript Link</v>
      </c>
    </row>
    <row r="930" ht="165" spans="1:13">
      <c r="A930" s="1" t="s">
        <v>4441</v>
      </c>
      <c r="B930" s="1" t="s">
        <v>13</v>
      </c>
      <c r="C930" s="4" t="s">
        <v>4442</v>
      </c>
      <c r="D930" s="1" t="s">
        <v>4443</v>
      </c>
      <c r="E930" s="1" t="s">
        <v>4444</v>
      </c>
      <c r="F930" s="4" t="s">
        <v>17</v>
      </c>
      <c r="G930" s="1" t="s">
        <v>18</v>
      </c>
      <c r="H930" s="1" t="s">
        <v>19</v>
      </c>
      <c r="I930" s="1" t="s">
        <v>20</v>
      </c>
      <c r="J930" s="1" t="s">
        <v>4445</v>
      </c>
      <c r="K930" s="1" t="s">
        <v>22</v>
      </c>
      <c r="L930" s="1" t="str">
        <f>HYPERLINK("https://files.afu.se/Downloads/Transcripts/0%20-%20Government/USA%20-%20NASA/2018 06 27 - NASA - NASA Science Leaders  Webb Telescope Complex and Unprecedented_M7mYVftosSc - transcript (automated).pdf","Transcript Link")</f>
        <v>Transcript Link</v>
      </c>
      <c r="M930" s="2" t="str">
        <f>HYPERLINK("https://files.afu.se/Downloads/Transcripts/0%20-%20Government/USA%20-%20NASA/2018 06 27 - NASA - NASA Science Leaders  Webb Telescope Complex and Unprecedented_M7mYVftosSc - transcript (automated).pdf","Transcript Link")</f>
        <v>Transcript Link</v>
      </c>
    </row>
    <row r="931" ht="165" spans="1:13">
      <c r="A931" s="1" t="s">
        <v>4441</v>
      </c>
      <c r="B931" s="1" t="s">
        <v>13</v>
      </c>
      <c r="C931" s="4" t="s">
        <v>4446</v>
      </c>
      <c r="D931" s="1" t="s">
        <v>4447</v>
      </c>
      <c r="E931" s="1" t="s">
        <v>4448</v>
      </c>
      <c r="F931" s="4" t="s">
        <v>17</v>
      </c>
      <c r="G931" s="1" t="s">
        <v>18</v>
      </c>
      <c r="H931" s="1" t="s">
        <v>19</v>
      </c>
      <c r="I931" s="1" t="s">
        <v>20</v>
      </c>
      <c r="J931" s="1" t="s">
        <v>4449</v>
      </c>
      <c r="K931" s="1" t="s">
        <v>22</v>
      </c>
      <c r="L931" s="1" t="str">
        <f>HYPERLINK("https://files.afu.se/Downloads/Transcripts/0%20-%20Government/USA%20-%20NASA/2018 06 27 - NASA - Administrator Bridenstine  NASA is Committed to Webb Telescope_6CmtZLKgIWs - transcript (automated).pdf","Transcript Link")</f>
        <v>Transcript Link</v>
      </c>
      <c r="M931" s="2" t="str">
        <f>HYPERLINK("https://files.afu.se/Downloads/Transcripts/0%20-%20Government/USA%20-%20NASA/2018 06 27 - NASA - Administrator Bridenstine  NASA is Committed to Webb Telescope_6CmtZLKgIWs - transcript (automated).pdf","Transcript Link")</f>
        <v>Transcript Link</v>
      </c>
    </row>
    <row r="932" ht="165" spans="1:13">
      <c r="A932" s="1" t="s">
        <v>4450</v>
      </c>
      <c r="B932" s="1" t="s">
        <v>13</v>
      </c>
      <c r="C932" s="4" t="s">
        <v>4451</v>
      </c>
      <c r="D932" s="1" t="s">
        <v>4452</v>
      </c>
      <c r="E932" s="1" t="s">
        <v>4453</v>
      </c>
      <c r="F932" s="4" t="s">
        <v>17</v>
      </c>
      <c r="G932" s="1" t="s">
        <v>18</v>
      </c>
      <c r="H932" s="1" t="s">
        <v>19</v>
      </c>
      <c r="I932" s="1" t="s">
        <v>20</v>
      </c>
      <c r="J932" s="1" t="s">
        <v>4454</v>
      </c>
      <c r="K932" s="1" t="s">
        <v>22</v>
      </c>
      <c r="L932" s="1" t="str">
        <f>HYPERLINK("https://files.afu.se/Downloads/Transcripts/0%20-%20Government/USA%20-%20NASA/2018 06 22 - NASA - Administrator Bridenstine Attends National Space Council Meeting on This Week @NASA – June 22, 2018_OeJhXAigzNc - transcript (automated).pdf","Transcript Link")</f>
        <v>Transcript Link</v>
      </c>
      <c r="M932" s="2" t="str">
        <f>HYPERLINK("https://files.afu.se/Downloads/Transcripts/0%20-%20Government/USA%20-%20NASA/2018 06 22 - NASA - Administrator Bridenstine Attends National Space Council Meeting on This Week @NASA – June 22, 2018_OeJhXAigzNc - transcript (automated).pdf","Transcript Link")</f>
        <v>Transcript Link</v>
      </c>
    </row>
    <row r="933" ht="225" spans="1:13">
      <c r="A933" s="1" t="s">
        <v>4450</v>
      </c>
      <c r="B933" s="1" t="s">
        <v>13</v>
      </c>
      <c r="C933" s="4" t="s">
        <v>4455</v>
      </c>
      <c r="D933" s="1" t="s">
        <v>4456</v>
      </c>
      <c r="E933" s="1" t="s">
        <v>4457</v>
      </c>
      <c r="F933" s="4" t="s">
        <v>17</v>
      </c>
      <c r="G933" s="1" t="s">
        <v>18</v>
      </c>
      <c r="H933" s="1" t="s">
        <v>19</v>
      </c>
      <c r="I933" s="1" t="s">
        <v>20</v>
      </c>
      <c r="J933" s="1" t="s">
        <v>4458</v>
      </c>
      <c r="K933" s="1" t="s">
        <v>22</v>
      </c>
      <c r="L933" s="1" t="str">
        <f>HYPERLINK("https://files.afu.se/Downloads/Transcripts/0%20-%20Government/USA%20-%20NASA/2018 06 22 - NASA - NASA   Charon at 40  The Discovery of Pluto’s Largest Moon_UN42PgZTKTg - transcript (automated).pdf","Transcript Link")</f>
        <v>Transcript Link</v>
      </c>
      <c r="M933" s="2" t="str">
        <f>HYPERLINK("https://files.afu.se/Downloads/Transcripts/0%20-%20Government/USA%20-%20NASA/2018 06 22 - NASA - NASA   Charon at 40  The Discovery of Pluto’s Largest Moon_UN42PgZTKTg - transcript (automated).pdf","Transcript Link")</f>
        <v>Transcript Link</v>
      </c>
    </row>
    <row r="934" ht="165" spans="1:13">
      <c r="A934" s="1" t="s">
        <v>4459</v>
      </c>
      <c r="B934" s="1" t="s">
        <v>13</v>
      </c>
      <c r="C934" s="4" t="s">
        <v>4460</v>
      </c>
      <c r="D934" s="1" t="s">
        <v>4461</v>
      </c>
      <c r="E934" s="1" t="s">
        <v>4462</v>
      </c>
      <c r="F934" s="4" t="s">
        <v>17</v>
      </c>
      <c r="G934" s="1" t="s">
        <v>18</v>
      </c>
      <c r="H934" s="1" t="s">
        <v>19</v>
      </c>
      <c r="I934" s="1" t="s">
        <v>20</v>
      </c>
      <c r="J934" s="1" t="s">
        <v>4463</v>
      </c>
      <c r="K934" s="1" t="s">
        <v>22</v>
      </c>
      <c r="L934" s="1" t="str">
        <f>HYPERLINK("https://files.afu.se/Downloads/Transcripts/0%20-%20Government/USA%20-%20NASA/2018 06 20 - NASA - NASA   Eat Like an Astronaut_o19qjafoy64 - transcript (automated).pdf","Transcript Link")</f>
        <v>Transcript Link</v>
      </c>
      <c r="M934" s="2" t="str">
        <f>HYPERLINK("https://files.afu.se/Downloads/Transcripts/0%20-%20Government/USA%20-%20NASA/2018 06 20 - NASA - NASA   Eat Like an Astronaut_o19qjafoy64 - transcript (automated).pdf","Transcript Link")</f>
        <v>Transcript Link</v>
      </c>
    </row>
    <row r="935" ht="165" spans="1:13">
      <c r="A935" s="1" t="s">
        <v>4464</v>
      </c>
      <c r="B935" s="1" t="s">
        <v>13</v>
      </c>
      <c r="C935" s="4" t="s">
        <v>4465</v>
      </c>
      <c r="D935" s="1" t="s">
        <v>4466</v>
      </c>
      <c r="E935" s="1" t="s">
        <v>4467</v>
      </c>
      <c r="F935" s="4" t="s">
        <v>17</v>
      </c>
      <c r="G935" s="1" t="s">
        <v>18</v>
      </c>
      <c r="H935" s="1" t="s">
        <v>19</v>
      </c>
      <c r="I935" s="1" t="s">
        <v>20</v>
      </c>
      <c r="J935" s="1" t="s">
        <v>4468</v>
      </c>
      <c r="K935" s="1" t="s">
        <v>22</v>
      </c>
      <c r="L935" s="1" t="str">
        <f>HYPERLINK("https://files.afu.se/Downloads/Transcripts/0%20-%20Government/USA%20-%20NASA/2018 06 19 - NASA - Highlights of the National Space Council's Third Meeting_ksSqhjUBCNM - transcript (automated).pdf","Transcript Link")</f>
        <v>Transcript Link</v>
      </c>
      <c r="M935" s="2" t="str">
        <f>HYPERLINK("https://files.afu.se/Downloads/Transcripts/0%20-%20Government/USA%20-%20NASA/2018 06 19 - NASA - Highlights of the National Space Council's Third Meeting_ksSqhjUBCNM - transcript (automated).pdf","Transcript Link")</f>
        <v>Transcript Link</v>
      </c>
    </row>
    <row r="936" ht="165" spans="1:13">
      <c r="A936" s="1" t="s">
        <v>4469</v>
      </c>
      <c r="B936" s="1" t="s">
        <v>13</v>
      </c>
      <c r="C936" s="4" t="s">
        <v>4470</v>
      </c>
      <c r="D936" s="1" t="s">
        <v>4471</v>
      </c>
      <c r="E936" s="1" t="s">
        <v>4472</v>
      </c>
      <c r="F936" s="4" t="s">
        <v>17</v>
      </c>
      <c r="G936" s="1" t="s">
        <v>18</v>
      </c>
      <c r="H936" s="1" t="s">
        <v>19</v>
      </c>
      <c r="I936" s="1" t="s">
        <v>20</v>
      </c>
      <c r="J936" s="1" t="s">
        <v>4473</v>
      </c>
      <c r="K936" s="1" t="s">
        <v>22</v>
      </c>
      <c r="L936" s="1" t="str">
        <f>HYPERLINK("https://files.afu.se/Downloads/Transcripts/0%20-%20Government/USA%20-%20NASA/2018 06 15 - NASA - Administrator Bridenstine Chats with Astronauts on This Week @NASA – June 15, 2018_zvfNUGkSQ_k - transcript (automated).pdf","Transcript Link")</f>
        <v>Transcript Link</v>
      </c>
      <c r="M936" s="2" t="str">
        <f>HYPERLINK("https://files.afu.se/Downloads/Transcripts/0%20-%20Government/USA%20-%20NASA/2018 06 15 - NASA - Administrator Bridenstine Chats with Astronauts on This Week @NASA – June 15, 2018_zvfNUGkSQ_k - transcript (automated).pdf","Transcript Link")</f>
        <v>Transcript Link</v>
      </c>
    </row>
    <row r="937" ht="195" spans="1:13">
      <c r="A937" s="1" t="s">
        <v>4474</v>
      </c>
      <c r="B937" s="1" t="s">
        <v>13</v>
      </c>
      <c r="C937" s="4" t="s">
        <v>4475</v>
      </c>
      <c r="D937" s="1" t="s">
        <v>4476</v>
      </c>
      <c r="E937" s="1" t="s">
        <v>4477</v>
      </c>
      <c r="F937" s="4" t="s">
        <v>17</v>
      </c>
      <c r="G937" s="1" t="s">
        <v>18</v>
      </c>
      <c r="H937" s="1" t="s">
        <v>19</v>
      </c>
      <c r="I937" s="1" t="s">
        <v>20</v>
      </c>
      <c r="J937" s="1" t="s">
        <v>4478</v>
      </c>
      <c r="K937" s="1" t="s">
        <v>22</v>
      </c>
      <c r="L937" s="1" t="str">
        <f>HYPERLINK("https://files.afu.se/Downloads/Transcripts/0%20-%20Government/USA%20-%20NASA/2018 06 14 - NASA - NASA Prepares to Fly a Large Unmanned Aircraft in Public Airspace Without Chase Plane for First Time_wK22fHb2pjE - transcript (automated).pdf","Transcript Link")</f>
        <v>Transcript Link</v>
      </c>
      <c r="M937" s="2" t="str">
        <f>HYPERLINK("https://files.afu.se/Downloads/Transcripts/0%20-%20Government/USA%20-%20NASA/2018 06 14 - NASA - NASA Prepares to Fly a Large Unmanned Aircraft in Public Airspace Without Chase Plane for First Time_wK22fHb2pjE - transcript (automated).pdf","Transcript Link")</f>
        <v>Transcript Link</v>
      </c>
    </row>
    <row r="938" ht="165" spans="1:13">
      <c r="A938" s="1" t="s">
        <v>4479</v>
      </c>
      <c r="B938" s="1" t="s">
        <v>13</v>
      </c>
      <c r="C938" s="4" t="s">
        <v>4480</v>
      </c>
      <c r="D938" s="1" t="s">
        <v>4481</v>
      </c>
      <c r="E938" s="1" t="s">
        <v>4482</v>
      </c>
      <c r="F938" s="4" t="s">
        <v>17</v>
      </c>
      <c r="G938" s="1" t="s">
        <v>18</v>
      </c>
      <c r="H938" s="1" t="s">
        <v>19</v>
      </c>
      <c r="I938" s="1" t="s">
        <v>20</v>
      </c>
      <c r="J938" s="1" t="s">
        <v>4483</v>
      </c>
      <c r="K938" s="1" t="s">
        <v>22</v>
      </c>
      <c r="L938" s="1" t="str">
        <f>HYPERLINK("https://files.afu.se/Downloads/Transcripts/0%20-%20Government/USA%20-%20NASA/2018 06 08 - NASA - Curiosity’s New Mars Science Results on This Week @NASA – June 8, 2018_xNerVZZYPNU - transcript (automated).pdf","Transcript Link")</f>
        <v>Transcript Link</v>
      </c>
      <c r="M938" s="2" t="str">
        <f>HYPERLINK("https://files.afu.se/Downloads/Transcripts/0%20-%20Government/USA%20-%20NASA/2018 06 08 - NASA - Curiosity’s New Mars Science Results on This Week @NASA – June 8, 2018_xNerVZZYPNU - transcript (automated).pdf","Transcript Link")</f>
        <v>Transcript Link</v>
      </c>
    </row>
    <row r="939" ht="225" spans="1:13">
      <c r="A939" s="1" t="s">
        <v>4484</v>
      </c>
      <c r="B939" s="1" t="s">
        <v>13</v>
      </c>
      <c r="C939" s="4" t="s">
        <v>4485</v>
      </c>
      <c r="D939" s="1" t="s">
        <v>4486</v>
      </c>
      <c r="E939" s="1" t="s">
        <v>4487</v>
      </c>
      <c r="F939" s="4" t="s">
        <v>17</v>
      </c>
      <c r="G939" s="1" t="s">
        <v>18</v>
      </c>
      <c r="H939" s="1" t="s">
        <v>19</v>
      </c>
      <c r="I939" s="1" t="s">
        <v>20</v>
      </c>
      <c r="J939" s="1" t="s">
        <v>4488</v>
      </c>
      <c r="K939" s="1" t="s">
        <v>22</v>
      </c>
      <c r="L939" s="1" t="str">
        <f>HYPERLINK("https://files.afu.se/Downloads/Transcripts/0%20-%20Government/USA%20-%20NASA/2018 06 07 - NASA - Ancient Organics Discovered on Mars_a0gsz8EHiNc - transcript (automated).pdf","Transcript Link")</f>
        <v>Transcript Link</v>
      </c>
      <c r="M939" s="2" t="str">
        <f>HYPERLINK("https://files.afu.se/Downloads/Transcripts/0%20-%20Government/USA%20-%20NASA/2018 06 07 - NASA - Ancient Organics Discovered on Mars_a0gsz8EHiNc - transcript (automated).pdf","Transcript Link")</f>
        <v>Transcript Link</v>
      </c>
    </row>
    <row r="940" ht="165" spans="1:13">
      <c r="A940" s="1" t="s">
        <v>4489</v>
      </c>
      <c r="B940" s="1" t="s">
        <v>13</v>
      </c>
      <c r="C940" s="4" t="s">
        <v>4490</v>
      </c>
      <c r="D940" s="1" t="s">
        <v>4491</v>
      </c>
      <c r="E940" s="1" t="s">
        <v>4492</v>
      </c>
      <c r="F940" s="4" t="s">
        <v>17</v>
      </c>
      <c r="G940" s="1" t="s">
        <v>18</v>
      </c>
      <c r="H940" s="1" t="s">
        <v>19</v>
      </c>
      <c r="I940" s="1" t="s">
        <v>20</v>
      </c>
      <c r="J940" s="1" t="s">
        <v>4493</v>
      </c>
      <c r="K940" s="1" t="s">
        <v>22</v>
      </c>
      <c r="L940" s="1" t="str">
        <f>HYPERLINK("https://files.afu.se/Downloads/Transcripts/0%20-%20Government/USA%20-%20NASA/2018 06 06 - NASA - The National Symphony Orchestra Pops Celebrates NASA’s 60th Anniversary_TY4OtS9RXfs - transcript (automated).pdf","Transcript Link")</f>
        <v>Transcript Link</v>
      </c>
      <c r="M940" s="2" t="str">
        <f>HYPERLINK("https://files.afu.se/Downloads/Transcripts/0%20-%20Government/USA%20-%20NASA/2018 06 06 - NASA - The National Symphony Orchestra Pops Celebrates NASA’s 60th Anniversary_TY4OtS9RXfs - transcript (automated).pdf","Transcript Link")</f>
        <v>Transcript Link</v>
      </c>
    </row>
    <row r="941" ht="165" spans="1:13">
      <c r="A941" s="1" t="s">
        <v>4494</v>
      </c>
      <c r="B941" s="1" t="s">
        <v>13</v>
      </c>
      <c r="C941" s="4" t="s">
        <v>4495</v>
      </c>
      <c r="D941" s="1" t="s">
        <v>4496</v>
      </c>
      <c r="E941" s="1" t="s">
        <v>4497</v>
      </c>
      <c r="F941" s="4" t="s">
        <v>17</v>
      </c>
      <c r="G941" s="1" t="s">
        <v>18</v>
      </c>
      <c r="H941" s="1" t="s">
        <v>19</v>
      </c>
      <c r="I941" s="1" t="s">
        <v>20</v>
      </c>
      <c r="J941" s="1" t="s">
        <v>4498</v>
      </c>
      <c r="K941" s="1" t="s">
        <v>22</v>
      </c>
      <c r="L941" s="1" t="str">
        <f>HYPERLINK("https://files.afu.se/Downloads/Transcripts/0%20-%20Government/USA%20-%20NASA/2018 06 01 - NASA - The Next Station Crew Prepares to Launch on This Week @NASA – June 1, 2018_O0XS6g8hVqg - transcript (automated).pdf","Transcript Link")</f>
        <v>Transcript Link</v>
      </c>
      <c r="M941" s="2" t="str">
        <f>HYPERLINK("https://files.afu.se/Downloads/Transcripts/0%20-%20Government/USA%20-%20NASA/2018 06 01 - NASA - The Next Station Crew Prepares to Launch on This Week @NASA – June 1, 2018_O0XS6g8hVqg - transcript (automated).pdf","Transcript Link")</f>
        <v>Transcript Link</v>
      </c>
    </row>
    <row r="942" ht="165" spans="1:13">
      <c r="A942" s="1" t="s">
        <v>4499</v>
      </c>
      <c r="B942" s="1" t="s">
        <v>13</v>
      </c>
      <c r="C942" s="4" t="s">
        <v>4500</v>
      </c>
      <c r="D942" s="1" t="s">
        <v>4501</v>
      </c>
      <c r="E942" s="1" t="s">
        <v>4502</v>
      </c>
      <c r="F942" s="4" t="s">
        <v>17</v>
      </c>
      <c r="G942" s="1" t="s">
        <v>18</v>
      </c>
      <c r="H942" s="1" t="s">
        <v>19</v>
      </c>
      <c r="I942" s="1" t="s">
        <v>20</v>
      </c>
      <c r="J942" s="1" t="s">
        <v>4503</v>
      </c>
      <c r="K942" s="1" t="s">
        <v>22</v>
      </c>
      <c r="L942" s="1" t="str">
        <f>HYPERLINK("https://files.afu.se/Downloads/Transcripts/0%20-%20Government/USA%20-%20NASA/2018 05 26 - NASA - Astronaut Alan Bean  Moonwalker, Skylab Commander, Artist_qZkTyEe7DfY - transcript (automated).pdf","Transcript Link")</f>
        <v>Transcript Link</v>
      </c>
      <c r="M942" s="2" t="str">
        <f>HYPERLINK("https://files.afu.se/Downloads/Transcripts/0%20-%20Government/USA%20-%20NASA/2018 05 26 - NASA - Astronaut Alan Bean  Moonwalker, Skylab Commander, Artist_qZkTyEe7DfY - transcript (automated).pdf","Transcript Link")</f>
        <v>Transcript Link</v>
      </c>
    </row>
    <row r="943" ht="165" spans="1:13">
      <c r="A943" s="1" t="s">
        <v>4504</v>
      </c>
      <c r="B943" s="1" t="s">
        <v>13</v>
      </c>
      <c r="C943" s="4" t="s">
        <v>4505</v>
      </c>
      <c r="D943" s="1" t="s">
        <v>4506</v>
      </c>
      <c r="E943" s="1" t="s">
        <v>4507</v>
      </c>
      <c r="F943" s="4" t="s">
        <v>17</v>
      </c>
      <c r="G943" s="1" t="s">
        <v>18</v>
      </c>
      <c r="H943" s="1" t="s">
        <v>19</v>
      </c>
      <c r="I943" s="1" t="s">
        <v>20</v>
      </c>
      <c r="J943" s="1" t="s">
        <v>4508</v>
      </c>
      <c r="K943" s="1" t="s">
        <v>22</v>
      </c>
      <c r="L943" s="1" t="str">
        <f>HYPERLINK("https://files.afu.se/Downloads/Transcripts/0%20-%20Government/USA%20-%20NASA/2018 05 25 - NASA - Launching a Mission to Study Earth’s Water on This Week @NASA – May 25, 2018_08ivM_PI8zA - transcript (automated).pdf","Transcript Link")</f>
        <v>Transcript Link</v>
      </c>
      <c r="M943" s="2" t="str">
        <f>HYPERLINK("https://files.afu.se/Downloads/Transcripts/0%20-%20Government/USA%20-%20NASA/2018 05 25 - NASA - Launching a Mission to Study Earth’s Water on This Week @NASA – May 25, 2018_08ivM_PI8zA - transcript (automated).pdf","Transcript Link")</f>
        <v>Transcript Link</v>
      </c>
    </row>
    <row r="944" ht="210" spans="1:13">
      <c r="A944" s="1" t="s">
        <v>4504</v>
      </c>
      <c r="B944" s="1" t="s">
        <v>13</v>
      </c>
      <c r="C944" s="4" t="s">
        <v>4509</v>
      </c>
      <c r="D944" s="1" t="s">
        <v>4510</v>
      </c>
      <c r="E944" s="1" t="s">
        <v>4511</v>
      </c>
      <c r="F944" s="4" t="s">
        <v>17</v>
      </c>
      <c r="G944" s="1" t="s">
        <v>18</v>
      </c>
      <c r="H944" s="1" t="s">
        <v>19</v>
      </c>
      <c r="I944" s="1" t="s">
        <v>20</v>
      </c>
      <c r="J944" s="1" t="s">
        <v>4512</v>
      </c>
      <c r="K944" s="1" t="s">
        <v>22</v>
      </c>
      <c r="L944" s="1" t="str">
        <f>HYPERLINK("https://files.afu.se/Downloads/Transcripts/0%20-%20Government/USA%20-%20NASA/2018 05 25 - NASA - Memorial Day Message from NASA Administrator Jim Bridenstine_kFUDNTLHypU - transcript (automated).pdf","Transcript Link")</f>
        <v>Transcript Link</v>
      </c>
      <c r="M944" s="2" t="str">
        <f>HYPERLINK("https://files.afu.se/Downloads/Transcripts/0%20-%20Government/USA%20-%20NASA/2018 05 25 - NASA - Memorial Day Message from NASA Administrator Jim Bridenstine_kFUDNTLHypU - transcript (automated).pdf","Transcript Link")</f>
        <v>Transcript Link</v>
      </c>
    </row>
    <row r="945" ht="255" spans="1:13">
      <c r="A945" s="1" t="s">
        <v>4513</v>
      </c>
      <c r="B945" s="1" t="s">
        <v>13</v>
      </c>
      <c r="C945" s="4" t="s">
        <v>4514</v>
      </c>
      <c r="D945" s="1" t="s">
        <v>4515</v>
      </c>
      <c r="E945" s="1" t="s">
        <v>4516</v>
      </c>
      <c r="F945" s="4" t="s">
        <v>17</v>
      </c>
      <c r="G945" s="1" t="s">
        <v>18</v>
      </c>
      <c r="H945" s="1" t="s">
        <v>19</v>
      </c>
      <c r="I945" s="1" t="s">
        <v>20</v>
      </c>
      <c r="J945" s="1" t="s">
        <v>4517</v>
      </c>
      <c r="K945" s="1" t="s">
        <v>22</v>
      </c>
      <c r="L945" s="1" t="str">
        <f>HYPERLINK("https://files.afu.se/Downloads/Transcripts/0%20-%20Government/USA%20-%20NASA/2018 05 24 - NASA - Orbital ATK CRS-9 Mission to the Space Station  What's On Board _kvgDOLHu7Uo - transcript (automated).pdf","Transcript Link")</f>
        <v>Transcript Link</v>
      </c>
      <c r="M945" s="2" t="str">
        <f>HYPERLINK("https://files.afu.se/Downloads/Transcripts/0%20-%20Government/USA%20-%20NASA/2018 05 24 - NASA - Orbital ATK CRS-9 Mission to the Space Station  What's On Board _kvgDOLHu7Uo - transcript (automated).pdf","Transcript Link")</f>
        <v>Transcript Link</v>
      </c>
    </row>
    <row r="946" ht="165" spans="1:13">
      <c r="A946" s="1" t="s">
        <v>4518</v>
      </c>
      <c r="B946" s="1" t="s">
        <v>13</v>
      </c>
      <c r="C946" s="4" t="s">
        <v>4519</v>
      </c>
      <c r="D946" s="1" t="s">
        <v>4520</v>
      </c>
      <c r="E946" s="1" t="s">
        <v>4521</v>
      </c>
      <c r="F946" s="4" t="s">
        <v>17</v>
      </c>
      <c r="G946" s="1" t="s">
        <v>18</v>
      </c>
      <c r="H946" s="1" t="s">
        <v>19</v>
      </c>
      <c r="I946" s="1" t="s">
        <v>20</v>
      </c>
      <c r="J946" s="1" t="s">
        <v>4522</v>
      </c>
      <c r="K946" s="1" t="s">
        <v>22</v>
      </c>
      <c r="L946" s="1" t="str">
        <f>HYPERLINK("https://files.afu.se/Downloads/Transcripts/0%20-%20Government/USA%20-%20NASA/2018 05 22 - NASA - Administrator Bridenstine  Twin Spacecraft Launch to Study the Earth_G1hhKzBq6kw - transcript (automated).pdf","Transcript Link")</f>
        <v>Transcript Link</v>
      </c>
      <c r="M946" s="2" t="str">
        <f>HYPERLINK("https://files.afu.se/Downloads/Transcripts/0%20-%20Government/USA%20-%20NASA/2018 05 22 - NASA - Administrator Bridenstine  Twin Spacecraft Launch to Study the Earth_G1hhKzBq6kw - transcript (automated).pdf","Transcript Link")</f>
        <v>Transcript Link</v>
      </c>
    </row>
    <row r="947" ht="195" spans="1:13">
      <c r="A947" s="1" t="s">
        <v>4523</v>
      </c>
      <c r="B947" s="1" t="s">
        <v>13</v>
      </c>
      <c r="C947" s="4" t="s">
        <v>4524</v>
      </c>
      <c r="D947" s="1" t="s">
        <v>4525</v>
      </c>
      <c r="E947" s="1" t="s">
        <v>4526</v>
      </c>
      <c r="F947" s="4" t="s">
        <v>17</v>
      </c>
      <c r="G947" s="1" t="s">
        <v>18</v>
      </c>
      <c r="H947" s="1" t="s">
        <v>19</v>
      </c>
      <c r="I947" s="1" t="s">
        <v>20</v>
      </c>
      <c r="J947" s="1" t="s">
        <v>4527</v>
      </c>
      <c r="K947" s="1" t="s">
        <v>22</v>
      </c>
      <c r="L947" s="1" t="str">
        <f>HYPERLINK("https://files.afu.se/Downloads/Transcripts/0%20-%20Government/USA%20-%20NASA/2018 05 19 - NASA - Cold Atom Lab Launching on Board Orbital ATK Mission to Space Station_K4_QxyC8nsc - transcript (automated).pdf","Transcript Link")</f>
        <v>Transcript Link</v>
      </c>
      <c r="M947" s="2" t="str">
        <f>HYPERLINK("https://files.afu.se/Downloads/Transcripts/0%20-%20Government/USA%20-%20NASA/2018 05 19 - NASA - Cold Atom Lab Launching on Board Orbital ATK Mission to Space Station_K4_QxyC8nsc - transcript (automated).pdf","Transcript Link")</f>
        <v>Transcript Link</v>
      </c>
    </row>
    <row r="948" ht="165" spans="1:13">
      <c r="A948" s="1" t="s">
        <v>4528</v>
      </c>
      <c r="B948" s="1" t="s">
        <v>13</v>
      </c>
      <c r="C948" s="4" t="s">
        <v>4529</v>
      </c>
      <c r="D948" s="1" t="s">
        <v>4530</v>
      </c>
      <c r="E948" s="1" t="s">
        <v>4531</v>
      </c>
      <c r="F948" s="4" t="s">
        <v>17</v>
      </c>
      <c r="G948" s="1" t="s">
        <v>18</v>
      </c>
      <c r="H948" s="1" t="s">
        <v>19</v>
      </c>
      <c r="I948" s="1" t="s">
        <v>20</v>
      </c>
      <c r="J948" s="1" t="s">
        <v>4532</v>
      </c>
      <c r="K948" s="1" t="s">
        <v>22</v>
      </c>
      <c r="L948" s="1" t="str">
        <f>HYPERLINK("https://files.afu.se/Downloads/Transcripts/0%20-%20Government/USA%20-%20NASA/2018 05 18 - NASA - Astronauts Working Outside the Space Station on This Week @NASA – May 18, 2018_qWE6D8nE8RY - transcript (automated).pdf","Transcript Link")</f>
        <v>Transcript Link</v>
      </c>
      <c r="M948" s="2" t="str">
        <f>HYPERLINK("https://files.afu.se/Downloads/Transcripts/0%20-%20Government/USA%20-%20NASA/2018 05 18 - NASA - Astronauts Working Outside the Space Station on This Week @NASA – May 18, 2018_qWE6D8nE8RY - transcript (automated).pdf","Transcript Link")</f>
        <v>Transcript Link</v>
      </c>
    </row>
    <row r="949" ht="165" spans="1:13">
      <c r="A949" s="1" t="s">
        <v>4533</v>
      </c>
      <c r="B949" s="1" t="s">
        <v>13</v>
      </c>
      <c r="C949" s="4" t="s">
        <v>4534</v>
      </c>
      <c r="D949" s="1" t="s">
        <v>4535</v>
      </c>
      <c r="E949" s="1" t="s">
        <v>4536</v>
      </c>
      <c r="F949" s="4" t="s">
        <v>17</v>
      </c>
      <c r="G949" s="1" t="s">
        <v>18</v>
      </c>
      <c r="H949" s="1" t="s">
        <v>19</v>
      </c>
      <c r="I949" s="1" t="s">
        <v>20</v>
      </c>
      <c r="J949" s="1" t="s">
        <v>4537</v>
      </c>
      <c r="K949" s="1" t="s">
        <v>22</v>
      </c>
      <c r="L949" s="1" t="str">
        <f>HYPERLINK("https://files.afu.se/Downloads/Transcripts/0%20-%20Government/USA%20-%20NASA/2018 05 11 - NASA - A Copter Companion for the Mars 2020 Rover on This Week @NASA – May 11, 2018_BNCGiH2_uio - transcript (automated).pdf","Transcript Link")</f>
        <v>Transcript Link</v>
      </c>
      <c r="M949" s="2" t="str">
        <f>HYPERLINK("https://files.afu.se/Downloads/Transcripts/0%20-%20Government/USA%20-%20NASA/2018 05 11 - NASA - A Copter Companion for the Mars 2020 Rover on This Week @NASA – May 11, 2018_BNCGiH2_uio - transcript (automated).pdf","Transcript Link")</f>
        <v>Transcript Link</v>
      </c>
    </row>
    <row r="950" ht="165" spans="1:13">
      <c r="A950" s="1" t="s">
        <v>4538</v>
      </c>
      <c r="B950" s="1" t="s">
        <v>13</v>
      </c>
      <c r="C950" s="4" t="s">
        <v>4539</v>
      </c>
      <c r="D950" s="1" t="s">
        <v>4540</v>
      </c>
      <c r="E950" s="1" t="s">
        <v>4541</v>
      </c>
      <c r="F950" s="4" t="s">
        <v>17</v>
      </c>
      <c r="G950" s="1" t="s">
        <v>18</v>
      </c>
      <c r="H950" s="1" t="s">
        <v>19</v>
      </c>
      <c r="I950" s="1" t="s">
        <v>20</v>
      </c>
      <c r="J950" s="1" t="s">
        <v>4542</v>
      </c>
      <c r="K950" s="1" t="s">
        <v>22</v>
      </c>
      <c r="L950" s="1" t="str">
        <f>HYPERLINK("https://files.afu.se/Downloads/Transcripts/0%20-%20Government/USA%20-%20NASA/2018 05 10 - NASA - STEM in 30 - Ask an Astronaut with Randy Bresnik and Paolo Nespoli_wS247Ofb8g8 - transcript (automated).pdf","Transcript Link")</f>
        <v>Transcript Link</v>
      </c>
      <c r="M950" s="2" t="str">
        <f>HYPERLINK("https://files.afu.se/Downloads/Transcripts/0%20-%20Government/USA%20-%20NASA/2018 05 10 - NASA - STEM in 30 - Ask an Astronaut with Randy Bresnik and Paolo Nespoli_wS247Ofb8g8 - transcript (automated).pdf","Transcript Link")</f>
        <v>Transcript Link</v>
      </c>
    </row>
    <row r="951" ht="165" spans="1:13">
      <c r="A951" s="1" t="s">
        <v>4543</v>
      </c>
      <c r="B951" s="1" t="s">
        <v>13</v>
      </c>
      <c r="C951" s="4" t="s">
        <v>4544</v>
      </c>
      <c r="D951" s="1" t="s">
        <v>4545</v>
      </c>
      <c r="E951" s="1" t="s">
        <v>4546</v>
      </c>
      <c r="F951" s="4" t="s">
        <v>17</v>
      </c>
      <c r="G951" s="1" t="s">
        <v>18</v>
      </c>
      <c r="H951" s="1" t="s">
        <v>19</v>
      </c>
      <c r="I951" s="1" t="s">
        <v>20</v>
      </c>
      <c r="J951" s="1" t="s">
        <v>4547</v>
      </c>
      <c r="K951" s="1" t="s">
        <v>22</v>
      </c>
      <c r="L951" s="1" t="str">
        <f>HYPERLINK("https://files.afu.se/Downloads/Transcripts/0%20-%20Government/USA%20-%20NASA/2018 05 09 - NASA - Administrator Bridenstine Speaks at Humans to Mars Summit_0OXahEkf6WA - transcript (automated).pdf","Transcript Link")</f>
        <v>Transcript Link</v>
      </c>
      <c r="M951" s="2" t="str">
        <f>HYPERLINK("https://files.afu.se/Downloads/Transcripts/0%20-%20Government/USA%20-%20NASA/2018 05 09 - NASA - Administrator Bridenstine Speaks at Humans to Mars Summit_0OXahEkf6WA - transcript (automated).pdf","Transcript Link")</f>
        <v>Transcript Link</v>
      </c>
    </row>
    <row r="952" ht="210" spans="1:13">
      <c r="A952" s="1" t="s">
        <v>4548</v>
      </c>
      <c r="B952" s="1" t="s">
        <v>13</v>
      </c>
      <c r="C952" s="4" t="s">
        <v>4549</v>
      </c>
      <c r="D952" s="1" t="s">
        <v>4550</v>
      </c>
      <c r="E952" s="1" t="s">
        <v>4551</v>
      </c>
      <c r="F952" s="4" t="s">
        <v>17</v>
      </c>
      <c r="G952" s="1" t="s">
        <v>18</v>
      </c>
      <c r="H952" s="1" t="s">
        <v>19</v>
      </c>
      <c r="I952" s="1" t="s">
        <v>20</v>
      </c>
      <c r="J952" s="1" t="s">
        <v>4552</v>
      </c>
      <c r="K952" s="1" t="s">
        <v>22</v>
      </c>
      <c r="L952" s="1" t="str">
        <f>HYPERLINK("https://files.afu.se/Downloads/Transcripts/0%20-%20Government/USA%20-%20NASA/2018 05 08 - NASA - Administrator Bridenstine  ‘We Are Going to the Moon’_JtzCaLE4Si4 - transcript (automated).pdf","Transcript Link")</f>
        <v>Transcript Link</v>
      </c>
      <c r="M952" s="2" t="str">
        <f>HYPERLINK("https://files.afu.se/Downloads/Transcripts/0%20-%20Government/USA%20-%20NASA/2018 05 08 - NASA - Administrator Bridenstine  ‘We Are Going to the Moon’_JtzCaLE4Si4 - transcript (automated).pdf","Transcript Link")</f>
        <v>Transcript Link</v>
      </c>
    </row>
    <row r="953" ht="165" spans="1:13">
      <c r="A953" s="1" t="s">
        <v>4553</v>
      </c>
      <c r="B953" s="1" t="s">
        <v>13</v>
      </c>
      <c r="C953" s="4" t="s">
        <v>4554</v>
      </c>
      <c r="D953" s="1" t="s">
        <v>4555</v>
      </c>
      <c r="E953" s="1" t="s">
        <v>4556</v>
      </c>
      <c r="F953" s="4" t="s">
        <v>17</v>
      </c>
      <c r="G953" s="1" t="s">
        <v>18</v>
      </c>
      <c r="H953" s="1" t="s">
        <v>19</v>
      </c>
      <c r="I953" s="1" t="s">
        <v>20</v>
      </c>
      <c r="J953" s="1" t="s">
        <v>4557</v>
      </c>
      <c r="K953" s="1" t="s">
        <v>22</v>
      </c>
      <c r="L953" s="1" t="str">
        <f>HYPERLINK("https://files.afu.se/Downloads/Transcripts/0%20-%20Government/USA%20-%20NASA/2018 05 05 - NASA - Our Newest Mission to Mars on This Week @NASA – May 5, 2018_cm9zA64LScU - transcript (automated).pdf","Transcript Link")</f>
        <v>Transcript Link</v>
      </c>
      <c r="M953" s="2" t="str">
        <f>HYPERLINK("https://files.afu.se/Downloads/Transcripts/0%20-%20Government/USA%20-%20NASA/2018 05 05 - NASA - Our Newest Mission to Mars on This Week @NASA – May 5, 2018_cm9zA64LScU - transcript (automated).pdf","Transcript Link")</f>
        <v>Transcript Link</v>
      </c>
    </row>
    <row r="954" ht="195" spans="1:13">
      <c r="A954" s="1" t="s">
        <v>4553</v>
      </c>
      <c r="B954" s="1" t="s">
        <v>13</v>
      </c>
      <c r="C954" s="4" t="s">
        <v>4558</v>
      </c>
      <c r="D954" s="1" t="s">
        <v>4559</v>
      </c>
      <c r="E954" s="1" t="s">
        <v>4560</v>
      </c>
      <c r="F954" s="4" t="s">
        <v>17</v>
      </c>
      <c r="G954" s="1" t="s">
        <v>18</v>
      </c>
      <c r="H954" s="1" t="s">
        <v>19</v>
      </c>
      <c r="I954" s="1" t="s">
        <v>20</v>
      </c>
      <c r="J954" s="1" t="s">
        <v>4561</v>
      </c>
      <c r="K954" s="1" t="s">
        <v>22</v>
      </c>
      <c r="L954" s="1" t="str">
        <f>HYPERLINK("https://files.afu.se/Downloads/Transcripts/0%20-%20Government/USA%20-%20NASA/2018 05 05 - NASA - Administrator Bridenstine  InSight Will Map the Inside of Mars_52A_Q-KY3-g - transcript (automated).pdf","Transcript Link")</f>
        <v>Transcript Link</v>
      </c>
      <c r="M954" s="2" t="str">
        <f>HYPERLINK("https://files.afu.se/Downloads/Transcripts/0%20-%20Government/USA%20-%20NASA/2018 05 05 - NASA - Administrator Bridenstine  InSight Will Map the Inside of Mars_52A_Q-KY3-g - transcript (automated).pdf","Transcript Link")</f>
        <v>Transcript Link</v>
      </c>
    </row>
    <row r="955" ht="165" spans="1:13">
      <c r="A955" s="1" t="s">
        <v>4562</v>
      </c>
      <c r="B955" s="1" t="s">
        <v>13</v>
      </c>
      <c r="C955" s="4" t="s">
        <v>4563</v>
      </c>
      <c r="D955" s="1" t="s">
        <v>4564</v>
      </c>
      <c r="E955" s="1" t="s">
        <v>4565</v>
      </c>
      <c r="F955" s="4" t="s">
        <v>17</v>
      </c>
      <c r="G955" s="1" t="s">
        <v>18</v>
      </c>
      <c r="H955" s="1" t="s">
        <v>19</v>
      </c>
      <c r="I955" s="1" t="s">
        <v>20</v>
      </c>
      <c r="J955" s="1" t="s">
        <v>4566</v>
      </c>
      <c r="K955" s="1" t="s">
        <v>22</v>
      </c>
      <c r="L955" s="1" t="str">
        <f>HYPERLINK("https://files.afu.se/Downloads/Transcripts/0%20-%20Government/USA%20-%20NASA/2018 05 03 - NASA - NASA's InSight Mars Mission  Countdown to T-Zero_QETZbYUSNkU - transcript (automated).pdf","Transcript Link")</f>
        <v>Transcript Link</v>
      </c>
      <c r="M955" s="2" t="str">
        <f>HYPERLINK("https://files.afu.se/Downloads/Transcripts/0%20-%20Government/USA%20-%20NASA/2018 05 03 - NASA - NASA's InSight Mars Mission  Countdown to T-Zero_QETZbYUSNkU - transcript (automated).pdf","Transcript Link")</f>
        <v>Transcript Link</v>
      </c>
    </row>
    <row r="956" ht="210" spans="1:13">
      <c r="A956" s="1" t="s">
        <v>4567</v>
      </c>
      <c r="B956" s="1" t="s">
        <v>13</v>
      </c>
      <c r="C956" s="4" t="s">
        <v>4568</v>
      </c>
      <c r="D956" s="1" t="s">
        <v>4569</v>
      </c>
      <c r="E956" s="1" t="s">
        <v>4570</v>
      </c>
      <c r="F956" s="4" t="s">
        <v>17</v>
      </c>
      <c r="G956" s="1" t="s">
        <v>18</v>
      </c>
      <c r="H956" s="1" t="s">
        <v>19</v>
      </c>
      <c r="I956" s="1" t="s">
        <v>20</v>
      </c>
      <c r="J956" s="1" t="s">
        <v>4571</v>
      </c>
      <c r="K956" s="1" t="s">
        <v>22</v>
      </c>
      <c r="L956" s="1" t="str">
        <f>HYPERLINK("https://files.afu.se/Downloads/Transcripts/0%20-%20Government/USA%20-%20NASA/2018 05 02 - NASA - NASA Space Missions Possible Because of Small Businesses_SgOap2DGh6A - transcript (automated).pdf","Transcript Link")</f>
        <v>Transcript Link</v>
      </c>
      <c r="M956" s="2" t="str">
        <f>HYPERLINK("https://files.afu.se/Downloads/Transcripts/0%20-%20Government/USA%20-%20NASA/2018 05 02 - NASA - NASA Space Missions Possible Because of Small Businesses_SgOap2DGh6A - transcript (automated).pdf","Transcript Link")</f>
        <v>Transcript Link</v>
      </c>
    </row>
    <row r="957" ht="165" spans="1:13">
      <c r="A957" s="1" t="s">
        <v>4572</v>
      </c>
      <c r="B957" s="1" t="s">
        <v>13</v>
      </c>
      <c r="C957" s="4" t="s">
        <v>4573</v>
      </c>
      <c r="D957" s="1" t="s">
        <v>4574</v>
      </c>
      <c r="E957" s="1" t="s">
        <v>4575</v>
      </c>
      <c r="F957" s="4" t="s">
        <v>17</v>
      </c>
      <c r="G957" s="1" t="s">
        <v>18</v>
      </c>
      <c r="H957" s="1" t="s">
        <v>19</v>
      </c>
      <c r="I957" s="1" t="s">
        <v>20</v>
      </c>
      <c r="J957" s="1" t="s">
        <v>4576</v>
      </c>
      <c r="K957" s="1" t="s">
        <v>22</v>
      </c>
      <c r="L957" s="1" t="str">
        <f>HYPERLINK("https://files.afu.se/Downloads/Transcripts/0%20-%20Government/USA%20-%20NASA/2018 04 30 - NASA - Bridenstine Sworn in as NASA Administrator on This Week @NASA – April 27, 2018_3LTa2VAqKm8 - transcript (automated).pdf","Transcript Link")</f>
        <v>Transcript Link</v>
      </c>
      <c r="M957" s="2" t="str">
        <f>HYPERLINK("https://files.afu.se/Downloads/Transcripts/0%20-%20Government/USA%20-%20NASA/2018 04 30 - NASA - Bridenstine Sworn in as NASA Administrator on This Week @NASA – April 27, 2018_3LTa2VAqKm8 - transcript (automated).pdf","Transcript Link")</f>
        <v>Transcript Link</v>
      </c>
    </row>
    <row r="958" ht="165" spans="1:13">
      <c r="A958" s="1" t="s">
        <v>4577</v>
      </c>
      <c r="B958" s="1" t="s">
        <v>13</v>
      </c>
      <c r="C958" s="4" t="s">
        <v>4578</v>
      </c>
      <c r="D958" s="1" t="s">
        <v>4579</v>
      </c>
      <c r="E958" s="1" t="s">
        <v>4580</v>
      </c>
      <c r="F958" s="4" t="s">
        <v>17</v>
      </c>
      <c r="G958" s="1" t="s">
        <v>18</v>
      </c>
      <c r="H958" s="1" t="s">
        <v>19</v>
      </c>
      <c r="I958" s="1" t="s">
        <v>20</v>
      </c>
      <c r="J958" s="1" t="s">
        <v>4581</v>
      </c>
      <c r="K958" s="1" t="s">
        <v>22</v>
      </c>
      <c r="L958" s="1" t="str">
        <f>HYPERLINK("https://files.afu.se/Downloads/Transcripts/0%20-%20Government/USA%20-%20NASA/2018 04 24 - NASA - Welcome Jim Bridenstine to the NASA Family_DwaD0UKsX3g - transcript (automated).pdf","Transcript Link")</f>
        <v>Transcript Link</v>
      </c>
      <c r="M958" s="2" t="str">
        <f>HYPERLINK("https://files.afu.se/Downloads/Transcripts/0%20-%20Government/USA%20-%20NASA/2018 04 24 - NASA - Welcome Jim Bridenstine to the NASA Family_DwaD0UKsX3g - transcript (automated).pdf","Transcript Link")</f>
        <v>Transcript Link</v>
      </c>
    </row>
    <row r="959" ht="165" spans="1:13">
      <c r="A959" s="1" t="s">
        <v>4582</v>
      </c>
      <c r="B959" s="1" t="s">
        <v>13</v>
      </c>
      <c r="C959" s="4" t="s">
        <v>4583</v>
      </c>
      <c r="D959" s="1" t="s">
        <v>4584</v>
      </c>
      <c r="E959" s="1" t="s">
        <v>4585</v>
      </c>
      <c r="F959" s="4" t="s">
        <v>17</v>
      </c>
      <c r="G959" s="1" t="s">
        <v>18</v>
      </c>
      <c r="H959" s="1" t="s">
        <v>19</v>
      </c>
      <c r="I959" s="1" t="s">
        <v>20</v>
      </c>
      <c r="J959" s="1" t="s">
        <v>4586</v>
      </c>
      <c r="K959" s="1" t="s">
        <v>22</v>
      </c>
      <c r="L959" s="1" t="str">
        <f>HYPERLINK("https://files.afu.se/Downloads/Transcripts/0%20-%20Government/USA%20-%20NASA/2018 04 20 - NASA - A New Administrator is Confirmed on This Week @NASA – April 20, 2018_195rWd_YCzo - transcript (automated).pdf","Transcript Link")</f>
        <v>Transcript Link</v>
      </c>
      <c r="M959" s="2" t="str">
        <f>HYPERLINK("https://files.afu.se/Downloads/Transcripts/0%20-%20Government/USA%20-%20NASA/2018 04 20 - NASA - A New Administrator is Confirmed on This Week @NASA – April 20, 2018_195rWd_YCzo - transcript (automated).pdf","Transcript Link")</f>
        <v>Transcript Link</v>
      </c>
    </row>
    <row r="960" ht="165" spans="1:13">
      <c r="A960" s="1" t="s">
        <v>4587</v>
      </c>
      <c r="B960" s="1" t="s">
        <v>13</v>
      </c>
      <c r="C960" s="4" t="s">
        <v>4588</v>
      </c>
      <c r="D960" s="1" t="s">
        <v>4589</v>
      </c>
      <c r="E960" s="1" t="s">
        <v>4590</v>
      </c>
      <c r="F960" s="4" t="s">
        <v>17</v>
      </c>
      <c r="G960" s="1" t="s">
        <v>18</v>
      </c>
      <c r="H960" s="1" t="s">
        <v>19</v>
      </c>
      <c r="I960" s="1" t="s">
        <v>20</v>
      </c>
      <c r="J960" s="1" t="s">
        <v>4591</v>
      </c>
      <c r="K960" s="1" t="s">
        <v>22</v>
      </c>
      <c r="L960" s="1" t="str">
        <f>HYPERLINK("https://files.afu.se/Downloads/Transcripts/0%20-%20Government/USA%20-%20NASA/2018 04 13 - NASA - Human Exploration Rover Challenge on This Week @NASA – April 13, 2018_IXUAJqEozFw - transcript (automated).pdf","Transcript Link")</f>
        <v>Transcript Link</v>
      </c>
      <c r="M960" s="2" t="str">
        <f>HYPERLINK("https://files.afu.se/Downloads/Transcripts/0%20-%20Government/USA%20-%20NASA/2018 04 13 - NASA - Human Exploration Rover Challenge on This Week @NASA – April 13, 2018_IXUAJqEozFw - transcript (automated).pdf","Transcript Link")</f>
        <v>Transcript Link</v>
      </c>
    </row>
    <row r="961" ht="165" spans="1:13">
      <c r="A961" s="1" t="s">
        <v>4592</v>
      </c>
      <c r="B961" s="1" t="s">
        <v>13</v>
      </c>
      <c r="C961" s="4" t="s">
        <v>4593</v>
      </c>
      <c r="D961" s="1" t="s">
        <v>4594</v>
      </c>
      <c r="E961" s="1" t="s">
        <v>4595</v>
      </c>
      <c r="F961" s="4" t="s">
        <v>17</v>
      </c>
      <c r="G961" s="1" t="s">
        <v>18</v>
      </c>
      <c r="H961" s="1" t="s">
        <v>19</v>
      </c>
      <c r="I961" s="1" t="s">
        <v>20</v>
      </c>
      <c r="J961" s="1" t="s">
        <v>4596</v>
      </c>
      <c r="K961" s="1" t="s">
        <v>22</v>
      </c>
      <c r="L961" s="1" t="str">
        <f>HYPERLINK("https://files.afu.se/Downloads/Transcripts/0%20-%20Government/USA%20-%20NASA/2018 04 11 - NASA - Dwarf Wheat Grows in International Space Station’s Advanced Plant Habitat_ACgTZ01d9O0 - transcript (automated).pdf","Transcript Link")</f>
        <v>Transcript Link</v>
      </c>
      <c r="M961" s="2" t="str">
        <f>HYPERLINK("https://files.afu.se/Downloads/Transcripts/0%20-%20Government/USA%20-%20NASA/2018 04 11 - NASA - Dwarf Wheat Grows in International Space Station’s Advanced Plant Habitat_ACgTZ01d9O0 - transcript (automated).pdf","Transcript Link")</f>
        <v>Transcript Link</v>
      </c>
    </row>
    <row r="962" ht="240" spans="1:13">
      <c r="A962" s="1" t="s">
        <v>4592</v>
      </c>
      <c r="B962" s="1" t="s">
        <v>13</v>
      </c>
      <c r="C962" s="4" t="s">
        <v>4597</v>
      </c>
      <c r="D962" s="1" t="s">
        <v>4598</v>
      </c>
      <c r="E962" s="1" t="s">
        <v>4599</v>
      </c>
      <c r="F962" s="4" t="s">
        <v>17</v>
      </c>
      <c r="G962" s="1" t="s">
        <v>18</v>
      </c>
      <c r="H962" s="1" t="s">
        <v>19</v>
      </c>
      <c r="I962" s="1" t="s">
        <v>20</v>
      </c>
      <c r="J962" s="1" t="s">
        <v>4600</v>
      </c>
      <c r="K962" s="1" t="s">
        <v>22</v>
      </c>
      <c r="L962" s="1" t="str">
        <f>HYPERLINK("https://files.afu.se/Downloads/Transcripts/0%20-%20Government/USA%20-%20NASA/2018 04 11 - NASA - Jupiter’s Dynamo_LPvfeOiKbm8 - transcript (automated).pdf","Transcript Link")</f>
        <v>Transcript Link</v>
      </c>
      <c r="M962" s="2" t="str">
        <f>HYPERLINK("https://files.afu.se/Downloads/Transcripts/0%20-%20Government/USA%20-%20NASA/2018 04 11 - NASA - Jupiter’s Dynamo_LPvfeOiKbm8 - transcript (automated).pdf","Transcript Link")</f>
        <v>Transcript Link</v>
      </c>
    </row>
    <row r="963" ht="300" spans="1:13">
      <c r="A963" s="1" t="s">
        <v>4592</v>
      </c>
      <c r="B963" s="1" t="s">
        <v>13</v>
      </c>
      <c r="C963" s="4" t="s">
        <v>4601</v>
      </c>
      <c r="D963" s="1" t="s">
        <v>4602</v>
      </c>
      <c r="E963" s="1" t="s">
        <v>4603</v>
      </c>
      <c r="F963" s="4" t="s">
        <v>17</v>
      </c>
      <c r="G963" s="1" t="s">
        <v>18</v>
      </c>
      <c r="H963" s="1" t="s">
        <v>19</v>
      </c>
      <c r="I963" s="1" t="s">
        <v>20</v>
      </c>
      <c r="J963" s="1" t="s">
        <v>4604</v>
      </c>
      <c r="K963" s="1" t="s">
        <v>22</v>
      </c>
      <c r="L963" s="1" t="str">
        <f>HYPERLINK("https://files.afu.se/Downloads/Transcripts/0%20-%20Government/USA%20-%20NASA/2018 04 11 - NASA - Low 3-D Flyover of Jupiter’s North Pole in Infrared_By6sZ6RGCEQ - transcript (automated).pdf","Transcript Link")</f>
        <v>Transcript Link</v>
      </c>
      <c r="M963" s="2" t="str">
        <f>HYPERLINK("https://files.afu.se/Downloads/Transcripts/0%20-%20Government/USA%20-%20NASA/2018 04 11 - NASA - Low 3-D Flyover of Jupiter’s North Pole in Infrared_By6sZ6RGCEQ - transcript (automated).pdf","Transcript Link")</f>
        <v>Transcript Link</v>
      </c>
    </row>
    <row r="964" ht="165" spans="1:13">
      <c r="A964" s="1" t="s">
        <v>4605</v>
      </c>
      <c r="B964" s="1" t="s">
        <v>13</v>
      </c>
      <c r="C964" s="4" t="s">
        <v>4606</v>
      </c>
      <c r="D964" s="1" t="s">
        <v>4607</v>
      </c>
      <c r="E964" s="1" t="s">
        <v>4608</v>
      </c>
      <c r="F964" s="4" t="s">
        <v>17</v>
      </c>
      <c r="G964" s="1" t="s">
        <v>18</v>
      </c>
      <c r="H964" s="1" t="s">
        <v>19</v>
      </c>
      <c r="I964" s="1" t="s">
        <v>20</v>
      </c>
      <c r="J964" s="1" t="s">
        <v>4609</v>
      </c>
      <c r="K964" s="1" t="s">
        <v>22</v>
      </c>
      <c r="L964" s="1" t="str">
        <f>HYPERLINK("https://files.afu.se/Downloads/Transcripts/0%20-%20Government/USA%20-%20NASA/2018 04 06 - NASA - Lowering the Boom of Supersonic Flight on This Week @NASA – April 6, 2018_jwsGitHemno - transcript (automated).pdf","Transcript Link")</f>
        <v>Transcript Link</v>
      </c>
      <c r="M964" s="2" t="str">
        <f>HYPERLINK("https://files.afu.se/Downloads/Transcripts/0%20-%20Government/USA%20-%20NASA/2018 04 06 - NASA - Lowering the Boom of Supersonic Flight on This Week @NASA – April 6, 2018_jwsGitHemno - transcript (automated).pdf","Transcript Link")</f>
        <v>Transcript Link</v>
      </c>
    </row>
    <row r="965" ht="180" spans="1:13">
      <c r="A965" s="1" t="s">
        <v>4605</v>
      </c>
      <c r="B965" s="1" t="s">
        <v>13</v>
      </c>
      <c r="C965" s="4" t="s">
        <v>4610</v>
      </c>
      <c r="D965" s="1" t="s">
        <v>4611</v>
      </c>
      <c r="E965" s="1" t="s">
        <v>4612</v>
      </c>
      <c r="F965" s="4" t="s">
        <v>17</v>
      </c>
      <c r="G965" s="1" t="s">
        <v>18</v>
      </c>
      <c r="H965" s="1" t="s">
        <v>19</v>
      </c>
      <c r="I965" s="1" t="s">
        <v>20</v>
      </c>
      <c r="J965" s="1" t="s">
        <v>4613</v>
      </c>
      <c r="K965" s="1" t="s">
        <v>22</v>
      </c>
      <c r="L965" s="1" t="str">
        <f>HYPERLINK("https://files.afu.se/Downloads/Transcripts/0%20-%20Government/USA%20-%20NASA/2018 04 06 - NASA - SpaceX's Dragon Arrives at the International Space Station (Time-lapse)_5ehN5NxvNBk - transcript (automated).pdf","Transcript Link")</f>
        <v>Transcript Link</v>
      </c>
      <c r="M965" s="2" t="str">
        <f>HYPERLINK("https://files.afu.se/Downloads/Transcripts/0%20-%20Government/USA%20-%20NASA/2018 04 06 - NASA - SpaceX's Dragon Arrives at the International Space Station (Time-lapse)_5ehN5NxvNBk - transcript (automated).pdf","Transcript Link")</f>
        <v>Transcript Link</v>
      </c>
    </row>
    <row r="966" ht="165" spans="1:13">
      <c r="A966" s="1" t="s">
        <v>4614</v>
      </c>
      <c r="B966" s="1" t="s">
        <v>13</v>
      </c>
      <c r="C966" s="4" t="s">
        <v>4615</v>
      </c>
      <c r="D966" s="1" t="s">
        <v>4616</v>
      </c>
      <c r="E966" s="1" t="s">
        <v>4617</v>
      </c>
      <c r="F966" s="4" t="s">
        <v>17</v>
      </c>
      <c r="G966" s="1" t="s">
        <v>18</v>
      </c>
      <c r="H966" s="1" t="s">
        <v>19</v>
      </c>
      <c r="I966" s="1" t="s">
        <v>20</v>
      </c>
      <c r="J966" s="1" t="s">
        <v>4618</v>
      </c>
      <c r="K966" s="1" t="s">
        <v>22</v>
      </c>
      <c r="L966" s="1" t="str">
        <f>HYPERLINK("https://files.afu.se/Downloads/Transcripts/0%20-%20Government/USA%20-%20NASA/2018 04 03 - NASA - NASA Psyche Mission  Journey to a Metal World_aExTQGcIGKo - transcript (automated).pdf","Transcript Link")</f>
        <v>Transcript Link</v>
      </c>
      <c r="M966" s="2" t="str">
        <f>HYPERLINK("https://files.afu.se/Downloads/Transcripts/0%20-%20Government/USA%20-%20NASA/2018 04 03 - NASA - NASA Psyche Mission  Journey to a Metal World_aExTQGcIGKo - transcript (automated).pdf","Transcript Link")</f>
        <v>Transcript Link</v>
      </c>
    </row>
    <row r="967" ht="165" spans="1:13">
      <c r="A967" s="1" t="s">
        <v>4619</v>
      </c>
      <c r="B967" s="1" t="s">
        <v>13</v>
      </c>
      <c r="C967" s="4" t="s">
        <v>4620</v>
      </c>
      <c r="D967" s="1" t="s">
        <v>4621</v>
      </c>
      <c r="E967" s="1" t="s">
        <v>4622</v>
      </c>
      <c r="F967" s="4" t="s">
        <v>17</v>
      </c>
      <c r="G967" s="1" t="s">
        <v>18</v>
      </c>
      <c r="H967" s="1" t="s">
        <v>19</v>
      </c>
      <c r="I967" s="1" t="s">
        <v>20</v>
      </c>
      <c r="J967" s="1" t="s">
        <v>4623</v>
      </c>
      <c r="K967" s="1" t="s">
        <v>22</v>
      </c>
      <c r="L967" s="1" t="str">
        <f>HYPERLINK("https://files.afu.se/Downloads/Transcripts/0%20-%20Government/USA%20-%20NASA/2018 04 02 - NASA - SpaceX's CRS-14 Mission to the Space Station  What's On Board _tHvU42lpzJI - transcript (automated).pdf","Transcript Link")</f>
        <v>Transcript Link</v>
      </c>
      <c r="M967" s="2" t="str">
        <f>HYPERLINK("https://files.afu.se/Downloads/Transcripts/0%20-%20Government/USA%20-%20NASA/2018 04 02 - NASA - SpaceX's CRS-14 Mission to the Space Station  What's On Board _tHvU42lpzJI - transcript (automated).pdf","Transcript Link")</f>
        <v>Transcript Link</v>
      </c>
    </row>
    <row r="968" ht="165" spans="1:13">
      <c r="A968" s="1" t="s">
        <v>4624</v>
      </c>
      <c r="B968" s="1" t="s">
        <v>13</v>
      </c>
      <c r="C968" s="4" t="s">
        <v>4625</v>
      </c>
      <c r="D968" s="1" t="s">
        <v>4626</v>
      </c>
      <c r="E968" s="1" t="s">
        <v>4627</v>
      </c>
      <c r="F968" s="4" t="s">
        <v>17</v>
      </c>
      <c r="G968" s="1" t="s">
        <v>18</v>
      </c>
      <c r="H968" s="1" t="s">
        <v>19</v>
      </c>
      <c r="I968" s="1" t="s">
        <v>20</v>
      </c>
      <c r="J968" s="1" t="s">
        <v>4628</v>
      </c>
      <c r="K968" s="1" t="s">
        <v>22</v>
      </c>
      <c r="L968" s="1" t="str">
        <f>HYPERLINK("https://files.afu.se/Downloads/Transcripts/0%20-%20Government/USA%20-%20NASA/2018 03 30 - NASA - Astronauts at Work Outside the Space Station on This Week @NASA – March 30, 2018_3T8dn2EmlBU - transcript (automated).pdf","Transcript Link")</f>
        <v>Transcript Link</v>
      </c>
      <c r="M968" s="2" t="str">
        <f>HYPERLINK("https://files.afu.se/Downloads/Transcripts/0%20-%20Government/USA%20-%20NASA/2018 03 30 - NASA - Astronauts at Work Outside the Space Station on This Week @NASA – March 30, 2018_3T8dn2EmlBU - transcript (automated).pdf","Transcript Link")</f>
        <v>Transcript Link</v>
      </c>
    </row>
    <row r="969" ht="165" spans="1:13">
      <c r="A969" s="1" t="s">
        <v>4629</v>
      </c>
      <c r="B969" s="1" t="s">
        <v>13</v>
      </c>
      <c r="C969" s="4" t="s">
        <v>4630</v>
      </c>
      <c r="D969" s="1" t="s">
        <v>4631</v>
      </c>
      <c r="E969" s="1" t="s">
        <v>4632</v>
      </c>
      <c r="F969" s="4" t="s">
        <v>17</v>
      </c>
      <c r="G969" s="1" t="s">
        <v>18</v>
      </c>
      <c r="H969" s="1" t="s">
        <v>19</v>
      </c>
      <c r="I969" s="1" t="s">
        <v>20</v>
      </c>
      <c r="J969" s="1" t="s">
        <v>4633</v>
      </c>
      <c r="K969" s="1" t="s">
        <v>22</v>
      </c>
      <c r="L969" s="1" t="str">
        <f>HYPERLINK("https://files.afu.se/Downloads/Transcripts/0%20-%20Government/USA%20-%20NASA/2018 03 23 - NASA - New Crew Arrives at the Space Station on This Week @NASA – March 23, 2018_YEmR2PBPvec - transcript (automated).pdf","Transcript Link")</f>
        <v>Transcript Link</v>
      </c>
      <c r="M969" s="2" t="str">
        <f>HYPERLINK("https://files.afu.se/Downloads/Transcripts/0%20-%20Government/USA%20-%20NASA/2018 03 23 - NASA - New Crew Arrives at the Space Station on This Week @NASA – March 23, 2018_YEmR2PBPvec - transcript (automated).pdf","Transcript Link")</f>
        <v>Transcript Link</v>
      </c>
    </row>
    <row r="970" ht="165" spans="1:13">
      <c r="A970" s="1" t="s">
        <v>4634</v>
      </c>
      <c r="B970" s="1" t="s">
        <v>13</v>
      </c>
      <c r="C970" s="4" t="s">
        <v>4635</v>
      </c>
      <c r="D970" s="1" t="s">
        <v>4636</v>
      </c>
      <c r="E970" s="1" t="s">
        <v>4637</v>
      </c>
      <c r="F970" s="4" t="s">
        <v>17</v>
      </c>
      <c r="G970" s="1" t="s">
        <v>18</v>
      </c>
      <c r="H970" s="1" t="s">
        <v>19</v>
      </c>
      <c r="I970" s="1" t="s">
        <v>20</v>
      </c>
      <c r="J970" s="1" t="s">
        <v>4638</v>
      </c>
      <c r="K970" s="1" t="s">
        <v>22</v>
      </c>
      <c r="L970" s="1" t="str">
        <f>HYPERLINK("https://files.afu.se/Downloads/Transcripts/0%20-%20Government/USA%20-%20NASA/2018 03 16 - NASA - A Nearby Ancient “Relic Galaxy” on This Week @NASA – March 16, 2018_UkvshMc3z1s - transcript (automated).pdf","Transcript Link")</f>
        <v>Transcript Link</v>
      </c>
      <c r="M970" s="2" t="str">
        <f>HYPERLINK("https://files.afu.se/Downloads/Transcripts/0%20-%20Government/USA%20-%20NASA/2018 03 16 - NASA - A Nearby Ancient “Relic Galaxy” on This Week @NASA – March 16, 2018_UkvshMc3z1s - transcript (automated).pdf","Transcript Link")</f>
        <v>Transcript Link</v>
      </c>
    </row>
    <row r="971" ht="285" spans="1:13">
      <c r="A971" s="1" t="s">
        <v>4639</v>
      </c>
      <c r="B971" s="1" t="s">
        <v>13</v>
      </c>
      <c r="C971" s="4" t="s">
        <v>4640</v>
      </c>
      <c r="D971" s="1" t="s">
        <v>4641</v>
      </c>
      <c r="E971" s="1" t="s">
        <v>4642</v>
      </c>
      <c r="F971" s="4" t="s">
        <v>17</v>
      </c>
      <c r="G971" s="1" t="s">
        <v>18</v>
      </c>
      <c r="H971" s="1" t="s">
        <v>19</v>
      </c>
      <c r="I971" s="1" t="s">
        <v>20</v>
      </c>
      <c r="J971" s="1" t="s">
        <v>4643</v>
      </c>
      <c r="K971" s="1" t="s">
        <v>22</v>
      </c>
      <c r="L971" s="1" t="str">
        <f>HYPERLINK("https://files.afu.se/Downloads/Transcripts/0%20-%20Government/USA%20-%20NASA/2018 03 14 - NASA - NASA Honors Legacy of Renowned Astrophysicist Stephen Hawking_wf4gBKk1Des - transcript (automated).pdf","Transcript Link")</f>
        <v>Transcript Link</v>
      </c>
      <c r="M971" s="2" t="str">
        <f>HYPERLINK("https://files.afu.se/Downloads/Transcripts/0%20-%20Government/USA%20-%20NASA/2018 03 14 - NASA - NASA Honors Legacy of Renowned Astrophysicist Stephen Hawking_wf4gBKk1Des - transcript (automated).pdf","Transcript Link")</f>
        <v>Transcript Link</v>
      </c>
    </row>
    <row r="972" ht="165" spans="1:13">
      <c r="A972" s="1" t="s">
        <v>4644</v>
      </c>
      <c r="B972" s="1" t="s">
        <v>13</v>
      </c>
      <c r="C972" s="4" t="s">
        <v>4645</v>
      </c>
      <c r="D972" s="1" t="s">
        <v>4646</v>
      </c>
      <c r="E972" s="1" t="s">
        <v>4647</v>
      </c>
      <c r="F972" s="4" t="s">
        <v>17</v>
      </c>
      <c r="G972" s="1" t="s">
        <v>18</v>
      </c>
      <c r="H972" s="1" t="s">
        <v>19</v>
      </c>
      <c r="I972" s="1" t="s">
        <v>20</v>
      </c>
      <c r="J972" s="1" t="s">
        <v>4648</v>
      </c>
      <c r="K972" s="1" t="s">
        <v>22</v>
      </c>
      <c r="L972" s="1" t="str">
        <f>HYPERLINK("https://files.afu.se/Downloads/Transcripts/0%20-%20Government/USA%20-%20NASA/2018 03 09 - NASA - Send Your Name to the Sun on This Week @NASA – March 9, 2018_urQ2ZbtzhfU - transcript (automated).pdf","Transcript Link")</f>
        <v>Transcript Link</v>
      </c>
      <c r="M972" s="2" t="str">
        <f>HYPERLINK("https://files.afu.se/Downloads/Transcripts/0%20-%20Government/USA%20-%20NASA/2018 03 09 - NASA - Send Your Name to the Sun on This Week @NASA – March 9, 2018_urQ2ZbtzhfU - transcript (automated).pdf","Transcript Link")</f>
        <v>Transcript Link</v>
      </c>
    </row>
    <row r="973" ht="390" spans="1:13">
      <c r="A973" s="1" t="s">
        <v>4649</v>
      </c>
      <c r="B973" s="1" t="s">
        <v>13</v>
      </c>
      <c r="C973" s="4" t="s">
        <v>4650</v>
      </c>
      <c r="D973" s="1" t="s">
        <v>4651</v>
      </c>
      <c r="E973" s="1" t="s">
        <v>4652</v>
      </c>
      <c r="F973" s="4" t="s">
        <v>17</v>
      </c>
      <c r="G973" s="1" t="s">
        <v>18</v>
      </c>
      <c r="H973" s="1" t="s">
        <v>19</v>
      </c>
      <c r="I973" s="1" t="s">
        <v>20</v>
      </c>
      <c r="J973" s="1" t="s">
        <v>4653</v>
      </c>
      <c r="K973" s="1" t="s">
        <v>22</v>
      </c>
      <c r="L973" s="1" t="str">
        <f>HYPERLINK("https://files.afu.se/Downloads/Transcripts/0%20-%20Government/USA%20-%20NASA/2018 03 07 - NASA - NASA's Juno Spacecraft Reveals the Depth of Jupiter's Colored Bands_hF0UjhPSS3A - transcript (automated).pdf","Transcript Link")</f>
        <v>Transcript Link</v>
      </c>
      <c r="M973" s="2" t="str">
        <f>HYPERLINK("https://files.afu.se/Downloads/Transcripts/0%20-%20Government/USA%20-%20NASA/2018 03 07 - NASA - NASA's Juno Spacecraft Reveals the Depth of Jupiter's Colored Bands_hF0UjhPSS3A - transcript (automated).pdf","Transcript Link")</f>
        <v>Transcript Link</v>
      </c>
    </row>
    <row r="974" ht="165" spans="1:13">
      <c r="A974" s="1" t="s">
        <v>4654</v>
      </c>
      <c r="B974" s="1" t="s">
        <v>13</v>
      </c>
      <c r="C974" s="4" t="s">
        <v>4655</v>
      </c>
      <c r="D974" s="1" t="s">
        <v>4656</v>
      </c>
      <c r="E974" s="1" t="s">
        <v>4657</v>
      </c>
      <c r="F974" s="4" t="s">
        <v>17</v>
      </c>
      <c r="G974" s="1" t="s">
        <v>18</v>
      </c>
      <c r="H974" s="1" t="s">
        <v>19</v>
      </c>
      <c r="I974" s="1" t="s">
        <v>20</v>
      </c>
      <c r="J974" s="1" t="s">
        <v>4658</v>
      </c>
      <c r="K974" s="1" t="s">
        <v>22</v>
      </c>
      <c r="L974" s="1" t="str">
        <f>HYPERLINK("https://files.afu.se/Downloads/Transcripts/0%20-%20Government/USA%20-%20NASA/2018 03 05 - NASA - Space Station Crew Returns Safely on This Week @NASA – March 5, 2018_YpS7PHX7Tjo - transcript (automated).pdf","Transcript Link")</f>
        <v>Transcript Link</v>
      </c>
      <c r="M974" s="2" t="str">
        <f>HYPERLINK("https://files.afu.se/Downloads/Transcripts/0%20-%20Government/USA%20-%20NASA/2018 03 05 - NASA - Space Station Crew Returns Safely on This Week @NASA – March 5, 2018_YpS7PHX7Tjo - transcript (automated).pdf","Transcript Link")</f>
        <v>Transcript Link</v>
      </c>
    </row>
    <row r="975" ht="165" spans="1:13">
      <c r="A975" s="1" t="s">
        <v>4659</v>
      </c>
      <c r="B975" s="1" t="s">
        <v>13</v>
      </c>
      <c r="C975" s="4" t="s">
        <v>4660</v>
      </c>
      <c r="D975" s="1" t="s">
        <v>4661</v>
      </c>
      <c r="E975" s="1" t="s">
        <v>4662</v>
      </c>
      <c r="F975" s="4" t="s">
        <v>17</v>
      </c>
      <c r="G975" s="1" t="s">
        <v>18</v>
      </c>
      <c r="H975" s="1" t="s">
        <v>19</v>
      </c>
      <c r="I975" s="1" t="s">
        <v>20</v>
      </c>
      <c r="J975" s="1" t="s">
        <v>4663</v>
      </c>
      <c r="K975" s="1" t="s">
        <v>22</v>
      </c>
      <c r="L975" s="1" t="str">
        <f>HYPERLINK("https://files.afu.se/Downloads/Transcripts/0%20-%20Government/USA%20-%20NASA/2018 02 23 - NASA - The Second Meeting of the National Space Council on This Week @NASA – February 23, 2018_DVvZ1abXsk8 - transcript (automated).pdf","Transcript Link")</f>
        <v>Transcript Link</v>
      </c>
      <c r="M975" s="2" t="str">
        <f>HYPERLINK("https://files.afu.se/Downloads/Transcripts/0%20-%20Government/USA%20-%20NASA/2018 02 23 - NASA - The Second Meeting of the National Space Council on This Week @NASA – February 23, 2018_DVvZ1abXsk8 - transcript (automated).pdf","Transcript Link")</f>
        <v>Transcript Link</v>
      </c>
    </row>
    <row r="976" ht="165" spans="1:13">
      <c r="A976" s="1" t="s">
        <v>4664</v>
      </c>
      <c r="B976" s="1" t="s">
        <v>13</v>
      </c>
      <c r="C976" s="4" t="s">
        <v>4665</v>
      </c>
      <c r="D976" s="1" t="s">
        <v>4666</v>
      </c>
      <c r="E976" s="1" t="s">
        <v>4667</v>
      </c>
      <c r="F976" s="4" t="s">
        <v>17</v>
      </c>
      <c r="G976" s="1" t="s">
        <v>18</v>
      </c>
      <c r="H976" s="1" t="s">
        <v>19</v>
      </c>
      <c r="I976" s="1" t="s">
        <v>20</v>
      </c>
      <c r="J976" s="1" t="s">
        <v>4668</v>
      </c>
      <c r="K976" s="1" t="s">
        <v>22</v>
      </c>
      <c r="L976" s="1" t="str">
        <f>HYPERLINK("https://files.afu.se/Downloads/Transcripts/0%20-%20Government/USA%20-%20NASA/2018 02 21 - NASA - Transformation of America's Multi-User Spaceport_la67FdwAOXU - transcript (automated).pdf","Transcript Link")</f>
        <v>Transcript Link</v>
      </c>
      <c r="M976" s="2" t="str">
        <f>HYPERLINK("https://files.afu.se/Downloads/Transcripts/0%20-%20Government/USA%20-%20NASA/2018 02 21 - NASA - Transformation of America's Multi-User Spaceport_la67FdwAOXU - transcript (automated).pdf","Transcript Link")</f>
        <v>Transcript Link</v>
      </c>
    </row>
    <row r="977" ht="210" spans="1:13">
      <c r="A977" s="1" t="s">
        <v>4664</v>
      </c>
      <c r="B977" s="1" t="s">
        <v>13</v>
      </c>
      <c r="C977" s="4" t="s">
        <v>4669</v>
      </c>
      <c r="D977" s="1" t="s">
        <v>4670</v>
      </c>
      <c r="E977" s="1" t="s">
        <v>4671</v>
      </c>
      <c r="F977" s="4" t="s">
        <v>17</v>
      </c>
      <c r="G977" s="1" t="s">
        <v>18</v>
      </c>
      <c r="H977" s="1" t="s">
        <v>19</v>
      </c>
      <c r="I977" s="1" t="s">
        <v>20</v>
      </c>
      <c r="J977" s="1" t="s">
        <v>4672</v>
      </c>
      <c r="K977" s="1" t="s">
        <v>22</v>
      </c>
      <c r="L977" s="1" t="str">
        <f>HYPERLINK("https://files.afu.se/Downloads/Transcripts/0%20-%20Government/USA%20-%20NASA/2018 02 21 - NASA - NASA Provides Coverage of the National Space Council Meeting_H0K4bLFVQ1w - transcript (automated).pdf","Transcript Link")</f>
        <v>Transcript Link</v>
      </c>
      <c r="M977" s="2" t="str">
        <f>HYPERLINK("https://files.afu.se/Downloads/Transcripts/0%20-%20Government/USA%20-%20NASA/2018 02 21 - NASA - NASA Provides Coverage of the National Space Council Meeting_H0K4bLFVQ1w - transcript (automated).pdf","Transcript Link")</f>
        <v>Transcript Link</v>
      </c>
    </row>
    <row r="978" ht="165" spans="1:13">
      <c r="A978" s="1" t="s">
        <v>4673</v>
      </c>
      <c r="B978" s="1" t="s">
        <v>13</v>
      </c>
      <c r="C978" s="4" t="s">
        <v>4674</v>
      </c>
      <c r="D978" s="1" t="s">
        <v>4675</v>
      </c>
      <c r="E978" s="1" t="s">
        <v>4676</v>
      </c>
      <c r="F978" s="4" t="s">
        <v>17</v>
      </c>
      <c r="G978" s="1" t="s">
        <v>18</v>
      </c>
      <c r="H978" s="1" t="s">
        <v>19</v>
      </c>
      <c r="I978" s="1" t="s">
        <v>20</v>
      </c>
      <c r="J978" s="1" t="s">
        <v>4677</v>
      </c>
      <c r="K978" s="1" t="s">
        <v>22</v>
      </c>
      <c r="L978" s="1" t="str">
        <f>HYPERLINK("https://files.afu.se/Downloads/Transcripts/0%20-%20Government/USA%20-%20NASA/2018 02 20 - NASA - What is the RS-25 Engine _kJo157o_qaw - transcript (automated).pdf","Transcript Link")</f>
        <v>Transcript Link</v>
      </c>
      <c r="M978" s="2" t="str">
        <f>HYPERLINK("https://files.afu.se/Downloads/Transcripts/0%20-%20Government/USA%20-%20NASA/2018 02 20 - NASA - What is the RS-25 Engine _kJo157o_qaw - transcript (automated).pdf","Transcript Link")</f>
        <v>Transcript Link</v>
      </c>
    </row>
    <row r="979" ht="165" spans="1:13">
      <c r="A979" s="1" t="s">
        <v>4678</v>
      </c>
      <c r="B979" s="1" t="s">
        <v>13</v>
      </c>
      <c r="C979" s="4" t="s">
        <v>4679</v>
      </c>
      <c r="D979" s="1" t="s">
        <v>4680</v>
      </c>
      <c r="E979" s="1" t="s">
        <v>4681</v>
      </c>
      <c r="F979" s="4" t="s">
        <v>17</v>
      </c>
      <c r="G979" s="1" t="s">
        <v>18</v>
      </c>
      <c r="H979" s="1" t="s">
        <v>19</v>
      </c>
      <c r="I979" s="1" t="s">
        <v>20</v>
      </c>
      <c r="J979" s="1" t="s">
        <v>4682</v>
      </c>
      <c r="K979" s="1" t="s">
        <v>22</v>
      </c>
      <c r="L979" s="1" t="str">
        <f>HYPERLINK("https://files.afu.se/Downloads/Transcripts/0%20-%20Government/USA%20-%20NASA/2018 02 16 - NASA - A Strong State of NASA on This Week @NASA – February 16, 2018_Q9BVD4cd7H8 - transcript (automated).pdf","Transcript Link")</f>
        <v>Transcript Link</v>
      </c>
      <c r="M979" s="2" t="str">
        <f>HYPERLINK("https://files.afu.se/Downloads/Transcripts/0%20-%20Government/USA%20-%20NASA/2018 02 16 - NASA - A Strong State of NASA on This Week @NASA – February 16, 2018_Q9BVD4cd7H8 - transcript (automated).pdf","Transcript Link")</f>
        <v>Transcript Link</v>
      </c>
    </row>
    <row r="980" ht="180" spans="1:13">
      <c r="A980" s="1" t="s">
        <v>4683</v>
      </c>
      <c r="B980" s="1" t="s">
        <v>13</v>
      </c>
      <c r="C980" s="4" t="s">
        <v>4684</v>
      </c>
      <c r="D980" s="1" t="s">
        <v>4685</v>
      </c>
      <c r="E980" s="1" t="s">
        <v>4686</v>
      </c>
      <c r="F980" s="4" t="s">
        <v>17</v>
      </c>
      <c r="G980" s="1" t="s">
        <v>18</v>
      </c>
      <c r="H980" s="1" t="s">
        <v>19</v>
      </c>
      <c r="I980" s="1" t="s">
        <v>20</v>
      </c>
      <c r="J980" s="1" t="s">
        <v>4687</v>
      </c>
      <c r="K980" s="1" t="s">
        <v>22</v>
      </c>
      <c r="L980" s="1" t="str">
        <f>HYPERLINK("https://files.afu.se/Downloads/Transcripts/0%20-%20Government/USA%20-%20NASA/2018 02 13 - NASA - State of NASA  How Cool Is That _Q2CuyPIXD1s - transcript (automated).pdf","Transcript Link")</f>
        <v>Transcript Link</v>
      </c>
      <c r="M980" s="2" t="str">
        <f>HYPERLINK("https://files.afu.se/Downloads/Transcripts/0%20-%20Government/USA%20-%20NASA/2018 02 13 - NASA - State of NASA  How Cool Is That _Q2CuyPIXD1s - transcript (automated).pdf","Transcript Link")</f>
        <v>Transcript Link</v>
      </c>
    </row>
    <row r="981" ht="210" spans="1:13">
      <c r="A981" s="1" t="s">
        <v>4688</v>
      </c>
      <c r="B981" s="1" t="s">
        <v>13</v>
      </c>
      <c r="C981" s="4" t="s">
        <v>4689</v>
      </c>
      <c r="D981" s="1" t="s">
        <v>4690</v>
      </c>
      <c r="E981" s="1" t="s">
        <v>4691</v>
      </c>
      <c r="F981" s="4" t="s">
        <v>17</v>
      </c>
      <c r="G981" s="1" t="s">
        <v>18</v>
      </c>
      <c r="H981" s="1" t="s">
        <v>19</v>
      </c>
      <c r="I981" s="1" t="s">
        <v>20</v>
      </c>
      <c r="J981" s="1" t="s">
        <v>4692</v>
      </c>
      <c r="K981" s="1" t="s">
        <v>22</v>
      </c>
      <c r="L981" s="1" t="str">
        <f>HYPERLINK("https://files.afu.se/Downloads/Transcripts/0%20-%20Government/USA%20-%20NASA/2018 02 12 - NASA - “State of NASA” Events Highlight Agency Goals for Space Exploration_Fe2HxMDyKXk - transcript (automated).pdf","Transcript Link")</f>
        <v>Transcript Link</v>
      </c>
      <c r="M981" s="2" t="str">
        <f>HYPERLINK("https://files.afu.se/Downloads/Transcripts/0%20-%20Government/USA%20-%20NASA/2018 02 12 - NASA - “State of NASA” Events Highlight Agency Goals for Space Exploration_Fe2HxMDyKXk - transcript (automated).pdf","Transcript Link")</f>
        <v>Transcript Link</v>
      </c>
    </row>
    <row r="982" ht="195" spans="1:13">
      <c r="A982" s="1" t="s">
        <v>4688</v>
      </c>
      <c r="B982" s="1" t="s">
        <v>13</v>
      </c>
      <c r="C982" s="4" t="s">
        <v>4693</v>
      </c>
      <c r="D982" s="1" t="s">
        <v>4694</v>
      </c>
      <c r="E982" s="1" t="s">
        <v>4695</v>
      </c>
      <c r="F982" s="4" t="s">
        <v>17</v>
      </c>
      <c r="G982" s="1" t="s">
        <v>18</v>
      </c>
      <c r="H982" s="1" t="s">
        <v>19</v>
      </c>
      <c r="I982" s="1" t="s">
        <v>20</v>
      </c>
      <c r="J982" s="1" t="s">
        <v>4696</v>
      </c>
      <c r="K982" s="1" t="s">
        <v>22</v>
      </c>
      <c r="L982" s="1" t="str">
        <f>HYPERLINK("https://files.afu.se/Downloads/Transcripts/0%20-%20Government/USA%20-%20NASA/2018 02 12 - NASA - Exploration. It's What We Do._jAbj2C3Jdpg - transcript (automated).pdf","Transcript Link")</f>
        <v>Transcript Link</v>
      </c>
      <c r="M982" s="2" t="str">
        <f>HYPERLINK("https://files.afu.se/Downloads/Transcripts/0%20-%20Government/USA%20-%20NASA/2018 02 12 - NASA - Exploration. It's What We Do._jAbj2C3Jdpg - transcript (automated).pdf","Transcript Link")</f>
        <v>Transcript Link</v>
      </c>
    </row>
    <row r="983" ht="165" spans="1:13">
      <c r="A983" s="1" t="s">
        <v>4697</v>
      </c>
      <c r="B983" s="1" t="s">
        <v>13</v>
      </c>
      <c r="C983" s="4" t="s">
        <v>4698</v>
      </c>
      <c r="D983" s="1" t="s">
        <v>4699</v>
      </c>
      <c r="E983" s="1" t="s">
        <v>4700</v>
      </c>
      <c r="F983" s="4" t="s">
        <v>17</v>
      </c>
      <c r="G983" s="1" t="s">
        <v>18</v>
      </c>
      <c r="H983" s="1" t="s">
        <v>19</v>
      </c>
      <c r="I983" s="1" t="s">
        <v>20</v>
      </c>
      <c r="J983" s="1" t="s">
        <v>4701</v>
      </c>
      <c r="K983" s="1" t="s">
        <v>22</v>
      </c>
      <c r="L983" s="1" t="str">
        <f>HYPERLINK("https://files.afu.se/Downloads/Transcripts/0%20-%20Government/USA%20-%20NASA/2018 02 09 - NASA - Webb Telescope Moves Westward on This Week @NASA – February 9, 2018_GiZMaKlluF8 - transcript (automated).pdf","Transcript Link")</f>
        <v>Transcript Link</v>
      </c>
      <c r="M983" s="2" t="str">
        <f>HYPERLINK("https://files.afu.se/Downloads/Transcripts/0%20-%20Government/USA%20-%20NASA/2018 02 09 - NASA - Webb Telescope Moves Westward on This Week @NASA – February 9, 2018_GiZMaKlluF8 - transcript (automated).pdf","Transcript Link")</f>
        <v>Transcript Link</v>
      </c>
    </row>
    <row r="984" ht="165" spans="1:13">
      <c r="A984" s="1" t="s">
        <v>4702</v>
      </c>
      <c r="B984" s="1" t="s">
        <v>13</v>
      </c>
      <c r="C984" s="4" t="s">
        <v>4703</v>
      </c>
      <c r="D984" s="1" t="s">
        <v>4704</v>
      </c>
      <c r="E984" s="1" t="s">
        <v>4705</v>
      </c>
      <c r="F984" s="4" t="s">
        <v>17</v>
      </c>
      <c r="G984" s="1" t="s">
        <v>18</v>
      </c>
      <c r="H984" s="1" t="s">
        <v>19</v>
      </c>
      <c r="I984" s="1" t="s">
        <v>20</v>
      </c>
      <c r="J984" s="1" t="s">
        <v>4706</v>
      </c>
      <c r="K984" s="1" t="s">
        <v>22</v>
      </c>
      <c r="L984" s="1" t="str">
        <f>HYPERLINK("https://files.afu.se/Downloads/Transcripts/0%20-%20Government/USA%20-%20NASA/2018 02 02 - NASA - Celestial Triple Treat on This Week @NASA – February 2, 2018_SJOz3qjfQXU - transcript (automated).pdf","Transcript Link")</f>
        <v>Transcript Link</v>
      </c>
      <c r="M984" s="2" t="str">
        <f>HYPERLINK("https://files.afu.se/Downloads/Transcripts/0%20-%20Government/USA%20-%20NASA/2018 02 02 - NASA - Celestial Triple Treat on This Week @NASA – February 2, 2018_SJOz3qjfQXU - transcript (automated).pdf","Transcript Link")</f>
        <v>Transcript Link</v>
      </c>
    </row>
    <row r="985" ht="225" spans="1:13">
      <c r="A985" s="1" t="s">
        <v>4707</v>
      </c>
      <c r="B985" s="1" t="s">
        <v>13</v>
      </c>
      <c r="C985" s="4" t="s">
        <v>4708</v>
      </c>
      <c r="D985" s="1" t="s">
        <v>4709</v>
      </c>
      <c r="E985" s="1" t="s">
        <v>4710</v>
      </c>
      <c r="F985" s="4" t="s">
        <v>17</v>
      </c>
      <c r="G985" s="1" t="s">
        <v>18</v>
      </c>
      <c r="H985" s="1" t="s">
        <v>19</v>
      </c>
      <c r="I985" s="1" t="s">
        <v>20</v>
      </c>
      <c r="J985" s="1" t="s">
        <v>4711</v>
      </c>
      <c r="K985" s="1" t="s">
        <v>22</v>
      </c>
      <c r="L985" s="1" t="str">
        <f>HYPERLINK("https://files.afu.se/Downloads/Transcripts/0%20-%20Government/USA%20-%20NASA/2018 01 31 - NASA - Explorer 1  How America's First Satellite Helped Create NASA_Y2-xZ-1HE-Q - transcript (automated).pdf","Transcript Link")</f>
        <v>Transcript Link</v>
      </c>
      <c r="M985" s="2" t="str">
        <f>HYPERLINK("https://files.afu.se/Downloads/Transcripts/0%20-%20Government/USA%20-%20NASA/2018 01 31 - NASA - Explorer 1  How America's First Satellite Helped Create NASA_Y2-xZ-1HE-Q - transcript (automated).pdf","Transcript Link")</f>
        <v>Transcript Link</v>
      </c>
    </row>
    <row r="986" ht="285" spans="1:13">
      <c r="A986" s="1" t="s">
        <v>4712</v>
      </c>
      <c r="B986" s="1" t="s">
        <v>13</v>
      </c>
      <c r="C986" s="4" t="s">
        <v>4713</v>
      </c>
      <c r="D986" s="1" t="s">
        <v>4714</v>
      </c>
      <c r="E986" s="1" t="s">
        <v>4715</v>
      </c>
      <c r="F986" s="4" t="s">
        <v>17</v>
      </c>
      <c r="G986" s="1" t="s">
        <v>18</v>
      </c>
      <c r="H986" s="1" t="s">
        <v>19</v>
      </c>
      <c r="I986" s="1" t="s">
        <v>20</v>
      </c>
      <c r="J986" s="1" t="s">
        <v>4716</v>
      </c>
      <c r="K986" s="1" t="s">
        <v>22</v>
      </c>
      <c r="L986" s="1" t="str">
        <f>HYPERLINK("https://files.afu.se/Downloads/Transcripts/0%20-%20Government/USA%20-%20NASA/2018 01 26 - NASA - Jan. 31, 2018 Super Blue Blood Moon and Lunar Eclipse_IrydklNpcFI - transcript (automated).pdf","Transcript Link")</f>
        <v>Transcript Link</v>
      </c>
      <c r="M986" s="2" t="str">
        <f>HYPERLINK("https://files.afu.se/Downloads/Transcripts/0%20-%20Government/USA%20-%20NASA/2018 01 26 - NASA - Jan. 31, 2018 Super Blue Blood Moon and Lunar Eclipse_IrydklNpcFI - transcript (automated).pdf","Transcript Link")</f>
        <v>Transcript Link</v>
      </c>
    </row>
    <row r="987" ht="165" spans="1:13">
      <c r="A987" s="1" t="s">
        <v>4712</v>
      </c>
      <c r="B987" s="1" t="s">
        <v>13</v>
      </c>
      <c r="C987" s="4" t="s">
        <v>4717</v>
      </c>
      <c r="D987" s="1" t="s">
        <v>4718</v>
      </c>
      <c r="E987" s="1" t="s">
        <v>4719</v>
      </c>
      <c r="F987" s="4" t="s">
        <v>17</v>
      </c>
      <c r="G987" s="1" t="s">
        <v>18</v>
      </c>
      <c r="H987" s="1" t="s">
        <v>19</v>
      </c>
      <c r="I987" s="1" t="s">
        <v>20</v>
      </c>
      <c r="J987" s="1" t="s">
        <v>4720</v>
      </c>
      <c r="K987" s="1" t="s">
        <v>22</v>
      </c>
      <c r="L987" s="1" t="str">
        <f>HYPERLINK("https://files.afu.se/Downloads/Transcripts/0%20-%20Government/USA%20-%20NASA/2018 01 26 - NASA - Going EVA Outside the Space Station on This Week @NASA – January 26, 2018_9ubytEsCaS0 - transcript (automated).pdf","Transcript Link")</f>
        <v>Transcript Link</v>
      </c>
      <c r="M987" s="2" t="str">
        <f>HYPERLINK("https://files.afu.se/Downloads/Transcripts/0%20-%20Government/USA%20-%20NASA/2018 01 26 - NASA - Going EVA Outside the Space Station on This Week @NASA – January 26, 2018_9ubytEsCaS0 - transcript (automated).pdf","Transcript Link")</f>
        <v>Transcript Link</v>
      </c>
    </row>
    <row r="988" ht="165" spans="1:13">
      <c r="A988" s="1" t="s">
        <v>4721</v>
      </c>
      <c r="B988" s="1" t="s">
        <v>13</v>
      </c>
      <c r="C988" s="4" t="s">
        <v>4722</v>
      </c>
      <c r="D988" s="1" t="s">
        <v>4723</v>
      </c>
      <c r="E988" s="1" t="s">
        <v>4724</v>
      </c>
      <c r="F988" s="4" t="s">
        <v>17</v>
      </c>
      <c r="G988" s="1" t="s">
        <v>18</v>
      </c>
      <c r="H988" s="1" t="s">
        <v>19</v>
      </c>
      <c r="I988" s="1" t="s">
        <v>20</v>
      </c>
      <c r="J988" s="1" t="s">
        <v>4725</v>
      </c>
      <c r="K988" s="1" t="s">
        <v>22</v>
      </c>
      <c r="L988" s="1" t="str">
        <f>HYPERLINK("https://files.afu.se/Downloads/Transcripts/0%20-%20Government/USA%20-%20NASA/2018 01 19 - NASA - Feel the Rumble! RS-25 Engine Test on This Week @NASA – January 19, 2018_cu3-EZKF6gY - transcript (automated).pdf","Transcript Link")</f>
        <v>Transcript Link</v>
      </c>
      <c r="M988" s="2" t="str">
        <f>HYPERLINK("https://files.afu.se/Downloads/Transcripts/0%20-%20Government/USA%20-%20NASA/2018 01 19 - NASA - Feel the Rumble! RS-25 Engine Test on This Week @NASA – January 19, 2018_cu3-EZKF6gY - transcript (automated).pdf","Transcript Link")</f>
        <v>Transcript Link</v>
      </c>
    </row>
    <row r="989" ht="375" spans="1:13">
      <c r="A989" s="1" t="s">
        <v>4726</v>
      </c>
      <c r="B989" s="1" t="s">
        <v>13</v>
      </c>
      <c r="C989" s="4" t="s">
        <v>4727</v>
      </c>
      <c r="D989" s="1" t="s">
        <v>4728</v>
      </c>
      <c r="E989" s="1" t="s">
        <v>4729</v>
      </c>
      <c r="F989" s="4" t="s">
        <v>17</v>
      </c>
      <c r="G989" s="1" t="s">
        <v>18</v>
      </c>
      <c r="H989" s="1" t="s">
        <v>19</v>
      </c>
      <c r="I989" s="1" t="s">
        <v>20</v>
      </c>
      <c r="J989" s="1" t="s">
        <v>4730</v>
      </c>
      <c r="K989" s="1" t="s">
        <v>22</v>
      </c>
      <c r="L989" s="1" t="str">
        <f>HYPERLINK("https://files.afu.se/Downloads/Transcripts/0%20-%20Government/USA%20-%20NASA/2018 01 18 - NASA - 2017 Takes Second Place for Hottest Year_jBMztWLpTGs - transcript (automated).pdf","Transcript Link")</f>
        <v>Transcript Link</v>
      </c>
      <c r="M989" s="2" t="str">
        <f>HYPERLINK("https://files.afu.se/Downloads/Transcripts/0%20-%20Government/USA%20-%20NASA/2018 01 18 - NASA - 2017 Takes Second Place for Hottest Year_jBMztWLpTGs - transcript (automated).pdf","Transcript Link")</f>
        <v>Transcript Link</v>
      </c>
    </row>
    <row r="990" ht="225" spans="1:13">
      <c r="A990" s="1" t="s">
        <v>4731</v>
      </c>
      <c r="B990" s="1" t="s">
        <v>13</v>
      </c>
      <c r="C990" s="4" t="s">
        <v>4732</v>
      </c>
      <c r="D990" s="1" t="s">
        <v>4733</v>
      </c>
      <c r="E990" s="1" t="s">
        <v>4734</v>
      </c>
      <c r="F990" s="4" t="s">
        <v>17</v>
      </c>
      <c r="G990" s="1" t="s">
        <v>18</v>
      </c>
      <c r="H990" s="1" t="s">
        <v>19</v>
      </c>
      <c r="I990" s="1" t="s">
        <v>20</v>
      </c>
      <c r="J990" s="1" t="s">
        <v>4735</v>
      </c>
      <c r="K990" s="1" t="s">
        <v>22</v>
      </c>
      <c r="L990" s="1" t="str">
        <f>HYPERLINK("https://files.afu.se/Downloads/Transcripts/0%20-%20Government/USA%20-%20NASA/2018 01 12 - NASA - Webb Space Telescope Update on This Week @NASA – January 12, 2018_PQWeWmKB_II - transcript (automated).pdf","Transcript Link")</f>
        <v>Transcript Link</v>
      </c>
      <c r="M990" s="2" t="str">
        <f>HYPERLINK("https://files.afu.se/Downloads/Transcripts/0%20-%20Government/USA%20-%20NASA/2018 01 12 - NASA - Webb Space Telescope Update on This Week @NASA – January 12, 2018_PQWeWmKB_II - transcript (automated).pdf","Transcript Link")</f>
        <v>Transcript Link</v>
      </c>
    </row>
    <row r="991" ht="225" spans="1:13">
      <c r="A991" s="1" t="s">
        <v>4736</v>
      </c>
      <c r="B991" s="1" t="s">
        <v>13</v>
      </c>
      <c r="C991" s="4" t="s">
        <v>4737</v>
      </c>
      <c r="D991" s="1" t="s">
        <v>4738</v>
      </c>
      <c r="E991" s="1" t="s">
        <v>4739</v>
      </c>
      <c r="F991" s="4" t="s">
        <v>17</v>
      </c>
      <c r="G991" s="1" t="s">
        <v>18</v>
      </c>
      <c r="H991" s="1" t="s">
        <v>19</v>
      </c>
      <c r="I991" s="1" t="s">
        <v>20</v>
      </c>
      <c r="J991" s="1" t="s">
        <v>4740</v>
      </c>
      <c r="K991" s="1" t="s">
        <v>22</v>
      </c>
      <c r="L991" s="1" t="str">
        <f>HYPERLINK("https://files.afu.se/Downloads/Transcripts/0%20-%20Government/USA%20-%20NASA/2018 01 11 - NASA - Flight Through Orion Nebula in Visible and Infrared Light_fkWrjrdT3Zg - transcript (automated).pdf","Transcript Link")</f>
        <v>Transcript Link</v>
      </c>
      <c r="M991" s="2" t="str">
        <f>HYPERLINK("https://files.afu.se/Downloads/Transcripts/0%20-%20Government/USA%20-%20NASA/2018 01 11 - NASA - Flight Through Orion Nebula in Visible and Infrared Light_fkWrjrdT3Zg - transcript (automated).pdf","Transcript Link")</f>
        <v>Transcript Link</v>
      </c>
    </row>
    <row r="992" ht="165" spans="1:13">
      <c r="A992" s="1" t="s">
        <v>4741</v>
      </c>
      <c r="B992" s="1" t="s">
        <v>13</v>
      </c>
      <c r="C992" s="4" t="s">
        <v>4742</v>
      </c>
      <c r="D992" s="1" t="s">
        <v>4743</v>
      </c>
      <c r="E992" s="1" t="s">
        <v>4744</v>
      </c>
      <c r="F992" s="4" t="s">
        <v>17</v>
      </c>
      <c r="G992" s="1" t="s">
        <v>18</v>
      </c>
      <c r="H992" s="1" t="s">
        <v>19</v>
      </c>
      <c r="I992" s="1" t="s">
        <v>20</v>
      </c>
      <c r="J992" s="1" t="s">
        <v>4745</v>
      </c>
      <c r="K992" s="1" t="s">
        <v>22</v>
      </c>
      <c r="L992" s="1" t="str">
        <f>HYPERLINK("https://files.afu.se/Downloads/Transcripts/0%20-%20Government/USA%20-%20NASA/2018 01 10 - NASA - Webb Telescope Tested for Space, Ready for Science_qU7QwIOsodw - transcript (automated).pdf","Transcript Link")</f>
        <v>Transcript Link</v>
      </c>
      <c r="M992" s="2" t="str">
        <f>HYPERLINK("https://files.afu.se/Downloads/Transcripts/0%20-%20Government/USA%20-%20NASA/2018 01 10 - NASA - Webb Telescope Tested for Space, Ready for Science_qU7QwIOsodw - transcript (automated).pdf","Transcript Link")</f>
        <v>Transcript Link</v>
      </c>
    </row>
    <row r="993" ht="195" spans="1:13">
      <c r="A993" s="1" t="s">
        <v>4746</v>
      </c>
      <c r="B993" s="1" t="s">
        <v>13</v>
      </c>
      <c r="C993" s="4" t="s">
        <v>4747</v>
      </c>
      <c r="D993" s="1" t="s">
        <v>4748</v>
      </c>
      <c r="E993" s="1" t="s">
        <v>4749</v>
      </c>
      <c r="F993" s="4" t="s">
        <v>17</v>
      </c>
      <c r="G993" s="1" t="s">
        <v>18</v>
      </c>
      <c r="H993" s="1" t="s">
        <v>19</v>
      </c>
      <c r="I993" s="1" t="s">
        <v>20</v>
      </c>
      <c r="J993" s="1" t="s">
        <v>4750</v>
      </c>
      <c r="K993" s="1" t="s">
        <v>22</v>
      </c>
      <c r="L993" s="1" t="str">
        <f>HYPERLINK("https://files.afu.se/Downloads/Transcripts/0%20-%20Government/USA%20-%20NASA/2018 01 06 - NASA - NASA Remembers Moonwalker, Shuttle Commander John Young_6qBb_iKZbGM - transcript (automated).pdf","Transcript Link")</f>
        <v>Transcript Link</v>
      </c>
      <c r="M993" s="2" t="str">
        <f>HYPERLINK("https://files.afu.se/Downloads/Transcripts/0%20-%20Government/USA%20-%20NASA/2018 01 06 - NASA - NASA Remembers Moonwalker, Shuttle Commander John Young_6qBb_iKZbGM - transcript (automated).pdf","Transcript Link")</f>
        <v>Transcript Link</v>
      </c>
    </row>
    <row r="994" ht="210" spans="1:13">
      <c r="A994" s="1" t="s">
        <v>4751</v>
      </c>
      <c r="B994" s="1" t="s">
        <v>13</v>
      </c>
      <c r="C994" s="4" t="s">
        <v>4752</v>
      </c>
      <c r="D994" s="1" t="s">
        <v>4753</v>
      </c>
      <c r="E994" s="1" t="s">
        <v>4754</v>
      </c>
      <c r="F994" s="4" t="s">
        <v>17</v>
      </c>
      <c r="G994" s="1" t="s">
        <v>18</v>
      </c>
      <c r="H994" s="1" t="s">
        <v>19</v>
      </c>
      <c r="I994" s="1" t="s">
        <v>20</v>
      </c>
      <c r="J994" s="1" t="s">
        <v>4755</v>
      </c>
      <c r="K994" s="1" t="s">
        <v>22</v>
      </c>
      <c r="L994" s="1" t="str">
        <f>HYPERLINK("https://files.afu.se/Downloads/Transcripts/0%20-%20Government/USA%20-%20NASA/2018 01 04 - NASA - GOES-16 Satellite Tracks East Coast Storm__F1wS-fcx6M - transcript (automated).pdf","Transcript Link")</f>
        <v>Transcript Link</v>
      </c>
      <c r="M994" s="2" t="str">
        <f>HYPERLINK("https://files.afu.se/Downloads/Transcripts/0%20-%20Government/USA%20-%20NASA/2018 01 04 - NASA - GOES-16 Satellite Tracks East Coast Storm__F1wS-fcx6M - transcript (automated).pdf","Transcript Link")</f>
        <v>Transcript Link</v>
      </c>
    </row>
    <row r="995" ht="390" spans="1:13">
      <c r="A995" s="1" t="s">
        <v>4756</v>
      </c>
      <c r="B995" s="1" t="s">
        <v>13</v>
      </c>
      <c r="C995" s="4" t="s">
        <v>4757</v>
      </c>
      <c r="D995" s="1" t="s">
        <v>4758</v>
      </c>
      <c r="E995" s="1" t="s">
        <v>4759</v>
      </c>
      <c r="F995" s="4" t="s">
        <v>17</v>
      </c>
      <c r="G995" s="1" t="s">
        <v>18</v>
      </c>
      <c r="H995" s="1" t="s">
        <v>19</v>
      </c>
      <c r="I995" s="1" t="s">
        <v>20</v>
      </c>
      <c r="J995" s="1" t="s">
        <v>4760</v>
      </c>
      <c r="K995" s="1" t="s">
        <v>22</v>
      </c>
      <c r="L995" s="1" t="str">
        <f>HYPERLINK("https://files.afu.se/Downloads/Transcripts/0%20-%20Government/USA%20-%20NASA/2017 12 29 - NASA - Moon Phases 2018 - Northern Hemisphere - 4K_HCBZ8I2yC1w - transcript (automated).pdf","Transcript Link")</f>
        <v>Transcript Link</v>
      </c>
      <c r="M995" s="2" t="str">
        <f>HYPERLINK("https://files.afu.se/Downloads/Transcripts/0%20-%20Government/USA%20-%20NASA/2017 12 29 - NASA - Moon Phases 2018 - Northern Hemisphere - 4K_HCBZ8I2yC1w - transcript (automated).pdf","Transcript Link")</f>
        <v>Transcript Link</v>
      </c>
    </row>
    <row r="996" ht="409.5" spans="1:13">
      <c r="A996" s="1" t="s">
        <v>4761</v>
      </c>
      <c r="B996" s="1" t="s">
        <v>13</v>
      </c>
      <c r="C996" s="4" t="s">
        <v>4762</v>
      </c>
      <c r="D996" s="1" t="s">
        <v>4763</v>
      </c>
      <c r="E996" s="1" t="s">
        <v>4764</v>
      </c>
      <c r="F996" s="4" t="s">
        <v>17</v>
      </c>
      <c r="G996" s="1" t="s">
        <v>18</v>
      </c>
      <c r="H996" s="1" t="s">
        <v>19</v>
      </c>
      <c r="I996" s="1" t="s">
        <v>20</v>
      </c>
      <c r="J996" s="1" t="s">
        <v>4765</v>
      </c>
      <c r="K996" s="1" t="s">
        <v>22</v>
      </c>
      <c r="L996" s="1" t="str">
        <f>HYPERLINK("https://files.afu.se/Downloads/Transcripts/0%20-%20Government/USA%20-%20NASA/2017 12 28 - NASA - Most Liked NASA Instagram Images of 2017_0xs7b1Sp_ac - transcript (automated).pdf","Transcript Link")</f>
        <v>Transcript Link</v>
      </c>
      <c r="M996" s="2" t="str">
        <f>HYPERLINK("https://files.afu.se/Downloads/Transcripts/0%20-%20Government/USA%20-%20NASA/2017 12 28 - NASA - Most Liked NASA Instagram Images of 2017_0xs7b1Sp_ac - transcript (automated).pdf","Transcript Link")</f>
        <v>Transcript Link</v>
      </c>
    </row>
    <row r="997" ht="195" spans="1:13">
      <c r="A997" s="1" t="s">
        <v>4766</v>
      </c>
      <c r="B997" s="1" t="s">
        <v>13</v>
      </c>
      <c r="C997" s="4" t="s">
        <v>4767</v>
      </c>
      <c r="D997" s="1" t="s">
        <v>4768</v>
      </c>
      <c r="E997" s="1" t="s">
        <v>4769</v>
      </c>
      <c r="F997" s="4" t="s">
        <v>17</v>
      </c>
      <c r="G997" s="1" t="s">
        <v>18</v>
      </c>
      <c r="H997" s="1" t="s">
        <v>19</v>
      </c>
      <c r="I997" s="1" t="s">
        <v>20</v>
      </c>
      <c r="J997" s="1" t="s">
        <v>4770</v>
      </c>
      <c r="K997" s="1" t="s">
        <v>22</v>
      </c>
      <c r="L997" s="1" t="str">
        <f>HYPERLINK("https://files.afu.se/Downloads/Transcripts/0%20-%20Government/USA%20-%20NASA/2017 12 27 - NASA - Top 17 Earth From Space Images of 2017 in 4K_NqWwhY_8j0I - transcript (automated).pdf","Transcript Link")</f>
        <v>Transcript Link</v>
      </c>
      <c r="M997" s="2" t="str">
        <f>HYPERLINK("https://files.afu.se/Downloads/Transcripts/0%20-%20Government/USA%20-%20NASA/2017 12 27 - NASA - Top 17 Earth From Space Images of 2017 in 4K_NqWwhY_8j0I - transcript (automated).pdf","Transcript Link")</f>
        <v>Transcript Link</v>
      </c>
    </row>
    <row r="998" ht="195" spans="1:13">
      <c r="A998" s="1" t="s">
        <v>4771</v>
      </c>
      <c r="B998" s="1" t="s">
        <v>13</v>
      </c>
      <c r="C998" s="4" t="s">
        <v>4772</v>
      </c>
      <c r="D998" s="1" t="s">
        <v>4773</v>
      </c>
      <c r="E998" s="1" t="s">
        <v>4774</v>
      </c>
      <c r="F998" s="4" t="s">
        <v>17</v>
      </c>
      <c r="G998" s="1" t="s">
        <v>18</v>
      </c>
      <c r="H998" s="1" t="s">
        <v>19</v>
      </c>
      <c r="I998" s="1" t="s">
        <v>20</v>
      </c>
      <c r="J998" s="1" t="s">
        <v>4775</v>
      </c>
      <c r="K998" s="1" t="s">
        <v>22</v>
      </c>
      <c r="L998" s="1" t="str">
        <f>HYPERLINK("https://files.afu.se/Downloads/Transcripts/0%20-%20Government/USA%20-%20NASA/2017 12 19 - NASA - NASA's 2018 To Do List_CxguTV-xwiI - transcript (automated).pdf","Transcript Link")</f>
        <v>Transcript Link</v>
      </c>
      <c r="M998" s="2" t="str">
        <f>HYPERLINK("https://files.afu.se/Downloads/Transcripts/0%20-%20Government/USA%20-%20NASA/2017 12 19 - NASA - NASA's 2018 To Do List_CxguTV-xwiI - transcript (automated).pdf","Transcript Link")</f>
        <v>Transcript Link</v>
      </c>
    </row>
    <row r="999" ht="165" spans="1:13">
      <c r="A999" s="1" t="s">
        <v>4776</v>
      </c>
      <c r="B999" s="1" t="s">
        <v>13</v>
      </c>
      <c r="C999" s="4" t="s">
        <v>4777</v>
      </c>
      <c r="D999" s="1" t="s">
        <v>4778</v>
      </c>
      <c r="E999" s="1" t="s">
        <v>4779</v>
      </c>
      <c r="F999" s="4" t="s">
        <v>17</v>
      </c>
      <c r="G999" s="1" t="s">
        <v>18</v>
      </c>
      <c r="H999" s="1" t="s">
        <v>19</v>
      </c>
      <c r="I999" s="1" t="s">
        <v>20</v>
      </c>
      <c r="J999" s="1" t="s">
        <v>4780</v>
      </c>
      <c r="K999" s="1" t="s">
        <v>22</v>
      </c>
      <c r="L999" s="1" t="str">
        <f>HYPERLINK("https://files.afu.se/Downloads/Transcripts/0%20-%20Government/USA%20-%20NASA/2017 12 15 - NASA - Liftoff! SpaceX Cargo Mission Heads to the International Space Station_RZTnYRA9y9A - transcript (automated).pdf","Transcript Link")</f>
        <v>Transcript Link</v>
      </c>
      <c r="M999" s="2" t="str">
        <f>HYPERLINK("https://files.afu.se/Downloads/Transcripts/0%20-%20Government/USA%20-%20NASA/2017 12 15 - NASA - Liftoff! SpaceX Cargo Mission Heads to the International Space Station_RZTnYRA9y9A - transcript (automated).pdf","Transcript Link")</f>
        <v>Transcript Link</v>
      </c>
    </row>
    <row r="1000" ht="165" spans="1:13">
      <c r="A1000" s="1" t="s">
        <v>4776</v>
      </c>
      <c r="B1000" s="1" t="s">
        <v>13</v>
      </c>
      <c r="C1000" s="4" t="s">
        <v>4781</v>
      </c>
      <c r="D1000" s="1" t="s">
        <v>4782</v>
      </c>
      <c r="E1000" s="1" t="s">
        <v>4783</v>
      </c>
      <c r="F1000" s="4" t="s">
        <v>17</v>
      </c>
      <c r="G1000" s="1" t="s">
        <v>18</v>
      </c>
      <c r="H1000" s="1" t="s">
        <v>19</v>
      </c>
      <c r="I1000" s="1" t="s">
        <v>20</v>
      </c>
      <c r="J1000" s="1" t="s">
        <v>4784</v>
      </c>
      <c r="K1000" s="1" t="s">
        <v>22</v>
      </c>
      <c r="L1000" s="1" t="str">
        <f>HYPERLINK("https://files.afu.se/Downloads/Transcripts/0%20-%20Government/USA%20-%20NASA/2017 12 15 - NASA - What's on Board the Next SpaceX Cargo Mission to the Space Station _UUPoFt72wmY - transcript (automated).pdf","Transcript Link")</f>
        <v>Transcript Link</v>
      </c>
      <c r="M1000" s="2" t="str">
        <f>HYPERLINK("https://files.afu.se/Downloads/Transcripts/0%20-%20Government/USA%20-%20NASA/2017 12 15 - NASA - What's on Board the Next SpaceX Cargo Mission to the Space Station _UUPoFt72wmY - transcript (automated).pdf","Transcript Link")</f>
        <v>Transcript Link</v>
      </c>
    </row>
    <row r="1001" ht="409.5" spans="1:13">
      <c r="A1001" s="1" t="s">
        <v>4785</v>
      </c>
      <c r="B1001" s="1" t="s">
        <v>13</v>
      </c>
      <c r="C1001" s="4" t="s">
        <v>4786</v>
      </c>
      <c r="D1001" s="1" t="s">
        <v>4787</v>
      </c>
      <c r="E1001" s="1" t="s">
        <v>4788</v>
      </c>
      <c r="F1001" s="4" t="s">
        <v>17</v>
      </c>
      <c r="G1001" s="1" t="s">
        <v>18</v>
      </c>
      <c r="H1001" s="1" t="s">
        <v>19</v>
      </c>
      <c r="I1001" s="1" t="s">
        <v>20</v>
      </c>
      <c r="J1001" s="1" t="s">
        <v>4789</v>
      </c>
      <c r="K1001" s="1" t="s">
        <v>22</v>
      </c>
      <c r="L1001" s="1" t="str">
        <f>HYPERLINK("https://files.afu.se/Downloads/Transcripts/0%20-%20Government/USA%20-%20NASA/2017 12 14 - NASA - Artificial Intelligence and NASA Data Used to Discover Eighth Planet Circling Distant Star_0uzv-tEa7SI - transcript (automated).pdf","Transcript Link")</f>
        <v>Transcript Link</v>
      </c>
      <c r="M1001" s="2" t="str">
        <f>HYPERLINK("https://files.afu.se/Downloads/Transcripts/0%20-%20Government/USA%20-%20NASA/2017 12 14 - NASA - Artificial Intelligence and NASA Data Used to Discover Eighth Planet Circling Distant Star_0uzv-tEa7SI - transcript (automated).pdf","Transcript Link")</f>
        <v>Transcript Link</v>
      </c>
    </row>
    <row r="1002" ht="165" spans="1:13">
      <c r="A1002" s="1" t="s">
        <v>4790</v>
      </c>
      <c r="B1002" s="1" t="s">
        <v>13</v>
      </c>
      <c r="C1002" s="4" t="s">
        <v>4791</v>
      </c>
      <c r="D1002" s="1" t="s">
        <v>4792</v>
      </c>
      <c r="E1002" s="1" t="s">
        <v>4793</v>
      </c>
      <c r="F1002" s="4" t="s">
        <v>17</v>
      </c>
      <c r="G1002" s="1" t="s">
        <v>18</v>
      </c>
      <c r="H1002" s="1" t="s">
        <v>19</v>
      </c>
      <c r="I1002" s="1" t="s">
        <v>20</v>
      </c>
      <c r="J1002" s="1" t="s">
        <v>4794</v>
      </c>
      <c r="K1002" s="1" t="s">
        <v>22</v>
      </c>
      <c r="L1002" s="1" t="str">
        <f>HYPERLINK("https://files.afu.se/Downloads/Transcripts/0%20-%20Government/USA%20-%20NASA/2017 12 13 - NASA - New Findings From NASA's Dawn Mission at Dwarf Planet Ceres_PRgpuvjV_Vs - transcript (automated).pdf","Transcript Link")</f>
        <v>Transcript Link</v>
      </c>
      <c r="M1002" s="2" t="str">
        <f>HYPERLINK("https://files.afu.se/Downloads/Transcripts/0%20-%20Government/USA%20-%20NASA/2017 12 13 - NASA - New Findings From NASA's Dawn Mission at Dwarf Planet Ceres_PRgpuvjV_Vs - transcript (automated).pdf","Transcript Link")</f>
        <v>Transcript Link</v>
      </c>
    </row>
    <row r="1003" ht="165" spans="1:13">
      <c r="A1003" s="1" t="s">
        <v>4795</v>
      </c>
      <c r="B1003" s="1" t="s">
        <v>13</v>
      </c>
      <c r="C1003" s="4" t="s">
        <v>4796</v>
      </c>
      <c r="D1003" s="1" t="s">
        <v>4797</v>
      </c>
      <c r="E1003" s="1" t="s">
        <v>4798</v>
      </c>
      <c r="F1003" s="4" t="s">
        <v>17</v>
      </c>
      <c r="G1003" s="1" t="s">
        <v>18</v>
      </c>
      <c r="H1003" s="1" t="s">
        <v>19</v>
      </c>
      <c r="I1003" s="1" t="s">
        <v>20</v>
      </c>
      <c r="J1003" s="1" t="s">
        <v>4799</v>
      </c>
      <c r="K1003" s="1" t="s">
        <v>22</v>
      </c>
      <c r="L1003" s="1" t="str">
        <f>HYPERLINK("https://files.afu.se/Downloads/Transcripts/0%20-%20Government/USA%20-%20NASA/2017 12 12 - NASA - 2017 - The Year @NASA (Update)_H9-uzsKHEIw - transcript (automated).pdf","Transcript Link")</f>
        <v>Transcript Link</v>
      </c>
      <c r="M1003" s="2" t="str">
        <f>HYPERLINK("https://files.afu.se/Downloads/Transcripts/0%20-%20Government/USA%20-%20NASA/2017 12 12 - NASA - 2017 - The Year @NASA (Update)_H9-uzsKHEIw - transcript (automated).pdf","Transcript Link")</f>
        <v>Transcript Link</v>
      </c>
    </row>
    <row r="1004" ht="165" spans="1:13">
      <c r="A1004" s="1" t="s">
        <v>4800</v>
      </c>
      <c r="B1004" s="1" t="s">
        <v>13</v>
      </c>
      <c r="C1004" s="4" t="s">
        <v>4801</v>
      </c>
      <c r="D1004" s="1" t="s">
        <v>4802</v>
      </c>
      <c r="E1004" s="1" t="s">
        <v>4803</v>
      </c>
      <c r="F1004" s="4" t="s">
        <v>17</v>
      </c>
      <c r="G1004" s="1" t="s">
        <v>18</v>
      </c>
      <c r="H1004" s="1" t="s">
        <v>19</v>
      </c>
      <c r="I1004" s="1" t="s">
        <v>20</v>
      </c>
      <c r="J1004" s="1" t="s">
        <v>4804</v>
      </c>
      <c r="K1004" s="1" t="s">
        <v>22</v>
      </c>
      <c r="L1004" s="1" t="str">
        <f>HYPERLINK("https://files.afu.se/Downloads/Transcripts/0%20-%20Government/USA%20-%20NASA/2017 12 11 - NASA - New Policy Directs NASA to Return Astronauts to Moon_YzKxUM_RJsE - transcript (automated).pdf","Transcript Link")</f>
        <v>Transcript Link</v>
      </c>
      <c r="M1004" s="2" t="str">
        <f>HYPERLINK("https://files.afu.se/Downloads/Transcripts/0%20-%20Government/USA%20-%20NASA/2017 12 11 - NASA - New Policy Directs NASA to Return Astronauts to Moon_YzKxUM_RJsE - transcript (automated).pdf","Transcript Link")</f>
        <v>Transcript Link</v>
      </c>
    </row>
    <row r="1005" ht="255" spans="1:13">
      <c r="A1005" s="1" t="s">
        <v>4800</v>
      </c>
      <c r="B1005" s="1" t="s">
        <v>13</v>
      </c>
      <c r="C1005" s="4" t="s">
        <v>4805</v>
      </c>
      <c r="D1005" s="1" t="s">
        <v>4806</v>
      </c>
      <c r="E1005" s="1" t="s">
        <v>4807</v>
      </c>
      <c r="F1005" s="4" t="s">
        <v>17</v>
      </c>
      <c r="G1005" s="1" t="s">
        <v>18</v>
      </c>
      <c r="H1005" s="1" t="s">
        <v>19</v>
      </c>
      <c r="I1005" s="1" t="s">
        <v>20</v>
      </c>
      <c r="J1005" s="1" t="s">
        <v>4808</v>
      </c>
      <c r="K1005" s="1" t="s">
        <v>22</v>
      </c>
      <c r="L1005" s="1" t="str">
        <f>HYPERLINK("https://files.afu.se/Downloads/Transcripts/0%20-%20Government/USA%20-%20NASA/2017 12 11 - NASA - Fly into the Great Red Spot of Jupiter with NASA’s Juno Mission_uj3Lq7Gu94Y - transcript (automated).pdf","Transcript Link")</f>
        <v>Transcript Link</v>
      </c>
      <c r="M1005" s="2" t="str">
        <f>HYPERLINK("https://files.afu.se/Downloads/Transcripts/0%20-%20Government/USA%20-%20NASA/2017 12 11 - NASA - Fly into the Great Red Spot of Jupiter with NASA’s Juno Mission_uj3Lq7Gu94Y - transcript (automated).pdf","Transcript Link")</f>
        <v>Transcript Link</v>
      </c>
    </row>
    <row r="1006" ht="165" spans="1:13">
      <c r="A1006" s="1" t="s">
        <v>4809</v>
      </c>
      <c r="B1006" s="1" t="s">
        <v>13</v>
      </c>
      <c r="C1006" s="4" t="s">
        <v>4810</v>
      </c>
      <c r="D1006" s="1" t="s">
        <v>4811</v>
      </c>
      <c r="E1006" s="1" t="s">
        <v>4812</v>
      </c>
      <c r="F1006" s="4" t="s">
        <v>17</v>
      </c>
      <c r="G1006" s="1" t="s">
        <v>18</v>
      </c>
      <c r="H1006" s="1" t="s">
        <v>19</v>
      </c>
      <c r="I1006" s="1" t="s">
        <v>20</v>
      </c>
      <c r="J1006" s="1" t="s">
        <v>4813</v>
      </c>
      <c r="K1006" s="1" t="s">
        <v>22</v>
      </c>
      <c r="L1006" s="1" t="str">
        <f>HYPERLINK("https://files.afu.se/Downloads/Transcripts/0%20-%20Government/USA%20-%20NASA/2017 12 08 - NASA - Don't Miss the Geminid Meteor Shower, Peaking on Dec. 13_1Or_6O4hutc - transcript (automated).pdf","Transcript Link")</f>
        <v>Transcript Link</v>
      </c>
      <c r="M1006" s="2" t="str">
        <f>HYPERLINK("https://files.afu.se/Downloads/Transcripts/0%20-%20Government/USA%20-%20NASA/2017 12 08 - NASA - Don't Miss the Geminid Meteor Shower, Peaking on Dec. 13_1Or_6O4hutc - transcript (automated).pdf","Transcript Link")</f>
        <v>Transcript Link</v>
      </c>
    </row>
    <row r="1007" ht="285" spans="1:13">
      <c r="A1007" s="1" t="s">
        <v>4814</v>
      </c>
      <c r="B1007" s="1" t="s">
        <v>13</v>
      </c>
      <c r="C1007" s="4" t="s">
        <v>4815</v>
      </c>
      <c r="D1007" s="1" t="s">
        <v>4816</v>
      </c>
      <c r="E1007" s="1" t="s">
        <v>4817</v>
      </c>
      <c r="F1007" s="4" t="s">
        <v>17</v>
      </c>
      <c r="G1007" s="1" t="s">
        <v>18</v>
      </c>
      <c r="H1007" s="1" t="s">
        <v>19</v>
      </c>
      <c r="I1007" s="1" t="s">
        <v>20</v>
      </c>
      <c r="J1007" s="1" t="s">
        <v>4818</v>
      </c>
      <c r="K1007" s="1" t="s">
        <v>22</v>
      </c>
      <c r="L1007" s="1" t="str">
        <f>HYPERLINK("https://files.afu.se/Downloads/Transcripts/0%20-%20Government/USA%20-%20NASA/2017 12 06 - NASA - Space Station's Expandable Habitat Gets Extended Mission_tVyhB_yaa70 - transcript (automated).pdf","Transcript Link")</f>
        <v>Transcript Link</v>
      </c>
      <c r="M1007" s="2" t="str">
        <f>HYPERLINK("https://files.afu.se/Downloads/Transcripts/0%20-%20Government/USA%20-%20NASA/2017 12 06 - NASA - Space Station's Expandable Habitat Gets Extended Mission_tVyhB_yaa70 - transcript (automated).pdf","Transcript Link")</f>
        <v>Transcript Link</v>
      </c>
    </row>
    <row r="1008" ht="300" spans="1:13">
      <c r="A1008" s="1" t="s">
        <v>4819</v>
      </c>
      <c r="B1008" s="1" t="s">
        <v>13</v>
      </c>
      <c r="C1008" s="4" t="s">
        <v>4820</v>
      </c>
      <c r="D1008" s="1" t="s">
        <v>4821</v>
      </c>
      <c r="E1008" s="1" t="s">
        <v>4822</v>
      </c>
      <c r="F1008" s="4" t="s">
        <v>17</v>
      </c>
      <c r="G1008" s="1" t="s">
        <v>18</v>
      </c>
      <c r="H1008" s="1" t="s">
        <v>19</v>
      </c>
      <c r="I1008" s="1" t="s">
        <v>20</v>
      </c>
      <c r="J1008" s="1" t="s">
        <v>4823</v>
      </c>
      <c r="K1008" s="1" t="s">
        <v>22</v>
      </c>
      <c r="L1008" s="1" t="str">
        <f>HYPERLINK("https://files.afu.se/Downloads/Transcripts/0%20-%20Government/USA%20-%20NASA/2017 12 04 - NASA - Pizza Night on the Space Station!_UVGgrLqsAzw - transcript (automated).pdf","Transcript Link")</f>
        <v>Transcript Link</v>
      </c>
      <c r="M1008" s="2" t="str">
        <f>HYPERLINK("https://files.afu.se/Downloads/Transcripts/0%20-%20Government/USA%20-%20NASA/2017 12 04 - NASA - Pizza Night on the Space Station!_UVGgrLqsAzw - transcript (automated).pdf","Transcript Link")</f>
        <v>Transcript Link</v>
      </c>
    </row>
    <row r="1009" ht="195" spans="1:13">
      <c r="A1009" s="1" t="s">
        <v>4824</v>
      </c>
      <c r="B1009" s="1" t="s">
        <v>13</v>
      </c>
      <c r="C1009" s="4" t="s">
        <v>4825</v>
      </c>
      <c r="D1009" s="1" t="s">
        <v>4826</v>
      </c>
      <c r="E1009" s="1" t="s">
        <v>4827</v>
      </c>
      <c r="F1009" s="4" t="s">
        <v>17</v>
      </c>
      <c r="G1009" s="1" t="s">
        <v>18</v>
      </c>
      <c r="H1009" s="1" t="s">
        <v>19</v>
      </c>
      <c r="I1009" s="1" t="s">
        <v>20</v>
      </c>
      <c r="J1009" s="1" t="s">
        <v>4828</v>
      </c>
      <c r="K1009" s="1" t="s">
        <v>22</v>
      </c>
      <c r="L1009" s="1" t="str">
        <f>HYPERLINK("https://files.afu.se/Downloads/Transcripts/0%20-%20Government/USA%20-%20NASA/2017 12 01 - NASA - The Joe Show on Third Rock Radio_odJq1g-nGj0 - transcript (automated).pdf","Transcript Link")</f>
        <v>Transcript Link</v>
      </c>
      <c r="M1009" s="2" t="str">
        <f>HYPERLINK("https://files.afu.se/Downloads/Transcripts/0%20-%20Government/USA%20-%20NASA/2017 12 01 - NASA - The Joe Show on Third Rock Radio_odJq1g-nGj0 - transcript (automated).pdf","Transcript Link")</f>
        <v>Transcript Link</v>
      </c>
    </row>
    <row r="1010" ht="270" spans="1:13">
      <c r="A1010" s="1" t="s">
        <v>4824</v>
      </c>
      <c r="B1010" s="1" t="s">
        <v>13</v>
      </c>
      <c r="C1010" s="4" t="s">
        <v>4829</v>
      </c>
      <c r="D1010" s="1" t="s">
        <v>4830</v>
      </c>
      <c r="E1010" s="1" t="s">
        <v>4831</v>
      </c>
      <c r="F1010" s="4" t="s">
        <v>17</v>
      </c>
      <c r="G1010" s="1" t="s">
        <v>18</v>
      </c>
      <c r="H1010" s="1" t="s">
        <v>19</v>
      </c>
      <c r="I1010" s="1" t="s">
        <v>20</v>
      </c>
      <c r="J1010" s="1" t="s">
        <v>4832</v>
      </c>
      <c r="K1010" s="1" t="s">
        <v>22</v>
      </c>
      <c r="L1010" s="1" t="str">
        <f>HYPERLINK("https://files.afu.se/Downloads/Transcripts/0%20-%20Government/USA%20-%20NASA/2017 12 01 - NASA - James Webb Space Telescope Out of Chamber “A” on This Week @NASA – December 1, 2017_O-woH3u7hJk - transcript (automated).pdf","Transcript Link")</f>
        <v>Transcript Link</v>
      </c>
      <c r="M1010" s="2" t="str">
        <f>HYPERLINK("https://files.afu.se/Downloads/Transcripts/0%20-%20Government/USA%20-%20NASA/2017 12 01 - NASA - James Webb Space Telescope Out of Chamber “A” on This Week @NASA – December 1, 2017_O-woH3u7hJk - transcript (automated).pdf","Transcript Link")</f>
        <v>Transcript Link</v>
      </c>
    </row>
    <row r="1011" ht="165" spans="1:13">
      <c r="A1011" s="1" t="s">
        <v>4824</v>
      </c>
      <c r="B1011" s="1" t="s">
        <v>13</v>
      </c>
      <c r="C1011" s="4" t="s">
        <v>4833</v>
      </c>
      <c r="D1011" s="1" t="s">
        <v>4834</v>
      </c>
      <c r="E1011" s="1" t="s">
        <v>4835</v>
      </c>
      <c r="F1011" s="4" t="s">
        <v>17</v>
      </c>
      <c r="G1011" s="1" t="s">
        <v>18</v>
      </c>
      <c r="H1011" s="1" t="s">
        <v>19</v>
      </c>
      <c r="I1011" s="1" t="s">
        <v>20</v>
      </c>
      <c r="J1011" s="1" t="s">
        <v>4836</v>
      </c>
      <c r="K1011" s="1" t="s">
        <v>22</v>
      </c>
      <c r="L1011" s="1" t="str">
        <f>HYPERLINK("https://files.afu.se/Downloads/Transcripts/0%20-%20Government/USA%20-%20NASA/2017 12 01 - NASA - ScienceCasts  A Supermoon Trilogy_A4v5YgC9vkE - transcript (automated).pdf","Transcript Link")</f>
        <v>Transcript Link</v>
      </c>
      <c r="M1011" s="2" t="str">
        <f>HYPERLINK("https://files.afu.se/Downloads/Transcripts/0%20-%20Government/USA%20-%20NASA/2017 12 01 - NASA - ScienceCasts  A Supermoon Trilogy_A4v5YgC9vkE - transcript (automated).pdf","Transcript Link")</f>
        <v>Transcript Link</v>
      </c>
    </row>
    <row r="1012" ht="240" spans="1:13">
      <c r="A1012" s="1" t="s">
        <v>4837</v>
      </c>
      <c r="B1012" s="1" t="s">
        <v>13</v>
      </c>
      <c r="C1012" s="4" t="s">
        <v>4838</v>
      </c>
      <c r="D1012" s="1" t="s">
        <v>4839</v>
      </c>
      <c r="E1012" s="1" t="s">
        <v>4840</v>
      </c>
      <c r="F1012" s="4" t="s">
        <v>17</v>
      </c>
      <c r="G1012" s="1" t="s">
        <v>18</v>
      </c>
      <c r="H1012" s="1" t="s">
        <v>19</v>
      </c>
      <c r="I1012" s="1" t="s">
        <v>20</v>
      </c>
      <c r="J1012" s="1" t="s">
        <v>4841</v>
      </c>
      <c r="K1012" s="1" t="s">
        <v>22</v>
      </c>
      <c r="L1012" s="1" t="str">
        <f>HYPERLINK("https://files.afu.se/Downloads/Transcripts/0%20-%20Government/USA%20-%20NASA/2017 11 29 - NASA - ESA Astronaut Discusses Life in Space with Aspiring Students_LZOKYqEiyiw - transcript (automated).pdf","Transcript Link")</f>
        <v>Transcript Link</v>
      </c>
      <c r="M1012" s="2" t="str">
        <f>HYPERLINK("https://files.afu.se/Downloads/Transcripts/0%20-%20Government/USA%20-%20NASA/2017 11 29 - NASA - ESA Astronaut Discusses Life in Space with Aspiring Students_LZOKYqEiyiw - transcript (automated).pdf","Transcript Link")</f>
        <v>Transcript Link</v>
      </c>
    </row>
    <row r="1013" ht="210" spans="1:13">
      <c r="A1013" s="1" t="s">
        <v>4842</v>
      </c>
      <c r="B1013" s="1" t="s">
        <v>13</v>
      </c>
      <c r="C1013" s="4" t="s">
        <v>4843</v>
      </c>
      <c r="D1013" s="1" t="s">
        <v>4844</v>
      </c>
      <c r="E1013" s="1" t="s">
        <v>4845</v>
      </c>
      <c r="F1013" s="4" t="s">
        <v>17</v>
      </c>
      <c r="G1013" s="1" t="s">
        <v>18</v>
      </c>
      <c r="H1013" s="1" t="s">
        <v>19</v>
      </c>
      <c r="I1013" s="1" t="s">
        <v>20</v>
      </c>
      <c r="J1013" s="1" t="s">
        <v>4846</v>
      </c>
      <c r="K1013" s="1" t="s">
        <v>22</v>
      </c>
      <c r="L1013" s="1" t="str">
        <f>HYPERLINK("https://files.afu.se/Downloads/Transcripts/0%20-%20Government/USA%20-%20NASA/2017 11 28 - NASA - Action Cam Footage From October 2017 Spacewalk_Wfoy_OvNDvw - transcript (automated).pdf","Transcript Link")</f>
        <v>Transcript Link</v>
      </c>
      <c r="M1013" s="2" t="str">
        <f>HYPERLINK("https://files.afu.se/Downloads/Transcripts/0%20-%20Government/USA%20-%20NASA/2017 11 28 - NASA - Action Cam Footage From October 2017 Spacewalk_Wfoy_OvNDvw - transcript (automated).pdf","Transcript Link")</f>
        <v>Transcript Link</v>
      </c>
    </row>
    <row r="1014" ht="225" spans="1:13">
      <c r="A1014" s="1" t="s">
        <v>4847</v>
      </c>
      <c r="B1014" s="1" t="s">
        <v>13</v>
      </c>
      <c r="C1014" s="4" t="s">
        <v>4848</v>
      </c>
      <c r="D1014" s="1" t="s">
        <v>4849</v>
      </c>
      <c r="E1014" s="1" t="s">
        <v>4850</v>
      </c>
      <c r="F1014" s="4" t="s">
        <v>17</v>
      </c>
      <c r="G1014" s="1" t="s">
        <v>18</v>
      </c>
      <c r="H1014" s="1" t="s">
        <v>19</v>
      </c>
      <c r="I1014" s="1" t="s">
        <v>20</v>
      </c>
      <c r="J1014" s="1" t="s">
        <v>4851</v>
      </c>
      <c r="K1014" s="1" t="s">
        <v>22</v>
      </c>
      <c r="L1014" s="1" t="str">
        <f>HYPERLINK("https://files.afu.se/Downloads/Transcripts/0%20-%20Government/USA%20-%20NASA/2017 11 27 - NASA - Space Station Crew Discusses Life in Space with West Point Cadets_l1y-EbdrHbU - transcript (automated).pdf","Transcript Link")</f>
        <v>Transcript Link</v>
      </c>
      <c r="M1014" s="2" t="str">
        <f>HYPERLINK("https://files.afu.se/Downloads/Transcripts/0%20-%20Government/USA%20-%20NASA/2017 11 27 - NASA - Space Station Crew Discusses Life in Space with West Point Cadets_l1y-EbdrHbU - transcript (automated).pdf","Transcript Link")</f>
        <v>Transcript Link</v>
      </c>
    </row>
    <row r="1015" ht="315" spans="1:13">
      <c r="A1015" s="1" t="s">
        <v>4852</v>
      </c>
      <c r="B1015" s="1" t="s">
        <v>13</v>
      </c>
      <c r="C1015" s="4" t="s">
        <v>4853</v>
      </c>
      <c r="D1015" s="1" t="s">
        <v>4854</v>
      </c>
      <c r="E1015" s="1" t="s">
        <v>4855</v>
      </c>
      <c r="F1015" s="4" t="s">
        <v>17</v>
      </c>
      <c r="G1015" s="1" t="s">
        <v>18</v>
      </c>
      <c r="H1015" s="1" t="s">
        <v>19</v>
      </c>
      <c r="I1015" s="1" t="s">
        <v>20</v>
      </c>
      <c r="J1015" s="1" t="s">
        <v>4856</v>
      </c>
      <c r="K1015" s="1" t="s">
        <v>22</v>
      </c>
      <c r="L1015" s="1" t="str">
        <f>HYPERLINK("https://files.afu.se/Downloads/Transcripts/0%20-%20Government/USA%20-%20NASA/2017 11 24 - NASA - New Details about Interstellar Visitor on This Week @NASA – November 24, 2017_iAwbmjcGMZk - transcript (automated).pdf","Transcript Link")</f>
        <v>Transcript Link</v>
      </c>
      <c r="M1015" s="2" t="str">
        <f>HYPERLINK("https://files.afu.se/Downloads/Transcripts/0%20-%20Government/USA%20-%20NASA/2017 11 24 - NASA - New Details about Interstellar Visitor on This Week @NASA – November 24, 2017_iAwbmjcGMZk - transcript (automated).pdf","Transcript Link")</f>
        <v>Transcript Link</v>
      </c>
    </row>
    <row r="1016" ht="240" spans="1:13">
      <c r="A1016" s="1" t="s">
        <v>4857</v>
      </c>
      <c r="B1016" s="1" t="s">
        <v>13</v>
      </c>
      <c r="C1016" s="4" t="s">
        <v>4858</v>
      </c>
      <c r="D1016" s="1" t="s">
        <v>4859</v>
      </c>
      <c r="E1016" s="1" t="s">
        <v>4860</v>
      </c>
      <c r="F1016" s="4" t="s">
        <v>17</v>
      </c>
      <c r="G1016" s="1" t="s">
        <v>18</v>
      </c>
      <c r="H1016" s="1" t="s">
        <v>19</v>
      </c>
      <c r="I1016" s="1" t="s">
        <v>20</v>
      </c>
      <c r="J1016" s="1" t="s">
        <v>4861</v>
      </c>
      <c r="K1016" s="1" t="s">
        <v>22</v>
      </c>
      <c r="L1016" s="1" t="str">
        <f>HYPERLINK("https://files.afu.se/Downloads/Transcripts/0%20-%20Government/USA%20-%20NASA/2017 11 22 - NASA - Space Station Crew Members Discuss Life in Space with Military Media_BwkC8QVfQLY - transcript (automated).pdf","Transcript Link")</f>
        <v>Transcript Link</v>
      </c>
      <c r="M1016" s="2" t="str">
        <f>HYPERLINK("https://files.afu.se/Downloads/Transcripts/0%20-%20Government/USA%20-%20NASA/2017 11 22 - NASA - Space Station Crew Members Discuss Life in Space with Military Media_BwkC8QVfQLY - transcript (automated).pdf","Transcript Link")</f>
        <v>Transcript Link</v>
      </c>
    </row>
    <row r="1017" ht="165" spans="1:13">
      <c r="A1017" s="1" t="s">
        <v>4862</v>
      </c>
      <c r="B1017" s="1" t="s">
        <v>13</v>
      </c>
      <c r="C1017" s="4" t="s">
        <v>4863</v>
      </c>
      <c r="D1017" s="1" t="s">
        <v>4864</v>
      </c>
      <c r="E1017" s="1" t="s">
        <v>4865</v>
      </c>
      <c r="F1017" s="4" t="s">
        <v>17</v>
      </c>
      <c r="G1017" s="1" t="s">
        <v>18</v>
      </c>
      <c r="H1017" s="1" t="s">
        <v>19</v>
      </c>
      <c r="I1017" s="1" t="s">
        <v>20</v>
      </c>
      <c r="J1017" s="1" t="s">
        <v>4866</v>
      </c>
      <c r="K1017" s="1" t="s">
        <v>22</v>
      </c>
      <c r="L1017" s="1" t="str">
        <f>HYPERLINK("https://files.afu.se/Downloads/Transcripts/0%20-%20Government/USA%20-%20NASA/2017 11 20 - NASA - Astronauts Discuss Life in Space with Tennessee Students_zjW2pfltx5U - transcript (automated).pdf","Transcript Link")</f>
        <v>Transcript Link</v>
      </c>
      <c r="M1017" s="2" t="str">
        <f>HYPERLINK("https://files.afu.se/Downloads/Transcripts/0%20-%20Government/USA%20-%20NASA/2017 11 20 - NASA - Astronauts Discuss Life in Space with Tennessee Students_zjW2pfltx5U - transcript (automated).pdf","Transcript Link")</f>
        <v>Transcript Link</v>
      </c>
    </row>
    <row r="1018" ht="255" spans="1:13">
      <c r="A1018" s="1" t="s">
        <v>4867</v>
      </c>
      <c r="B1018" s="1" t="s">
        <v>13</v>
      </c>
      <c r="C1018" s="4" t="s">
        <v>4868</v>
      </c>
      <c r="D1018" s="1" t="s">
        <v>4869</v>
      </c>
      <c r="E1018" s="1" t="s">
        <v>4870</v>
      </c>
      <c r="F1018" s="4" t="s">
        <v>17</v>
      </c>
      <c r="G1018" s="1" t="s">
        <v>18</v>
      </c>
      <c r="H1018" s="1" t="s">
        <v>19</v>
      </c>
      <c r="I1018" s="1" t="s">
        <v>20</v>
      </c>
      <c r="J1018" s="1" t="s">
        <v>4871</v>
      </c>
      <c r="K1018" s="1" t="s">
        <v>22</v>
      </c>
      <c r="L1018" s="1" t="str">
        <f>HYPERLINK("https://files.afu.se/Downloads/Transcripts/0%20-%20Government/USA%20-%20NASA/2017 11 18 - NASA - NASA Launches NOAA Weather Satellite to Improve Forecasts_GJtEGtbfJ34 - transcript (automated).pdf","Transcript Link")</f>
        <v>Transcript Link</v>
      </c>
      <c r="M1018" s="2" t="str">
        <f>HYPERLINK("https://files.afu.se/Downloads/Transcripts/0%20-%20Government/USA%20-%20NASA/2017 11 18 - NASA - NASA Launches NOAA Weather Satellite to Improve Forecasts_GJtEGtbfJ34 - transcript (automated).pdf","Transcript Link")</f>
        <v>Transcript Link</v>
      </c>
    </row>
    <row r="1019" ht="255" spans="1:13">
      <c r="A1019" s="1" t="s">
        <v>4872</v>
      </c>
      <c r="B1019" s="1" t="s">
        <v>13</v>
      </c>
      <c r="C1019" s="4" t="s">
        <v>4873</v>
      </c>
      <c r="D1019" s="1" t="s">
        <v>4874</v>
      </c>
      <c r="E1019" s="1" t="s">
        <v>4875</v>
      </c>
      <c r="F1019" s="4" t="s">
        <v>17</v>
      </c>
      <c r="G1019" s="1" t="s">
        <v>18</v>
      </c>
      <c r="H1019" s="1" t="s">
        <v>19</v>
      </c>
      <c r="I1019" s="1" t="s">
        <v>20</v>
      </c>
      <c r="J1019" s="1" t="s">
        <v>4876</v>
      </c>
      <c r="K1019" s="1" t="s">
        <v>22</v>
      </c>
      <c r="L1019" s="1" t="str">
        <f>HYPERLINK("https://files.afu.se/Downloads/Transcripts/0%20-%20Government/USA%20-%20NASA/2017 11 17 - NASA - Science and Supplies Launched to Space Station on This Week @NASA – November 17, 2017_gDHUDFwUkfw - transcript (automated).pdf","Transcript Link")</f>
        <v>Transcript Link</v>
      </c>
      <c r="M1019" s="2" t="str">
        <f>HYPERLINK("https://files.afu.se/Downloads/Transcripts/0%20-%20Government/USA%20-%20NASA/2017 11 17 - NASA - Science and Supplies Launched to Space Station on This Week @NASA – November 17, 2017_gDHUDFwUkfw - transcript (automated).pdf","Transcript Link")</f>
        <v>Transcript Link</v>
      </c>
    </row>
    <row r="1020" ht="285" spans="1:13">
      <c r="A1020" s="1" t="s">
        <v>4877</v>
      </c>
      <c r="B1020" s="1" t="s">
        <v>13</v>
      </c>
      <c r="C1020" s="4" t="s">
        <v>4878</v>
      </c>
      <c r="D1020" s="1" t="s">
        <v>4879</v>
      </c>
      <c r="E1020" s="1" t="s">
        <v>4880</v>
      </c>
      <c r="F1020" s="4" t="s">
        <v>17</v>
      </c>
      <c r="G1020" s="1" t="s">
        <v>18</v>
      </c>
      <c r="H1020" s="1" t="s">
        <v>19</v>
      </c>
      <c r="I1020" s="1" t="s">
        <v>20</v>
      </c>
      <c r="J1020" s="1" t="s">
        <v>4881</v>
      </c>
      <c r="K1020" s="1" t="s">
        <v>22</v>
      </c>
      <c r="L1020" s="1" t="str">
        <f>HYPERLINK("https://files.afu.se/Downloads/Transcripts/0%20-%20Government/USA%20-%20NASA/2017 11 14 - NASA - Orbital ATK's Cygnus Rendzevous and Installation to the International Space Station_K9hQ5SqZKd0 - transcript (automated).pdf","Transcript Link")</f>
        <v>Transcript Link</v>
      </c>
      <c r="M1020" s="2" t="str">
        <f>HYPERLINK("https://files.afu.se/Downloads/Transcripts/0%20-%20Government/USA%20-%20NASA/2017 11 14 - NASA - Orbital ATK's Cygnus Rendzevous and Installation to the International Space Station_K9hQ5SqZKd0 - transcript (automated).pdf","Transcript Link")</f>
        <v>Transcript Link</v>
      </c>
    </row>
    <row r="1021" ht="165" spans="1:13">
      <c r="A1021" s="1" t="s">
        <v>4882</v>
      </c>
      <c r="B1021" s="1" t="s">
        <v>13</v>
      </c>
      <c r="C1021" s="4" t="s">
        <v>4883</v>
      </c>
      <c r="D1021" s="1" t="s">
        <v>4884</v>
      </c>
      <c r="E1021" s="1" t="s">
        <v>4885</v>
      </c>
      <c r="F1021" s="4" t="s">
        <v>17</v>
      </c>
      <c r="G1021" s="1" t="s">
        <v>18</v>
      </c>
      <c r="H1021" s="1" t="s">
        <v>19</v>
      </c>
      <c r="I1021" s="1" t="s">
        <v>20</v>
      </c>
      <c r="J1021" s="1" t="s">
        <v>4886</v>
      </c>
      <c r="K1021" s="1" t="s">
        <v>22</v>
      </c>
      <c r="L1021" s="1" t="str">
        <f>HYPERLINK("https://files.afu.se/Downloads/Transcripts/0%20-%20Government/USA%20-%20NASA/2017 11 12 - NASA - Post-Launch Status of Orbital ATK’s Mission to the International Space Station_HpE6h6sHg3Q - transcript (automated).pdf","Transcript Link")</f>
        <v>Transcript Link</v>
      </c>
      <c r="M1021" s="2" t="str">
        <f>HYPERLINK("https://files.afu.se/Downloads/Transcripts/0%20-%20Government/USA%20-%20NASA/2017 11 12 - NASA - Post-Launch Status of Orbital ATK’s Mission to the International Space Station_HpE6h6sHg3Q - transcript (automated).pdf","Transcript Link")</f>
        <v>Transcript Link</v>
      </c>
    </row>
    <row r="1022" ht="225" spans="1:13">
      <c r="A1022" s="1" t="s">
        <v>4882</v>
      </c>
      <c r="B1022" s="1" t="s">
        <v>13</v>
      </c>
      <c r="C1022" s="4" t="s">
        <v>4887</v>
      </c>
      <c r="D1022" s="1" t="s">
        <v>4888</v>
      </c>
      <c r="E1022" s="1" t="s">
        <v>4889</v>
      </c>
      <c r="F1022" s="4" t="s">
        <v>17</v>
      </c>
      <c r="G1022" s="1" t="s">
        <v>18</v>
      </c>
      <c r="H1022" s="1" t="s">
        <v>19</v>
      </c>
      <c r="I1022" s="1" t="s">
        <v>20</v>
      </c>
      <c r="J1022" s="1" t="s">
        <v>4890</v>
      </c>
      <c r="K1022" s="1" t="s">
        <v>22</v>
      </c>
      <c r="L1022" s="1" t="str">
        <f>HYPERLINK("https://files.afu.se/Downloads/Transcripts/0%20-%20Government/USA%20-%20NASA/2017 11 12 - NASA - U.S. Commercial Cargo Spaceship Heads to the International Space Station__5uhDWAR88Y - transcript (automated).pdf","Transcript Link")</f>
        <v>Transcript Link</v>
      </c>
      <c r="M1022" s="2" t="str">
        <f>HYPERLINK("https://files.afu.se/Downloads/Transcripts/0%20-%20Government/USA%20-%20NASA/2017 11 12 - NASA - U.S. Commercial Cargo Spaceship Heads to the International Space Station__5uhDWAR88Y - transcript (automated).pdf","Transcript Link")</f>
        <v>Transcript Link</v>
      </c>
    </row>
    <row r="1023" ht="165" spans="1:13">
      <c r="A1023" s="1" t="s">
        <v>4891</v>
      </c>
      <c r="B1023" s="1" t="s">
        <v>13</v>
      </c>
      <c r="C1023" s="4" t="s">
        <v>4892</v>
      </c>
      <c r="D1023" s="1" t="s">
        <v>4893</v>
      </c>
      <c r="E1023" s="1" t="s">
        <v>4894</v>
      </c>
      <c r="F1023" s="4" t="s">
        <v>17</v>
      </c>
      <c r="G1023" s="1" t="s">
        <v>18</v>
      </c>
      <c r="H1023" s="1" t="s">
        <v>19</v>
      </c>
      <c r="I1023" s="1" t="s">
        <v>20</v>
      </c>
      <c r="J1023" s="1" t="s">
        <v>4895</v>
      </c>
      <c r="K1023" s="1" t="s">
        <v>22</v>
      </c>
      <c r="L1023" s="1" t="str">
        <f>HYPERLINK("https://files.afu.se/Downloads/Transcripts/0%20-%20Government/USA%20-%20NASA/2017 11 11 - NASA - Hubble Sees Light Echo from Exploded Star on This Week @NASA – November 11, 2017_WDWLzZk3AwA - transcript (automated).pdf","Transcript Link")</f>
        <v>Transcript Link</v>
      </c>
      <c r="M1023" s="2" t="str">
        <f>HYPERLINK("https://files.afu.se/Downloads/Transcripts/0%20-%20Government/USA%20-%20NASA/2017 11 11 - NASA - Hubble Sees Light Echo from Exploded Star on This Week @NASA – November 11, 2017_WDWLzZk3AwA - transcript (automated).pdf","Transcript Link")</f>
        <v>Transcript Link</v>
      </c>
    </row>
    <row r="1024" ht="300" spans="1:13">
      <c r="A1024" s="1" t="s">
        <v>4896</v>
      </c>
      <c r="B1024" s="1" t="s">
        <v>13</v>
      </c>
      <c r="C1024" s="4" t="s">
        <v>4897</v>
      </c>
      <c r="D1024" s="1" t="s">
        <v>4898</v>
      </c>
      <c r="E1024" s="1" t="s">
        <v>4899</v>
      </c>
      <c r="F1024" s="4" t="s">
        <v>17</v>
      </c>
      <c r="G1024" s="1" t="s">
        <v>18</v>
      </c>
      <c r="H1024" s="1" t="s">
        <v>19</v>
      </c>
      <c r="I1024" s="1" t="s">
        <v>20</v>
      </c>
      <c r="J1024" s="1" t="s">
        <v>4900</v>
      </c>
      <c r="K1024" s="1" t="s">
        <v>22</v>
      </c>
      <c r="L1024" s="1" t="str">
        <f>HYPERLINK("https://files.afu.se/Downloads/Transcripts/0%20-%20Government/USA%20-%20NASA/2017 11 10 - NASA - Orbital ATK CRS-8 Prelaunch Science Briefing_I8PzQX3LVE0 - transcript (automated).pdf","Transcript Link")</f>
        <v>Transcript Link</v>
      </c>
      <c r="M1024" s="2" t="str">
        <f>HYPERLINK("https://files.afu.se/Downloads/Transcripts/0%20-%20Government/USA%20-%20NASA/2017 11 10 - NASA - Orbital ATK CRS-8 Prelaunch Science Briefing_I8PzQX3LVE0 - transcript (automated).pdf","Transcript Link")</f>
        <v>Transcript Link</v>
      </c>
    </row>
    <row r="1025" ht="225" spans="1:13">
      <c r="A1025" s="1" t="s">
        <v>4896</v>
      </c>
      <c r="B1025" s="1" t="s">
        <v>13</v>
      </c>
      <c r="C1025" s="4" t="s">
        <v>4901</v>
      </c>
      <c r="D1025" s="1" t="s">
        <v>4902</v>
      </c>
      <c r="E1025" s="1" t="s">
        <v>4903</v>
      </c>
      <c r="F1025" s="4" t="s">
        <v>17</v>
      </c>
      <c r="G1025" s="1" t="s">
        <v>18</v>
      </c>
      <c r="H1025" s="1" t="s">
        <v>19</v>
      </c>
      <c r="I1025" s="1" t="s">
        <v>20</v>
      </c>
      <c r="J1025" s="1" t="s">
        <v>4904</v>
      </c>
      <c r="K1025" s="1" t="s">
        <v>22</v>
      </c>
      <c r="L1025" s="1" t="str">
        <f>HYPERLINK("https://files.afu.se/Downloads/Transcripts/0%20-%20Government/USA%20-%20NASA/2017 11 10 - NASA - Orbital ATK CRS-8 Prelaunch Mission Status Briefing_cVPAkyWq1is - transcript (automated).pdf","Transcript Link")</f>
        <v>Transcript Link</v>
      </c>
      <c r="M1025" s="2" t="str">
        <f>HYPERLINK("https://files.afu.se/Downloads/Transcripts/0%20-%20Government/USA%20-%20NASA/2017 11 10 - NASA - Orbital ATK CRS-8 Prelaunch Mission Status Briefing_cVPAkyWq1is - transcript (automated).pdf","Transcript Link")</f>
        <v>Transcript Link</v>
      </c>
    </row>
    <row r="1026" ht="195" spans="1:13">
      <c r="A1026" s="1" t="s">
        <v>4905</v>
      </c>
      <c r="B1026" s="1" t="s">
        <v>13</v>
      </c>
      <c r="C1026" s="4" t="s">
        <v>4906</v>
      </c>
      <c r="D1026" s="1" t="s">
        <v>4907</v>
      </c>
      <c r="E1026" s="1" t="s">
        <v>4908</v>
      </c>
      <c r="F1026" s="4" t="s">
        <v>17</v>
      </c>
      <c r="G1026" s="1" t="s">
        <v>18</v>
      </c>
      <c r="H1026" s="1" t="s">
        <v>19</v>
      </c>
      <c r="I1026" s="1" t="s">
        <v>20</v>
      </c>
      <c r="J1026" s="1" t="s">
        <v>4909</v>
      </c>
      <c r="K1026" s="1" t="s">
        <v>22</v>
      </c>
      <c r="L1026" s="1" t="str">
        <f>HYPERLINK("https://files.afu.se/Downloads/Transcripts/0%20-%20Government/USA%20-%20NASA/2017 11 08 - NASA - Space Station Astronauts Discuss Life in Space with Virginia Students_SyWmz0nK9lY - transcript (automated).pdf","Transcript Link")</f>
        <v>Transcript Link</v>
      </c>
      <c r="M1026" s="2" t="str">
        <f>HYPERLINK("https://files.afu.se/Downloads/Transcripts/0%20-%20Government/USA%20-%20NASA/2017 11 08 - NASA - Space Station Astronauts Discuss Life in Space with Virginia Students_SyWmz0nK9lY - transcript (automated).pdf","Transcript Link")</f>
        <v>Transcript Link</v>
      </c>
    </row>
    <row r="1027" ht="165" spans="1:13">
      <c r="A1027" s="1" t="s">
        <v>4910</v>
      </c>
      <c r="B1027" s="1" t="s">
        <v>13</v>
      </c>
      <c r="C1027" s="4" t="s">
        <v>4911</v>
      </c>
      <c r="D1027" s="1" t="s">
        <v>4912</v>
      </c>
      <c r="E1027" s="1" t="s">
        <v>4913</v>
      </c>
      <c r="F1027" s="4" t="s">
        <v>17</v>
      </c>
      <c r="G1027" s="1" t="s">
        <v>18</v>
      </c>
      <c r="H1027" s="1" t="s">
        <v>19</v>
      </c>
      <c r="I1027" s="1" t="s">
        <v>20</v>
      </c>
      <c r="J1027" s="1" t="s">
        <v>4914</v>
      </c>
      <c r="K1027" s="1" t="s">
        <v>22</v>
      </c>
      <c r="L1027" s="1" t="str">
        <f>HYPERLINK("https://files.afu.se/Downloads/Transcripts/0%20-%20Government/USA%20-%20NASA/2017 11 06 - NASA - Space Station Crew Member Discusses Life in Space with Italian Prime Minister_lFFS5HpJXpM - transcript (automated).pdf","Transcript Link")</f>
        <v>Transcript Link</v>
      </c>
      <c r="M1027" s="2" t="str">
        <f>HYPERLINK("https://files.afu.se/Downloads/Transcripts/0%20-%20Government/USA%20-%20NASA/2017 11 06 - NASA - Space Station Crew Member Discusses Life in Space with Italian Prime Minister_lFFS5HpJXpM - transcript (automated).pdf","Transcript Link")</f>
        <v>Transcript Link</v>
      </c>
    </row>
    <row r="1028" ht="255" spans="1:13">
      <c r="A1028" s="1" t="s">
        <v>4915</v>
      </c>
      <c r="B1028" s="1" t="s">
        <v>13</v>
      </c>
      <c r="C1028" s="4" t="s">
        <v>4916</v>
      </c>
      <c r="D1028" s="1" t="s">
        <v>4917</v>
      </c>
      <c r="E1028" s="1" t="s">
        <v>4918</v>
      </c>
      <c r="F1028" s="4" t="s">
        <v>17</v>
      </c>
      <c r="G1028" s="1" t="s">
        <v>18</v>
      </c>
      <c r="H1028" s="1" t="s">
        <v>19</v>
      </c>
      <c r="I1028" s="1" t="s">
        <v>20</v>
      </c>
      <c r="J1028" s="1" t="s">
        <v>4919</v>
      </c>
      <c r="K1028" s="1" t="s">
        <v>22</v>
      </c>
      <c r="L1028" s="1" t="str">
        <f>HYPERLINK("https://files.afu.se/Downloads/Transcripts/0%20-%20Government/USA%20-%20NASA/2017 11 03 - NASA - Nomination Hearing for Bridenstine to be NASA Administrator on This Week @NASA – November 3, 2017_7M23twUDQI4 - transcript (automated).pdf","Transcript Link")</f>
        <v>Transcript Link</v>
      </c>
      <c r="M1028" s="2" t="str">
        <f>HYPERLINK("https://files.afu.se/Downloads/Transcripts/0%20-%20Government/USA%20-%20NASA/2017 11 03 - NASA - Nomination Hearing for Bridenstine to be NASA Administrator on This Week @NASA – November 3, 2017_7M23twUDQI4 - transcript (automated).pdf","Transcript Link")</f>
        <v>Transcript Link</v>
      </c>
    </row>
    <row r="1029" ht="315" spans="1:13">
      <c r="A1029" s="1" t="s">
        <v>4915</v>
      </c>
      <c r="B1029" s="1" t="s">
        <v>13</v>
      </c>
      <c r="C1029" s="4" t="s">
        <v>4920</v>
      </c>
      <c r="D1029" s="1" t="s">
        <v>4921</v>
      </c>
      <c r="E1029" s="1" t="s">
        <v>4922</v>
      </c>
      <c r="F1029" s="4" t="s">
        <v>17</v>
      </c>
      <c r="G1029" s="1" t="s">
        <v>18</v>
      </c>
      <c r="H1029" s="1" t="s">
        <v>19</v>
      </c>
      <c r="I1029" s="1" t="s">
        <v>20</v>
      </c>
      <c r="J1029" s="1" t="s">
        <v>4923</v>
      </c>
      <c r="K1029" s="1" t="s">
        <v>22</v>
      </c>
      <c r="L1029" s="1" t="str">
        <f>HYPERLINK("https://files.afu.se/Downloads/Transcripts/0%20-%20Government/USA%20-%20NASA/2017 11 03 - NASA - NASA Earth and Space Air Prize_WwIyKaz2wvs - transcript (automated).pdf","Transcript Link")</f>
        <v>Transcript Link</v>
      </c>
      <c r="M1029" s="2" t="str">
        <f>HYPERLINK("https://files.afu.se/Downloads/Transcripts/0%20-%20Government/USA%20-%20NASA/2017 11 03 - NASA - NASA Earth and Space Air Prize_WwIyKaz2wvs - transcript (automated).pdf","Transcript Link")</f>
        <v>Transcript Link</v>
      </c>
    </row>
    <row r="1030" ht="195" spans="1:13">
      <c r="A1030" s="1" t="s">
        <v>4915</v>
      </c>
      <c r="B1030" s="1" t="s">
        <v>13</v>
      </c>
      <c r="C1030" s="4" t="s">
        <v>4924</v>
      </c>
      <c r="D1030" s="1" t="s">
        <v>4925</v>
      </c>
      <c r="E1030" s="1" t="s">
        <v>4926</v>
      </c>
      <c r="F1030" s="4" t="s">
        <v>17</v>
      </c>
      <c r="G1030" s="1" t="s">
        <v>18</v>
      </c>
      <c r="H1030" s="1" t="s">
        <v>19</v>
      </c>
      <c r="I1030" s="1" t="s">
        <v>20</v>
      </c>
      <c r="J1030" s="1" t="s">
        <v>4927</v>
      </c>
      <c r="K1030" s="1" t="s">
        <v>22</v>
      </c>
      <c r="L1030" s="1" t="str">
        <f>HYPERLINK("https://files.afu.se/Downloads/Transcripts/0%20-%20Government/USA%20-%20NASA/2017 11 03 - NASA - Space Station Crew Members Discuss Life in Space with Media_QBjE2sfkfAg - transcript (automated).pdf","Transcript Link")</f>
        <v>Transcript Link</v>
      </c>
      <c r="M1030" s="2" t="str">
        <f>HYPERLINK("https://files.afu.se/Downloads/Transcripts/0%20-%20Government/USA%20-%20NASA/2017 11 03 - NASA - Space Station Crew Members Discuss Life in Space with Media_QBjE2sfkfAg - transcript (automated).pdf","Transcript Link")</f>
        <v>Transcript Link</v>
      </c>
    </row>
    <row r="1031" ht="195" spans="1:13">
      <c r="A1031" s="1" t="s">
        <v>4928</v>
      </c>
      <c r="B1031" s="1" t="s">
        <v>13</v>
      </c>
      <c r="C1031" s="4" t="s">
        <v>4929</v>
      </c>
      <c r="D1031" s="1" t="s">
        <v>4930</v>
      </c>
      <c r="E1031" s="1" t="s">
        <v>4931</v>
      </c>
      <c r="F1031" s="4" t="s">
        <v>17</v>
      </c>
      <c r="G1031" s="1" t="s">
        <v>18</v>
      </c>
      <c r="H1031" s="1" t="s">
        <v>19</v>
      </c>
      <c r="I1031" s="1" t="s">
        <v>20</v>
      </c>
      <c r="J1031" s="1" t="s">
        <v>4932</v>
      </c>
      <c r="K1031" s="1" t="s">
        <v>22</v>
      </c>
      <c r="L1031" s="1" t="str">
        <f>HYPERLINK("https://files.afu.se/Downloads/Transcripts/0%20-%20Government/USA%20-%20NASA/2017 11 02 - NASA - Space Station Crew Discusses Life in Space with Ohio Students_fahda08jNUI - transcript (automated).pdf","Transcript Link")</f>
        <v>Transcript Link</v>
      </c>
      <c r="M1031" s="2" t="str">
        <f>HYPERLINK("https://files.afu.se/Downloads/Transcripts/0%20-%20Government/USA%20-%20NASA/2017 11 02 - NASA - Space Station Crew Discusses Life in Space with Ohio Students_fahda08jNUI - transcript (automated).pdf","Transcript Link")</f>
        <v>Transcript Link</v>
      </c>
    </row>
    <row r="1032" ht="195" spans="1:13">
      <c r="A1032" s="1" t="s">
        <v>4933</v>
      </c>
      <c r="B1032" s="1" t="s">
        <v>13</v>
      </c>
      <c r="C1032" s="4" t="s">
        <v>4934</v>
      </c>
      <c r="D1032" s="1" t="s">
        <v>4935</v>
      </c>
      <c r="E1032" s="1" t="s">
        <v>4936</v>
      </c>
      <c r="F1032" s="4" t="s">
        <v>17</v>
      </c>
      <c r="G1032" s="1" t="s">
        <v>18</v>
      </c>
      <c r="H1032" s="1" t="s">
        <v>19</v>
      </c>
      <c r="I1032" s="1" t="s">
        <v>20</v>
      </c>
      <c r="J1032" s="1" t="s">
        <v>4937</v>
      </c>
      <c r="K1032" s="1" t="s">
        <v>22</v>
      </c>
      <c r="L1032" s="1" t="str">
        <f>HYPERLINK("https://files.afu.se/Downloads/Transcripts/0%20-%20Government/USA%20-%20NASA/2017 10 30 - NASA - Space Station Crew Discusses Life in Space with California Students_senTKo0imb4 - transcript (automated).pdf","Transcript Link")</f>
        <v>Transcript Link</v>
      </c>
      <c r="M1032" s="2" t="str">
        <f>HYPERLINK("https://files.afu.se/Downloads/Transcripts/0%20-%20Government/USA%20-%20NASA/2017 10 30 - NASA - Space Station Crew Discusses Life in Space with California Students_senTKo0imb4 - transcript (automated).pdf","Transcript Link")</f>
        <v>Transcript Link</v>
      </c>
    </row>
    <row r="1033" ht="195" spans="1:13">
      <c r="A1033" s="1" t="s">
        <v>4938</v>
      </c>
      <c r="B1033" s="1" t="s">
        <v>13</v>
      </c>
      <c r="C1033" s="4" t="s">
        <v>4939</v>
      </c>
      <c r="D1033" s="1" t="s">
        <v>4940</v>
      </c>
      <c r="E1033" s="1" t="s">
        <v>4941</v>
      </c>
      <c r="F1033" s="4" t="s">
        <v>17</v>
      </c>
      <c r="G1033" s="1" t="s">
        <v>18</v>
      </c>
      <c r="H1033" s="1" t="s">
        <v>19</v>
      </c>
      <c r="I1033" s="1" t="s">
        <v>20</v>
      </c>
      <c r="J1033" s="1" t="s">
        <v>4942</v>
      </c>
      <c r="K1033" s="1" t="s">
        <v>22</v>
      </c>
      <c r="L1033" s="1" t="str">
        <f>HYPERLINK("https://files.afu.se/Downloads/Transcripts/0%20-%20Government/USA%20-%20NASA/2017 10 27 - NASA - NASA’s New “Gravity Assist” Podcast Debuts Nov. 15_4qVKo4ByO6c - transcript (automated).pdf","Transcript Link")</f>
        <v>Transcript Link</v>
      </c>
      <c r="M1033" s="2" t="str">
        <f>HYPERLINK("https://files.afu.se/Downloads/Transcripts/0%20-%20Government/USA%20-%20NASA/2017 10 27 - NASA - NASA’s New “Gravity Assist” Podcast Debuts Nov. 15_4qVKo4ByO6c - transcript (automated).pdf","Transcript Link")</f>
        <v>Transcript Link</v>
      </c>
    </row>
    <row r="1034" ht="330" spans="1:13">
      <c r="A1034" s="1" t="s">
        <v>4938</v>
      </c>
      <c r="B1034" s="1" t="s">
        <v>13</v>
      </c>
      <c r="C1034" s="4" t="s">
        <v>4943</v>
      </c>
      <c r="D1034" s="1" t="s">
        <v>4944</v>
      </c>
      <c r="E1034" s="1" t="s">
        <v>4945</v>
      </c>
      <c r="F1034" s="4" t="s">
        <v>17</v>
      </c>
      <c r="G1034" s="1" t="s">
        <v>18</v>
      </c>
      <c r="H1034" s="1" t="s">
        <v>19</v>
      </c>
      <c r="I1034" s="1" t="s">
        <v>20</v>
      </c>
      <c r="J1034" s="1" t="s">
        <v>4946</v>
      </c>
      <c r="K1034" s="1" t="s">
        <v>22</v>
      </c>
      <c r="L1034" s="1" t="str">
        <f>HYPERLINK("https://files.afu.se/Downloads/Transcripts/0%20-%20Government/USA%20-%20NASA/2017 10 27 - NASA - Pence Visits Mars InSight Facility on This Week @NASA – October 27, 2017_R9rvCRix-HM - transcript (automated).pdf","Transcript Link")</f>
        <v>Transcript Link</v>
      </c>
      <c r="M1034" s="2" t="str">
        <f>HYPERLINK("https://files.afu.se/Downloads/Transcripts/0%20-%20Government/USA%20-%20NASA/2017 10 27 - NASA - Pence Visits Mars InSight Facility on This Week @NASA – October 27, 2017_R9rvCRix-HM - transcript (automated).pdf","Transcript Link")</f>
        <v>Transcript Link</v>
      </c>
    </row>
    <row r="1035" ht="165" spans="1:13">
      <c r="A1035" s="1" t="s">
        <v>4938</v>
      </c>
      <c r="B1035" s="1" t="s">
        <v>13</v>
      </c>
      <c r="C1035" s="4" t="s">
        <v>4947</v>
      </c>
      <c r="D1035" s="1" t="s">
        <v>3119</v>
      </c>
      <c r="E1035" s="1" t="s">
        <v>4948</v>
      </c>
      <c r="F1035" s="4" t="s">
        <v>17</v>
      </c>
      <c r="G1035" s="1" t="s">
        <v>18</v>
      </c>
      <c r="H1035" s="1" t="s">
        <v>19</v>
      </c>
      <c r="I1035" s="1" t="s">
        <v>20</v>
      </c>
      <c r="J1035" s="1" t="s">
        <v>4949</v>
      </c>
      <c r="K1035" s="1" t="s">
        <v>22</v>
      </c>
      <c r="L1035" s="1" t="str">
        <f>HYPERLINK("https://files.afu.se/Downloads/Transcripts/0%20-%20Government/USA%20-%20NASA/2017 10 27 - NASA - Happy Halloween from NASA_Yyp5W1AeTr8 - transcript (automated).pdf","Transcript Link")</f>
        <v>Transcript Link</v>
      </c>
      <c r="M1035" s="2" t="str">
        <f>HYPERLINK("https://files.afu.se/Downloads/Transcripts/0%20-%20Government/USA%20-%20NASA/2017 10 27 - NASA - Happy Halloween from NASA_Yyp5W1AeTr8 - transcript (automated).pdf","Transcript Link")</f>
        <v>Transcript Link</v>
      </c>
    </row>
    <row r="1036" ht="315" spans="1:13">
      <c r="A1036" s="1" t="s">
        <v>4938</v>
      </c>
      <c r="B1036" s="1" t="s">
        <v>13</v>
      </c>
      <c r="C1036" s="4" t="s">
        <v>4950</v>
      </c>
      <c r="D1036" s="1" t="s">
        <v>4951</v>
      </c>
      <c r="E1036" s="1" t="s">
        <v>4952</v>
      </c>
      <c r="F1036" s="4" t="s">
        <v>17</v>
      </c>
      <c r="G1036" s="1" t="s">
        <v>18</v>
      </c>
      <c r="H1036" s="1" t="s">
        <v>19</v>
      </c>
      <c r="I1036" s="1" t="s">
        <v>20</v>
      </c>
      <c r="J1036" s="1" t="s">
        <v>4953</v>
      </c>
      <c r="K1036" s="1" t="s">
        <v>22</v>
      </c>
      <c r="L1036" s="1" t="str">
        <f>HYPERLINK("https://files.afu.se/Downloads/Transcripts/0%20-%20Government/USA%20-%20NASA/2017 10 27 - NASA - Vice President Sees Mars InSight Spacecraft in Colorado_nO7TWsXUfCQ - transcript (automated).pdf","Transcript Link")</f>
        <v>Transcript Link</v>
      </c>
      <c r="M1036" s="2" t="str">
        <f>HYPERLINK("https://files.afu.se/Downloads/Transcripts/0%20-%20Government/USA%20-%20NASA/2017 10 27 - NASA - Vice President Sees Mars InSight Spacecraft in Colorado_nO7TWsXUfCQ - transcript (automated).pdf","Transcript Link")</f>
        <v>Transcript Link</v>
      </c>
    </row>
    <row r="1037" ht="270" spans="1:13">
      <c r="A1037" s="1" t="s">
        <v>4954</v>
      </c>
      <c r="B1037" s="1" t="s">
        <v>13</v>
      </c>
      <c r="C1037" s="4" t="s">
        <v>4955</v>
      </c>
      <c r="D1037" s="1" t="s">
        <v>4956</v>
      </c>
      <c r="E1037" s="1" t="s">
        <v>4957</v>
      </c>
      <c r="F1037" s="4" t="s">
        <v>17</v>
      </c>
      <c r="G1037" s="1" t="s">
        <v>18</v>
      </c>
      <c r="H1037" s="1" t="s">
        <v>19</v>
      </c>
      <c r="I1037" s="1" t="s">
        <v>20</v>
      </c>
      <c r="J1037" s="1" t="s">
        <v>4958</v>
      </c>
      <c r="K1037" s="1" t="s">
        <v>22</v>
      </c>
      <c r="L1037" s="1" t="str">
        <f>HYPERLINK("https://files.afu.se/Downloads/Transcripts/0%20-%20Government/USA%20-%20NASA/2017 10 26 - NASA - Space Station Crew Holds an Out of this World Audience with the Pope_2fa6JSWVDxk - transcript (automated).pdf","Transcript Link")</f>
        <v>Transcript Link</v>
      </c>
      <c r="M1037" s="2" t="str">
        <f>HYPERLINK("https://files.afu.se/Downloads/Transcripts/0%20-%20Government/USA%20-%20NASA/2017 10 26 - NASA - Space Station Crew Holds an Out of this World Audience with the Pope_2fa6JSWVDxk - transcript (automated).pdf","Transcript Link")</f>
        <v>Transcript Link</v>
      </c>
    </row>
    <row r="1038" ht="210" spans="1:13">
      <c r="A1038" s="1" t="s">
        <v>4959</v>
      </c>
      <c r="B1038" s="1" t="s">
        <v>13</v>
      </c>
      <c r="C1038" s="4" t="s">
        <v>4960</v>
      </c>
      <c r="D1038" s="1" t="s">
        <v>4961</v>
      </c>
      <c r="E1038" s="1" t="s">
        <v>4962</v>
      </c>
      <c r="F1038" s="4" t="s">
        <v>17</v>
      </c>
      <c r="G1038" s="1" t="s">
        <v>18</v>
      </c>
      <c r="H1038" s="1" t="s">
        <v>19</v>
      </c>
      <c r="I1038" s="1" t="s">
        <v>20</v>
      </c>
      <c r="J1038" s="1" t="s">
        <v>4963</v>
      </c>
      <c r="K1038" s="1" t="s">
        <v>22</v>
      </c>
      <c r="L1038" s="1" t="str">
        <f>HYPERLINK("https://files.afu.se/Downloads/Transcripts/0%20-%20Government/USA%20-%20NASA/2017 10 25 - NASA - Space Station Commander Discusses Life in Space with Ukrainian Students_w6oe7oFxDaQ - transcript (automated).pdf","Transcript Link")</f>
        <v>Transcript Link</v>
      </c>
      <c r="M1038" s="2" t="str">
        <f>HYPERLINK("https://files.afu.se/Downloads/Transcripts/0%20-%20Government/USA%20-%20NASA/2017 10 25 - NASA - Space Station Commander Discusses Life in Space with Ukrainian Students_w6oe7oFxDaQ - transcript (automated).pdf","Transcript Link")</f>
        <v>Transcript Link</v>
      </c>
    </row>
    <row r="1039" ht="180" spans="1:13">
      <c r="A1039" s="1" t="s">
        <v>4964</v>
      </c>
      <c r="B1039" s="1" t="s">
        <v>13</v>
      </c>
      <c r="C1039" s="4" t="s">
        <v>4965</v>
      </c>
      <c r="D1039" s="1" t="s">
        <v>4966</v>
      </c>
      <c r="E1039" s="1" t="s">
        <v>4967</v>
      </c>
      <c r="F1039" s="4" t="s">
        <v>17</v>
      </c>
      <c r="G1039" s="1" t="s">
        <v>18</v>
      </c>
      <c r="H1039" s="1" t="s">
        <v>19</v>
      </c>
      <c r="I1039" s="1" t="s">
        <v>20</v>
      </c>
      <c r="J1039" s="1" t="s">
        <v>4968</v>
      </c>
      <c r="K1039" s="1" t="s">
        <v>22</v>
      </c>
      <c r="L1039" s="1" t="str">
        <f>HYPERLINK("https://files.afu.se/Downloads/Transcripts/0%20-%20Government/USA%20-%20NASA/2017 10 23 - NASA - Space Station Crew Discusses Life in Space with Georgia Students_55XVfwkmepY - transcript (automated).pdf","Transcript Link")</f>
        <v>Transcript Link</v>
      </c>
      <c r="M1039" s="2" t="str">
        <f>HYPERLINK("https://files.afu.se/Downloads/Transcripts/0%20-%20Government/USA%20-%20NASA/2017 10 23 - NASA - Space Station Crew Discusses Life in Space with Georgia Students_55XVfwkmepY - transcript (automated).pdf","Transcript Link")</f>
        <v>Transcript Link</v>
      </c>
    </row>
    <row r="1040" ht="210" spans="1:13">
      <c r="A1040" s="1" t="s">
        <v>4964</v>
      </c>
      <c r="B1040" s="1" t="s">
        <v>13</v>
      </c>
      <c r="C1040" s="4" t="s">
        <v>4969</v>
      </c>
      <c r="D1040" s="1" t="s">
        <v>4970</v>
      </c>
      <c r="E1040" s="1" t="s">
        <v>4971</v>
      </c>
      <c r="F1040" s="4" t="s">
        <v>17</v>
      </c>
      <c r="G1040" s="1" t="s">
        <v>18</v>
      </c>
      <c r="H1040" s="1" t="s">
        <v>19</v>
      </c>
      <c r="I1040" s="1" t="s">
        <v>20</v>
      </c>
      <c r="J1040" s="1" t="s">
        <v>4972</v>
      </c>
      <c r="K1040" s="1" t="s">
        <v>22</v>
      </c>
      <c r="L1040" s="1" t="str">
        <f>HYPERLINK("https://files.afu.se/Downloads/Transcripts/0%20-%20Government/USA%20-%20NASA/2017 10 23 - NASA - First Light Detected from Gravitational Wave Event on This Week @NASA – October 20, 2017_pTvFJjy4YOE - transcript (automated).pdf","Transcript Link")</f>
        <v>Transcript Link</v>
      </c>
      <c r="M1040" s="2" t="str">
        <f>HYPERLINK("https://files.afu.se/Downloads/Transcripts/0%20-%20Government/USA%20-%20NASA/2017 10 23 - NASA - First Light Detected from Gravitational Wave Event on This Week @NASA – October 20, 2017_pTvFJjy4YOE - transcript (automated).pdf","Transcript Link")</f>
        <v>Transcript Link</v>
      </c>
    </row>
    <row r="1041" ht="285" spans="1:13">
      <c r="A1041" s="1" t="s">
        <v>4973</v>
      </c>
      <c r="B1041" s="1" t="s">
        <v>13</v>
      </c>
      <c r="C1041" s="4" t="s">
        <v>4974</v>
      </c>
      <c r="D1041" s="1" t="s">
        <v>4975</v>
      </c>
      <c r="E1041" s="1" t="s">
        <v>4976</v>
      </c>
      <c r="F1041" s="4" t="s">
        <v>17</v>
      </c>
      <c r="G1041" s="1" t="s">
        <v>18</v>
      </c>
      <c r="H1041" s="1" t="s">
        <v>19</v>
      </c>
      <c r="I1041" s="1" t="s">
        <v>20</v>
      </c>
      <c r="J1041" s="1" t="s">
        <v>4977</v>
      </c>
      <c r="K1041" s="1" t="s">
        <v>22</v>
      </c>
      <c r="L1041" s="1" t="str">
        <f>HYPERLINK("https://files.afu.se/Downloads/Transcripts/0%20-%20Government/USA%20-%20NASA/2017 10 20 - NASA - Space Station Crew Completes a Trio of October Spacewalks_0BUxR5ZNaJg - transcript (automated).pdf","Transcript Link")</f>
        <v>Transcript Link</v>
      </c>
      <c r="M1041" s="2" t="str">
        <f>HYPERLINK("https://files.afu.se/Downloads/Transcripts/0%20-%20Government/USA%20-%20NASA/2017 10 20 - NASA - Space Station Crew Completes a Trio of October Spacewalks_0BUxR5ZNaJg - transcript (automated).pdf","Transcript Link")</f>
        <v>Transcript Link</v>
      </c>
    </row>
    <row r="1042" ht="180" spans="1:13">
      <c r="A1042" s="1" t="s">
        <v>4978</v>
      </c>
      <c r="B1042" s="1" t="s">
        <v>13</v>
      </c>
      <c r="C1042" s="4" t="s">
        <v>4979</v>
      </c>
      <c r="D1042" s="1" t="s">
        <v>4980</v>
      </c>
      <c r="E1042" s="1" t="s">
        <v>4981</v>
      </c>
      <c r="F1042" s="4" t="s">
        <v>17</v>
      </c>
      <c r="G1042" s="1" t="s">
        <v>18</v>
      </c>
      <c r="H1042" s="1" t="s">
        <v>19</v>
      </c>
      <c r="I1042" s="1" t="s">
        <v>20</v>
      </c>
      <c r="J1042" s="1" t="s">
        <v>4982</v>
      </c>
      <c r="K1042" s="1" t="s">
        <v>22</v>
      </c>
      <c r="L1042" s="1" t="str">
        <f>HYPERLINK("https://files.afu.se/Downloads/Transcripts/0%20-%20Government/USA%20-%20NASA/2017 10 19 - NASA - NASA Tests RS-25 Flight Engine for Space Launch System_lFqfCDEp6iw - transcript (automated).pdf","Transcript Link")</f>
        <v>Transcript Link</v>
      </c>
      <c r="M1042" s="2" t="str">
        <f>HYPERLINK("https://files.afu.se/Downloads/Transcripts/0%20-%20Government/USA%20-%20NASA/2017 10 19 - NASA - NASA Tests RS-25 Flight Engine for Space Launch System_lFqfCDEp6iw - transcript (automated).pdf","Transcript Link")</f>
        <v>Transcript Link</v>
      </c>
    </row>
    <row r="1043" ht="300" spans="1:13">
      <c r="A1043" s="1" t="s">
        <v>4983</v>
      </c>
      <c r="B1043" s="1" t="s">
        <v>13</v>
      </c>
      <c r="C1043" s="4" t="s">
        <v>4984</v>
      </c>
      <c r="D1043" s="1" t="s">
        <v>4985</v>
      </c>
      <c r="E1043" s="1" t="s">
        <v>4986</v>
      </c>
      <c r="F1043" s="4" t="s">
        <v>17</v>
      </c>
      <c r="G1043" s="1" t="s">
        <v>18</v>
      </c>
      <c r="H1043" s="1" t="s">
        <v>19</v>
      </c>
      <c r="I1043" s="1" t="s">
        <v>20</v>
      </c>
      <c r="J1043" s="1" t="s">
        <v>4987</v>
      </c>
      <c r="K1043" s="1" t="s">
        <v>22</v>
      </c>
      <c r="L1043" s="1" t="str">
        <f>HYPERLINK("https://files.afu.se/Downloads/Transcripts/0%20-%20Government/USA%20-%20NASA/2017 10 16 - NASA - A Year of Education on the Space Station Highlighted During In-Fight Event_OfGaqdMPDfc - transcript (automated).pdf","Transcript Link")</f>
        <v>Transcript Link</v>
      </c>
      <c r="M1043" s="2" t="str">
        <f>HYPERLINK("https://files.afu.se/Downloads/Transcripts/0%20-%20Government/USA%20-%20NASA/2017 10 16 - NASA - A Year of Education on the Space Station Highlighted During In-Fight Event_OfGaqdMPDfc - transcript (automated).pdf","Transcript Link")</f>
        <v>Transcript Link</v>
      </c>
    </row>
    <row r="1044" ht="180" spans="1:13">
      <c r="A1044" s="1" t="s">
        <v>4983</v>
      </c>
      <c r="B1044" s="1" t="s">
        <v>13</v>
      </c>
      <c r="C1044" s="4" t="s">
        <v>4988</v>
      </c>
      <c r="D1044" s="1" t="s">
        <v>4989</v>
      </c>
      <c r="E1044" s="1" t="s">
        <v>4990</v>
      </c>
      <c r="F1044" s="4" t="s">
        <v>17</v>
      </c>
      <c r="G1044" s="1" t="s">
        <v>18</v>
      </c>
      <c r="H1044" s="1" t="s">
        <v>19</v>
      </c>
      <c r="I1044" s="1" t="s">
        <v>20</v>
      </c>
      <c r="J1044" s="1" t="s">
        <v>4991</v>
      </c>
      <c r="K1044" s="1" t="s">
        <v>22</v>
      </c>
      <c r="L1044" s="1" t="str">
        <f>HYPERLINK("https://files.afu.se/Downloads/Transcripts/0%20-%20Government/USA%20-%20NASA/2017 10 16 - NASA - Russian Cargo Craft Completes Journey to International Space Station_pfjqWhY_7Sc - transcript (automated).pdf","Transcript Link")</f>
        <v>Transcript Link</v>
      </c>
      <c r="M1044" s="2" t="str">
        <f>HYPERLINK("https://files.afu.se/Downloads/Transcripts/0%20-%20Government/USA%20-%20NASA/2017 10 16 - NASA - Russian Cargo Craft Completes Journey to International Space Station_pfjqWhY_7Sc - transcript (automated).pdf","Transcript Link")</f>
        <v>Transcript Link</v>
      </c>
    </row>
    <row r="1045" ht="165" spans="1:13">
      <c r="A1045" s="1" t="s">
        <v>4992</v>
      </c>
      <c r="B1045" s="1" t="s">
        <v>13</v>
      </c>
      <c r="C1045" s="4" t="s">
        <v>4993</v>
      </c>
      <c r="D1045" s="1" t="s">
        <v>4994</v>
      </c>
      <c r="E1045" s="1" t="s">
        <v>4995</v>
      </c>
      <c r="F1045" s="4" t="s">
        <v>17</v>
      </c>
      <c r="G1045" s="1" t="s">
        <v>18</v>
      </c>
      <c r="H1045" s="1" t="s">
        <v>19</v>
      </c>
      <c r="I1045" s="1" t="s">
        <v>20</v>
      </c>
      <c r="J1045" s="1" t="s">
        <v>4996</v>
      </c>
      <c r="K1045" s="1" t="s">
        <v>22</v>
      </c>
      <c r="L1045" s="1" t="str">
        <f>HYPERLINK("https://files.afu.se/Downloads/Transcripts/0%20-%20Government/USA%20-%20NASA/2017 10 14 - NASA - Russian Cargo Craft Launches for Journey to International Space Station_9ZU516uCuzk - transcript (automated).pdf","Transcript Link")</f>
        <v>Transcript Link</v>
      </c>
      <c r="M1045" s="2" t="str">
        <f>HYPERLINK("https://files.afu.se/Downloads/Transcripts/0%20-%20Government/USA%20-%20NASA/2017 10 14 - NASA - Russian Cargo Craft Launches for Journey to International Space Station_9ZU516uCuzk - transcript (automated).pdf","Transcript Link")</f>
        <v>Transcript Link</v>
      </c>
    </row>
    <row r="1046" ht="270" spans="1:13">
      <c r="A1046" s="1" t="s">
        <v>4997</v>
      </c>
      <c r="B1046" s="1" t="s">
        <v>13</v>
      </c>
      <c r="C1046" s="4" t="s">
        <v>4998</v>
      </c>
      <c r="D1046" s="1" t="s">
        <v>4999</v>
      </c>
      <c r="E1046" s="1" t="s">
        <v>5000</v>
      </c>
      <c r="F1046" s="4" t="s">
        <v>17</v>
      </c>
      <c r="G1046" s="1" t="s">
        <v>18</v>
      </c>
      <c r="H1046" s="1" t="s">
        <v>19</v>
      </c>
      <c r="I1046" s="1" t="s">
        <v>20</v>
      </c>
      <c r="J1046" s="1" t="s">
        <v>5001</v>
      </c>
      <c r="K1046" s="1" t="s">
        <v>22</v>
      </c>
      <c r="L1046" s="1" t="str">
        <f>HYPERLINK("https://files.afu.se/Downloads/Transcripts/0%20-%20Government/USA%20-%20NASA/2017 10 13 - NASA - October Spacewalks Aboard the Space Station on This Week @NASA – October 13, 2017_NIDUGPqZK-8 - transcript (automated).pdf","Transcript Link")</f>
        <v>Transcript Link</v>
      </c>
      <c r="M1046" s="2" t="str">
        <f>HYPERLINK("https://files.afu.se/Downloads/Transcripts/0%20-%20Government/USA%20-%20NASA/2017 10 13 - NASA - October Spacewalks Aboard the Space Station on This Week @NASA – October 13, 2017_NIDUGPqZK-8 - transcript (automated).pdf","Transcript Link")</f>
        <v>Transcript Link</v>
      </c>
    </row>
    <row r="1047" ht="165" spans="1:13">
      <c r="A1047" s="1" t="s">
        <v>5002</v>
      </c>
      <c r="B1047" s="1" t="s">
        <v>13</v>
      </c>
      <c r="C1047" s="4" t="s">
        <v>5003</v>
      </c>
      <c r="D1047" s="1" t="s">
        <v>5004</v>
      </c>
      <c r="E1047" s="1" t="s">
        <v>5005</v>
      </c>
      <c r="F1047" s="4" t="s">
        <v>17</v>
      </c>
      <c r="G1047" s="1" t="s">
        <v>18</v>
      </c>
      <c r="H1047" s="1" t="s">
        <v>19</v>
      </c>
      <c r="I1047" s="1" t="s">
        <v>20</v>
      </c>
      <c r="J1047" s="1" t="s">
        <v>5006</v>
      </c>
      <c r="K1047" s="1" t="s">
        <v>22</v>
      </c>
      <c r="L1047" s="1" t="str">
        <f>HYPERLINK("https://files.afu.se/Downloads/Transcripts/0%20-%20Government/USA%20-%20NASA/2017 10 12 - NASA - Pushing the Envelope_4aUjf9y556M - transcript (automated).pdf","Transcript Link")</f>
        <v>Transcript Link</v>
      </c>
      <c r="M1047" s="2" t="str">
        <f>HYPERLINK("https://files.afu.se/Downloads/Transcripts/0%20-%20Government/USA%20-%20NASA/2017 10 12 - NASA - Pushing the Envelope_4aUjf9y556M - transcript (automated).pdf","Transcript Link")</f>
        <v>Transcript Link</v>
      </c>
    </row>
    <row r="1048" ht="165" spans="1:13">
      <c r="A1048" s="1" t="s">
        <v>5002</v>
      </c>
      <c r="B1048" s="1" t="s">
        <v>13</v>
      </c>
      <c r="C1048" s="4" t="s">
        <v>5007</v>
      </c>
      <c r="D1048" s="1" t="s">
        <v>5008</v>
      </c>
      <c r="E1048" s="1" t="s">
        <v>5009</v>
      </c>
      <c r="F1048" s="4" t="s">
        <v>17</v>
      </c>
      <c r="G1048" s="1" t="s">
        <v>18</v>
      </c>
      <c r="H1048" s="1" t="s">
        <v>19</v>
      </c>
      <c r="I1048" s="1" t="s">
        <v>20</v>
      </c>
      <c r="J1048" s="1" t="s">
        <v>5010</v>
      </c>
      <c r="K1048" s="1" t="s">
        <v>22</v>
      </c>
      <c r="L1048" s="1" t="str">
        <f>HYPERLINK("https://files.afu.se/Downloads/Transcripts/0%20-%20Government/USA%20-%20NASA/2017 10 12 - NASA - NASA Hispanic Heritage Month Event, ¡Latinos STEM Up!_n-N3pdOYf7Y - transcript (automated).pdf","Transcript Link")</f>
        <v>Transcript Link</v>
      </c>
      <c r="M1048" s="2" t="str">
        <f>HYPERLINK("https://files.afu.se/Downloads/Transcripts/0%20-%20Government/USA%20-%20NASA/2017 10 12 - NASA - NASA Hispanic Heritage Month Event, ¡Latinos STEM Up!_n-N3pdOYf7Y - transcript (automated).pdf","Transcript Link")</f>
        <v>Transcript Link</v>
      </c>
    </row>
    <row r="1049" ht="390" spans="1:13">
      <c r="A1049" s="1" t="s">
        <v>5011</v>
      </c>
      <c r="B1049" s="1" t="s">
        <v>13</v>
      </c>
      <c r="C1049" s="4" t="s">
        <v>5012</v>
      </c>
      <c r="D1049" s="1" t="s">
        <v>5013</v>
      </c>
      <c r="E1049" s="1" t="s">
        <v>5014</v>
      </c>
      <c r="F1049" s="4" t="s">
        <v>17</v>
      </c>
      <c r="G1049" s="1" t="s">
        <v>18</v>
      </c>
      <c r="H1049" s="1" t="s">
        <v>19</v>
      </c>
      <c r="I1049" s="1" t="s">
        <v>20</v>
      </c>
      <c r="J1049" s="1" t="s">
        <v>5015</v>
      </c>
      <c r="K1049" s="1" t="s">
        <v>22</v>
      </c>
      <c r="L1049" s="1" t="str">
        <f>HYPERLINK("https://files.afu.se/Downloads/Transcripts/0%20-%20Government/USA%20-%20NASA/2017 10 11 - NASA - Next Space Station Crew Previews Mission_o1zywEl-Sj0 - transcript (automated).pdf","Transcript Link")</f>
        <v>Transcript Link</v>
      </c>
      <c r="M1049" s="2" t="str">
        <f>HYPERLINK("https://files.afu.se/Downloads/Transcripts/0%20-%20Government/USA%20-%20NASA/2017 10 11 - NASA - Next Space Station Crew Previews Mission_o1zywEl-Sj0 - transcript (automated).pdf","Transcript Link")</f>
        <v>Transcript Link</v>
      </c>
    </row>
    <row r="1050" ht="165" spans="1:13">
      <c r="A1050" s="1" t="s">
        <v>5011</v>
      </c>
      <c r="B1050" s="1" t="s">
        <v>13</v>
      </c>
      <c r="C1050" s="4" t="s">
        <v>5016</v>
      </c>
      <c r="D1050" s="1" t="s">
        <v>5017</v>
      </c>
      <c r="E1050" s="1" t="s">
        <v>5018</v>
      </c>
      <c r="F1050" s="4" t="s">
        <v>17</v>
      </c>
      <c r="G1050" s="1" t="s">
        <v>18</v>
      </c>
      <c r="H1050" s="1" t="s">
        <v>19</v>
      </c>
      <c r="I1050" s="1" t="s">
        <v>20</v>
      </c>
      <c r="J1050" s="1" t="s">
        <v>5019</v>
      </c>
      <c r="K1050" s="1" t="s">
        <v>22</v>
      </c>
      <c r="L1050" s="1" t="str">
        <f>HYPERLINK("https://files.afu.se/Downloads/Transcripts/0%20-%20Government/USA%20-%20NASA/2017 10 11 - NASA - Living and Working in Space  Advanced Food Tech_zQEPKKmQGG0 - transcript (automated).pdf","Transcript Link")</f>
        <v>Transcript Link</v>
      </c>
      <c r="M1050" s="2" t="str">
        <f>HYPERLINK("https://files.afu.se/Downloads/Transcripts/0%20-%20Government/USA%20-%20NASA/2017 10 11 - NASA - Living and Working in Space  Advanced Food Tech_zQEPKKmQGG0 - transcript (automated).pdf","Transcript Link")</f>
        <v>Transcript Link</v>
      </c>
    </row>
    <row r="1051" ht="165" spans="1:13">
      <c r="A1051" s="1" t="s">
        <v>5020</v>
      </c>
      <c r="B1051" s="1" t="s">
        <v>13</v>
      </c>
      <c r="C1051" s="4" t="s">
        <v>5021</v>
      </c>
      <c r="D1051" s="1" t="s">
        <v>5022</v>
      </c>
      <c r="E1051" s="1" t="s">
        <v>5023</v>
      </c>
      <c r="F1051" s="4" t="s">
        <v>17</v>
      </c>
      <c r="G1051" s="1" t="s">
        <v>18</v>
      </c>
      <c r="H1051" s="1" t="s">
        <v>19</v>
      </c>
      <c r="I1051" s="1" t="s">
        <v>20</v>
      </c>
      <c r="J1051" s="1" t="s">
        <v>5024</v>
      </c>
      <c r="K1051" s="1" t="s">
        <v>22</v>
      </c>
      <c r="L1051" s="1" t="str">
        <f>HYPERLINK("https://files.afu.se/Downloads/Transcripts/0%20-%20Government/USA%20-%20NASA/2017 10 10 - NASA - Outer Space Treaty at 50_WKkRvg4Kl2E - transcript (automated).pdf","Transcript Link")</f>
        <v>Transcript Link</v>
      </c>
      <c r="M1051" s="2" t="str">
        <f>HYPERLINK("https://files.afu.se/Downloads/Transcripts/0%20-%20Government/USA%20-%20NASA/2017 10 10 - NASA - Outer Space Treaty at 50_WKkRvg4Kl2E - transcript (automated).pdf","Transcript Link")</f>
        <v>Transcript Link</v>
      </c>
    </row>
    <row r="1052" ht="285" spans="1:13">
      <c r="A1052" s="1" t="s">
        <v>5025</v>
      </c>
      <c r="B1052" s="1" t="s">
        <v>13</v>
      </c>
      <c r="C1052" s="4" t="s">
        <v>5026</v>
      </c>
      <c r="D1052" s="1" t="s">
        <v>5027</v>
      </c>
      <c r="E1052" s="1" t="s">
        <v>5028</v>
      </c>
      <c r="F1052" s="4" t="s">
        <v>17</v>
      </c>
      <c r="G1052" s="1" t="s">
        <v>18</v>
      </c>
      <c r="H1052" s="1" t="s">
        <v>19</v>
      </c>
      <c r="I1052" s="1" t="s">
        <v>20</v>
      </c>
      <c r="J1052" s="1" t="s">
        <v>5029</v>
      </c>
      <c r="K1052" s="1" t="s">
        <v>22</v>
      </c>
      <c r="L1052" s="1" t="str">
        <f>HYPERLINK("https://files.afu.se/Downloads/Transcripts/0%20-%20Government/USA%20-%20NASA/2017 10 06 - NASA - National Space Council Meets on This Week @NASA – October 6, 2017_MxCZHuvJHuY - transcript (automated).pdf","Transcript Link")</f>
        <v>Transcript Link</v>
      </c>
      <c r="M1052" s="2" t="str">
        <f>HYPERLINK("https://files.afu.se/Downloads/Transcripts/0%20-%20Government/USA%20-%20NASA/2017 10 06 - NASA - National Space Council Meets on This Week @NASA – October 6, 2017_MxCZHuvJHuY - transcript (automated).pdf","Transcript Link")</f>
        <v>Transcript Link</v>
      </c>
    </row>
    <row r="1053" ht="210" spans="1:13">
      <c r="A1053" s="1" t="s">
        <v>5025</v>
      </c>
      <c r="B1053" s="1" t="s">
        <v>13</v>
      </c>
      <c r="C1053" s="4" t="s">
        <v>5030</v>
      </c>
      <c r="D1053" s="1" t="s">
        <v>5031</v>
      </c>
      <c r="E1053" s="1" t="s">
        <v>5032</v>
      </c>
      <c r="F1053" s="4" t="s">
        <v>17</v>
      </c>
      <c r="G1053" s="1" t="s">
        <v>18</v>
      </c>
      <c r="H1053" s="1" t="s">
        <v>19</v>
      </c>
      <c r="I1053" s="1" t="s">
        <v>20</v>
      </c>
      <c r="J1053" s="1" t="s">
        <v>5033</v>
      </c>
      <c r="K1053" s="1" t="s">
        <v>22</v>
      </c>
      <c r="L1053" s="1" t="str">
        <f>HYPERLINK("https://files.afu.se/Downloads/Transcripts/0%20-%20Government/USA%20-%20NASA/2017 10 06 - NASA - Space Station Crew Discusses Their Mission with Michigan Students_SKeYEZ6WrAg - transcript (automated).pdf","Transcript Link")</f>
        <v>Transcript Link</v>
      </c>
      <c r="M1053" s="2" t="str">
        <f>HYPERLINK("https://files.afu.se/Downloads/Transcripts/0%20-%20Government/USA%20-%20NASA/2017 10 06 - NASA - Space Station Crew Discusses Their Mission with Michigan Students_SKeYEZ6WrAg - transcript (automated).pdf","Transcript Link")</f>
        <v>Transcript Link</v>
      </c>
    </row>
    <row r="1054" ht="240" spans="1:13">
      <c r="A1054" s="1" t="s">
        <v>5034</v>
      </c>
      <c r="B1054" s="1" t="s">
        <v>13</v>
      </c>
      <c r="C1054" s="4" t="s">
        <v>5035</v>
      </c>
      <c r="D1054" s="1" t="s">
        <v>5036</v>
      </c>
      <c r="E1054" s="1" t="s">
        <v>5037</v>
      </c>
      <c r="F1054" s="4" t="s">
        <v>17</v>
      </c>
      <c r="G1054" s="1" t="s">
        <v>18</v>
      </c>
      <c r="H1054" s="1" t="s">
        <v>19</v>
      </c>
      <c r="I1054" s="1" t="s">
        <v>20</v>
      </c>
      <c r="J1054" s="1" t="s">
        <v>5038</v>
      </c>
      <c r="K1054" s="1" t="s">
        <v>22</v>
      </c>
      <c r="L1054" s="1" t="str">
        <f>HYPERLINK("https://files.afu.se/Downloads/Transcripts/0%20-%20Government/USA%20-%20NASA/2017 10 05 - NASA - Vice President Pence Calls for Human Missions to Moon, Mars at National Space Council_5FERa2oxWhQ - transcript (automated).pdf","Transcript Link")</f>
        <v>Transcript Link</v>
      </c>
      <c r="M1054" s="2" t="str">
        <f>HYPERLINK("https://files.afu.se/Downloads/Transcripts/0%20-%20Government/USA%20-%20NASA/2017 10 05 - NASA - Vice President Pence Calls for Human Missions to Moon, Mars at National Space Council_5FERa2oxWhQ - transcript (automated).pdf","Transcript Link")</f>
        <v>Transcript Link</v>
      </c>
    </row>
    <row r="1055" ht="195" spans="1:13">
      <c r="A1055" s="1" t="s">
        <v>5039</v>
      </c>
      <c r="B1055" s="1" t="s">
        <v>13</v>
      </c>
      <c r="C1055" s="4" t="s">
        <v>5040</v>
      </c>
      <c r="D1055" s="1" t="s">
        <v>5041</v>
      </c>
      <c r="E1055" s="1" t="s">
        <v>5042</v>
      </c>
      <c r="F1055" s="4" t="s">
        <v>17</v>
      </c>
      <c r="G1055" s="1" t="s">
        <v>18</v>
      </c>
      <c r="H1055" s="1" t="s">
        <v>19</v>
      </c>
      <c r="I1055" s="1" t="s">
        <v>20</v>
      </c>
      <c r="J1055" s="1" t="s">
        <v>5043</v>
      </c>
      <c r="K1055" s="1" t="s">
        <v>22</v>
      </c>
      <c r="L1055" s="1" t="str">
        <f>HYPERLINK("https://files.afu.se/Downloads/Transcripts/0%20-%20Government/USA%20-%20NASA/2017 10 04 - NASA - NASA Launches Parachute Test Platform from Wallops_pB9Lhnvm7Gc - transcript (automated).pdf","Transcript Link")</f>
        <v>Transcript Link</v>
      </c>
      <c r="M1055" s="2" t="str">
        <f>HYPERLINK("https://files.afu.se/Downloads/Transcripts/0%20-%20Government/USA%20-%20NASA/2017 10 04 - NASA - NASA Launches Parachute Test Platform from Wallops_pB9Lhnvm7Gc - transcript (automated).pdf","Transcript Link")</f>
        <v>Transcript Link</v>
      </c>
    </row>
    <row r="1056" ht="240" spans="1:13">
      <c r="A1056" s="1" t="s">
        <v>5044</v>
      </c>
      <c r="B1056" s="1" t="s">
        <v>13</v>
      </c>
      <c r="C1056" s="4" t="s">
        <v>5045</v>
      </c>
      <c r="D1056" s="1" t="s">
        <v>5046</v>
      </c>
      <c r="E1056" s="1" t="s">
        <v>5047</v>
      </c>
      <c r="F1056" s="4" t="s">
        <v>17</v>
      </c>
      <c r="G1056" s="1" t="s">
        <v>18</v>
      </c>
      <c r="H1056" s="1" t="s">
        <v>19</v>
      </c>
      <c r="I1056" s="1" t="s">
        <v>20</v>
      </c>
      <c r="J1056" s="1" t="s">
        <v>5048</v>
      </c>
      <c r="K1056" s="1" t="s">
        <v>22</v>
      </c>
      <c r="L1056" s="1" t="str">
        <f>HYPERLINK("https://files.afu.se/Downloads/Transcripts/0%20-%20Government/USA%20-%20NASA/2017 10 02 - NASA - NASA Briefing Previews Upcoming Spacewalks on ISS_JeB_QzGljqc - transcript (automated).pdf","Transcript Link")</f>
        <v>Transcript Link</v>
      </c>
      <c r="M1056" s="2" t="str">
        <f>HYPERLINK("https://files.afu.se/Downloads/Transcripts/0%20-%20Government/USA%20-%20NASA/2017 10 02 - NASA - NASA Briefing Previews Upcoming Spacewalks on ISS_JeB_QzGljqc - transcript (automated).pdf","Transcript Link")</f>
        <v>Transcript Link</v>
      </c>
    </row>
    <row r="1057" ht="210" spans="1:13">
      <c r="A1057" s="1" t="s">
        <v>5044</v>
      </c>
      <c r="B1057" s="1" t="s">
        <v>13</v>
      </c>
      <c r="C1057" s="4" t="s">
        <v>5049</v>
      </c>
      <c r="D1057" s="1" t="s">
        <v>5050</v>
      </c>
      <c r="E1057" s="1" t="s">
        <v>5051</v>
      </c>
      <c r="F1057" s="4" t="s">
        <v>17</v>
      </c>
      <c r="G1057" s="1" t="s">
        <v>18</v>
      </c>
      <c r="H1057" s="1" t="s">
        <v>19</v>
      </c>
      <c r="I1057" s="1" t="s">
        <v>20</v>
      </c>
      <c r="J1057" s="1" t="s">
        <v>5052</v>
      </c>
      <c r="K1057" s="1" t="s">
        <v>22</v>
      </c>
      <c r="L1057" s="1" t="str">
        <f>HYPERLINK("https://files.afu.se/Downloads/Transcripts/0%20-%20Government/USA%20-%20NASA/2017 10 02 - NASA - Space Station Commander Talks to South Carolina Students_WiFrayRL_UQ - transcript (automated).pdf","Transcript Link")</f>
        <v>Transcript Link</v>
      </c>
      <c r="M1057" s="2" t="str">
        <f>HYPERLINK("https://files.afu.se/Downloads/Transcripts/0%20-%20Government/USA%20-%20NASA/2017 10 02 - NASA - Space Station Commander Talks to South Carolina Students_WiFrayRL_UQ - transcript (automated).pdf","Transcript Link")</f>
        <v>Transcript Link</v>
      </c>
    </row>
    <row r="1058" ht="255" spans="1:13">
      <c r="A1058" s="1" t="s">
        <v>5053</v>
      </c>
      <c r="B1058" s="1" t="s">
        <v>13</v>
      </c>
      <c r="C1058" s="4" t="s">
        <v>5054</v>
      </c>
      <c r="D1058" s="1" t="s">
        <v>5055</v>
      </c>
      <c r="E1058" s="1" t="s">
        <v>5056</v>
      </c>
      <c r="F1058" s="4" t="s">
        <v>17</v>
      </c>
      <c r="G1058" s="1" t="s">
        <v>18</v>
      </c>
      <c r="H1058" s="1" t="s">
        <v>19</v>
      </c>
      <c r="I1058" s="1" t="s">
        <v>20</v>
      </c>
      <c r="J1058" s="1" t="s">
        <v>5057</v>
      </c>
      <c r="K1058" s="1" t="s">
        <v>22</v>
      </c>
      <c r="L1058" s="1" t="str">
        <f>HYPERLINK("https://files.afu.se/Downloads/Transcripts/0%20-%20Government/USA%20-%20NASA/2017 09 29 - NASA - Vice President Visits Marshall Space Flight Center on This Week @NASA – September 29, 2017_yM5BFvtLORU - transcript (automated).pdf","Transcript Link")</f>
        <v>Transcript Link</v>
      </c>
      <c r="M1058" s="2" t="str">
        <f>HYPERLINK("https://files.afu.se/Downloads/Transcripts/0%20-%20Government/USA%20-%20NASA/2017 09 29 - NASA - Vice President Visits Marshall Space Flight Center on This Week @NASA – September 29, 2017_yM5BFvtLORU - transcript (automated).pdf","Transcript Link")</f>
        <v>Transcript Link</v>
      </c>
    </row>
    <row r="1059" ht="165" spans="1:13">
      <c r="A1059" s="1" t="s">
        <v>5058</v>
      </c>
      <c r="B1059" s="1" t="s">
        <v>13</v>
      </c>
      <c r="C1059" s="4" t="s">
        <v>5059</v>
      </c>
      <c r="D1059" s="1" t="s">
        <v>5060</v>
      </c>
      <c r="F1059" s="4" t="s">
        <v>17</v>
      </c>
      <c r="G1059" s="1" t="s">
        <v>18</v>
      </c>
      <c r="H1059" s="1" t="s">
        <v>19</v>
      </c>
      <c r="I1059" s="1" t="s">
        <v>20</v>
      </c>
      <c r="J1059" s="1" t="s">
        <v>5061</v>
      </c>
      <c r="K1059" s="1" t="s">
        <v>22</v>
      </c>
      <c r="L1059" s="1" t="str">
        <f>HYPERLINK("https://files.afu.se/Downloads/Transcripts/0%20-%20Government/USA%20-%20NASA/2017 09 28 - NASA - Eclipse 2017 Hearing_dJQZtn-vdjk - transcript (automated).pdf","Transcript Link")</f>
        <v>Transcript Link</v>
      </c>
      <c r="M1059" s="2" t="str">
        <f>HYPERLINK("https://files.afu.se/Downloads/Transcripts/0%20-%20Government/USA%20-%20NASA/2017 09 28 - NASA - Eclipse 2017 Hearing_dJQZtn-vdjk - transcript (automated).pdf","Transcript Link")</f>
        <v>Transcript Link</v>
      </c>
    </row>
    <row r="1060" ht="210" spans="1:13">
      <c r="A1060" s="1" t="s">
        <v>5062</v>
      </c>
      <c r="B1060" s="1" t="s">
        <v>13</v>
      </c>
      <c r="C1060" s="4" t="s">
        <v>5063</v>
      </c>
      <c r="D1060" s="1" t="s">
        <v>5064</v>
      </c>
      <c r="E1060" s="1" t="s">
        <v>5065</v>
      </c>
      <c r="F1060" s="4" t="s">
        <v>17</v>
      </c>
      <c r="G1060" s="1" t="s">
        <v>18</v>
      </c>
      <c r="H1060" s="1" t="s">
        <v>19</v>
      </c>
      <c r="I1060" s="1" t="s">
        <v>20</v>
      </c>
      <c r="J1060" s="1" t="s">
        <v>5066</v>
      </c>
      <c r="K1060" s="1" t="s">
        <v>22</v>
      </c>
      <c r="L1060" s="1" t="str">
        <f>HYPERLINK("https://files.afu.se/Downloads/Transcripts/0%20-%20Government/USA%20-%20NASA/2017 09 27 - NASA - Space Station Crew Discusses Life in Space with Students in Washington, D C_UeFSTs8udh4 - transcript (automated).pdf","Transcript Link")</f>
        <v>Transcript Link</v>
      </c>
      <c r="M1060" s="2" t="str">
        <f>HYPERLINK("https://files.afu.se/Downloads/Transcripts/0%20-%20Government/USA%20-%20NASA/2017 09 27 - NASA - Space Station Crew Discusses Life in Space with Students in Washington, D C_UeFSTs8udh4 - transcript (automated).pdf","Transcript Link")</f>
        <v>Transcript Link</v>
      </c>
    </row>
    <row r="1061" ht="225" spans="1:13">
      <c r="A1061" s="1" t="s">
        <v>5067</v>
      </c>
      <c r="B1061" s="1" t="s">
        <v>13</v>
      </c>
      <c r="C1061" s="4" t="s">
        <v>5068</v>
      </c>
      <c r="D1061" s="1" t="s">
        <v>5069</v>
      </c>
      <c r="E1061" s="1" t="s">
        <v>5070</v>
      </c>
      <c r="F1061" s="4" t="s">
        <v>17</v>
      </c>
      <c r="G1061" s="1" t="s">
        <v>18</v>
      </c>
      <c r="H1061" s="1" t="s">
        <v>19</v>
      </c>
      <c r="I1061" s="1" t="s">
        <v>20</v>
      </c>
      <c r="J1061" s="1" t="s">
        <v>5071</v>
      </c>
      <c r="K1061" s="1" t="s">
        <v>22</v>
      </c>
      <c r="L1061" s="1" t="str">
        <f>HYPERLINK("https://files.afu.se/Downloads/Transcripts/0%20-%20Government/USA%20-%20NASA/2017 09 25 - NASA - Vice President Pence Visits NASA's Marshall Space Flight Center_j0YnpkNw794 - transcript (automated).pdf","Transcript Link")</f>
        <v>Transcript Link</v>
      </c>
      <c r="M1061" s="2" t="str">
        <f>HYPERLINK("https://files.afu.se/Downloads/Transcripts/0%20-%20Government/USA%20-%20NASA/2017 09 25 - NASA - Vice President Pence Visits NASA's Marshall Space Flight Center_j0YnpkNw794 - transcript (automated).pdf","Transcript Link")</f>
        <v>Transcript Link</v>
      </c>
    </row>
    <row r="1062" ht="165" spans="1:13">
      <c r="A1062" s="1" t="s">
        <v>5067</v>
      </c>
      <c r="B1062" s="1" t="s">
        <v>13</v>
      </c>
      <c r="C1062" s="4" t="s">
        <v>5072</v>
      </c>
      <c r="D1062" s="1" t="s">
        <v>5073</v>
      </c>
      <c r="E1062" s="1" t="s">
        <v>5074</v>
      </c>
      <c r="F1062" s="4" t="s">
        <v>17</v>
      </c>
      <c r="G1062" s="1" t="s">
        <v>18</v>
      </c>
      <c r="H1062" s="1" t="s">
        <v>19</v>
      </c>
      <c r="I1062" s="1" t="s">
        <v>20</v>
      </c>
      <c r="J1062" s="1" t="s">
        <v>5075</v>
      </c>
      <c r="K1062" s="1" t="s">
        <v>22</v>
      </c>
      <c r="L1062" s="1" t="str">
        <f>HYPERLINK("https://files.afu.se/Downloads/Transcripts/0%20-%20Government/USA%20-%20NASA/2017 09 25 - NASA - Vice President Pence Talks with Astronauts on Space Station_GiOnzj6tnM8 - transcript (automated).pdf","Transcript Link")</f>
        <v>Transcript Link</v>
      </c>
      <c r="M1062" s="2" t="str">
        <f>HYPERLINK("https://files.afu.se/Downloads/Transcripts/0%20-%20Government/USA%20-%20NASA/2017 09 25 - NASA - Vice President Pence Talks with Astronauts on Space Station_GiOnzj6tnM8 - transcript (automated).pdf","Transcript Link")</f>
        <v>Transcript Link</v>
      </c>
    </row>
    <row r="1063" ht="165" spans="1:13">
      <c r="A1063" s="1" t="s">
        <v>5076</v>
      </c>
      <c r="B1063" s="1" t="s">
        <v>13</v>
      </c>
      <c r="C1063" s="4" t="s">
        <v>5077</v>
      </c>
      <c r="D1063" s="1" t="s">
        <v>5078</v>
      </c>
      <c r="E1063" s="1" t="s">
        <v>5079</v>
      </c>
      <c r="F1063" s="4" t="s">
        <v>17</v>
      </c>
      <c r="G1063" s="1" t="s">
        <v>18</v>
      </c>
      <c r="H1063" s="1" t="s">
        <v>19</v>
      </c>
      <c r="I1063" s="1" t="s">
        <v>20</v>
      </c>
      <c r="J1063" s="1" t="s">
        <v>5080</v>
      </c>
      <c r="K1063" s="1" t="s">
        <v>22</v>
      </c>
      <c r="L1063" s="1" t="str">
        <f>HYPERLINK("https://files.afu.se/Downloads/Transcripts/0%20-%20Government/USA%20-%20NASA/2017 09 23 - NASA - Satellite Animation Shows Hurricane Maria and Post Tropical Storm Jose_wxFFm12L_Ak - transcript (automated).pdf","Transcript Link")</f>
        <v>Transcript Link</v>
      </c>
      <c r="M1063" s="2" t="str">
        <f>HYPERLINK("https://files.afu.se/Downloads/Transcripts/0%20-%20Government/USA%20-%20NASA/2017 09 23 - NASA - Satellite Animation Shows Hurricane Maria and Post Tropical Storm Jose_wxFFm12L_Ak - transcript (automated).pdf","Transcript Link")</f>
        <v>Transcript Link</v>
      </c>
    </row>
    <row r="1064" ht="255" spans="1:13">
      <c r="A1064" s="1" t="s">
        <v>5081</v>
      </c>
      <c r="B1064" s="1" t="s">
        <v>13</v>
      </c>
      <c r="C1064" s="4" t="s">
        <v>5082</v>
      </c>
      <c r="D1064" s="1" t="s">
        <v>5083</v>
      </c>
      <c r="E1064" s="1" t="s">
        <v>5084</v>
      </c>
      <c r="F1064" s="4" t="s">
        <v>17</v>
      </c>
      <c r="G1064" s="1" t="s">
        <v>18</v>
      </c>
      <c r="H1064" s="1" t="s">
        <v>19</v>
      </c>
      <c r="I1064" s="1" t="s">
        <v>20</v>
      </c>
      <c r="J1064" s="1" t="s">
        <v>5085</v>
      </c>
      <c r="K1064" s="1" t="s">
        <v>22</v>
      </c>
      <c r="L1064" s="1" t="str">
        <f>HYPERLINK("https://files.afu.se/Downloads/Transcripts/0%20-%20Government/USA%20-%20NASA/2017 09 22 - NASA - Tracking Hurricane Maria from Space on This Week @NASA – September 22, 2017_MvDhX7NAs-g - transcript (automated).pdf","Transcript Link")</f>
        <v>Transcript Link</v>
      </c>
      <c r="M1064" s="2" t="str">
        <f>HYPERLINK("https://files.afu.se/Downloads/Transcripts/0%20-%20Government/USA%20-%20NASA/2017 09 22 - NASA - Tracking Hurricane Maria from Space on This Week @NASA – September 22, 2017_MvDhX7NAs-g - transcript (automated).pdf","Transcript Link")</f>
        <v>Transcript Link</v>
      </c>
    </row>
    <row r="1065" ht="165" spans="1:13">
      <c r="A1065" s="1" t="s">
        <v>5081</v>
      </c>
      <c r="B1065" s="1" t="s">
        <v>13</v>
      </c>
      <c r="C1065" s="4" t="s">
        <v>5086</v>
      </c>
      <c r="D1065" s="1" t="s">
        <v>5087</v>
      </c>
      <c r="E1065" s="1" t="s">
        <v>5088</v>
      </c>
      <c r="F1065" s="4" t="s">
        <v>17</v>
      </c>
      <c r="G1065" s="1" t="s">
        <v>18</v>
      </c>
      <c r="H1065" s="1" t="s">
        <v>19</v>
      </c>
      <c r="I1065" s="1" t="s">
        <v>20</v>
      </c>
      <c r="J1065" s="1" t="s">
        <v>5089</v>
      </c>
      <c r="K1065" s="1" t="s">
        <v>22</v>
      </c>
      <c r="L1065" s="1" t="str">
        <f>HYPERLINK("https://files.afu.se/Downloads/Transcripts/0%20-%20Government/USA%20-%20NASA/2017 09 22 - NASA - Katherine Johnson Research Facility Opened_xV38PQW3AmE - transcript (automated).pdf","Transcript Link")</f>
        <v>Transcript Link</v>
      </c>
      <c r="M1065" s="2" t="str">
        <f>HYPERLINK("https://files.afu.se/Downloads/Transcripts/0%20-%20Government/USA%20-%20NASA/2017 09 22 - NASA - Katherine Johnson Research Facility Opened_xV38PQW3AmE - transcript (automated).pdf","Transcript Link")</f>
        <v>Transcript Link</v>
      </c>
    </row>
    <row r="1066" ht="165" spans="1:13">
      <c r="A1066" s="1" t="s">
        <v>5090</v>
      </c>
      <c r="B1066" s="1" t="s">
        <v>13</v>
      </c>
      <c r="C1066" s="4" t="s">
        <v>5091</v>
      </c>
      <c r="D1066" s="1" t="s">
        <v>5092</v>
      </c>
      <c r="E1066" s="1" t="s">
        <v>5093</v>
      </c>
      <c r="F1066" s="4" t="s">
        <v>17</v>
      </c>
      <c r="G1066" s="1" t="s">
        <v>18</v>
      </c>
      <c r="H1066" s="1" t="s">
        <v>19</v>
      </c>
      <c r="I1066" s="1" t="s">
        <v>20</v>
      </c>
      <c r="J1066" s="1" t="s">
        <v>5094</v>
      </c>
      <c r="K1066" s="1" t="s">
        <v>22</v>
      </c>
      <c r="L1066" s="1" t="str">
        <f>HYPERLINK("https://files.afu.se/Downloads/Transcripts/0%20-%20Government/USA%20-%20NASA/2017 09 20 - NASA - Space Station Crew Members Discuss Life in Space with the Media_U4fdBlzisP4 - transcript (automated).pdf","Transcript Link")</f>
        <v>Transcript Link</v>
      </c>
      <c r="M1066" s="2" t="str">
        <f>HYPERLINK("https://files.afu.se/Downloads/Transcripts/0%20-%20Government/USA%20-%20NASA/2017 09 20 - NASA - Space Station Crew Members Discuss Life in Space with the Media_U4fdBlzisP4 - transcript (automated).pdf","Transcript Link")</f>
        <v>Transcript Link</v>
      </c>
    </row>
    <row r="1067" ht="165" spans="1:13">
      <c r="A1067" s="1" t="s">
        <v>5095</v>
      </c>
      <c r="B1067" s="1" t="s">
        <v>13</v>
      </c>
      <c r="C1067" s="4" t="s">
        <v>5096</v>
      </c>
      <c r="D1067" s="1" t="s">
        <v>5097</v>
      </c>
      <c r="E1067" s="1" t="s">
        <v>5098</v>
      </c>
      <c r="F1067" s="4" t="s">
        <v>17</v>
      </c>
      <c r="G1067" s="1" t="s">
        <v>18</v>
      </c>
      <c r="H1067" s="1" t="s">
        <v>19</v>
      </c>
      <c r="I1067" s="1" t="s">
        <v>20</v>
      </c>
      <c r="J1067" s="1" t="s">
        <v>5099</v>
      </c>
      <c r="K1067" s="1" t="s">
        <v>22</v>
      </c>
      <c r="L1067" s="1" t="str">
        <f>HYPERLINK("https://files.afu.se/Downloads/Transcripts/0%20-%20Government/USA%20-%20NASA/2017 09 18 - NASA - Space Station Crew Member Discusses His First Days in Space with Minnesota Students_1-_2pQvUlhw - transcript (automated).pdf","Transcript Link")</f>
        <v>Transcript Link</v>
      </c>
      <c r="M1067" s="2" t="str">
        <f>HYPERLINK("https://files.afu.se/Downloads/Transcripts/0%20-%20Government/USA%20-%20NASA/2017 09 18 - NASA - Space Station Crew Member Discusses His First Days in Space with Minnesota Students_1-_2pQvUlhw - transcript (automated).pdf","Transcript Link")</f>
        <v>Transcript Link</v>
      </c>
    </row>
    <row r="1068" ht="285" spans="1:13">
      <c r="A1068" s="1" t="s">
        <v>5100</v>
      </c>
      <c r="B1068" s="1" t="s">
        <v>13</v>
      </c>
      <c r="C1068" s="4" t="s">
        <v>5101</v>
      </c>
      <c r="D1068" s="1" t="s">
        <v>5102</v>
      </c>
      <c r="E1068" s="1" t="s">
        <v>5103</v>
      </c>
      <c r="F1068" s="4" t="s">
        <v>17</v>
      </c>
      <c r="G1068" s="1" t="s">
        <v>18</v>
      </c>
      <c r="H1068" s="1" t="s">
        <v>19</v>
      </c>
      <c r="I1068" s="1" t="s">
        <v>20</v>
      </c>
      <c r="J1068" s="1" t="s">
        <v>5104</v>
      </c>
      <c r="K1068" s="1" t="s">
        <v>22</v>
      </c>
      <c r="L1068" s="1" t="str">
        <f>HYPERLINK("https://files.afu.se/Downloads/Transcripts/0%20-%20Government/USA%20-%20NASA/2017 09 17 - NASA - U.S. Commercial Cargo Ship Departs Space Station_2vN1TSz8XvY - transcript (automated).pdf","Transcript Link")</f>
        <v>Transcript Link</v>
      </c>
      <c r="M1068" s="2" t="str">
        <f>HYPERLINK("https://files.afu.se/Downloads/Transcripts/0%20-%20Government/USA%20-%20NASA/2017 09 17 - NASA - U.S. Commercial Cargo Ship Departs Space Station_2vN1TSz8XvY - transcript (automated).pdf","Transcript Link")</f>
        <v>Transcript Link</v>
      </c>
    </row>
    <row r="1069" ht="255" spans="1:13">
      <c r="A1069" s="1" t="s">
        <v>5105</v>
      </c>
      <c r="B1069" s="1" t="s">
        <v>13</v>
      </c>
      <c r="C1069" s="4" t="s">
        <v>5106</v>
      </c>
      <c r="D1069" s="1" t="s">
        <v>5107</v>
      </c>
      <c r="E1069" s="1" t="s">
        <v>5108</v>
      </c>
      <c r="F1069" s="4" t="s">
        <v>17</v>
      </c>
      <c r="G1069" s="1" t="s">
        <v>18</v>
      </c>
      <c r="H1069" s="1" t="s">
        <v>19</v>
      </c>
      <c r="I1069" s="1" t="s">
        <v>20</v>
      </c>
      <c r="J1069" s="1" t="s">
        <v>5109</v>
      </c>
      <c r="K1069" s="1" t="s">
        <v>22</v>
      </c>
      <c r="L1069" s="1" t="str">
        <f>HYPERLINK("https://files.afu.se/Downloads/Transcripts/0%20-%20Government/USA%20-%20NASA/2017 09 15 - NASA - Farewell to Cassini on This Week @NASA – September 15, 2017_mAsbkShdv8U - transcript (automated).pdf","Transcript Link")</f>
        <v>Transcript Link</v>
      </c>
      <c r="M1069" s="2" t="str">
        <f>HYPERLINK("https://files.afu.se/Downloads/Transcripts/0%20-%20Government/USA%20-%20NASA/2017 09 15 - NASA - Farewell to Cassini on This Week @NASA – September 15, 2017_mAsbkShdv8U - transcript (automated).pdf","Transcript Link")</f>
        <v>Transcript Link</v>
      </c>
    </row>
    <row r="1070" ht="240" spans="1:13">
      <c r="A1070" s="1" t="s">
        <v>5105</v>
      </c>
      <c r="B1070" s="1" t="s">
        <v>13</v>
      </c>
      <c r="C1070" s="4" t="s">
        <v>5110</v>
      </c>
      <c r="D1070" s="1" t="s">
        <v>5111</v>
      </c>
      <c r="E1070" s="1" t="s">
        <v>5112</v>
      </c>
      <c r="F1070" s="4" t="s">
        <v>17</v>
      </c>
      <c r="G1070" s="1" t="s">
        <v>18</v>
      </c>
      <c r="H1070" s="1" t="s">
        <v>19</v>
      </c>
      <c r="I1070" s="1" t="s">
        <v>20</v>
      </c>
      <c r="J1070" s="1" t="s">
        <v>5113</v>
      </c>
      <c r="K1070" s="1" t="s">
        <v>22</v>
      </c>
      <c r="L1070" s="1" t="str">
        <f>HYPERLINK("https://files.afu.se/Downloads/Transcripts/0%20-%20Government/USA%20-%20NASA/2017 09 15 - NASA - Goodbye Cassini_bk4Bj9mtbAU - transcript (automated).pdf","Transcript Link")</f>
        <v>Transcript Link</v>
      </c>
      <c r="M1070" s="2" t="str">
        <f>HYPERLINK("https://files.afu.se/Downloads/Transcripts/0%20-%20Government/USA%20-%20NASA/2017 09 15 - NASA - Goodbye Cassini_bk4Bj9mtbAU - transcript (automated).pdf","Transcript Link")</f>
        <v>Transcript Link</v>
      </c>
    </row>
    <row r="1071" ht="180" spans="1:13">
      <c r="A1071" s="1" t="s">
        <v>5105</v>
      </c>
      <c r="B1071" s="1" t="s">
        <v>13</v>
      </c>
      <c r="C1071" s="4" t="s">
        <v>5114</v>
      </c>
      <c r="D1071" s="1" t="s">
        <v>5115</v>
      </c>
      <c r="E1071" s="1" t="s">
        <v>5116</v>
      </c>
      <c r="F1071" s="4" t="s">
        <v>17</v>
      </c>
      <c r="G1071" s="1" t="s">
        <v>18</v>
      </c>
      <c r="H1071" s="1" t="s">
        <v>19</v>
      </c>
      <c r="I1071" s="1" t="s">
        <v>20</v>
      </c>
      <c r="J1071" s="1" t="s">
        <v>5117</v>
      </c>
      <c r="K1071" s="1" t="s">
        <v>22</v>
      </c>
      <c r="L1071" s="1" t="str">
        <f>HYPERLINK("https://files.afu.se/Downloads/Transcripts/0%20-%20Government/USA%20-%20NASA/2017 09 15 - NASA - Cassini Post-End of Mission News Conference_rKneHOU7SFk - transcript (automated).pdf","Transcript Link")</f>
        <v>Transcript Link</v>
      </c>
      <c r="M1071" s="2" t="str">
        <f>HYPERLINK("https://files.afu.se/Downloads/Transcripts/0%20-%20Government/USA%20-%20NASA/2017 09 15 - NASA - Cassini Post-End of Mission News Conference_rKneHOU7SFk - transcript (automated).pdf","Transcript Link")</f>
        <v>Transcript Link</v>
      </c>
    </row>
    <row r="1072" ht="195" spans="1:13">
      <c r="A1072" s="1" t="s">
        <v>5105</v>
      </c>
      <c r="B1072" s="1" t="s">
        <v>13</v>
      </c>
      <c r="C1072" s="4" t="s">
        <v>5118</v>
      </c>
      <c r="D1072" s="1" t="s">
        <v>5119</v>
      </c>
      <c r="E1072" s="1" t="s">
        <v>5120</v>
      </c>
      <c r="F1072" s="4" t="s">
        <v>17</v>
      </c>
      <c r="G1072" s="1" t="s">
        <v>18</v>
      </c>
      <c r="H1072" s="1" t="s">
        <v>19</v>
      </c>
      <c r="I1072" s="1" t="s">
        <v>20</v>
      </c>
      <c r="J1072" s="1" t="s">
        <v>5121</v>
      </c>
      <c r="K1072" s="1" t="s">
        <v>22</v>
      </c>
      <c r="L1072" s="1" t="str">
        <f>HYPERLINK("https://files.afu.se/Downloads/Transcripts/0%20-%20Government/USA%20-%20NASA/2017 09 15 - NASA - Cassini End of Mission Commentary_B2XQLHDtkqw - transcript (automated).pdf","Transcript Link")</f>
        <v>Transcript Link</v>
      </c>
      <c r="M1072" s="2" t="str">
        <f>HYPERLINK("https://files.afu.se/Downloads/Transcripts/0%20-%20Government/USA%20-%20NASA/2017 09 15 - NASA - Cassini End of Mission Commentary_B2XQLHDtkqw - transcript (automated).pdf","Transcript Link")</f>
        <v>Transcript Link</v>
      </c>
    </row>
    <row r="1073" ht="165" spans="1:13">
      <c r="A1073" s="1" t="s">
        <v>5122</v>
      </c>
      <c r="B1073" s="1" t="s">
        <v>13</v>
      </c>
      <c r="C1073" s="4" t="s">
        <v>5123</v>
      </c>
      <c r="D1073" s="1" t="s">
        <v>5124</v>
      </c>
      <c r="E1073" s="1" t="s">
        <v>5125</v>
      </c>
      <c r="F1073" s="4" t="s">
        <v>17</v>
      </c>
      <c r="G1073" s="1" t="s">
        <v>18</v>
      </c>
      <c r="H1073" s="1" t="s">
        <v>19</v>
      </c>
      <c r="I1073" s="1" t="s">
        <v>20</v>
      </c>
      <c r="J1073" s="1" t="s">
        <v>5126</v>
      </c>
      <c r="K1073" s="1" t="s">
        <v>22</v>
      </c>
      <c r="L1073" s="1" t="str">
        <f>HYPERLINK("https://files.afu.se/Downloads/Transcripts/0%20-%20Government/USA%20-%20NASA/2017 09 14 - NASA - NASA Previews Cassini End of Mission Activities_2zy0dUu8eoo - transcript (automated).pdf","Transcript Link")</f>
        <v>Transcript Link</v>
      </c>
      <c r="M1073" s="2" t="str">
        <f>HYPERLINK("https://files.afu.se/Downloads/Transcripts/0%20-%20Government/USA%20-%20NASA/2017 09 14 - NASA - NASA Previews Cassini End of Mission Activities_2zy0dUu8eoo - transcript (automated).pdf","Transcript Link")</f>
        <v>Transcript Link</v>
      </c>
    </row>
    <row r="1074" ht="210" spans="1:13">
      <c r="A1074" s="1" t="s">
        <v>5127</v>
      </c>
      <c r="B1074" s="1" t="s">
        <v>13</v>
      </c>
      <c r="C1074" s="4" t="s">
        <v>5128</v>
      </c>
      <c r="D1074" s="1" t="s">
        <v>5129</v>
      </c>
      <c r="E1074" s="1" t="s">
        <v>5130</v>
      </c>
      <c r="F1074" s="4" t="s">
        <v>17</v>
      </c>
      <c r="G1074" s="1" t="s">
        <v>18</v>
      </c>
      <c r="H1074" s="1" t="s">
        <v>19</v>
      </c>
      <c r="I1074" s="1" t="s">
        <v>20</v>
      </c>
      <c r="J1074" s="1" t="s">
        <v>5131</v>
      </c>
      <c r="K1074" s="1" t="s">
        <v>22</v>
      </c>
      <c r="L1074" s="1" t="str">
        <f>HYPERLINK("https://files.afu.se/Downloads/Transcripts/0%20-%20Government/USA%20-%20NASA/2017 09 13 - NASA - Expedition 53-54 Crew Safely Onboard the Space Station_w7F1GIyAru4 - transcript (automated).pdf","Transcript Link")</f>
        <v>Transcript Link</v>
      </c>
      <c r="M1074" s="2" t="str">
        <f>HYPERLINK("https://files.afu.se/Downloads/Transcripts/0%20-%20Government/USA%20-%20NASA/2017 09 13 - NASA - Expedition 53-54 Crew Safely Onboard the Space Station_w7F1GIyAru4 - transcript (automated).pdf","Transcript Link")</f>
        <v>Transcript Link</v>
      </c>
    </row>
    <row r="1075" ht="180" spans="1:13">
      <c r="A1075" s="1" t="s">
        <v>5127</v>
      </c>
      <c r="B1075" s="1" t="s">
        <v>13</v>
      </c>
      <c r="C1075" s="4" t="s">
        <v>5132</v>
      </c>
      <c r="D1075" s="1" t="s">
        <v>5133</v>
      </c>
      <c r="E1075" s="1" t="s">
        <v>5134</v>
      </c>
      <c r="F1075" s="4" t="s">
        <v>17</v>
      </c>
      <c r="G1075" s="1" t="s">
        <v>18</v>
      </c>
      <c r="H1075" s="1" t="s">
        <v>19</v>
      </c>
      <c r="I1075" s="1" t="s">
        <v>20</v>
      </c>
      <c r="J1075" s="1" t="s">
        <v>5135</v>
      </c>
      <c r="K1075" s="1" t="s">
        <v>22</v>
      </c>
      <c r="L1075" s="1" t="str">
        <f>HYPERLINK("https://files.afu.se/Downloads/Transcripts/0%20-%20Government/USA%20-%20NASA/2017 09 13 - NASA - Expedition 53-54 Crew Docks to the Space Station_GT_s3amuO8o - transcript (automated).pdf","Transcript Link")</f>
        <v>Transcript Link</v>
      </c>
      <c r="M1075" s="2" t="str">
        <f>HYPERLINK("https://files.afu.se/Downloads/Transcripts/0%20-%20Government/USA%20-%20NASA/2017 09 13 - NASA - Expedition 53-54 Crew Docks to the Space Station_GT_s3amuO8o - transcript (automated).pdf","Transcript Link")</f>
        <v>Transcript Link</v>
      </c>
    </row>
    <row r="1076" ht="240" spans="1:13">
      <c r="A1076" s="1" t="s">
        <v>5127</v>
      </c>
      <c r="B1076" s="1" t="s">
        <v>13</v>
      </c>
      <c r="C1076" s="4" t="s">
        <v>5136</v>
      </c>
      <c r="D1076" s="1" t="s">
        <v>5137</v>
      </c>
      <c r="E1076" s="1" t="s">
        <v>5138</v>
      </c>
      <c r="F1076" s="4" t="s">
        <v>17</v>
      </c>
      <c r="G1076" s="1" t="s">
        <v>18</v>
      </c>
      <c r="H1076" s="1" t="s">
        <v>19</v>
      </c>
      <c r="I1076" s="1" t="s">
        <v>20</v>
      </c>
      <c r="J1076" s="1" t="s">
        <v>5139</v>
      </c>
      <c r="K1076" s="1" t="s">
        <v>22</v>
      </c>
      <c r="L1076" s="1" t="str">
        <f>HYPERLINK("https://files.afu.se/Downloads/Transcripts/0%20-%20Government/USA%20-%20NASA/2017 09 13 - NASA - New Soyuz Crew Launches to the International Space Station_d3S7iy_4pvs - transcript (automated).pdf","Transcript Link")</f>
        <v>Transcript Link</v>
      </c>
      <c r="M1076" s="2" t="str">
        <f>HYPERLINK("https://files.afu.se/Downloads/Transcripts/0%20-%20Government/USA%20-%20NASA/2017 09 13 - NASA - New Soyuz Crew Launches to the International Space Station_d3S7iy_4pvs - transcript (automated).pdf","Transcript Link")</f>
        <v>Transcript Link</v>
      </c>
    </row>
    <row r="1077" ht="225" spans="1:13">
      <c r="A1077" s="1" t="s">
        <v>5140</v>
      </c>
      <c r="B1077" s="1" t="s">
        <v>13</v>
      </c>
      <c r="C1077" s="4" t="s">
        <v>5141</v>
      </c>
      <c r="D1077" s="1" t="s">
        <v>5142</v>
      </c>
      <c r="E1077" s="1" t="s">
        <v>5143</v>
      </c>
      <c r="F1077" s="4" t="s">
        <v>17</v>
      </c>
      <c r="G1077" s="1" t="s">
        <v>18</v>
      </c>
      <c r="H1077" s="1" t="s">
        <v>19</v>
      </c>
      <c r="I1077" s="1" t="s">
        <v>20</v>
      </c>
      <c r="J1077" s="1" t="s">
        <v>5144</v>
      </c>
      <c r="K1077" s="1" t="s">
        <v>22</v>
      </c>
      <c r="L1077" s="1" t="str">
        <f>HYPERLINK("https://files.afu.se/Downloads/Transcripts/0%20-%20Government/USA%20-%20NASA/2017 09 11 - NASA - NASA Astronauts Back From Space, Talk with Media_Rj8LfEpw_o0 - transcript (automated).pdf","Transcript Link")</f>
        <v>Transcript Link</v>
      </c>
      <c r="M1077" s="2" t="str">
        <f>HYPERLINK("https://files.afu.se/Downloads/Transcripts/0%20-%20Government/USA%20-%20NASA/2017 09 11 - NASA - NASA Astronauts Back From Space, Talk with Media_Rj8LfEpw_o0 - transcript (automated).pdf","Transcript Link")</f>
        <v>Transcript Link</v>
      </c>
    </row>
    <row r="1078" ht="255" spans="1:13">
      <c r="A1078" s="1" t="s">
        <v>5145</v>
      </c>
      <c r="B1078" s="1" t="s">
        <v>13</v>
      </c>
      <c r="C1078" s="4" t="s">
        <v>5146</v>
      </c>
      <c r="D1078" s="1" t="s">
        <v>5147</v>
      </c>
      <c r="E1078" s="1" t="s">
        <v>5148</v>
      </c>
      <c r="F1078" s="4" t="s">
        <v>17</v>
      </c>
      <c r="G1078" s="1" t="s">
        <v>18</v>
      </c>
      <c r="H1078" s="1" t="s">
        <v>19</v>
      </c>
      <c r="I1078" s="1" t="s">
        <v>20</v>
      </c>
      <c r="J1078" s="1" t="s">
        <v>5149</v>
      </c>
      <c r="K1078" s="1" t="s">
        <v>22</v>
      </c>
      <c r="L1078" s="1" t="str">
        <f>HYPERLINK("https://files.afu.se/Downloads/Transcripts/0%20-%20Government/USA%20-%20NASA/2017 09 10 - NASA - Expedition 53-54 Soyuz Spacecraft Prepared for Launch in Kazakhstan_K06H50XKcqw - transcript (automated).pdf","Transcript Link")</f>
        <v>Transcript Link</v>
      </c>
      <c r="M1078" s="2" t="str">
        <f>HYPERLINK("https://files.afu.se/Downloads/Transcripts/0%20-%20Government/USA%20-%20NASA/2017 09 10 - NASA - Expedition 53-54 Soyuz Spacecraft Prepared for Launch in Kazakhstan_K06H50XKcqw - transcript (automated).pdf","Transcript Link")</f>
        <v>Transcript Link</v>
      </c>
    </row>
    <row r="1079" ht="240" spans="1:13">
      <c r="A1079" s="1" t="s">
        <v>5150</v>
      </c>
      <c r="B1079" s="1" t="s">
        <v>13</v>
      </c>
      <c r="C1079" s="4" t="s">
        <v>5151</v>
      </c>
      <c r="D1079" s="1" t="s">
        <v>5152</v>
      </c>
      <c r="E1079" s="1" t="s">
        <v>5153</v>
      </c>
      <c r="F1079" s="4" t="s">
        <v>17</v>
      </c>
      <c r="G1079" s="1" t="s">
        <v>18</v>
      </c>
      <c r="H1079" s="1" t="s">
        <v>19</v>
      </c>
      <c r="I1079" s="1" t="s">
        <v>20</v>
      </c>
      <c r="J1079" s="1" t="s">
        <v>5154</v>
      </c>
      <c r="K1079" s="1" t="s">
        <v>22</v>
      </c>
      <c r="L1079" s="1" t="str">
        <f>HYPERLINK("https://files.afu.se/Downloads/Transcripts/0%20-%20Government/USA%20-%20NASA/2017 09 08 - NASA - Irma Tracked from Space on This Week @NASA – September 8, 2017_1LL24zQMYJM - transcript (automated).pdf","Transcript Link")</f>
        <v>Transcript Link</v>
      </c>
      <c r="M1079" s="2" t="str">
        <f>HYPERLINK("https://files.afu.se/Downloads/Transcripts/0%20-%20Government/USA%20-%20NASA/2017 09 08 - NASA - Irma Tracked from Space on This Week @NASA – September 8, 2017_1LL24zQMYJM - transcript (automated).pdf","Transcript Link")</f>
        <v>Transcript Link</v>
      </c>
    </row>
    <row r="1080" ht="195" spans="1:13">
      <c r="A1080" s="1" t="s">
        <v>5155</v>
      </c>
      <c r="B1080" s="1" t="s">
        <v>13</v>
      </c>
      <c r="C1080" s="4" t="s">
        <v>5156</v>
      </c>
      <c r="D1080" s="1" t="s">
        <v>5157</v>
      </c>
      <c r="E1080" s="1" t="s">
        <v>5158</v>
      </c>
      <c r="F1080" s="4" t="s">
        <v>17</v>
      </c>
      <c r="G1080" s="1" t="s">
        <v>18</v>
      </c>
      <c r="H1080" s="1" t="s">
        <v>19</v>
      </c>
      <c r="I1080" s="1" t="s">
        <v>20</v>
      </c>
      <c r="J1080" s="1" t="s">
        <v>5159</v>
      </c>
      <c r="K1080" s="1" t="s">
        <v>22</v>
      </c>
      <c r="L1080" s="1" t="str">
        <f>HYPERLINK("https://files.afu.se/Downloads/Transcripts/0%20-%20Government/USA%20-%20NASA/2017 09 07 - NASA - Expedition 53-54 Crew Prepares for Launch in Kazakhstan_b4g8daHqNp4 - transcript (automated).pdf","Transcript Link")</f>
        <v>Transcript Link</v>
      </c>
      <c r="M1080" s="2" t="str">
        <f>HYPERLINK("https://files.afu.se/Downloads/Transcripts/0%20-%20Government/USA%20-%20NASA/2017 09 07 - NASA - Expedition 53-54 Crew Prepares for Launch in Kazakhstan_b4g8daHqNp4 - transcript (automated).pdf","Transcript Link")</f>
        <v>Transcript Link</v>
      </c>
    </row>
    <row r="1081" ht="165" spans="1:13">
      <c r="A1081" s="1" t="s">
        <v>5155</v>
      </c>
      <c r="B1081" s="1" t="s">
        <v>13</v>
      </c>
      <c r="C1081" s="4" t="s">
        <v>5160</v>
      </c>
      <c r="D1081" s="1" t="s">
        <v>5161</v>
      </c>
      <c r="E1081" s="1" t="s">
        <v>5162</v>
      </c>
      <c r="F1081" s="4" t="s">
        <v>17</v>
      </c>
      <c r="G1081" s="1" t="s">
        <v>18</v>
      </c>
      <c r="H1081" s="1" t="s">
        <v>19</v>
      </c>
      <c r="I1081" s="1" t="s">
        <v>20</v>
      </c>
      <c r="J1081" s="1" t="s">
        <v>5163</v>
      </c>
      <c r="K1081" s="1" t="s">
        <v>22</v>
      </c>
      <c r="L1081" s="1" t="str">
        <f>HYPERLINK("https://files.afu.se/Downloads/Transcripts/0%20-%20Government/USA%20-%20NASA/2017 09 07 - NASA - Highlights from Voyager's 40th Anniversary_D4m3BOtAaj0 - transcript (automated).pdf","Transcript Link")</f>
        <v>Transcript Link</v>
      </c>
      <c r="M1081" s="2" t="str">
        <f>HYPERLINK("https://files.afu.se/Downloads/Transcripts/0%20-%20Government/USA%20-%20NASA/2017 09 07 - NASA - Highlights from Voyager's 40th Anniversary_D4m3BOtAaj0 - transcript (automated).pdf","Transcript Link")</f>
        <v>Transcript Link</v>
      </c>
    </row>
    <row r="1082" ht="330" spans="1:13">
      <c r="A1082" s="1" t="s">
        <v>5164</v>
      </c>
      <c r="B1082" s="1" t="s">
        <v>13</v>
      </c>
      <c r="C1082" s="4" t="s">
        <v>5165</v>
      </c>
      <c r="D1082" s="1" t="s">
        <v>5166</v>
      </c>
      <c r="E1082" s="1" t="s">
        <v>5167</v>
      </c>
      <c r="F1082" s="4" t="s">
        <v>17</v>
      </c>
      <c r="G1082" s="1" t="s">
        <v>18</v>
      </c>
      <c r="H1082" s="1" t="s">
        <v>19</v>
      </c>
      <c r="I1082" s="1" t="s">
        <v>20</v>
      </c>
      <c r="J1082" s="1" t="s">
        <v>5168</v>
      </c>
      <c r="K1082" s="1" t="s">
        <v>22</v>
      </c>
      <c r="L1082" s="1" t="str">
        <f>HYPERLINK("https://files.afu.se/Downloads/Transcripts/0%20-%20Government/USA%20-%20NASA/2017 09 06 - NASA - Expedition 53-54 Training and Prelaunch Activities Aug. 28 - Sept. 6_2FEnuXVVL0Q - transcript (automated).pdf","Transcript Link")</f>
        <v>Transcript Link</v>
      </c>
      <c r="M1082" s="2" t="str">
        <f>HYPERLINK("https://files.afu.se/Downloads/Transcripts/0%20-%20Government/USA%20-%20NASA/2017 09 06 - NASA - Expedition 53-54 Training and Prelaunch Activities Aug. 28 - Sept. 6_2FEnuXVVL0Q - transcript (automated).pdf","Transcript Link")</f>
        <v>Transcript Link</v>
      </c>
    </row>
    <row r="1083" ht="210" spans="1:13">
      <c r="A1083" s="1" t="s">
        <v>5164</v>
      </c>
      <c r="B1083" s="1" t="s">
        <v>13</v>
      </c>
      <c r="C1083" s="4" t="s">
        <v>5169</v>
      </c>
      <c r="D1083" s="1" t="s">
        <v>5170</v>
      </c>
      <c r="E1083" s="1" t="s">
        <v>5171</v>
      </c>
      <c r="F1083" s="4" t="s">
        <v>17</v>
      </c>
      <c r="G1083" s="1" t="s">
        <v>18</v>
      </c>
      <c r="H1083" s="1" t="s">
        <v>19</v>
      </c>
      <c r="I1083" s="1" t="s">
        <v>20</v>
      </c>
      <c r="J1083" s="1" t="s">
        <v>5172</v>
      </c>
      <c r="K1083" s="1" t="s">
        <v>22</v>
      </c>
      <c r="L1083" s="1" t="str">
        <f>HYPERLINK("https://files.afu.se/Downloads/Transcripts/0%20-%20Government/USA%20-%20NASA/2017 09 06 - NASA - Expedition 52 Crew Receives Warm Welcome in Kazakhstan and Star City_s_bbZHIVkmY - transcript (automated).pdf","Transcript Link")</f>
        <v>Transcript Link</v>
      </c>
      <c r="M1083" s="2" t="str">
        <f>HYPERLINK("https://files.afu.se/Downloads/Transcripts/0%20-%20Government/USA%20-%20NASA/2017 09 06 - NASA - Expedition 52 Crew Receives Warm Welcome in Kazakhstan and Star City_s_bbZHIVkmY - transcript (automated).pdf","Transcript Link")</f>
        <v>Transcript Link</v>
      </c>
    </row>
    <row r="1084" ht="195" spans="1:13">
      <c r="A1084" s="1" t="s">
        <v>5173</v>
      </c>
      <c r="B1084" s="1" t="s">
        <v>13</v>
      </c>
      <c r="C1084" s="4" t="s">
        <v>5174</v>
      </c>
      <c r="D1084" s="1" t="s">
        <v>5175</v>
      </c>
      <c r="E1084" s="1" t="s">
        <v>5176</v>
      </c>
      <c r="F1084" s="4" t="s">
        <v>17</v>
      </c>
      <c r="G1084" s="1" t="s">
        <v>18</v>
      </c>
      <c r="H1084" s="1" t="s">
        <v>19</v>
      </c>
      <c r="I1084" s="1" t="s">
        <v>20</v>
      </c>
      <c r="J1084" s="1" t="s">
        <v>5177</v>
      </c>
      <c r="K1084" s="1" t="s">
        <v>22</v>
      </c>
      <c r="L1084" s="1" t="str">
        <f>HYPERLINK("https://files.afu.se/Downloads/Transcripts/0%20-%20Government/USA%20-%20NASA/2017 09 05 - NASA - 40th Anniversary of Voyager_ZmcZZbfb0EY - transcript (automated).pdf","Transcript Link")</f>
        <v>Transcript Link</v>
      </c>
      <c r="M1084" s="2" t="str">
        <f>HYPERLINK("https://files.afu.se/Downloads/Transcripts/0%20-%20Government/USA%20-%20NASA/2017 09 05 - NASA - 40th Anniversary of Voyager_ZmcZZbfb0EY - transcript (automated).pdf","Transcript Link")</f>
        <v>Transcript Link</v>
      </c>
    </row>
    <row r="1085" ht="255" spans="1:13">
      <c r="A1085" s="1" t="s">
        <v>5178</v>
      </c>
      <c r="B1085" s="1" t="s">
        <v>13</v>
      </c>
      <c r="C1085" s="4" t="s">
        <v>5179</v>
      </c>
      <c r="D1085" s="1" t="s">
        <v>5180</v>
      </c>
      <c r="E1085" s="1" t="s">
        <v>5181</v>
      </c>
      <c r="F1085" s="4" t="s">
        <v>17</v>
      </c>
      <c r="G1085" s="1" t="s">
        <v>18</v>
      </c>
      <c r="H1085" s="1" t="s">
        <v>19</v>
      </c>
      <c r="I1085" s="1" t="s">
        <v>20</v>
      </c>
      <c r="J1085" s="1" t="s">
        <v>5182</v>
      </c>
      <c r="K1085" s="1" t="s">
        <v>22</v>
      </c>
      <c r="L1085" s="1" t="str">
        <f>HYPERLINK("https://files.afu.se/Downloads/Transcripts/0%20-%20Government/USA%20-%20NASA/2017 09 03 - NASA - Expedition 52 Crew Lands Safely in Kazakhstan_dSXffXSSHRM - transcript (automated).pdf","Transcript Link")</f>
        <v>Transcript Link</v>
      </c>
      <c r="M1085" s="2" t="str">
        <f>HYPERLINK("https://files.afu.se/Downloads/Transcripts/0%20-%20Government/USA%20-%20NASA/2017 09 03 - NASA - Expedition 52 Crew Lands Safely in Kazakhstan_dSXffXSSHRM - transcript (automated).pdf","Transcript Link")</f>
        <v>Transcript Link</v>
      </c>
    </row>
    <row r="1086" ht="165" spans="1:13">
      <c r="A1086" s="1" t="s">
        <v>5183</v>
      </c>
      <c r="B1086" s="1" t="s">
        <v>13</v>
      </c>
      <c r="C1086" s="4" t="s">
        <v>5184</v>
      </c>
      <c r="D1086" s="1" t="s">
        <v>5185</v>
      </c>
      <c r="E1086" s="1" t="s">
        <v>5186</v>
      </c>
      <c r="F1086" s="4" t="s">
        <v>17</v>
      </c>
      <c r="G1086" s="1" t="s">
        <v>18</v>
      </c>
      <c r="H1086" s="1" t="s">
        <v>19</v>
      </c>
      <c r="I1086" s="1" t="s">
        <v>20</v>
      </c>
      <c r="J1086" s="1" t="s">
        <v>5187</v>
      </c>
      <c r="K1086" s="1" t="s">
        <v>22</v>
      </c>
      <c r="L1086" s="1" t="str">
        <f>HYPERLINK("https://files.afu.se/Downloads/Transcripts/0%20-%20Government/USA%20-%20NASA/2017 09 02 - NASA - Job Well Done aboard the Space Station_qBRmfjc0EDY - transcript (automated).pdf","Transcript Link")</f>
        <v>Transcript Link</v>
      </c>
      <c r="M1086" s="2" t="str">
        <f>HYPERLINK("https://files.afu.se/Downloads/Transcripts/0%20-%20Government/USA%20-%20NASA/2017 09 02 - NASA - Job Well Done aboard the Space Station_qBRmfjc0EDY - transcript (automated).pdf","Transcript Link")</f>
        <v>Transcript Link</v>
      </c>
    </row>
    <row r="1087" ht="210" spans="1:13">
      <c r="A1087" s="1" t="s">
        <v>5183</v>
      </c>
      <c r="B1087" s="1" t="s">
        <v>13</v>
      </c>
      <c r="C1087" s="4" t="s">
        <v>5188</v>
      </c>
      <c r="D1087" s="1" t="s">
        <v>5189</v>
      </c>
      <c r="E1087" s="1" t="s">
        <v>5190</v>
      </c>
      <c r="F1087" s="4" t="s">
        <v>17</v>
      </c>
      <c r="G1087" s="1" t="s">
        <v>18</v>
      </c>
      <c r="H1087" s="1" t="s">
        <v>19</v>
      </c>
      <c r="I1087" s="1" t="s">
        <v>20</v>
      </c>
      <c r="J1087" s="1" t="s">
        <v>5191</v>
      </c>
      <c r="K1087" s="1" t="s">
        <v>22</v>
      </c>
      <c r="L1087" s="1" t="str">
        <f>HYPERLINK("https://files.afu.se/Downloads/Transcripts/0%20-%20Government/USA%20-%20NASA/2017 09 02 - NASA - Change of Command aboard the Space Station_7AGVxYhcA4M - transcript (automated).pdf","Transcript Link")</f>
        <v>Transcript Link</v>
      </c>
      <c r="M1087" s="2" t="str">
        <f>HYPERLINK("https://files.afu.se/Downloads/Transcripts/0%20-%20Government/USA%20-%20NASA/2017 09 02 - NASA - Change of Command aboard the Space Station_7AGVxYhcA4M - transcript (automated).pdf","Transcript Link")</f>
        <v>Transcript Link</v>
      </c>
    </row>
    <row r="1088" ht="330" spans="1:13">
      <c r="A1088" s="1" t="s">
        <v>5192</v>
      </c>
      <c r="B1088" s="1" t="s">
        <v>13</v>
      </c>
      <c r="C1088" s="4" t="s">
        <v>5193</v>
      </c>
      <c r="D1088" s="1" t="s">
        <v>5194</v>
      </c>
      <c r="E1088" s="1" t="s">
        <v>5195</v>
      </c>
      <c r="F1088" s="4" t="s">
        <v>17</v>
      </c>
      <c r="G1088" s="1" t="s">
        <v>18</v>
      </c>
      <c r="H1088" s="1" t="s">
        <v>19</v>
      </c>
      <c r="I1088" s="1" t="s">
        <v>20</v>
      </c>
      <c r="J1088" s="1" t="s">
        <v>5196</v>
      </c>
      <c r="K1088" s="1" t="s">
        <v>22</v>
      </c>
      <c r="L1088" s="1" t="str">
        <f>HYPERLINK("https://files.afu.se/Downloads/Transcripts/0%20-%20Government/USA%20-%20NASA/2017 09 01 - NASA - Catastrophic Storm Seen from Space on This Week @NASA – September 1, 2017_E_H3RdpyjE0 - transcript (automated).pdf","Transcript Link")</f>
        <v>Transcript Link</v>
      </c>
      <c r="M1088" s="2" t="str">
        <f>HYPERLINK("https://files.afu.se/Downloads/Transcripts/0%20-%20Government/USA%20-%20NASA/2017 09 01 - NASA - Catastrophic Storm Seen from Space on This Week @NASA – September 1, 2017_E_H3RdpyjE0 - transcript (automated).pdf","Transcript Link")</f>
        <v>Transcript Link</v>
      </c>
    </row>
    <row r="1089" ht="315" spans="1:13">
      <c r="A1089" s="1" t="s">
        <v>5197</v>
      </c>
      <c r="B1089" s="1" t="s">
        <v>13</v>
      </c>
      <c r="C1089" s="4" t="s">
        <v>5198</v>
      </c>
      <c r="D1089" s="1" t="s">
        <v>5199</v>
      </c>
      <c r="E1089" s="1" t="s">
        <v>5200</v>
      </c>
      <c r="F1089" s="4" t="s">
        <v>17</v>
      </c>
      <c r="G1089" s="1" t="s">
        <v>18</v>
      </c>
      <c r="H1089" s="1" t="s">
        <v>19</v>
      </c>
      <c r="I1089" s="1" t="s">
        <v>20</v>
      </c>
      <c r="J1089" s="1" t="s">
        <v>5201</v>
      </c>
      <c r="K1089" s="1" t="s">
        <v>22</v>
      </c>
      <c r="L1089" s="1" t="str">
        <f>HYPERLINK("https://files.afu.se/Downloads/Transcripts/0%20-%20Government/USA%20-%20NASA/2017 08 31 - NASA - Voyager 1 Trajectory through the Solar System_qYNIsgDrIRE - transcript (automated).pdf","Transcript Link")</f>
        <v>Transcript Link</v>
      </c>
      <c r="M1089" s="2" t="str">
        <f>HYPERLINK("https://files.afu.se/Downloads/Transcripts/0%20-%20Government/USA%20-%20NASA/2017 08 31 - NASA - Voyager 1 Trajectory through the Solar System_qYNIsgDrIRE - transcript (automated).pdf","Transcript Link")</f>
        <v>Transcript Link</v>
      </c>
    </row>
    <row r="1090" ht="360" spans="1:13">
      <c r="A1090" s="1" t="s">
        <v>5197</v>
      </c>
      <c r="B1090" s="1" t="s">
        <v>13</v>
      </c>
      <c r="C1090" s="4" t="s">
        <v>5202</v>
      </c>
      <c r="D1090" s="1" t="s">
        <v>5203</v>
      </c>
      <c r="E1090" s="1" t="s">
        <v>5204</v>
      </c>
      <c r="F1090" s="4" t="s">
        <v>17</v>
      </c>
      <c r="G1090" s="1" t="s">
        <v>18</v>
      </c>
      <c r="H1090" s="1" t="s">
        <v>19</v>
      </c>
      <c r="I1090" s="1" t="s">
        <v>20</v>
      </c>
      <c r="J1090" s="1" t="s">
        <v>5205</v>
      </c>
      <c r="K1090" s="1" t="s">
        <v>22</v>
      </c>
      <c r="L1090" s="1" t="str">
        <f>HYPERLINK("https://files.afu.se/Downloads/Transcripts/0%20-%20Government/USA%20-%20NASA/2017 08 31 - NASA - Voyager 2 Trajectory through the Solar System_l8TA7BU2Bvo - transcript (automated).pdf","Transcript Link")</f>
        <v>Transcript Link</v>
      </c>
      <c r="M1090" s="2" t="str">
        <f>HYPERLINK("https://files.afu.se/Downloads/Transcripts/0%20-%20Government/USA%20-%20NASA/2017 08 31 - NASA - Voyager 2 Trajectory through the Solar System_l8TA7BU2Bvo - transcript (automated).pdf","Transcript Link")</f>
        <v>Transcript Link</v>
      </c>
    </row>
    <row r="1091" ht="240" spans="1:13">
      <c r="A1091" s="1" t="s">
        <v>5206</v>
      </c>
      <c r="B1091" s="1" t="s">
        <v>13</v>
      </c>
      <c r="C1091" s="4" t="s">
        <v>5207</v>
      </c>
      <c r="D1091" s="1" t="s">
        <v>5208</v>
      </c>
      <c r="E1091" s="1" t="s">
        <v>5209</v>
      </c>
      <c r="F1091" s="4" t="s">
        <v>17</v>
      </c>
      <c r="G1091" s="1" t="s">
        <v>18</v>
      </c>
      <c r="H1091" s="1" t="s">
        <v>19</v>
      </c>
      <c r="I1091" s="1" t="s">
        <v>20</v>
      </c>
      <c r="J1091" s="1" t="s">
        <v>5210</v>
      </c>
      <c r="K1091" s="1" t="s">
        <v>22</v>
      </c>
      <c r="L1091" s="1" t="str">
        <f>HYPERLINK("https://files.afu.se/Downloads/Transcripts/0%20-%20Government/USA%20-%20NASA/2017 08 30 - NASA - Final RS-25 Engine Test of the Summer_g5BvriNNb64 - transcript (automated).pdf","Transcript Link")</f>
        <v>Transcript Link</v>
      </c>
      <c r="M1091" s="2" t="str">
        <f>HYPERLINK("https://files.afu.se/Downloads/Transcripts/0%20-%20Government/USA%20-%20NASA/2017 08 30 - NASA - Final RS-25 Engine Test of the Summer_g5BvriNNb64 - transcript (automated).pdf","Transcript Link")</f>
        <v>Transcript Link</v>
      </c>
    </row>
    <row r="1092" ht="165" spans="1:13">
      <c r="A1092" s="1" t="s">
        <v>5211</v>
      </c>
      <c r="B1092" s="1" t="s">
        <v>13</v>
      </c>
      <c r="C1092" s="4" t="s">
        <v>5212</v>
      </c>
      <c r="D1092" s="1" t="s">
        <v>5213</v>
      </c>
      <c r="E1092" s="1" t="s">
        <v>5214</v>
      </c>
      <c r="F1092" s="4" t="s">
        <v>17</v>
      </c>
      <c r="G1092" s="1" t="s">
        <v>18</v>
      </c>
      <c r="H1092" s="1" t="s">
        <v>19</v>
      </c>
      <c r="I1092" s="1" t="s">
        <v>20</v>
      </c>
      <c r="J1092" s="1" t="s">
        <v>5215</v>
      </c>
      <c r="K1092" s="1" t="s">
        <v>22</v>
      </c>
      <c r="L1092" s="1" t="str">
        <f>HYPERLINK("https://files.afu.se/Downloads/Transcripts/0%20-%20Government/USA%20-%20NASA/2017 08 25 - NASA - Space Station Cameras Peer down on Major Hurricane Harvey_WjxZd7fPSVI - transcript (automated).pdf","Transcript Link")</f>
        <v>Transcript Link</v>
      </c>
      <c r="M1092" s="2" t="str">
        <f>HYPERLINK("https://files.afu.se/Downloads/Transcripts/0%20-%20Government/USA%20-%20NASA/2017 08 25 - NASA - Space Station Cameras Peer down on Major Hurricane Harvey_WjxZd7fPSVI - transcript (automated).pdf","Transcript Link")</f>
        <v>Transcript Link</v>
      </c>
    </row>
    <row r="1093" ht="270" spans="1:13">
      <c r="A1093" s="1" t="s">
        <v>5211</v>
      </c>
      <c r="B1093" s="1" t="s">
        <v>13</v>
      </c>
      <c r="C1093" s="4" t="s">
        <v>5216</v>
      </c>
      <c r="D1093" s="1" t="s">
        <v>5217</v>
      </c>
      <c r="E1093" s="1" t="s">
        <v>5218</v>
      </c>
      <c r="F1093" s="4" t="s">
        <v>17</v>
      </c>
      <c r="G1093" s="1" t="s">
        <v>18</v>
      </c>
      <c r="H1093" s="1" t="s">
        <v>19</v>
      </c>
      <c r="I1093" s="1" t="s">
        <v>20</v>
      </c>
      <c r="J1093" s="1" t="s">
        <v>5219</v>
      </c>
      <c r="K1093" s="1" t="s">
        <v>22</v>
      </c>
      <c r="L1093" s="1" t="str">
        <f>HYPERLINK("https://files.afu.se/Downloads/Transcripts/0%20-%20Government/USA%20-%20NASA/2017 08 25 - NASA - Eclipse Across America on This Week @NASA – August 25, 2017_xBMAI7hZS1s - transcript (automated).pdf","Transcript Link")</f>
        <v>Transcript Link</v>
      </c>
      <c r="M1093" s="2" t="str">
        <f>HYPERLINK("https://files.afu.se/Downloads/Transcripts/0%20-%20Government/USA%20-%20NASA/2017 08 25 - NASA - Eclipse Across America on This Week @NASA – August 25, 2017_xBMAI7hZS1s - transcript (automated).pdf","Transcript Link")</f>
        <v>Transcript Link</v>
      </c>
    </row>
    <row r="1094" ht="210" spans="1:13">
      <c r="A1094" s="1" t="s">
        <v>5220</v>
      </c>
      <c r="B1094" s="1" t="s">
        <v>13</v>
      </c>
      <c r="C1094" s="4" t="s">
        <v>5221</v>
      </c>
      <c r="D1094" s="1" t="s">
        <v>5222</v>
      </c>
      <c r="E1094" s="1" t="s">
        <v>5223</v>
      </c>
      <c r="F1094" s="4" t="s">
        <v>17</v>
      </c>
      <c r="G1094" s="1" t="s">
        <v>18</v>
      </c>
      <c r="H1094" s="1" t="s">
        <v>19</v>
      </c>
      <c r="I1094" s="1" t="s">
        <v>20</v>
      </c>
      <c r="J1094" s="1" t="s">
        <v>5224</v>
      </c>
      <c r="K1094" s="1" t="s">
        <v>22</v>
      </c>
      <c r="L1094" s="1" t="str">
        <f>HYPERLINK("https://files.afu.se/Downloads/Transcripts/0%20-%20Government/USA%20-%20NASA/2017 08 24 - NASA - Space Station Camera Captures New Views of Hurricane Harvey_3gDkDpzB8Zo - transcript (automated).pdf","Transcript Link")</f>
        <v>Transcript Link</v>
      </c>
      <c r="M1094" s="2" t="str">
        <f>HYPERLINK("https://files.afu.se/Downloads/Transcripts/0%20-%20Government/USA%20-%20NASA/2017 08 24 - NASA - Space Station Camera Captures New Views of Hurricane Harvey_3gDkDpzB8Zo - transcript (automated).pdf","Transcript Link")</f>
        <v>Transcript Link</v>
      </c>
    </row>
    <row r="1095" ht="409.5" spans="1:13">
      <c r="A1095" s="1" t="s">
        <v>5220</v>
      </c>
      <c r="B1095" s="1" t="s">
        <v>13</v>
      </c>
      <c r="C1095" s="4" t="s">
        <v>5225</v>
      </c>
      <c r="D1095" s="1" t="s">
        <v>5226</v>
      </c>
      <c r="E1095" s="1" t="s">
        <v>5227</v>
      </c>
      <c r="F1095" s="4" t="s">
        <v>17</v>
      </c>
      <c r="G1095" s="1" t="s">
        <v>18</v>
      </c>
      <c r="H1095" s="1" t="s">
        <v>19</v>
      </c>
      <c r="I1095" s="1" t="s">
        <v>20</v>
      </c>
      <c r="J1095" s="1" t="s">
        <v>5228</v>
      </c>
      <c r="K1095" s="1" t="s">
        <v>22</v>
      </c>
      <c r="L1095" s="1" t="str">
        <f>HYPERLINK("https://files.afu.se/Downloads/Transcripts/0%20-%20Government/USA%20-%20NASA/2017 08 24 - NASA - Eclipse 2017  Through the Eyes of NASA_nr4Sozvo5aU - transcript (automated).pdf","Transcript Link")</f>
        <v>Transcript Link</v>
      </c>
      <c r="M1095" s="2" t="str">
        <f>HYPERLINK("https://files.afu.se/Downloads/Transcripts/0%20-%20Government/USA%20-%20NASA/2017 08 24 - NASA - Eclipse 2017  Through the Eyes of NASA_nr4Sozvo5aU - transcript (automated).pdf","Transcript Link")</f>
        <v>Transcript Link</v>
      </c>
    </row>
    <row r="1096" ht="165" spans="1:13">
      <c r="A1096" s="1" t="s">
        <v>5229</v>
      </c>
      <c r="B1096" s="1" t="s">
        <v>13</v>
      </c>
      <c r="C1096" s="4" t="s">
        <v>5230</v>
      </c>
      <c r="D1096" s="1" t="s">
        <v>5231</v>
      </c>
      <c r="E1096" s="1" t="s">
        <v>5232</v>
      </c>
      <c r="F1096" s="4" t="s">
        <v>17</v>
      </c>
      <c r="G1096" s="1" t="s">
        <v>18</v>
      </c>
      <c r="H1096" s="1" t="s">
        <v>19</v>
      </c>
      <c r="I1096" s="1" t="s">
        <v>20</v>
      </c>
      <c r="J1096" s="1" t="s">
        <v>5233</v>
      </c>
      <c r="K1096" s="1" t="s">
        <v>22</v>
      </c>
      <c r="L1096" s="1" t="str">
        <f>HYPERLINK("https://files.afu.se/Downloads/Transcripts/0%20-%20Government/USA%20-%20NASA/2017 08 23 - NASA - Space Station Crew Unveils  Space Suit  Designed by Cancer Patients on Earth_7pWf_3sc2K4 - transcript (automated).pdf","Transcript Link")</f>
        <v>Transcript Link</v>
      </c>
      <c r="M1096" s="2" t="str">
        <f>HYPERLINK("https://files.afu.se/Downloads/Transcripts/0%20-%20Government/USA%20-%20NASA/2017 08 23 - NASA - Space Station Crew Unveils  Space Suit  Designed by Cancer Patients on Earth_7pWf_3sc2K4 - transcript (automated).pdf","Transcript Link")</f>
        <v>Transcript Link</v>
      </c>
    </row>
    <row r="1097" ht="165" spans="1:13">
      <c r="A1097" s="1" t="s">
        <v>5234</v>
      </c>
      <c r="B1097" s="1" t="s">
        <v>13</v>
      </c>
      <c r="C1097" s="4" t="s">
        <v>5235</v>
      </c>
      <c r="D1097" s="1" t="s">
        <v>5236</v>
      </c>
      <c r="E1097" s="1" t="s">
        <v>5237</v>
      </c>
      <c r="F1097" s="4" t="s">
        <v>17</v>
      </c>
      <c r="G1097" s="1" t="s">
        <v>18</v>
      </c>
      <c r="H1097" s="1" t="s">
        <v>19</v>
      </c>
      <c r="I1097" s="1" t="s">
        <v>20</v>
      </c>
      <c r="J1097" s="1" t="s">
        <v>5238</v>
      </c>
      <c r="K1097" s="1" t="s">
        <v>22</v>
      </c>
      <c r="L1097" s="1" t="str">
        <f>HYPERLINK("https://files.afu.se/Downloads/Transcripts/0%20-%20Government/USA%20-%20NASA/2017 08 22 - NASA - Space Station Crew Discusses Life in Space with NASA's Newest Astronauts_7NoATJhCt1Y - transcript (automated).pdf","Transcript Link")</f>
        <v>Transcript Link</v>
      </c>
      <c r="M1097" s="2" t="str">
        <f>HYPERLINK("https://files.afu.se/Downloads/Transcripts/0%20-%20Government/USA%20-%20NASA/2017 08 22 - NASA - Space Station Crew Discusses Life in Space with NASA's Newest Astronauts_7NoATJhCt1Y - transcript (automated).pdf","Transcript Link")</f>
        <v>Transcript Link</v>
      </c>
    </row>
    <row r="1098" ht="240" spans="1:13">
      <c r="A1098" s="1" t="s">
        <v>5239</v>
      </c>
      <c r="B1098" s="1" t="s">
        <v>13</v>
      </c>
      <c r="C1098" s="4" t="s">
        <v>5240</v>
      </c>
      <c r="D1098" s="1" t="s">
        <v>5241</v>
      </c>
      <c r="E1098" s="1" t="s">
        <v>5242</v>
      </c>
      <c r="F1098" s="4" t="s">
        <v>17</v>
      </c>
      <c r="G1098" s="1" t="s">
        <v>18</v>
      </c>
      <c r="H1098" s="1" t="s">
        <v>19</v>
      </c>
      <c r="I1098" s="1" t="s">
        <v>20</v>
      </c>
      <c r="J1098" s="1" t="s">
        <v>5243</v>
      </c>
      <c r="K1098" s="1" t="s">
        <v>22</v>
      </c>
      <c r="L1098" s="1" t="str">
        <f>HYPERLINK("https://files.afu.se/Downloads/Transcripts/0%20-%20Government/USA%20-%20NASA/2017 08 18 - NASA - Eclipse-Like Events on This Week @NASA – August 18, 2017_HsOll65Wseg - transcript (automated).pdf","Transcript Link")</f>
        <v>Transcript Link</v>
      </c>
      <c r="M1098" s="2" t="str">
        <f>HYPERLINK("https://files.afu.se/Downloads/Transcripts/0%20-%20Government/USA%20-%20NASA/2017 08 18 - NASA - Eclipse-Like Events on This Week @NASA – August 18, 2017_HsOll65Wseg - transcript (automated).pdf","Transcript Link")</f>
        <v>Transcript Link</v>
      </c>
    </row>
    <row r="1099" ht="165" spans="1:13">
      <c r="A1099" s="1" t="s">
        <v>5239</v>
      </c>
      <c r="B1099" s="1" t="s">
        <v>13</v>
      </c>
      <c r="C1099" s="4" t="s">
        <v>5244</v>
      </c>
      <c r="D1099" s="1" t="s">
        <v>5245</v>
      </c>
      <c r="E1099" s="1" t="s">
        <v>5246</v>
      </c>
      <c r="F1099" s="4" t="s">
        <v>17</v>
      </c>
      <c r="G1099" s="1" t="s">
        <v>18</v>
      </c>
      <c r="H1099" s="1" t="s">
        <v>19</v>
      </c>
      <c r="I1099" s="1" t="s">
        <v>20</v>
      </c>
      <c r="J1099" s="1" t="s">
        <v>5247</v>
      </c>
      <c r="K1099" s="1" t="s">
        <v>22</v>
      </c>
      <c r="L1099" s="1" t="str">
        <f>HYPERLINK("https://files.afu.se/Downloads/Transcripts/0%20-%20Government/USA%20-%20NASA/2017 08 18 - NASA - Third Generation Satellite Joins NASA's Communication Network_LwOmJRZQfmw - transcript (automated).pdf","Transcript Link")</f>
        <v>Transcript Link</v>
      </c>
      <c r="M1099" s="2" t="str">
        <f>HYPERLINK("https://files.afu.se/Downloads/Transcripts/0%20-%20Government/USA%20-%20NASA/2017 08 18 - NASA - Third Generation Satellite Joins NASA's Communication Network_LwOmJRZQfmw - transcript (automated).pdf","Transcript Link")</f>
        <v>Transcript Link</v>
      </c>
    </row>
    <row r="1100" ht="165" spans="1:13">
      <c r="A1100" s="1" t="s">
        <v>5248</v>
      </c>
      <c r="B1100" s="1" t="s">
        <v>13</v>
      </c>
      <c r="C1100" s="4" t="s">
        <v>5249</v>
      </c>
      <c r="D1100" s="1" t="s">
        <v>5250</v>
      </c>
      <c r="E1100" s="1" t="s">
        <v>5251</v>
      </c>
      <c r="F1100" s="4" t="s">
        <v>17</v>
      </c>
      <c r="G1100" s="1" t="s">
        <v>18</v>
      </c>
      <c r="H1100" s="1" t="s">
        <v>19</v>
      </c>
      <c r="I1100" s="1" t="s">
        <v>20</v>
      </c>
      <c r="J1100" s="1" t="s">
        <v>5252</v>
      </c>
      <c r="K1100" s="1" t="s">
        <v>22</v>
      </c>
      <c r="L1100" s="1" t="str">
        <f>HYPERLINK("https://files.afu.se/Downloads/Transcripts/0%20-%20Government/USA%20-%20NASA/2017 08 17 - NASA - Space Station Cosmonauts take a Walk in Space_HcvXtZoSoY0 - transcript (automated).pdf","Transcript Link")</f>
        <v>Transcript Link</v>
      </c>
      <c r="M1100" s="2" t="str">
        <f>HYPERLINK("https://files.afu.se/Downloads/Transcripts/0%20-%20Government/USA%20-%20NASA/2017 08 17 - NASA - Space Station Cosmonauts take a Walk in Space_HcvXtZoSoY0 - transcript (automated).pdf","Transcript Link")</f>
        <v>Transcript Link</v>
      </c>
    </row>
    <row r="1101" ht="165" spans="1:13">
      <c r="A1101" s="1" t="s">
        <v>5248</v>
      </c>
      <c r="B1101" s="1" t="s">
        <v>13</v>
      </c>
      <c r="C1101" s="4" t="s">
        <v>5253</v>
      </c>
      <c r="D1101" s="1" t="s">
        <v>5254</v>
      </c>
      <c r="E1101" s="1" t="s">
        <v>5255</v>
      </c>
      <c r="F1101" s="4" t="s">
        <v>17</v>
      </c>
      <c r="G1101" s="1" t="s">
        <v>18</v>
      </c>
      <c r="H1101" s="1" t="s">
        <v>19</v>
      </c>
      <c r="I1101" s="1" t="s">
        <v>20</v>
      </c>
      <c r="J1101" s="1" t="s">
        <v>5256</v>
      </c>
      <c r="K1101" s="1" t="s">
        <v>22</v>
      </c>
      <c r="L1101" s="1" t="str">
        <f>HYPERLINK("https://files.afu.se/Downloads/Transcripts/0%20-%20Government/USA%20-%20NASA/2017 08 17 - NASA - NASA News Briefing Previews Launch of TDRS-M Communications Satellite_Nc2ZoTzP5gg - transcript (automated).pdf","Transcript Link")</f>
        <v>Transcript Link</v>
      </c>
      <c r="M1101" s="2" t="str">
        <f>HYPERLINK("https://files.afu.se/Downloads/Transcripts/0%20-%20Government/USA%20-%20NASA/2017 08 17 - NASA - NASA News Briefing Previews Launch of TDRS-M Communications Satellite_Nc2ZoTzP5gg - transcript (automated).pdf","Transcript Link")</f>
        <v>Transcript Link</v>
      </c>
    </row>
    <row r="1102" ht="165" spans="1:13">
      <c r="A1102" s="1" t="s">
        <v>5257</v>
      </c>
      <c r="B1102" s="1" t="s">
        <v>13</v>
      </c>
      <c r="C1102" s="4" t="s">
        <v>5258</v>
      </c>
      <c r="D1102" s="1" t="s">
        <v>5259</v>
      </c>
      <c r="E1102" s="1" t="s">
        <v>5260</v>
      </c>
      <c r="F1102" s="4" t="s">
        <v>17</v>
      </c>
      <c r="G1102" s="1" t="s">
        <v>18</v>
      </c>
      <c r="H1102" s="1" t="s">
        <v>19</v>
      </c>
      <c r="I1102" s="1" t="s">
        <v>20</v>
      </c>
      <c r="J1102" s="1" t="s">
        <v>5261</v>
      </c>
      <c r="K1102" s="1" t="s">
        <v>22</v>
      </c>
      <c r="L1102" s="1" t="str">
        <f>HYPERLINK("https://files.afu.se/Downloads/Transcripts/0%20-%20Government/USA%20-%20NASA/2017 08 16 - NASA - U.S. Commercial Cargo Craft Arrives at the International Space Station_Iv70HHJBJyU - transcript (automated).pdf","Transcript Link")</f>
        <v>Transcript Link</v>
      </c>
      <c r="M1102" s="2" t="str">
        <f>HYPERLINK("https://files.afu.se/Downloads/Transcripts/0%20-%20Government/USA%20-%20NASA/2017 08 16 - NASA - U.S. Commercial Cargo Craft Arrives at the International Space Station_Iv70HHJBJyU - transcript (automated).pdf","Transcript Link")</f>
        <v>Transcript Link</v>
      </c>
    </row>
    <row r="1103" ht="165" spans="1:13">
      <c r="A1103" s="1" t="s">
        <v>5262</v>
      </c>
      <c r="B1103" s="1" t="s">
        <v>13</v>
      </c>
      <c r="C1103" s="4" t="s">
        <v>5263</v>
      </c>
      <c r="D1103" s="1" t="s">
        <v>5264</v>
      </c>
      <c r="E1103" s="1" t="s">
        <v>5265</v>
      </c>
      <c r="F1103" s="4" t="s">
        <v>17</v>
      </c>
      <c r="G1103" s="1" t="s">
        <v>18</v>
      </c>
      <c r="H1103" s="1" t="s">
        <v>19</v>
      </c>
      <c r="I1103" s="1" t="s">
        <v>20</v>
      </c>
      <c r="J1103" s="1" t="s">
        <v>5266</v>
      </c>
      <c r="K1103" s="1" t="s">
        <v>22</v>
      </c>
      <c r="L1103" s="1" t="str">
        <f>HYPERLINK("https://files.afu.se/Downloads/Transcripts/0%20-%20Government/USA%20-%20NASA/2017 08 15 - NASA - Record-Breaking Station Crew Member Discusses Life in Space with the Media_Re5y4hKFOUg - transcript (automated).pdf","Transcript Link")</f>
        <v>Transcript Link</v>
      </c>
      <c r="M1103" s="2" t="str">
        <f>HYPERLINK("https://files.afu.se/Downloads/Transcripts/0%20-%20Government/USA%20-%20NASA/2017 08 15 - NASA - Record-Breaking Station Crew Member Discusses Life in Space with the Media_Re5y4hKFOUg - transcript (automated).pdf","Transcript Link")</f>
        <v>Transcript Link</v>
      </c>
    </row>
    <row r="1104" ht="165" spans="1:13">
      <c r="A1104" s="1" t="s">
        <v>5267</v>
      </c>
      <c r="B1104" s="1" t="s">
        <v>13</v>
      </c>
      <c r="C1104" s="4" t="s">
        <v>5268</v>
      </c>
      <c r="D1104" s="1" t="s">
        <v>5269</v>
      </c>
      <c r="E1104" s="1" t="s">
        <v>5270</v>
      </c>
      <c r="F1104" s="4" t="s">
        <v>17</v>
      </c>
      <c r="G1104" s="1" t="s">
        <v>18</v>
      </c>
      <c r="H1104" s="1" t="s">
        <v>19</v>
      </c>
      <c r="I1104" s="1" t="s">
        <v>20</v>
      </c>
      <c r="J1104" s="1" t="s">
        <v>5271</v>
      </c>
      <c r="K1104" s="1" t="s">
        <v>22</v>
      </c>
      <c r="L1104" s="1" t="str">
        <f>HYPERLINK("https://files.afu.se/Downloads/Transcripts/0%20-%20Government/USA%20-%20NASA/2017 08 14 - NASA - Post-Launch Status of Next Space Station Supply Mission_A6_mw1MRaeM - transcript (automated).pdf","Transcript Link")</f>
        <v>Transcript Link</v>
      </c>
      <c r="M1104" s="2" t="str">
        <f>HYPERLINK("https://files.afu.se/Downloads/Transcripts/0%20-%20Government/USA%20-%20NASA/2017 08 14 - NASA - Post-Launch Status of Next Space Station Supply Mission_A6_mw1MRaeM - transcript (automated).pdf","Transcript Link")</f>
        <v>Transcript Link</v>
      </c>
    </row>
    <row r="1105" ht="165" spans="1:13">
      <c r="A1105" s="1" t="s">
        <v>5267</v>
      </c>
      <c r="B1105" s="1" t="s">
        <v>13</v>
      </c>
      <c r="C1105" s="4" t="s">
        <v>5272</v>
      </c>
      <c r="D1105" s="1" t="s">
        <v>5273</v>
      </c>
      <c r="E1105" s="1" t="s">
        <v>5274</v>
      </c>
      <c r="F1105" s="4" t="s">
        <v>17</v>
      </c>
      <c r="G1105" s="1" t="s">
        <v>18</v>
      </c>
      <c r="H1105" s="1" t="s">
        <v>19</v>
      </c>
      <c r="I1105" s="1" t="s">
        <v>20</v>
      </c>
      <c r="J1105" s="1" t="s">
        <v>5275</v>
      </c>
      <c r="K1105" s="1" t="s">
        <v>22</v>
      </c>
      <c r="L1105" s="1" t="str">
        <f>HYPERLINK("https://files.afu.se/Downloads/Transcripts/0%20-%20Government/USA%20-%20NASA/2017 08 14 - NASA - SpaceX Dragon CRS-12 Launches to the International Space Station_f_BIxC7TH_o - transcript (automated).pdf","Transcript Link")</f>
        <v>Transcript Link</v>
      </c>
      <c r="M1105" s="2" t="str">
        <f>HYPERLINK("https://files.afu.se/Downloads/Transcripts/0%20-%20Government/USA%20-%20NASA/2017 08 14 - NASA - SpaceX Dragon CRS-12 Launches to the International Space Station_f_BIxC7TH_o - transcript (automated).pdf","Transcript Link")</f>
        <v>Transcript Link</v>
      </c>
    </row>
    <row r="1106" ht="210" spans="1:13">
      <c r="A1106" s="1" t="s">
        <v>5267</v>
      </c>
      <c r="B1106" s="1" t="s">
        <v>13</v>
      </c>
      <c r="C1106" s="4" t="s">
        <v>5276</v>
      </c>
      <c r="D1106" s="1" t="s">
        <v>5277</v>
      </c>
      <c r="E1106" s="1" t="s">
        <v>5278</v>
      </c>
      <c r="F1106" s="4" t="s">
        <v>17</v>
      </c>
      <c r="G1106" s="1" t="s">
        <v>18</v>
      </c>
      <c r="H1106" s="1" t="s">
        <v>19</v>
      </c>
      <c r="I1106" s="1" t="s">
        <v>20</v>
      </c>
      <c r="J1106" s="1" t="s">
        <v>5279</v>
      </c>
      <c r="K1106" s="1" t="s">
        <v>22</v>
      </c>
      <c r="L1106" s="1" t="str">
        <f>HYPERLINK("https://files.afu.se/Downloads/Transcripts/0%20-%20Government/USA%20-%20NASA/2017 08 14 - NASA - SpaceX Dragon CRS-12 What's on Board Science Briefing_huC1j4VOdls - transcript (automated).pdf","Transcript Link")</f>
        <v>Transcript Link</v>
      </c>
      <c r="M1106" s="2" t="str">
        <f>HYPERLINK("https://files.afu.se/Downloads/Transcripts/0%20-%20Government/USA%20-%20NASA/2017 08 14 - NASA - SpaceX Dragon CRS-12 What's on Board Science Briefing_huC1j4VOdls - transcript (automated).pdf","Transcript Link")</f>
        <v>Transcript Link</v>
      </c>
    </row>
    <row r="1107" ht="210" spans="1:13">
      <c r="A1107" s="1" t="s">
        <v>5280</v>
      </c>
      <c r="B1107" s="1" t="s">
        <v>13</v>
      </c>
      <c r="C1107" s="4" t="s">
        <v>5281</v>
      </c>
      <c r="D1107" s="1" t="s">
        <v>5282</v>
      </c>
      <c r="E1107" s="1" t="s">
        <v>5283</v>
      </c>
      <c r="F1107" s="4" t="s">
        <v>17</v>
      </c>
      <c r="G1107" s="1" t="s">
        <v>18</v>
      </c>
      <c r="H1107" s="1" t="s">
        <v>19</v>
      </c>
      <c r="I1107" s="1" t="s">
        <v>20</v>
      </c>
      <c r="J1107" s="1" t="s">
        <v>5284</v>
      </c>
      <c r="K1107" s="1" t="s">
        <v>22</v>
      </c>
      <c r="L1107" s="1" t="str">
        <f>HYPERLINK("https://files.afu.se/Downloads/Transcripts/0%20-%20Government/USA%20-%20NASA/2017 08 13 - NASA - SpaceX Dragon CRS-12 Prelaunch News Conference_mUCSFkCy7CE - transcript (automated).pdf","Transcript Link")</f>
        <v>Transcript Link</v>
      </c>
      <c r="M1107" s="2" t="str">
        <f>HYPERLINK("https://files.afu.se/Downloads/Transcripts/0%20-%20Government/USA%20-%20NASA/2017 08 13 - NASA - SpaceX Dragon CRS-12 Prelaunch News Conference_mUCSFkCy7CE - transcript (automated).pdf","Transcript Link")</f>
        <v>Transcript Link</v>
      </c>
    </row>
    <row r="1108" ht="315" spans="1:13">
      <c r="A1108" s="1" t="s">
        <v>5285</v>
      </c>
      <c r="B1108" s="1" t="s">
        <v>13</v>
      </c>
      <c r="C1108" s="4" t="s">
        <v>5286</v>
      </c>
      <c r="D1108" s="1" t="s">
        <v>5287</v>
      </c>
      <c r="E1108" s="1" t="s">
        <v>5288</v>
      </c>
      <c r="F1108" s="4" t="s">
        <v>17</v>
      </c>
      <c r="G1108" s="1" t="s">
        <v>18</v>
      </c>
      <c r="H1108" s="1" t="s">
        <v>19</v>
      </c>
      <c r="I1108" s="1" t="s">
        <v>20</v>
      </c>
      <c r="J1108" s="1" t="s">
        <v>5289</v>
      </c>
      <c r="K1108" s="1" t="s">
        <v>22</v>
      </c>
      <c r="L1108" s="1" t="str">
        <f>HYPERLINK("https://files.afu.se/Downloads/Transcripts/0%20-%20Government/USA%20-%20NASA/2017 08 11 - NASA - Preparing for Eclipse 2017 on This Week @NASA – August 11, 2017_Dfq_VJRV-qw - transcript (automated).pdf","Transcript Link")</f>
        <v>Transcript Link</v>
      </c>
      <c r="M1108" s="2" t="str">
        <f>HYPERLINK("https://files.afu.se/Downloads/Transcripts/0%20-%20Government/USA%20-%20NASA/2017 08 11 - NASA - Preparing for Eclipse 2017 on This Week @NASA – August 11, 2017_Dfq_VJRV-qw - transcript (automated).pdf","Transcript Link")</f>
        <v>Transcript Link</v>
      </c>
    </row>
    <row r="1109" ht="165" spans="1:13">
      <c r="A1109" s="1" t="s">
        <v>5285</v>
      </c>
      <c r="B1109" s="1" t="s">
        <v>13</v>
      </c>
      <c r="C1109" s="4" t="s">
        <v>5290</v>
      </c>
      <c r="D1109" s="1" t="s">
        <v>5291</v>
      </c>
      <c r="E1109" s="1" t="s">
        <v>5292</v>
      </c>
      <c r="F1109" s="4" t="s">
        <v>17</v>
      </c>
      <c r="G1109" s="1" t="s">
        <v>18</v>
      </c>
      <c r="H1109" s="1" t="s">
        <v>19</v>
      </c>
      <c r="I1109" s="1" t="s">
        <v>20</v>
      </c>
      <c r="J1109" s="1" t="s">
        <v>5293</v>
      </c>
      <c r="K1109" s="1" t="s">
        <v>22</v>
      </c>
      <c r="L1109" s="1" t="str">
        <f>HYPERLINK("https://files.afu.se/Downloads/Transcripts/0%20-%20Government/USA%20-%20NASA/2017 08 11 - NASA - 2017 Total Solar Eclipse Across America Promo_Wo9rBW-y-OI - transcript (automated).pdf","Transcript Link")</f>
        <v>Transcript Link</v>
      </c>
      <c r="M1109" s="2" t="str">
        <f>HYPERLINK("https://files.afu.se/Downloads/Transcripts/0%20-%20Government/USA%20-%20NASA/2017 08 11 - NASA - 2017 Total Solar Eclipse Across America Promo_Wo9rBW-y-OI - transcript (automated).pdf","Transcript Link")</f>
        <v>Transcript Link</v>
      </c>
    </row>
    <row r="1110" ht="165" spans="1:13">
      <c r="A1110" s="1" t="s">
        <v>5294</v>
      </c>
      <c r="B1110" s="1" t="s">
        <v>13</v>
      </c>
      <c r="C1110" s="4" t="s">
        <v>5295</v>
      </c>
      <c r="D1110" s="1" t="s">
        <v>5296</v>
      </c>
      <c r="E1110" s="1" t="s">
        <v>5297</v>
      </c>
      <c r="F1110" s="4" t="s">
        <v>17</v>
      </c>
      <c r="G1110" s="1" t="s">
        <v>18</v>
      </c>
      <c r="H1110" s="1" t="s">
        <v>19</v>
      </c>
      <c r="I1110" s="1" t="s">
        <v>20</v>
      </c>
      <c r="J1110" s="1" t="s">
        <v>5298</v>
      </c>
      <c r="K1110" s="1" t="s">
        <v>22</v>
      </c>
      <c r="L1110" s="1" t="str">
        <f>HYPERLINK("https://files.afu.se/Downloads/Transcripts/0%20-%20Government/USA%20-%20NASA/2017 08 10 - NASA - Space Station Crew Member Discusses Life in Space on a NASA Podcast_n-VFMjzyR-Y - transcript (automated).pdf","Transcript Link")</f>
        <v>Transcript Link</v>
      </c>
      <c r="M1110" s="2" t="str">
        <f>HYPERLINK("https://files.afu.se/Downloads/Transcripts/0%20-%20Government/USA%20-%20NASA/2017 08 10 - NASA - Space Station Crew Member Discusses Life in Space on a NASA Podcast_n-VFMjzyR-Y - transcript (automated).pdf","Transcript Link")</f>
        <v>Transcript Link</v>
      </c>
    </row>
    <row r="1111" ht="180" spans="1:13">
      <c r="A1111" s="1" t="s">
        <v>5299</v>
      </c>
      <c r="B1111" s="1" t="s">
        <v>13</v>
      </c>
      <c r="C1111" s="4" t="s">
        <v>5300</v>
      </c>
      <c r="D1111" s="1" t="s">
        <v>5301</v>
      </c>
      <c r="E1111" s="1" t="s">
        <v>5302</v>
      </c>
      <c r="F1111" s="4" t="s">
        <v>17</v>
      </c>
      <c r="G1111" s="1" t="s">
        <v>18</v>
      </c>
      <c r="H1111" s="1" t="s">
        <v>19</v>
      </c>
      <c r="I1111" s="1" t="s">
        <v>20</v>
      </c>
      <c r="J1111" s="1" t="s">
        <v>5303</v>
      </c>
      <c r="K1111" s="1" t="s">
        <v>22</v>
      </c>
      <c r="L1111" s="1" t="str">
        <f>HYPERLINK("https://files.afu.se/Downloads/Transcripts/0%20-%20Government/USA%20-%20NASA/2017 08 09 - NASA - RS-25 Rocket Engine Test_cXgJVrmdYrY - transcript (automated).pdf","Transcript Link")</f>
        <v>Transcript Link</v>
      </c>
      <c r="M1111" s="2" t="str">
        <f>HYPERLINK("https://files.afu.se/Downloads/Transcripts/0%20-%20Government/USA%20-%20NASA/2017 08 09 - NASA - RS-25 Rocket Engine Test_cXgJVrmdYrY - transcript (automated).pdf","Transcript Link")</f>
        <v>Transcript Link</v>
      </c>
    </row>
    <row r="1112" ht="165" spans="1:13">
      <c r="A1112" s="1" t="s">
        <v>5299</v>
      </c>
      <c r="B1112" s="1" t="s">
        <v>13</v>
      </c>
      <c r="C1112" s="4" t="s">
        <v>5304</v>
      </c>
      <c r="D1112" s="1" t="s">
        <v>5305</v>
      </c>
      <c r="E1112" s="1" t="s">
        <v>5306</v>
      </c>
      <c r="F1112" s="4" t="s">
        <v>17</v>
      </c>
      <c r="G1112" s="1" t="s">
        <v>18</v>
      </c>
      <c r="H1112" s="1" t="s">
        <v>19</v>
      </c>
      <c r="I1112" s="1" t="s">
        <v>20</v>
      </c>
      <c r="J1112" s="1" t="s">
        <v>5307</v>
      </c>
      <c r="K1112" s="1" t="s">
        <v>22</v>
      </c>
      <c r="L1112" s="1" t="str">
        <f>HYPERLINK("https://files.afu.se/Downloads/Transcripts/0%20-%20Government/USA%20-%20NASA/2017 08 09 - NASA - 2017 Total Solar Eclipse Viewing Tips - Narrated by George Takei_7apSAxXbmg0 - transcript (automated).pdf","Transcript Link")</f>
        <v>Transcript Link</v>
      </c>
      <c r="M1112" s="2" t="str">
        <f>HYPERLINK("https://files.afu.se/Downloads/Transcripts/0%20-%20Government/USA%20-%20NASA/2017 08 09 - NASA - 2017 Total Solar Eclipse Viewing Tips - Narrated by George Takei_7apSAxXbmg0 - transcript (automated).pdf","Transcript Link")</f>
        <v>Transcript Link</v>
      </c>
    </row>
    <row r="1113" ht="165" spans="1:13">
      <c r="A1113" s="1" t="s">
        <v>5299</v>
      </c>
      <c r="B1113" s="1" t="s">
        <v>13</v>
      </c>
      <c r="C1113" s="4" t="s">
        <v>5308</v>
      </c>
      <c r="D1113" s="1" t="s">
        <v>5309</v>
      </c>
      <c r="E1113" s="1" t="s">
        <v>5310</v>
      </c>
      <c r="F1113" s="4" t="s">
        <v>17</v>
      </c>
      <c r="G1113" s="1" t="s">
        <v>18</v>
      </c>
      <c r="H1113" s="1" t="s">
        <v>19</v>
      </c>
      <c r="I1113" s="1" t="s">
        <v>20</v>
      </c>
      <c r="J1113" s="1" t="s">
        <v>5311</v>
      </c>
      <c r="K1113" s="1" t="s">
        <v>22</v>
      </c>
      <c r="L1113" s="1" t="str">
        <f>HYPERLINK("https://files.afu.se/Downloads/Transcripts/0%20-%20Government/USA%20-%20NASA/2017 08 09 - NASA - Space Station Crew Member Discusses Record-Breaking Mission with the Media_grS7l1JJrY0 - transcript (automated).pdf","Transcript Link")</f>
        <v>Transcript Link</v>
      </c>
      <c r="M1113" s="2" t="str">
        <f>HYPERLINK("https://files.afu.se/Downloads/Transcripts/0%20-%20Government/USA%20-%20NASA/2017 08 09 - NASA - Space Station Crew Member Discusses Record-Breaking Mission with the Media_grS7l1JJrY0 - transcript (automated).pdf","Transcript Link")</f>
        <v>Transcript Link</v>
      </c>
    </row>
    <row r="1114" ht="165" spans="1:13">
      <c r="A1114" s="1" t="s">
        <v>5312</v>
      </c>
      <c r="B1114" s="1" t="s">
        <v>13</v>
      </c>
      <c r="C1114" s="4" t="s">
        <v>5313</v>
      </c>
      <c r="D1114" s="1" t="s">
        <v>5314</v>
      </c>
      <c r="E1114" s="1" t="s">
        <v>5315</v>
      </c>
      <c r="F1114" s="4" t="s">
        <v>17</v>
      </c>
      <c r="G1114" s="1" t="s">
        <v>18</v>
      </c>
      <c r="H1114" s="1" t="s">
        <v>19</v>
      </c>
      <c r="I1114" s="1" t="s">
        <v>20</v>
      </c>
      <c r="J1114" s="1" t="s">
        <v>5316</v>
      </c>
      <c r="K1114" s="1" t="s">
        <v>22</v>
      </c>
      <c r="L1114" s="1" t="str">
        <f>HYPERLINK("https://files.afu.se/Downloads/Transcripts/0%20-%20Government/USA%20-%20NASA/2017 08 07 - NASA - Space Station Crew Member Discusses Life in Space with California Scouts_dtqwaSBf4gE - transcript (automated).pdf","Transcript Link")</f>
        <v>Transcript Link</v>
      </c>
      <c r="M1114" s="2" t="str">
        <f>HYPERLINK("https://files.afu.se/Downloads/Transcripts/0%20-%20Government/USA%20-%20NASA/2017 08 07 - NASA - Space Station Crew Member Discusses Life in Space with California Scouts_dtqwaSBf4gE - transcript (automated).pdf","Transcript Link")</f>
        <v>Transcript Link</v>
      </c>
    </row>
    <row r="1115" ht="195" spans="1:13">
      <c r="A1115" s="1" t="s">
        <v>5317</v>
      </c>
      <c r="B1115" s="1" t="s">
        <v>13</v>
      </c>
      <c r="C1115" s="4" t="s">
        <v>5318</v>
      </c>
      <c r="D1115" s="1" t="s">
        <v>5319</v>
      </c>
      <c r="E1115" s="1" t="s">
        <v>5320</v>
      </c>
      <c r="F1115" s="4" t="s">
        <v>17</v>
      </c>
      <c r="G1115" s="1" t="s">
        <v>18</v>
      </c>
      <c r="H1115" s="1" t="s">
        <v>19</v>
      </c>
      <c r="I1115" s="1" t="s">
        <v>20</v>
      </c>
      <c r="J1115" s="1" t="s">
        <v>5321</v>
      </c>
      <c r="K1115" s="1" t="s">
        <v>22</v>
      </c>
      <c r="L1115" s="1" t="str">
        <f>HYPERLINK("https://files.afu.se/Downloads/Transcripts/0%20-%20Government/USA%20-%20NASA/2017 08 04 - NASA - Earth like Atmosphere Unlikely to Survive Exoplanet’s Orbit on This Week @NASA – August 4, 2017_d1RmxG-BjVk - transcript (automated).pdf","Transcript Link")</f>
        <v>Transcript Link</v>
      </c>
      <c r="M1115" s="2" t="str">
        <f>HYPERLINK("https://files.afu.se/Downloads/Transcripts/0%20-%20Government/USA%20-%20NASA/2017 08 04 - NASA - Earth like Atmosphere Unlikely to Survive Exoplanet’s Orbit on This Week @NASA – August 4, 2017_d1RmxG-BjVk - transcript (automated).pdf","Transcript Link")</f>
        <v>Transcript Link</v>
      </c>
    </row>
    <row r="1116" ht="165" spans="1:13">
      <c r="A1116" s="1" t="s">
        <v>5322</v>
      </c>
      <c r="B1116" s="1" t="s">
        <v>13</v>
      </c>
      <c r="C1116" s="4" t="s">
        <v>5323</v>
      </c>
      <c r="D1116" s="1" t="s">
        <v>5324</v>
      </c>
      <c r="E1116" s="1" t="s">
        <v>5325</v>
      </c>
      <c r="F1116" s="4" t="s">
        <v>17</v>
      </c>
      <c r="G1116" s="1" t="s">
        <v>18</v>
      </c>
      <c r="H1116" s="1" t="s">
        <v>19</v>
      </c>
      <c r="I1116" s="1" t="s">
        <v>20</v>
      </c>
      <c r="J1116" s="1" t="s">
        <v>5326</v>
      </c>
      <c r="K1116" s="1" t="s">
        <v>22</v>
      </c>
      <c r="L1116" s="1" t="str">
        <f>HYPERLINK("https://files.afu.se/Downloads/Transcripts/0%20-%20Government/USA%20-%20NASA/2017 08 02 - NASA - Italian Space Station Veteran Discusses Life in Space with Italian Media_zxX9qunKh6k - transcript (automated).pdf","Transcript Link")</f>
        <v>Transcript Link</v>
      </c>
      <c r="M1116" s="2" t="str">
        <f>HYPERLINK("https://files.afu.se/Downloads/Transcripts/0%20-%20Government/USA%20-%20NASA/2017 08 02 - NASA - Italian Space Station Veteran Discusses Life in Space with Italian Media_zxX9qunKh6k - transcript (automated).pdf","Transcript Link")</f>
        <v>Transcript Link</v>
      </c>
    </row>
    <row r="1117" ht="165" spans="1:13">
      <c r="A1117" s="1" t="s">
        <v>5327</v>
      </c>
      <c r="B1117" s="1" t="s">
        <v>13</v>
      </c>
      <c r="C1117" s="4" t="s">
        <v>5328</v>
      </c>
      <c r="D1117" s="1" t="s">
        <v>5329</v>
      </c>
      <c r="E1117" s="1" t="s">
        <v>5330</v>
      </c>
      <c r="F1117" s="4" t="s">
        <v>17</v>
      </c>
      <c r="G1117" s="1" t="s">
        <v>18</v>
      </c>
      <c r="H1117" s="1" t="s">
        <v>19</v>
      </c>
      <c r="I1117" s="1" t="s">
        <v>20</v>
      </c>
      <c r="J1117" s="1" t="s">
        <v>5331</v>
      </c>
      <c r="K1117" s="1" t="s">
        <v>22</v>
      </c>
      <c r="L1117" s="1" t="str">
        <f>HYPERLINK("https://files.afu.se/Downloads/Transcripts/0%20-%20Government/USA%20-%20NASA/2017 07 29 - NASA - Expedition 52-53 Crew Welcomed Aboard the Space Station_5SrcM1Gg5Yk - transcript (automated).pdf","Transcript Link")</f>
        <v>Transcript Link</v>
      </c>
      <c r="M1117" s="2" t="str">
        <f>HYPERLINK("https://files.afu.se/Downloads/Transcripts/0%20-%20Government/USA%20-%20NASA/2017 07 29 - NASA - Expedition 52-53 Crew Welcomed Aboard the Space Station_5SrcM1Gg5Yk - transcript (automated).pdf","Transcript Link")</f>
        <v>Transcript Link</v>
      </c>
    </row>
    <row r="1118" ht="165" spans="1:13">
      <c r="A1118" s="1" t="s">
        <v>5327</v>
      </c>
      <c r="B1118" s="1" t="s">
        <v>13</v>
      </c>
      <c r="C1118" s="4" t="s">
        <v>5332</v>
      </c>
      <c r="D1118" s="1" t="s">
        <v>5333</v>
      </c>
      <c r="E1118" s="1" t="s">
        <v>5334</v>
      </c>
      <c r="F1118" s="4" t="s">
        <v>17</v>
      </c>
      <c r="G1118" s="1" t="s">
        <v>18</v>
      </c>
      <c r="H1118" s="1" t="s">
        <v>19</v>
      </c>
      <c r="I1118" s="1" t="s">
        <v>20</v>
      </c>
      <c r="J1118" s="1" t="s">
        <v>5335</v>
      </c>
      <c r="K1118" s="1" t="s">
        <v>22</v>
      </c>
      <c r="L1118" s="1" t="str">
        <f>HYPERLINK("https://files.afu.se/Downloads/Transcripts/0%20-%20Government/USA%20-%20NASA/2017 07 29 - NASA - Expedition 52-53 Crew Docks to the Space Station_EQwq6H4aNX4 - transcript (automated).pdf","Transcript Link")</f>
        <v>Transcript Link</v>
      </c>
      <c r="M1118" s="2" t="str">
        <f>HYPERLINK("https://files.afu.se/Downloads/Transcripts/0%20-%20Government/USA%20-%20NASA/2017 07 29 - NASA - Expedition 52-53 Crew Docks to the Space Station_EQwq6H4aNX4 - transcript (automated).pdf","Transcript Link")</f>
        <v>Transcript Link</v>
      </c>
    </row>
    <row r="1119" ht="165" spans="1:13">
      <c r="A1119" s="1" t="s">
        <v>5336</v>
      </c>
      <c r="B1119" s="1" t="s">
        <v>13</v>
      </c>
      <c r="C1119" s="4" t="s">
        <v>5337</v>
      </c>
      <c r="D1119" s="1" t="s">
        <v>5338</v>
      </c>
      <c r="E1119" s="1" t="s">
        <v>5339</v>
      </c>
      <c r="F1119" s="4" t="s">
        <v>17</v>
      </c>
      <c r="G1119" s="1" t="s">
        <v>18</v>
      </c>
      <c r="H1119" s="1" t="s">
        <v>19</v>
      </c>
      <c r="I1119" s="1" t="s">
        <v>20</v>
      </c>
      <c r="J1119" s="1" t="s">
        <v>5340</v>
      </c>
      <c r="K1119" s="1" t="s">
        <v>22</v>
      </c>
      <c r="L1119" s="1" t="str">
        <f>HYPERLINK("https://files.afu.se/Downloads/Transcripts/0%20-%20Government/USA%20-%20NASA/2017 07 28 - NASA - New Crew Launches to the Space Station on This Week @NASA – July 28, 2017_SwoVyJzrkU4 - transcript (automated).pdf","Transcript Link")</f>
        <v>Transcript Link</v>
      </c>
      <c r="M1119" s="2" t="str">
        <f>HYPERLINK("https://files.afu.se/Downloads/Transcripts/0%20-%20Government/USA%20-%20NASA/2017 07 28 - NASA - New Crew Launches to the Space Station on This Week @NASA – July 28, 2017_SwoVyJzrkU4 - transcript (automated).pdf","Transcript Link")</f>
        <v>Transcript Link</v>
      </c>
    </row>
    <row r="1120" ht="165" spans="1:13">
      <c r="A1120" s="1" t="s">
        <v>5336</v>
      </c>
      <c r="B1120" s="1" t="s">
        <v>13</v>
      </c>
      <c r="C1120" s="4" t="s">
        <v>5341</v>
      </c>
      <c r="D1120" s="1" t="s">
        <v>5342</v>
      </c>
      <c r="E1120" s="1" t="s">
        <v>5343</v>
      </c>
      <c r="F1120" s="4" t="s">
        <v>17</v>
      </c>
      <c r="G1120" s="1" t="s">
        <v>18</v>
      </c>
      <c r="H1120" s="1" t="s">
        <v>19</v>
      </c>
      <c r="I1120" s="1" t="s">
        <v>20</v>
      </c>
      <c r="J1120" s="1" t="s">
        <v>5344</v>
      </c>
      <c r="K1120" s="1" t="s">
        <v>22</v>
      </c>
      <c r="L1120" s="1" t="str">
        <f>HYPERLINK("https://files.afu.se/Downloads/Transcripts/0%20-%20Government/USA%20-%20NASA/2017 07 28 - NASA - Crew Launches to International Space Station_YDGlV_lATao - transcript (automated).pdf","Transcript Link")</f>
        <v>Transcript Link</v>
      </c>
      <c r="M1120" s="2" t="str">
        <f>HYPERLINK("https://files.afu.se/Downloads/Transcripts/0%20-%20Government/USA%20-%20NASA/2017 07 28 - NASA - Crew Launches to International Space Station_YDGlV_lATao - transcript (automated).pdf","Transcript Link")</f>
        <v>Transcript Link</v>
      </c>
    </row>
    <row r="1121" ht="165" spans="1:13">
      <c r="A1121" s="1" t="s">
        <v>5345</v>
      </c>
      <c r="B1121" s="1" t="s">
        <v>13</v>
      </c>
      <c r="C1121" s="4" t="s">
        <v>5346</v>
      </c>
      <c r="D1121" s="1" t="s">
        <v>5347</v>
      </c>
      <c r="E1121" s="1" t="s">
        <v>5348</v>
      </c>
      <c r="F1121" s="4" t="s">
        <v>17</v>
      </c>
      <c r="G1121" s="1" t="s">
        <v>18</v>
      </c>
      <c r="H1121" s="1" t="s">
        <v>19</v>
      </c>
      <c r="I1121" s="1" t="s">
        <v>20</v>
      </c>
      <c r="J1121" s="1" t="s">
        <v>5349</v>
      </c>
      <c r="K1121" s="1" t="s">
        <v>22</v>
      </c>
      <c r="L1121" s="1" t="str">
        <f>HYPERLINK("https://files.afu.se/Downloads/Transcripts/0%20-%20Government/USA%20-%20NASA/2017 07 27 - NASA - Russian State Commission Meeting and Final ISS Expedition 52-53 Pre-Launch Crew News Conference_YQSiqoHlMY8 - transcript (automated).pdf","Transcript Link")</f>
        <v>Transcript Link</v>
      </c>
      <c r="M1121" s="2" t="str">
        <f>HYPERLINK("https://files.afu.se/Downloads/Transcripts/0%20-%20Government/USA%20-%20NASA/2017 07 27 - NASA - Russian State Commission Meeting and Final ISS Expedition 52-53 Pre-Launch Crew News Conference_YQSiqoHlMY8 - transcript (automated).pdf","Transcript Link")</f>
        <v>Transcript Link</v>
      </c>
    </row>
    <row r="1122" ht="165" spans="1:13">
      <c r="A1122" s="1" t="s">
        <v>5350</v>
      </c>
      <c r="B1122" s="1" t="s">
        <v>13</v>
      </c>
      <c r="C1122" s="4" t="s">
        <v>5351</v>
      </c>
      <c r="D1122" s="1" t="s">
        <v>5352</v>
      </c>
      <c r="E1122" s="1" t="s">
        <v>5353</v>
      </c>
      <c r="F1122" s="4" t="s">
        <v>17</v>
      </c>
      <c r="G1122" s="1" t="s">
        <v>18</v>
      </c>
      <c r="H1122" s="1" t="s">
        <v>19</v>
      </c>
      <c r="I1122" s="1" t="s">
        <v>20</v>
      </c>
      <c r="J1122" s="1" t="s">
        <v>5354</v>
      </c>
      <c r="K1122" s="1" t="s">
        <v>22</v>
      </c>
      <c r="L1122" s="1" t="str">
        <f>HYPERLINK("https://files.afu.se/Downloads/Transcripts/0%20-%20Government/USA%20-%20NASA/2017 07 26 - NASA - Expedition 52-53 Soyuz Vehicle is Prepared for Launch in Kazakhstan_47UatQC0mm8 - transcript (automated).pdf","Transcript Link")</f>
        <v>Transcript Link</v>
      </c>
      <c r="M1122" s="2" t="str">
        <f>HYPERLINK("https://files.afu.se/Downloads/Transcripts/0%20-%20Government/USA%20-%20NASA/2017 07 26 - NASA - Expedition 52-53 Soyuz Vehicle is Prepared for Launch in Kazakhstan_47UatQC0mm8 - transcript (automated).pdf","Transcript Link")</f>
        <v>Transcript Link</v>
      </c>
    </row>
    <row r="1123" ht="165" spans="1:13">
      <c r="A1123" s="1" t="s">
        <v>5355</v>
      </c>
      <c r="B1123" s="1" t="s">
        <v>13</v>
      </c>
      <c r="C1123" s="4" t="s">
        <v>5356</v>
      </c>
      <c r="D1123" s="1" t="s">
        <v>5357</v>
      </c>
      <c r="E1123" s="1" t="s">
        <v>5358</v>
      </c>
      <c r="F1123" s="4" t="s">
        <v>17</v>
      </c>
      <c r="G1123" s="1" t="s">
        <v>18</v>
      </c>
      <c r="H1123" s="1" t="s">
        <v>19</v>
      </c>
      <c r="I1123" s="1" t="s">
        <v>20</v>
      </c>
      <c r="J1123" s="1" t="s">
        <v>5359</v>
      </c>
      <c r="K1123" s="1" t="s">
        <v>22</v>
      </c>
      <c r="L1123" s="1" t="str">
        <f>HYPERLINK("https://files.afu.se/Downloads/Transcripts/0%20-%20Government/USA%20-%20NASA/2017 07 25 - NASA - NASA’s RS-25 Rocket Engine Fires Up Again_B0ggPP5QYck - transcript (automated).pdf","Transcript Link")</f>
        <v>Transcript Link</v>
      </c>
      <c r="M1123" s="2" t="str">
        <f>HYPERLINK("https://files.afu.se/Downloads/Transcripts/0%20-%20Government/USA%20-%20NASA/2017 07 25 - NASA - NASA’s RS-25 Rocket Engine Fires Up Again_B0ggPP5QYck - transcript (automated).pdf","Transcript Link")</f>
        <v>Transcript Link</v>
      </c>
    </row>
    <row r="1124" ht="165" spans="1:13">
      <c r="A1124" s="1" t="s">
        <v>5355</v>
      </c>
      <c r="B1124" s="1" t="s">
        <v>13</v>
      </c>
      <c r="C1124" s="4" t="s">
        <v>5360</v>
      </c>
      <c r="D1124" s="1" t="s">
        <v>5361</v>
      </c>
      <c r="E1124" s="1" t="s">
        <v>5362</v>
      </c>
      <c r="F1124" s="4" t="s">
        <v>17</v>
      </c>
      <c r="G1124" s="1" t="s">
        <v>18</v>
      </c>
      <c r="H1124" s="1" t="s">
        <v>19</v>
      </c>
      <c r="I1124" s="1" t="s">
        <v>20</v>
      </c>
      <c r="J1124" s="1" t="s">
        <v>5363</v>
      </c>
      <c r="K1124" s="1" t="s">
        <v>22</v>
      </c>
      <c r="L1124" s="1" t="str">
        <f>HYPERLINK("https://files.afu.se/Downloads/Transcripts/0%20-%20Government/USA%20-%20NASA/2017 07 25 - NASA - Space Station Crew Member Discusses Life in Space with Media Outlets_fQxxvxHX6gM - transcript (automated).pdf","Transcript Link")</f>
        <v>Transcript Link</v>
      </c>
      <c r="M1124" s="2" t="str">
        <f>HYPERLINK("https://files.afu.se/Downloads/Transcripts/0%20-%20Government/USA%20-%20NASA/2017 07 25 - NASA - Space Station Crew Member Discusses Life in Space with Media Outlets_fQxxvxHX6gM - transcript (automated).pdf","Transcript Link")</f>
        <v>Transcript Link</v>
      </c>
    </row>
    <row r="1125" ht="165" spans="1:13">
      <c r="A1125" s="1" t="s">
        <v>5364</v>
      </c>
      <c r="B1125" s="1" t="s">
        <v>13</v>
      </c>
      <c r="C1125" s="4" t="s">
        <v>5365</v>
      </c>
      <c r="D1125" s="1" t="s">
        <v>5366</v>
      </c>
      <c r="E1125" s="1" t="s">
        <v>5367</v>
      </c>
      <c r="F1125" s="4" t="s">
        <v>17</v>
      </c>
      <c r="G1125" s="1" t="s">
        <v>18</v>
      </c>
      <c r="H1125" s="1" t="s">
        <v>19</v>
      </c>
      <c r="I1125" s="1" t="s">
        <v>20</v>
      </c>
      <c r="J1125" s="1" t="s">
        <v>5368</v>
      </c>
      <c r="K1125" s="1" t="s">
        <v>22</v>
      </c>
      <c r="L1125" s="1" t="str">
        <f>HYPERLINK("https://files.afu.se/Downloads/Transcripts/0%20-%20Government/USA%20-%20NASA/2017 07 21 - NASA - Happy 100th Anniversary, Langley on This Week @NASA – July 21, 2017_nbQU5NlXa2o - transcript (automated).pdf","Transcript Link")</f>
        <v>Transcript Link</v>
      </c>
      <c r="M1125" s="2" t="str">
        <f>HYPERLINK("https://files.afu.se/Downloads/Transcripts/0%20-%20Government/USA%20-%20NASA/2017 07 21 - NASA - Happy 100th Anniversary, Langley on This Week @NASA – July 21, 2017_nbQU5NlXa2o - transcript (automated).pdf","Transcript Link")</f>
        <v>Transcript Link</v>
      </c>
    </row>
    <row r="1126" ht="240" spans="1:13">
      <c r="A1126" s="1" t="s">
        <v>5364</v>
      </c>
      <c r="B1126" s="1" t="s">
        <v>13</v>
      </c>
      <c r="C1126" s="4" t="s">
        <v>5369</v>
      </c>
      <c r="D1126" s="1" t="s">
        <v>5370</v>
      </c>
      <c r="E1126" s="1" t="s">
        <v>5371</v>
      </c>
      <c r="F1126" s="4" t="s">
        <v>17</v>
      </c>
      <c r="G1126" s="1" t="s">
        <v>18</v>
      </c>
      <c r="H1126" s="1" t="s">
        <v>19</v>
      </c>
      <c r="I1126" s="1" t="s">
        <v>20</v>
      </c>
      <c r="J1126" s="1" t="s">
        <v>5372</v>
      </c>
      <c r="K1126" s="1" t="s">
        <v>22</v>
      </c>
      <c r="L1126" s="1" t="str">
        <f>HYPERLINK("https://files.afu.se/Downloads/Transcripts/0%20-%20Government/USA%20-%20NASA/2017 07 21 - NASA - NASA Participates in Mars Day Activities at National Air and Space Museum_CANsRjeEnQ0 - transcript (automated).pdf","Transcript Link")</f>
        <v>Transcript Link</v>
      </c>
      <c r="M1126" s="2" t="str">
        <f>HYPERLINK("https://files.afu.se/Downloads/Transcripts/0%20-%20Government/USA%20-%20NASA/2017 07 21 - NASA - NASA Participates in Mars Day Activities at National Air and Space Museum_CANsRjeEnQ0 - transcript (automated).pdf","Transcript Link")</f>
        <v>Transcript Link</v>
      </c>
    </row>
    <row r="1127" ht="180" spans="1:13">
      <c r="A1127" s="1" t="s">
        <v>5373</v>
      </c>
      <c r="B1127" s="1" t="s">
        <v>13</v>
      </c>
      <c r="C1127" s="4" t="s">
        <v>5374</v>
      </c>
      <c r="D1127" s="1" t="s">
        <v>5375</v>
      </c>
      <c r="E1127" s="1" t="s">
        <v>5376</v>
      </c>
      <c r="F1127" s="4" t="s">
        <v>17</v>
      </c>
      <c r="G1127" s="1" t="s">
        <v>18</v>
      </c>
      <c r="H1127" s="1" t="s">
        <v>19</v>
      </c>
      <c r="I1127" s="1" t="s">
        <v>20</v>
      </c>
      <c r="J1127" s="1" t="s">
        <v>5377</v>
      </c>
      <c r="K1127" s="1" t="s">
        <v>22</v>
      </c>
      <c r="L1127" s="1" t="str">
        <f>HYPERLINK("https://files.afu.se/Downloads/Transcripts/0%20-%20Government/USA%20-%20NASA/2017 07 17 - NASA - Expedition 52-53 Crew Departs for Kazakh Launch Site_49bzaUBVoUQ - transcript (automated).pdf","Transcript Link")</f>
        <v>Transcript Link</v>
      </c>
      <c r="M1127" s="2" t="str">
        <f>HYPERLINK("https://files.afu.se/Downloads/Transcripts/0%20-%20Government/USA%20-%20NASA/2017 07 17 - NASA - Expedition 52-53 Crew Departs for Kazakh Launch Site_49bzaUBVoUQ - transcript (automated).pdf","Transcript Link")</f>
        <v>Transcript Link</v>
      </c>
    </row>
    <row r="1128" ht="255" spans="1:13">
      <c r="A1128" s="1" t="s">
        <v>5373</v>
      </c>
      <c r="B1128" s="1" t="s">
        <v>13</v>
      </c>
      <c r="C1128" s="4" t="s">
        <v>5378</v>
      </c>
      <c r="D1128" s="1" t="s">
        <v>5379</v>
      </c>
      <c r="E1128" s="1" t="s">
        <v>5380</v>
      </c>
      <c r="F1128" s="4" t="s">
        <v>17</v>
      </c>
      <c r="G1128" s="1" t="s">
        <v>18</v>
      </c>
      <c r="H1128" s="1" t="s">
        <v>19</v>
      </c>
      <c r="I1128" s="1" t="s">
        <v>20</v>
      </c>
      <c r="J1128" s="1" t="s">
        <v>5381</v>
      </c>
      <c r="K1128" s="1" t="s">
        <v>22</v>
      </c>
      <c r="L1128" s="1" t="str">
        <f>HYPERLINK("https://files.afu.se/Downloads/Transcripts/0%20-%20Government/USA%20-%20NASA/2017 07 17 - NASA - Celebrating 100 Years of NASA Langley  A Storied Legacy, A Soaring Future_ks1SRA6Sljw - transcript (automated).pdf","Transcript Link")</f>
        <v>Transcript Link</v>
      </c>
      <c r="M1128" s="2" t="str">
        <f>HYPERLINK("https://files.afu.se/Downloads/Transcripts/0%20-%20Government/USA%20-%20NASA/2017 07 17 - NASA - Celebrating 100 Years of NASA Langley  A Storied Legacy, A Soaring Future_ks1SRA6Sljw - transcript (automated).pdf","Transcript Link")</f>
        <v>Transcript Link</v>
      </c>
    </row>
    <row r="1129" ht="165" spans="1:13">
      <c r="A1129" s="1" t="s">
        <v>5382</v>
      </c>
      <c r="B1129" s="1" t="s">
        <v>13</v>
      </c>
      <c r="C1129" s="4" t="s">
        <v>5383</v>
      </c>
      <c r="D1129" s="1" t="s">
        <v>5384</v>
      </c>
      <c r="E1129" s="1" t="s">
        <v>5385</v>
      </c>
      <c r="F1129" s="4" t="s">
        <v>17</v>
      </c>
      <c r="G1129" s="1" t="s">
        <v>18</v>
      </c>
      <c r="H1129" s="1" t="s">
        <v>19</v>
      </c>
      <c r="I1129" s="1" t="s">
        <v>20</v>
      </c>
      <c r="J1129" s="1" t="s">
        <v>5386</v>
      </c>
      <c r="K1129" s="1" t="s">
        <v>22</v>
      </c>
      <c r="L1129" s="1" t="str">
        <f>HYPERLINK("https://files.afu.se/Downloads/Transcripts/0%20-%20Government/USA%20-%20NASA/2017 07 14 - NASA - Juno Spies Jupiter’s Great Red Spot on This Week @NASA – July 14, 2017_pMOVbfgnmsI - transcript (automated).pdf","Transcript Link")</f>
        <v>Transcript Link</v>
      </c>
      <c r="M1129" s="2" t="str">
        <f>HYPERLINK("https://files.afu.se/Downloads/Transcripts/0%20-%20Government/USA%20-%20NASA/2017 07 14 - NASA - Juno Spies Jupiter’s Great Red Spot on This Week @NASA – July 14, 2017_pMOVbfgnmsI - transcript (automated).pdf","Transcript Link")</f>
        <v>Transcript Link</v>
      </c>
    </row>
    <row r="1130" ht="165" spans="1:13">
      <c r="A1130" s="1" t="s">
        <v>5387</v>
      </c>
      <c r="B1130" s="1" t="s">
        <v>13</v>
      </c>
      <c r="C1130" s="4" t="s">
        <v>5388</v>
      </c>
      <c r="D1130" s="1" t="s">
        <v>5389</v>
      </c>
      <c r="E1130" s="1" t="s">
        <v>5390</v>
      </c>
      <c r="F1130" s="4" t="s">
        <v>17</v>
      </c>
      <c r="G1130" s="1" t="s">
        <v>18</v>
      </c>
      <c r="H1130" s="1" t="s">
        <v>19</v>
      </c>
      <c r="I1130" s="1" t="s">
        <v>20</v>
      </c>
      <c r="J1130" s="1" t="s">
        <v>5391</v>
      </c>
      <c r="K1130" s="1" t="s">
        <v>22</v>
      </c>
      <c r="L1130" s="1" t="str">
        <f>HYPERLINK("https://files.afu.se/Downloads/Transcripts/0%20-%20Government/USA%20-%20NASA/2017 07 10 - NASA - International Space Station Expedition 52-53 Crew News Conference_Ym7p4ZM4mj8 - transcript (automated).pdf","Transcript Link")</f>
        <v>Transcript Link</v>
      </c>
      <c r="M1130" s="2" t="str">
        <f>HYPERLINK("https://files.afu.se/Downloads/Transcripts/0%20-%20Government/USA%20-%20NASA/2017 07 10 - NASA - International Space Station Expedition 52-53 Crew News Conference_Ym7p4ZM4mj8 - transcript (automated).pdf","Transcript Link")</f>
        <v>Transcript Link</v>
      </c>
    </row>
    <row r="1131" ht="210" spans="1:13">
      <c r="A1131" s="1" t="s">
        <v>5387</v>
      </c>
      <c r="B1131" s="1" t="s">
        <v>13</v>
      </c>
      <c r="C1131" s="4" t="s">
        <v>5392</v>
      </c>
      <c r="D1131" s="1" t="s">
        <v>5393</v>
      </c>
      <c r="E1131" s="1" t="s">
        <v>5394</v>
      </c>
      <c r="F1131" s="4" t="s">
        <v>17</v>
      </c>
      <c r="G1131" s="1" t="s">
        <v>18</v>
      </c>
      <c r="H1131" s="1" t="s">
        <v>19</v>
      </c>
      <c r="I1131" s="1" t="s">
        <v>20</v>
      </c>
      <c r="J1131" s="1" t="s">
        <v>5395</v>
      </c>
      <c r="K1131" s="1" t="s">
        <v>22</v>
      </c>
      <c r="L1131" s="1" t="str">
        <f>HYPERLINK("https://files.afu.se/Downloads/Transcripts/0%20-%20Government/USA%20-%20NASA/2017 07 10 - NASA - Expedition 52-53 Crew Conducts Traditional Ceremonies in Star City and Moscow, Russia_8Kv_MQYmCUU - transcript (automated).pdf","Transcript Link")</f>
        <v>Transcript Link</v>
      </c>
      <c r="M1131" s="2" t="str">
        <f>HYPERLINK("https://files.afu.se/Downloads/Transcripts/0%20-%20Government/USA%20-%20NASA/2017 07 10 - NASA - Expedition 52-53 Crew Conducts Traditional Ceremonies in Star City and Moscow, Russia_8Kv_MQYmCUU - transcript (automated).pdf","Transcript Link")</f>
        <v>Transcript Link</v>
      </c>
    </row>
    <row r="1132" ht="165" spans="1:13">
      <c r="A1132" s="1" t="s">
        <v>5387</v>
      </c>
      <c r="B1132" s="1" t="s">
        <v>13</v>
      </c>
      <c r="C1132" s="4" t="s">
        <v>5396</v>
      </c>
      <c r="D1132" s="1" t="s">
        <v>5397</v>
      </c>
      <c r="E1132" s="1" t="s">
        <v>5398</v>
      </c>
      <c r="F1132" s="4" t="s">
        <v>17</v>
      </c>
      <c r="G1132" s="1" t="s">
        <v>18</v>
      </c>
      <c r="H1132" s="1" t="s">
        <v>19</v>
      </c>
      <c r="I1132" s="1" t="s">
        <v>20</v>
      </c>
      <c r="J1132" s="1" t="s">
        <v>5399</v>
      </c>
      <c r="K1132" s="1" t="s">
        <v>22</v>
      </c>
      <c r="L1132" s="1" t="str">
        <f>HYPERLINK("https://files.afu.se/Downloads/Transcripts/0%20-%20Government/USA%20-%20NASA/2017 07 10 - NASA - Space Station Crew Members Discusses Life in Space with the Media_-V9DBBOfJIA - transcript (automated).pdf","Transcript Link")</f>
        <v>Transcript Link</v>
      </c>
      <c r="M1132" s="2" t="str">
        <f>HYPERLINK("https://files.afu.se/Downloads/Transcripts/0%20-%20Government/USA%20-%20NASA/2017 07 10 - NASA - Space Station Crew Members Discusses Life in Space with the Media_-V9DBBOfJIA - transcript (automated).pdf","Transcript Link")</f>
        <v>Transcript Link</v>
      </c>
    </row>
    <row r="1133" ht="180" spans="1:13">
      <c r="A1133" s="1" t="s">
        <v>5400</v>
      </c>
      <c r="B1133" s="1" t="s">
        <v>13</v>
      </c>
      <c r="C1133" s="4" t="s">
        <v>5401</v>
      </c>
      <c r="D1133" s="1" t="s">
        <v>5402</v>
      </c>
      <c r="E1133" s="1" t="s">
        <v>5403</v>
      </c>
      <c r="F1133" s="4" t="s">
        <v>17</v>
      </c>
      <c r="G1133" s="1" t="s">
        <v>18</v>
      </c>
      <c r="H1133" s="1" t="s">
        <v>19</v>
      </c>
      <c r="I1133" s="1" t="s">
        <v>20</v>
      </c>
      <c r="J1133" s="1" t="s">
        <v>5404</v>
      </c>
      <c r="K1133" s="1" t="s">
        <v>22</v>
      </c>
      <c r="L1133" s="1" t="str">
        <f>HYPERLINK("https://files.afu.se/Downloads/Transcripts/0%20-%20Government/USA%20-%20NASA/2017 07 07 - NASA - Vice President Pence Visits Kennedy on This Week @NASA – July 7, 2017_WLXK54duZfE - transcript (automated).pdf","Transcript Link")</f>
        <v>Transcript Link</v>
      </c>
      <c r="M1133" s="2" t="str">
        <f>HYPERLINK("https://files.afu.se/Downloads/Transcripts/0%20-%20Government/USA%20-%20NASA/2017 07 07 - NASA - Vice President Pence Visits Kennedy on This Week @NASA – July 7, 2017_WLXK54duZfE - transcript (automated).pdf","Transcript Link")</f>
        <v>Transcript Link</v>
      </c>
    </row>
    <row r="1134" ht="165" spans="1:13">
      <c r="A1134" s="1" t="s">
        <v>5400</v>
      </c>
      <c r="B1134" s="1" t="s">
        <v>13</v>
      </c>
      <c r="C1134" s="4" t="s">
        <v>5405</v>
      </c>
      <c r="D1134" s="1" t="s">
        <v>5406</v>
      </c>
      <c r="E1134" s="1" t="s">
        <v>5407</v>
      </c>
      <c r="F1134" s="4" t="s">
        <v>17</v>
      </c>
      <c r="G1134" s="1" t="s">
        <v>18</v>
      </c>
      <c r="H1134" s="1" t="s">
        <v>19</v>
      </c>
      <c r="I1134" s="1" t="s">
        <v>20</v>
      </c>
      <c r="J1134" s="1" t="s">
        <v>5408</v>
      </c>
      <c r="K1134" s="1" t="s">
        <v>22</v>
      </c>
      <c r="L1134" s="1" t="str">
        <f>HYPERLINK("https://files.afu.se/Downloads/Transcripts/0%20-%20Government/USA%20-%20NASA/2017 07 07 - NASA - Space Station Crew Member Discusses Life in Space with Web-Based Media_u9fip6f9eYo - transcript (automated).pdf","Transcript Link")</f>
        <v>Transcript Link</v>
      </c>
      <c r="M1134" s="2" t="str">
        <f>HYPERLINK("https://files.afu.se/Downloads/Transcripts/0%20-%20Government/USA%20-%20NASA/2017 07 07 - NASA - Space Station Crew Member Discusses Life in Space with Web-Based Media_u9fip6f9eYo - transcript (automated).pdf","Transcript Link")</f>
        <v>Transcript Link</v>
      </c>
    </row>
    <row r="1135" ht="165" spans="1:13">
      <c r="A1135" s="1" t="s">
        <v>5409</v>
      </c>
      <c r="B1135" s="1" t="s">
        <v>13</v>
      </c>
      <c r="C1135" s="4" t="s">
        <v>5410</v>
      </c>
      <c r="D1135" s="1" t="s">
        <v>5411</v>
      </c>
      <c r="E1135" s="1" t="s">
        <v>5412</v>
      </c>
      <c r="F1135" s="4" t="s">
        <v>17</v>
      </c>
      <c r="G1135" s="1" t="s">
        <v>18</v>
      </c>
      <c r="H1135" s="1" t="s">
        <v>19</v>
      </c>
      <c r="I1135" s="1" t="s">
        <v>20</v>
      </c>
      <c r="J1135" s="1" t="s">
        <v>5413</v>
      </c>
      <c r="K1135" s="1" t="s">
        <v>22</v>
      </c>
      <c r="L1135" s="1" t="str">
        <f>HYPERLINK("https://files.afu.se/Downloads/Transcripts/0%20-%20Government/USA%20-%20NASA/2017 07 06 - NASA - Vice President Pence Visits NASA's Kennedy Space Center_cNb5e0lxGTQ - transcript (automated).pdf","Transcript Link")</f>
        <v>Transcript Link</v>
      </c>
      <c r="M1135" s="2" t="str">
        <f>HYPERLINK("https://files.afu.se/Downloads/Transcripts/0%20-%20Government/USA%20-%20NASA/2017 07 06 - NASA - Vice President Pence Visits NASA's Kennedy Space Center_cNb5e0lxGTQ - transcript (automated).pdf","Transcript Link")</f>
        <v>Transcript Link</v>
      </c>
    </row>
    <row r="1136" ht="165" spans="1:13">
      <c r="A1136" s="1" t="s">
        <v>5409</v>
      </c>
      <c r="B1136" s="1" t="s">
        <v>13</v>
      </c>
      <c r="C1136" s="4" t="s">
        <v>5414</v>
      </c>
      <c r="D1136" s="1" t="s">
        <v>5415</v>
      </c>
      <c r="E1136" s="1" t="s">
        <v>5412</v>
      </c>
      <c r="F1136" s="4" t="s">
        <v>17</v>
      </c>
      <c r="G1136" s="1" t="s">
        <v>18</v>
      </c>
      <c r="H1136" s="1" t="s">
        <v>19</v>
      </c>
      <c r="I1136" s="1" t="s">
        <v>20</v>
      </c>
      <c r="J1136" s="1" t="s">
        <v>5416</v>
      </c>
      <c r="K1136" s="1" t="s">
        <v>22</v>
      </c>
      <c r="L1136" s="1" t="str">
        <f>HYPERLINK("https://files.afu.se/Downloads/Transcripts/0%20-%20Government/USA%20-%20NASA/2017 07 06 - NASA - Vice President Pence Arrives for Visit at NASA's Kennedy Space Center_rCfzlxGWGgE - transcript (automated).pdf","Transcript Link")</f>
        <v>Transcript Link</v>
      </c>
      <c r="M1136" s="2" t="str">
        <f>HYPERLINK("https://files.afu.se/Downloads/Transcripts/0%20-%20Government/USA%20-%20NASA/2017 07 06 - NASA - Vice President Pence Arrives for Visit at NASA's Kennedy Space Center_rCfzlxGWGgE - transcript (automated).pdf","Transcript Link")</f>
        <v>Transcript Link</v>
      </c>
    </row>
    <row r="1137" ht="180" spans="1:13">
      <c r="A1137" s="1" t="s">
        <v>5417</v>
      </c>
      <c r="B1137" s="1" t="s">
        <v>13</v>
      </c>
      <c r="C1137" s="4" t="s">
        <v>5418</v>
      </c>
      <c r="D1137" s="1" t="s">
        <v>5419</v>
      </c>
      <c r="E1137" s="1" t="s">
        <v>5420</v>
      </c>
      <c r="F1137" s="4" t="s">
        <v>17</v>
      </c>
      <c r="G1137" s="1" t="s">
        <v>18</v>
      </c>
      <c r="H1137" s="1" t="s">
        <v>19</v>
      </c>
      <c r="I1137" s="1" t="s">
        <v>20</v>
      </c>
      <c r="J1137" s="1" t="s">
        <v>5421</v>
      </c>
      <c r="K1137" s="1" t="s">
        <v>22</v>
      </c>
      <c r="L1137" s="1" t="str">
        <f>HYPERLINK("https://files.afu.se/Downloads/Transcripts/0%20-%20Government/USA%20-%20NASA/2017 07 03 - NASA - U.S. Commercial Cargo Ship Departs Space Station for Earth_7usr3kQv_1w - transcript (automated).pdf","Transcript Link")</f>
        <v>Transcript Link</v>
      </c>
      <c r="M1137" s="2" t="str">
        <f>HYPERLINK("https://files.afu.se/Downloads/Transcripts/0%20-%20Government/USA%20-%20NASA/2017 07 03 - NASA - U.S. Commercial Cargo Ship Departs Space Station for Earth_7usr3kQv_1w - transcript (automated).pdf","Transcript Link")</f>
        <v>Transcript Link</v>
      </c>
    </row>
    <row r="1138" ht="210" spans="1:13">
      <c r="A1138" s="1" t="s">
        <v>5422</v>
      </c>
      <c r="B1138" s="1" t="s">
        <v>13</v>
      </c>
      <c r="C1138" s="4" t="s">
        <v>5423</v>
      </c>
      <c r="D1138" s="1" t="s">
        <v>5424</v>
      </c>
      <c r="E1138" s="1" t="s">
        <v>5425</v>
      </c>
      <c r="F1138" s="4" t="s">
        <v>17</v>
      </c>
      <c r="G1138" s="1" t="s">
        <v>18</v>
      </c>
      <c r="H1138" s="1" t="s">
        <v>19</v>
      </c>
      <c r="I1138" s="1" t="s">
        <v>20</v>
      </c>
      <c r="J1138" s="1" t="s">
        <v>5426</v>
      </c>
      <c r="K1138" s="1" t="s">
        <v>22</v>
      </c>
      <c r="L1138" s="1" t="str">
        <f>HYPERLINK("https://files.afu.se/Downloads/Transcripts/0%20-%20Government/USA%20-%20NASA/2017 07 01 - NASA - President Trump Reestablishes the National Space Council on This Week @NASA - June 30, 2017_motIlXvNEao - transcript (automated).pdf","Transcript Link")</f>
        <v>Transcript Link</v>
      </c>
      <c r="M1138" s="2" t="str">
        <f>HYPERLINK("https://files.afu.se/Downloads/Transcripts/0%20-%20Government/USA%20-%20NASA/2017 07 01 - NASA - President Trump Reestablishes the National Space Council on This Week @NASA - June 30, 2017_motIlXvNEao - transcript (automated).pdf","Transcript Link")</f>
        <v>Transcript Link</v>
      </c>
    </row>
    <row r="1139" ht="165" spans="1:13">
      <c r="A1139" s="1" t="s">
        <v>5422</v>
      </c>
      <c r="B1139" s="1" t="s">
        <v>13</v>
      </c>
      <c r="C1139" s="4" t="s">
        <v>5427</v>
      </c>
      <c r="D1139" s="1" t="s">
        <v>5428</v>
      </c>
      <c r="E1139" s="1" t="s">
        <v>5429</v>
      </c>
      <c r="F1139" s="4" t="s">
        <v>17</v>
      </c>
      <c r="G1139" s="1" t="s">
        <v>18</v>
      </c>
      <c r="H1139" s="1" t="s">
        <v>19</v>
      </c>
      <c r="I1139" s="1" t="s">
        <v>20</v>
      </c>
      <c r="J1139" s="1" t="s">
        <v>5430</v>
      </c>
      <c r="K1139" s="1" t="s">
        <v>22</v>
      </c>
      <c r="L1139" s="1" t="str">
        <f>HYPERLINK("https://files.afu.se/Downloads/Transcripts/0%20-%20Government/USA%20-%20NASA/2017 07 01 - NASA - Happy 4th of July, from NASA_d1CLtV1WY34 - transcript (automated).pdf","Transcript Link")</f>
        <v>Transcript Link</v>
      </c>
      <c r="M1139" s="2" t="str">
        <f>HYPERLINK("https://files.afu.se/Downloads/Transcripts/0%20-%20Government/USA%20-%20NASA/2017 07 01 - NASA - Happy 4th of July, from NASA_d1CLtV1WY34 - transcript (automated).pdf","Transcript Link")</f>
        <v>Transcript Link</v>
      </c>
    </row>
    <row r="1140" ht="165" spans="1:13">
      <c r="A1140" s="1" t="s">
        <v>5431</v>
      </c>
      <c r="B1140" s="1" t="s">
        <v>13</v>
      </c>
      <c r="C1140" s="4" t="s">
        <v>5432</v>
      </c>
      <c r="D1140" s="1" t="s">
        <v>5433</v>
      </c>
      <c r="E1140" s="1" t="s">
        <v>5434</v>
      </c>
      <c r="F1140" s="4" t="s">
        <v>17</v>
      </c>
      <c r="G1140" s="1" t="s">
        <v>18</v>
      </c>
      <c r="H1140" s="1" t="s">
        <v>19</v>
      </c>
      <c r="I1140" s="1" t="s">
        <v>20</v>
      </c>
      <c r="J1140" s="1" t="s">
        <v>5435</v>
      </c>
      <c r="K1140" s="1" t="s">
        <v>22</v>
      </c>
      <c r="L1140" s="1" t="str">
        <f>HYPERLINK("https://files.afu.se/Downloads/Transcripts/0%20-%20Government/USA%20-%20NASA/2017 06 30 - NASA - International Asteroid Day_VYO-mpoC8_s - transcript (automated).pdf","Transcript Link")</f>
        <v>Transcript Link</v>
      </c>
      <c r="M1140" s="2" t="str">
        <f>HYPERLINK("https://files.afu.se/Downloads/Transcripts/0%20-%20Government/USA%20-%20NASA/2017 06 30 - NASA - International Asteroid Day_VYO-mpoC8_s - transcript (automated).pdf","Transcript Link")</f>
        <v>Transcript Link</v>
      </c>
    </row>
    <row r="1141" ht="270" spans="1:13">
      <c r="A1141" s="1" t="s">
        <v>5436</v>
      </c>
      <c r="B1141" s="1" t="s">
        <v>13</v>
      </c>
      <c r="C1141" s="4" t="s">
        <v>5437</v>
      </c>
      <c r="D1141" s="1" t="s">
        <v>5438</v>
      </c>
      <c r="E1141" s="1" t="s">
        <v>5439</v>
      </c>
      <c r="F1141" s="4" t="s">
        <v>17</v>
      </c>
      <c r="G1141" s="1" t="s">
        <v>18</v>
      </c>
      <c r="H1141" s="1" t="s">
        <v>19</v>
      </c>
      <c r="I1141" s="1" t="s">
        <v>20</v>
      </c>
      <c r="J1141" s="1" t="s">
        <v>5440</v>
      </c>
      <c r="K1141" s="1" t="s">
        <v>22</v>
      </c>
      <c r="L1141" s="1" t="str">
        <f>HYPERLINK("https://files.afu.se/Downloads/Transcripts/0%20-%20Government/USA%20-%20NASA/2017 06 29 - NASA - Nighttime Rocket Launch Creates Colorful Clouds in Space_0YNn1C8AQRE - transcript (automated).pdf","Transcript Link")</f>
        <v>Transcript Link</v>
      </c>
      <c r="M1141" s="2" t="str">
        <f>HYPERLINK("https://files.afu.se/Downloads/Transcripts/0%20-%20Government/USA%20-%20NASA/2017 06 29 - NASA - Nighttime Rocket Launch Creates Colorful Clouds in Space_0YNn1C8AQRE - transcript (automated).pdf","Transcript Link")</f>
        <v>Transcript Link</v>
      </c>
    </row>
    <row r="1142" ht="165" spans="1:13">
      <c r="A1142" s="1" t="s">
        <v>5441</v>
      </c>
      <c r="B1142" s="1" t="s">
        <v>13</v>
      </c>
      <c r="C1142" s="4" t="s">
        <v>5442</v>
      </c>
      <c r="D1142" s="1" t="s">
        <v>5443</v>
      </c>
      <c r="E1142" s="1" t="s">
        <v>5444</v>
      </c>
      <c r="F1142" s="4" t="s">
        <v>17</v>
      </c>
      <c r="G1142" s="1" t="s">
        <v>18</v>
      </c>
      <c r="H1142" s="1" t="s">
        <v>19</v>
      </c>
      <c r="I1142" s="1" t="s">
        <v>20</v>
      </c>
      <c r="J1142" s="1" t="s">
        <v>5445</v>
      </c>
      <c r="K1142" s="1" t="s">
        <v>22</v>
      </c>
      <c r="L1142" s="1" t="str">
        <f>HYPERLINK("https://files.afu.se/Downloads/Transcripts/0%20-%20Government/USA%20-%20NASA/2017 06 28 - NASA - Space Station Crew Member Discusses Life in Space with Network Outlets_-q7mo4Q0Cu8 - transcript (automated).pdf","Transcript Link")</f>
        <v>Transcript Link</v>
      </c>
      <c r="M1142" s="2" t="str">
        <f>HYPERLINK("https://files.afu.se/Downloads/Transcripts/0%20-%20Government/USA%20-%20NASA/2017 06 28 - NASA - Space Station Crew Member Discusses Life in Space with Network Outlets_-q7mo4Q0Cu8 - transcript (automated).pdf","Transcript Link")</f>
        <v>Transcript Link</v>
      </c>
    </row>
    <row r="1143" ht="210" spans="1:13">
      <c r="A1143" s="1" t="s">
        <v>5446</v>
      </c>
      <c r="B1143" s="1" t="s">
        <v>13</v>
      </c>
      <c r="C1143" s="4" t="s">
        <v>5447</v>
      </c>
      <c r="D1143" s="1" t="s">
        <v>5448</v>
      </c>
      <c r="E1143" s="1" t="s">
        <v>5449</v>
      </c>
      <c r="F1143" s="4" t="s">
        <v>17</v>
      </c>
      <c r="G1143" s="1" t="s">
        <v>18</v>
      </c>
      <c r="H1143" s="1" t="s">
        <v>19</v>
      </c>
      <c r="I1143" s="1" t="s">
        <v>20</v>
      </c>
      <c r="J1143" s="1" t="s">
        <v>5450</v>
      </c>
      <c r="K1143" s="1" t="s">
        <v>22</v>
      </c>
      <c r="L1143" s="1" t="str">
        <f>HYPERLINK("https://files.afu.se/Downloads/Transcripts/0%20-%20Government/USA%20-%20NASA/2017 06 23 - NASA - Total Solar Eclipse Primer on This Week @NASA – June 23, 2017_VN_3fFoep1s - transcript (automated).pdf","Transcript Link")</f>
        <v>Transcript Link</v>
      </c>
      <c r="M1143" s="2" t="str">
        <f>HYPERLINK("https://files.afu.se/Downloads/Transcripts/0%20-%20Government/USA%20-%20NASA/2017 06 23 - NASA - Total Solar Eclipse Primer on This Week @NASA – June 23, 2017_VN_3fFoep1s - transcript (automated).pdf","Transcript Link")</f>
        <v>Transcript Link</v>
      </c>
    </row>
    <row r="1144" ht="165" spans="1:13">
      <c r="A1144" s="1" t="s">
        <v>5446</v>
      </c>
      <c r="B1144" s="1" t="s">
        <v>13</v>
      </c>
      <c r="C1144" s="4" t="s">
        <v>5451</v>
      </c>
      <c r="D1144" s="1" t="s">
        <v>5452</v>
      </c>
      <c r="E1144" s="1" t="s">
        <v>5453</v>
      </c>
      <c r="F1144" s="4" t="s">
        <v>17</v>
      </c>
      <c r="G1144" s="1" t="s">
        <v>18</v>
      </c>
      <c r="H1144" s="1" t="s">
        <v>19</v>
      </c>
      <c r="I1144" s="1" t="s">
        <v>20</v>
      </c>
      <c r="J1144" s="1" t="s">
        <v>5454</v>
      </c>
      <c r="K1144" s="1" t="s">
        <v>22</v>
      </c>
      <c r="L1144" s="1" t="str">
        <f>HYPERLINK("https://files.afu.se/Downloads/Transcripts/0%20-%20Government/USA%20-%20NASA/2017 06 23 - NASA - NASA Spacecraft Fire and Combustion_CLu3ZGVztfI - transcript (automated).pdf","Transcript Link")</f>
        <v>Transcript Link</v>
      </c>
      <c r="M1144" s="2" t="str">
        <f>HYPERLINK("https://files.afu.se/Downloads/Transcripts/0%20-%20Government/USA%20-%20NASA/2017 06 23 - NASA - NASA Spacecraft Fire and Combustion_CLu3ZGVztfI - transcript (automated).pdf","Transcript Link")</f>
        <v>Transcript Link</v>
      </c>
    </row>
    <row r="1145" ht="165" spans="1:13">
      <c r="A1145" s="1" t="s">
        <v>5446</v>
      </c>
      <c r="B1145" s="1" t="s">
        <v>13</v>
      </c>
      <c r="C1145" s="4" t="s">
        <v>5455</v>
      </c>
      <c r="D1145" s="1" t="s">
        <v>5456</v>
      </c>
      <c r="F1145" s="4" t="s">
        <v>17</v>
      </c>
      <c r="G1145" s="1" t="s">
        <v>18</v>
      </c>
      <c r="H1145" s="1" t="s">
        <v>19</v>
      </c>
      <c r="I1145" s="1" t="s">
        <v>20</v>
      </c>
      <c r="J1145" s="1" t="s">
        <v>5457</v>
      </c>
      <c r="K1145" s="1" t="s">
        <v>22</v>
      </c>
      <c r="L1145" s="1" t="str">
        <f>HYPERLINK("https://files.afu.se/Downloads/Transcripts/0%20-%20Government/USA%20-%20NASA/2017 06 23 - NASA - Space Station Crew Member Discusses Life in Space with Voice of America_-uWTGpzmAFI - transcript (automated).pdf","Transcript Link")</f>
        <v>Transcript Link</v>
      </c>
      <c r="M1145" s="2" t="str">
        <f>HYPERLINK("https://files.afu.se/Downloads/Transcripts/0%20-%20Government/USA%20-%20NASA/2017 06 23 - NASA - Space Station Crew Member Discusses Life in Space with Voice of America_-uWTGpzmAFI - transcript (automated).pdf","Transcript Link")</f>
        <v>Transcript Link</v>
      </c>
    </row>
    <row r="1146" ht="255" spans="1:13">
      <c r="A1146" s="1" t="s">
        <v>5458</v>
      </c>
      <c r="B1146" s="1" t="s">
        <v>13</v>
      </c>
      <c r="C1146" s="4" t="s">
        <v>5459</v>
      </c>
      <c r="D1146" s="1" t="s">
        <v>5460</v>
      </c>
      <c r="E1146" s="1" t="s">
        <v>5461</v>
      </c>
      <c r="F1146" s="4" t="s">
        <v>17</v>
      </c>
      <c r="G1146" s="1" t="s">
        <v>18</v>
      </c>
      <c r="H1146" s="1" t="s">
        <v>19</v>
      </c>
      <c r="I1146" s="1" t="s">
        <v>20</v>
      </c>
      <c r="J1146" s="1" t="s">
        <v>5462</v>
      </c>
      <c r="K1146" s="1" t="s">
        <v>22</v>
      </c>
      <c r="L1146" s="1" t="str">
        <f>HYPERLINK("https://files.afu.se/Downloads/Transcripts/0%20-%20Government/USA%20-%20NASA/2017 06 22 - NASA - RockOn RockSat C payload successfully launched_69QceCuTojs - transcript (automated).pdf","Transcript Link")</f>
        <v>Transcript Link</v>
      </c>
      <c r="M1146" s="2" t="str">
        <f>HYPERLINK("https://files.afu.se/Downloads/Transcripts/0%20-%20Government/USA%20-%20NASA/2017 06 22 - NASA - RockOn RockSat C payload successfully launched_69QceCuTojs - transcript (automated).pdf","Transcript Link")</f>
        <v>Transcript Link</v>
      </c>
    </row>
    <row r="1147" ht="240" spans="1:13">
      <c r="A1147" s="1" t="s">
        <v>5463</v>
      </c>
      <c r="B1147" s="1" t="s">
        <v>13</v>
      </c>
      <c r="C1147" s="4" t="s">
        <v>5464</v>
      </c>
      <c r="D1147" s="1" t="s">
        <v>5465</v>
      </c>
      <c r="E1147" s="1" t="s">
        <v>5466</v>
      </c>
      <c r="F1147" s="4" t="s">
        <v>17</v>
      </c>
      <c r="G1147" s="1" t="s">
        <v>18</v>
      </c>
      <c r="H1147" s="1" t="s">
        <v>19</v>
      </c>
      <c r="I1147" s="1" t="s">
        <v>20</v>
      </c>
      <c r="J1147" s="1" t="s">
        <v>5467</v>
      </c>
      <c r="K1147" s="1" t="s">
        <v>22</v>
      </c>
      <c r="L1147" s="1" t="str">
        <f>HYPERLINK("https://files.afu.se/Downloads/Transcripts/0%20-%20Government/USA%20-%20NASA/2017 06 21 - NASA - 2017 Total Solar Eclipse Science Briefing_SI9AovFNVUQ - transcript (automated).pdf","Transcript Link")</f>
        <v>Transcript Link</v>
      </c>
      <c r="M1147" s="2" t="str">
        <f>HYPERLINK("https://files.afu.se/Downloads/Transcripts/0%20-%20Government/USA%20-%20NASA/2017 06 21 - NASA - 2017 Total Solar Eclipse Science Briefing_SI9AovFNVUQ - transcript (automated).pdf","Transcript Link")</f>
        <v>Transcript Link</v>
      </c>
    </row>
    <row r="1148" ht="240" spans="1:13">
      <c r="A1148" s="1" t="s">
        <v>5463</v>
      </c>
      <c r="B1148" s="1" t="s">
        <v>13</v>
      </c>
      <c r="C1148" s="4" t="s">
        <v>5468</v>
      </c>
      <c r="D1148" s="1" t="s">
        <v>5469</v>
      </c>
      <c r="E1148" s="1" t="s">
        <v>5470</v>
      </c>
      <c r="F1148" s="4" t="s">
        <v>17</v>
      </c>
      <c r="G1148" s="1" t="s">
        <v>18</v>
      </c>
      <c r="H1148" s="1" t="s">
        <v>19</v>
      </c>
      <c r="I1148" s="1" t="s">
        <v>20</v>
      </c>
      <c r="J1148" s="1" t="s">
        <v>5471</v>
      </c>
      <c r="K1148" s="1" t="s">
        <v>22</v>
      </c>
      <c r="L1148" s="1" t="str">
        <f>HYPERLINK("https://files.afu.se/Downloads/Transcripts/0%20-%20Government/USA%20-%20NASA/2017 06 21 - NASA - 2017 Total Solar Eclipse Safety Briefing_TVBoOVC_9bc - transcript (automated).pdf","Transcript Link")</f>
        <v>Transcript Link</v>
      </c>
      <c r="M1148" s="2" t="str">
        <f>HYPERLINK("https://files.afu.se/Downloads/Transcripts/0%20-%20Government/USA%20-%20NASA/2017 06 21 - NASA - 2017 Total Solar Eclipse Safety Briefing_TVBoOVC_9bc - transcript (automated).pdf","Transcript Link")</f>
        <v>Transcript Link</v>
      </c>
    </row>
    <row r="1149" ht="165" spans="1:13">
      <c r="A1149" s="1" t="s">
        <v>5463</v>
      </c>
      <c r="B1149" s="1" t="s">
        <v>13</v>
      </c>
      <c r="C1149" s="4" t="s">
        <v>5472</v>
      </c>
      <c r="D1149" s="1" t="s">
        <v>5473</v>
      </c>
      <c r="F1149" s="4" t="s">
        <v>17</v>
      </c>
      <c r="G1149" s="1" t="s">
        <v>18</v>
      </c>
      <c r="H1149" s="1" t="s">
        <v>19</v>
      </c>
      <c r="I1149" s="1" t="s">
        <v>20</v>
      </c>
      <c r="J1149" s="1" t="s">
        <v>5474</v>
      </c>
      <c r="K1149" s="1" t="s">
        <v>22</v>
      </c>
      <c r="L1149" s="1" t="str">
        <f>HYPERLINK("https://files.afu.se/Downloads/Transcripts/0%20-%20Government/USA%20-%20NASA/2017 06 21 - NASA - 2017 Total Solar Eclipse  - Ways to Watch_lQ9jf-M9p-I - transcript (automated).pdf","Transcript Link")</f>
        <v>Transcript Link</v>
      </c>
      <c r="M1149" s="2" t="str">
        <f>HYPERLINK("https://files.afu.se/Downloads/Transcripts/0%20-%20Government/USA%20-%20NASA/2017 06 21 - NASA - 2017 Total Solar Eclipse  - Ways to Watch_lQ9jf-M9p-I - transcript (automated).pdf","Transcript Link")</f>
        <v>Transcript Link</v>
      </c>
    </row>
    <row r="1150" ht="165" spans="1:13">
      <c r="A1150" s="1" t="s">
        <v>5475</v>
      </c>
      <c r="B1150" s="1" t="s">
        <v>13</v>
      </c>
      <c r="C1150" s="4" t="s">
        <v>5476</v>
      </c>
      <c r="D1150" s="1" t="s">
        <v>5477</v>
      </c>
      <c r="E1150" s="1" t="s">
        <v>5478</v>
      </c>
      <c r="F1150" s="4" t="s">
        <v>17</v>
      </c>
      <c r="G1150" s="1" t="s">
        <v>18</v>
      </c>
      <c r="H1150" s="1" t="s">
        <v>19</v>
      </c>
      <c r="I1150" s="1" t="s">
        <v>20</v>
      </c>
      <c r="J1150" s="1" t="s">
        <v>5479</v>
      </c>
      <c r="K1150" s="1" t="s">
        <v>22</v>
      </c>
      <c r="L1150" s="1" t="str">
        <f>HYPERLINK("https://files.afu.se/Downloads/Transcripts/0%20-%20Government/USA%20-%20NASA/2017 06 20 - NASA - What’s Happened So Far – Mid Year @NASA – June 16, 2017_VVTaWEFEOFI - transcript (automated).pdf","Transcript Link")</f>
        <v>Transcript Link</v>
      </c>
      <c r="M1150" s="2" t="str">
        <f>HYPERLINK("https://files.afu.se/Downloads/Transcripts/0%20-%20Government/USA%20-%20NASA/2017 06 20 - NASA - What’s Happened So Far – Mid Year @NASA – June 16, 2017_VVTaWEFEOFI - transcript (automated).pdf","Transcript Link")</f>
        <v>Transcript Link</v>
      </c>
    </row>
    <row r="1151" ht="165" spans="1:13">
      <c r="A1151" s="1" t="s">
        <v>5480</v>
      </c>
      <c r="B1151" s="1" t="s">
        <v>13</v>
      </c>
      <c r="C1151" s="4" t="s">
        <v>5481</v>
      </c>
      <c r="D1151" s="1" t="s">
        <v>5482</v>
      </c>
      <c r="E1151" s="1" t="s">
        <v>5483</v>
      </c>
      <c r="F1151" s="4" t="s">
        <v>17</v>
      </c>
      <c r="G1151" s="1" t="s">
        <v>18</v>
      </c>
      <c r="H1151" s="1" t="s">
        <v>19</v>
      </c>
      <c r="I1151" s="1" t="s">
        <v>20</v>
      </c>
      <c r="J1151" s="1" t="s">
        <v>5484</v>
      </c>
      <c r="K1151" s="1" t="s">
        <v>22</v>
      </c>
      <c r="L1151" s="1" t="str">
        <f>HYPERLINK("https://files.afu.se/Downloads/Transcripts/0%20-%20Government/USA%20-%20NASA/2017 06 19 - NASA - Space Station Crew Member Discusses Life in Space with Georgia Students_SHzNT7b_V7M - transcript (automated).pdf","Transcript Link")</f>
        <v>Transcript Link</v>
      </c>
      <c r="M1151" s="2" t="str">
        <f>HYPERLINK("https://files.afu.se/Downloads/Transcripts/0%20-%20Government/USA%20-%20NASA/2017 06 19 - NASA - Space Station Crew Member Discusses Life in Space with Georgia Students_SHzNT7b_V7M - transcript (automated).pdf","Transcript Link")</f>
        <v>Transcript Link</v>
      </c>
    </row>
    <row r="1152" ht="165" spans="1:13">
      <c r="A1152" s="1" t="s">
        <v>5485</v>
      </c>
      <c r="B1152" s="1" t="s">
        <v>13</v>
      </c>
      <c r="C1152" s="4" t="s">
        <v>5486</v>
      </c>
      <c r="D1152" s="1" t="s">
        <v>5487</v>
      </c>
      <c r="E1152" s="1" t="s">
        <v>5488</v>
      </c>
      <c r="F1152" s="4" t="s">
        <v>17</v>
      </c>
      <c r="G1152" s="1" t="s">
        <v>18</v>
      </c>
      <c r="H1152" s="1" t="s">
        <v>19</v>
      </c>
      <c r="I1152" s="1" t="s">
        <v>20</v>
      </c>
      <c r="J1152" s="1" t="s">
        <v>5489</v>
      </c>
      <c r="K1152" s="1" t="s">
        <v>22</v>
      </c>
      <c r="L1152" s="1" t="str">
        <f>HYPERLINK("https://files.afu.se/Downloads/Transcripts/0%20-%20Government/USA%20-%20NASA/2017 06 16 - NASA - Russian Resupply Ship Arrives at the International Space Station_gGkShITnb9U - transcript (automated).pdf","Transcript Link")</f>
        <v>Transcript Link</v>
      </c>
      <c r="M1152" s="2" t="str">
        <f>HYPERLINK("https://files.afu.se/Downloads/Transcripts/0%20-%20Government/USA%20-%20NASA/2017 06 16 - NASA - Russian Resupply Ship Arrives at the International Space Station_gGkShITnb9U - transcript (automated).pdf","Transcript Link")</f>
        <v>Transcript Link</v>
      </c>
    </row>
    <row r="1153" ht="165" spans="1:13">
      <c r="A1153" s="1" t="s">
        <v>5490</v>
      </c>
      <c r="B1153" s="1" t="s">
        <v>13</v>
      </c>
      <c r="C1153" s="4" t="s">
        <v>5491</v>
      </c>
      <c r="D1153" s="1" t="s">
        <v>5492</v>
      </c>
      <c r="E1153" s="1" t="s">
        <v>5493</v>
      </c>
      <c r="F1153" s="4" t="s">
        <v>17</v>
      </c>
      <c r="G1153" s="1" t="s">
        <v>18</v>
      </c>
      <c r="H1153" s="1" t="s">
        <v>19</v>
      </c>
      <c r="I1153" s="1" t="s">
        <v>20</v>
      </c>
      <c r="J1153" s="1" t="s">
        <v>5494</v>
      </c>
      <c r="K1153" s="1" t="s">
        <v>22</v>
      </c>
      <c r="L1153" s="1" t="str">
        <f>HYPERLINK("https://files.afu.se/Downloads/Transcripts/0%20-%20Government/USA%20-%20NASA/2017 06 15 - NASA - 2017 Administrator’s Agency Honor Awards Celebrate NASA’s Best of the Best_Ular61rpIVs - transcript (automated).pdf","Transcript Link")</f>
        <v>Transcript Link</v>
      </c>
      <c r="M1153" s="2" t="str">
        <f>HYPERLINK("https://files.afu.se/Downloads/Transcripts/0%20-%20Government/USA%20-%20NASA/2017 06 15 - NASA - 2017 Administrator’s Agency Honor Awards Celebrate NASA’s Best of the Best_Ular61rpIVs - transcript (automated).pdf","Transcript Link")</f>
        <v>Transcript Link</v>
      </c>
    </row>
    <row r="1154" ht="165" spans="1:13">
      <c r="A1154" s="1" t="s">
        <v>5495</v>
      </c>
      <c r="B1154" s="1" t="s">
        <v>13</v>
      </c>
      <c r="C1154" s="4" t="s">
        <v>5496</v>
      </c>
      <c r="D1154" s="1" t="s">
        <v>5497</v>
      </c>
      <c r="E1154" s="1" t="s">
        <v>5498</v>
      </c>
      <c r="F1154" s="4" t="s">
        <v>17</v>
      </c>
      <c r="G1154" s="1" t="s">
        <v>18</v>
      </c>
      <c r="H1154" s="1" t="s">
        <v>19</v>
      </c>
      <c r="I1154" s="1" t="s">
        <v>20</v>
      </c>
      <c r="J1154" s="1" t="s">
        <v>5499</v>
      </c>
      <c r="K1154" s="1" t="s">
        <v>22</v>
      </c>
      <c r="L1154" s="1" t="str">
        <f>HYPERLINK("https://files.afu.se/Downloads/Transcripts/0%20-%20Government/USA%20-%20NASA/2017 06 14 - NASA - Russian Resupply Ship Launches to the International Space Station_PP7gtQhLhG4 - transcript (automated).pdf","Transcript Link")</f>
        <v>Transcript Link</v>
      </c>
      <c r="M1154" s="2" t="str">
        <f>HYPERLINK("https://files.afu.se/Downloads/Transcripts/0%20-%20Government/USA%20-%20NASA/2017 06 14 - NASA - Russian Resupply Ship Launches to the International Space Station_PP7gtQhLhG4 - transcript (automated).pdf","Transcript Link")</f>
        <v>Transcript Link</v>
      </c>
    </row>
    <row r="1155" ht="210" spans="1:13">
      <c r="A1155" s="1" t="s">
        <v>5500</v>
      </c>
      <c r="B1155" s="1" t="s">
        <v>13</v>
      </c>
      <c r="C1155" s="4" t="s">
        <v>5501</v>
      </c>
      <c r="D1155" s="1" t="s">
        <v>5502</v>
      </c>
      <c r="E1155" s="1" t="s">
        <v>5503</v>
      </c>
      <c r="F1155" s="4" t="s">
        <v>17</v>
      </c>
      <c r="G1155" s="1" t="s">
        <v>18</v>
      </c>
      <c r="H1155" s="1" t="s">
        <v>19</v>
      </c>
      <c r="I1155" s="1" t="s">
        <v>20</v>
      </c>
      <c r="J1155" s="1" t="s">
        <v>5504</v>
      </c>
      <c r="K1155" s="1" t="s">
        <v>22</v>
      </c>
      <c r="L1155" s="1" t="str">
        <f>HYPERLINK("https://files.afu.se/Downloads/Transcripts/0%20-%20Government/USA%20-%20NASA/2017 06 09 - NASA - Vice President Welcomes New Astronaut Class on This Week @NASA – June 9, 2017_2IAmEKsG3Yo - transcript (automated).pdf","Transcript Link")</f>
        <v>Transcript Link</v>
      </c>
      <c r="M1155" s="2" t="str">
        <f>HYPERLINK("https://files.afu.se/Downloads/Transcripts/0%20-%20Government/USA%20-%20NASA/2017 06 09 - NASA - Vice President Welcomes New Astronaut Class on This Week @NASA – June 9, 2017_2IAmEKsG3Yo - transcript (automated).pdf","Transcript Link")</f>
        <v>Transcript Link</v>
      </c>
    </row>
    <row r="1156" ht="165" spans="1:13">
      <c r="A1156" s="1" t="s">
        <v>5500</v>
      </c>
      <c r="B1156" s="1" t="s">
        <v>13</v>
      </c>
      <c r="C1156" s="4" t="s">
        <v>5505</v>
      </c>
      <c r="D1156" s="1" t="s">
        <v>5506</v>
      </c>
      <c r="E1156" s="1" t="s">
        <v>5507</v>
      </c>
      <c r="F1156" s="4" t="s">
        <v>17</v>
      </c>
      <c r="G1156" s="1" t="s">
        <v>18</v>
      </c>
      <c r="H1156" s="1" t="s">
        <v>19</v>
      </c>
      <c r="I1156" s="1" t="s">
        <v>20</v>
      </c>
      <c r="J1156" s="1" t="s">
        <v>5508</v>
      </c>
      <c r="K1156" s="1" t="s">
        <v>22</v>
      </c>
      <c r="L1156" s="1" t="str">
        <f>HYPERLINK("https://files.afu.se/Downloads/Transcripts/0%20-%20Government/USA%20-%20NASA/2017 06 09 - NASA - Space Station Crew Member Discusses Life in Space with Maryland Students_xwAb4tYG9w8 - transcript (automated).pdf","Transcript Link")</f>
        <v>Transcript Link</v>
      </c>
      <c r="M1156" s="2" t="str">
        <f>HYPERLINK("https://files.afu.se/Downloads/Transcripts/0%20-%20Government/USA%20-%20NASA/2017 06 09 - NASA - Space Station Crew Member Discusses Life in Space with Maryland Students_xwAb4tYG9w8 - transcript (automated).pdf","Transcript Link")</f>
        <v>Transcript Link</v>
      </c>
    </row>
    <row r="1157" ht="165" spans="1:13">
      <c r="A1157" s="1" t="s">
        <v>5509</v>
      </c>
      <c r="B1157" s="1" t="s">
        <v>13</v>
      </c>
      <c r="C1157" s="4" t="s">
        <v>5510</v>
      </c>
      <c r="D1157" s="1" t="s">
        <v>5511</v>
      </c>
      <c r="E1157" s="1" t="s">
        <v>5512</v>
      </c>
      <c r="F1157" s="4" t="s">
        <v>17</v>
      </c>
      <c r="G1157" s="1" t="s">
        <v>18</v>
      </c>
      <c r="H1157" s="1" t="s">
        <v>19</v>
      </c>
      <c r="I1157" s="1" t="s">
        <v>20</v>
      </c>
      <c r="J1157" s="1" t="s">
        <v>5513</v>
      </c>
      <c r="K1157" s="1" t="s">
        <v>22</v>
      </c>
      <c r="L1157" s="1" t="str">
        <f>HYPERLINK("https://files.afu.se/Downloads/Transcripts/0%20-%20Government/USA%20-%20NASA/2017 06 07 - NASA - 2017 Astronaut Candidate Class News Conference_0gU5HAM4XSE - transcript (automated).pdf","Transcript Link")</f>
        <v>Transcript Link</v>
      </c>
      <c r="M1157" s="2" t="str">
        <f>HYPERLINK("https://files.afu.se/Downloads/Transcripts/0%20-%20Government/USA%20-%20NASA/2017 06 07 - NASA - 2017 Astronaut Candidate Class News Conference_0gU5HAM4XSE - transcript (automated).pdf","Transcript Link")</f>
        <v>Transcript Link</v>
      </c>
    </row>
    <row r="1158" ht="285" spans="1:13">
      <c r="A1158" s="1" t="s">
        <v>5509</v>
      </c>
      <c r="B1158" s="1" t="s">
        <v>13</v>
      </c>
      <c r="C1158" s="4" t="s">
        <v>5514</v>
      </c>
      <c r="D1158" s="1" t="s">
        <v>5515</v>
      </c>
      <c r="E1158" s="1" t="s">
        <v>5516</v>
      </c>
      <c r="F1158" s="4" t="s">
        <v>17</v>
      </c>
      <c r="G1158" s="1" t="s">
        <v>18</v>
      </c>
      <c r="H1158" s="1" t="s">
        <v>19</v>
      </c>
      <c r="I1158" s="1" t="s">
        <v>20</v>
      </c>
      <c r="J1158" s="1" t="s">
        <v>5517</v>
      </c>
      <c r="K1158" s="1" t="s">
        <v>22</v>
      </c>
      <c r="L1158" s="1" t="str">
        <f>HYPERLINK("https://files.afu.se/Downloads/Transcripts/0%20-%20Government/USA%20-%20NASA/2017 06 07 - NASA - Vice President Pence Tours NASA’s Historic Mission Control in Houston_PHNxd-b3baU - transcript (automated).pdf","Transcript Link")</f>
        <v>Transcript Link</v>
      </c>
      <c r="M1158" s="2" t="str">
        <f>HYPERLINK("https://files.afu.se/Downloads/Transcripts/0%20-%20Government/USA%20-%20NASA/2017 06 07 - NASA - Vice President Pence Tours NASA’s Historic Mission Control in Houston_PHNxd-b3baU - transcript (automated).pdf","Transcript Link")</f>
        <v>Transcript Link</v>
      </c>
    </row>
    <row r="1159" ht="255" spans="1:13">
      <c r="A1159" s="1" t="s">
        <v>5509</v>
      </c>
      <c r="B1159" s="1" t="s">
        <v>13</v>
      </c>
      <c r="C1159" s="4" t="s">
        <v>5518</v>
      </c>
      <c r="D1159" s="1" t="s">
        <v>5519</v>
      </c>
      <c r="E1159" s="1" t="s">
        <v>5520</v>
      </c>
      <c r="F1159" s="4" t="s">
        <v>17</v>
      </c>
      <c r="G1159" s="1" t="s">
        <v>18</v>
      </c>
      <c r="H1159" s="1" t="s">
        <v>19</v>
      </c>
      <c r="I1159" s="1" t="s">
        <v>20</v>
      </c>
      <c r="J1159" s="1" t="s">
        <v>5521</v>
      </c>
      <c r="K1159" s="1" t="s">
        <v>22</v>
      </c>
      <c r="L1159" s="1" t="str">
        <f>HYPERLINK("https://files.afu.se/Downloads/Transcripts/0%20-%20Government/USA%20-%20NASA/2017 06 07 - NASA - NASA’s New Astronauts to Conduct Research Off the Earth, For the Earth and Deep Space Missions_LuXYPj6fIj8 - transcript (automated).pdf","Transcript Link")</f>
        <v>Transcript Link</v>
      </c>
      <c r="M1159" s="2" t="str">
        <f>HYPERLINK("https://files.afu.se/Downloads/Transcripts/0%20-%20Government/USA%20-%20NASA/2017 06 07 - NASA - NASA’s New Astronauts to Conduct Research Off the Earth, For the Earth and Deep Space Missions_LuXYPj6fIj8 - transcript (automated).pdf","Transcript Link")</f>
        <v>Transcript Link</v>
      </c>
    </row>
    <row r="1160" ht="165" spans="1:13">
      <c r="A1160" s="1" t="s">
        <v>5509</v>
      </c>
      <c r="B1160" s="1" t="s">
        <v>13</v>
      </c>
      <c r="C1160" s="4" t="s">
        <v>5522</v>
      </c>
      <c r="D1160" s="1" t="s">
        <v>5523</v>
      </c>
      <c r="F1160" s="4" t="s">
        <v>17</v>
      </c>
      <c r="G1160" s="1" t="s">
        <v>18</v>
      </c>
      <c r="H1160" s="1" t="s">
        <v>19</v>
      </c>
      <c r="I1160" s="1" t="s">
        <v>20</v>
      </c>
      <c r="J1160" s="1" t="s">
        <v>5524</v>
      </c>
      <c r="K1160" s="1" t="s">
        <v>22</v>
      </c>
      <c r="L1160" s="1" t="str">
        <f>HYPERLINK("https://files.afu.se/Downloads/Transcripts/0%20-%20Government/USA%20-%20NASA/2017 06 07 - NASA - NASA 2017 Astronaut Candidates_e1YyeNM8RLs - transcript (automated).pdf","Transcript Link")</f>
        <v>Transcript Link</v>
      </c>
      <c r="M1160" s="2" t="str">
        <f>HYPERLINK("https://files.afu.se/Downloads/Transcripts/0%20-%20Government/USA%20-%20NASA/2017 06 07 - NASA - NASA 2017 Astronaut Candidates_e1YyeNM8RLs - transcript (automated).pdf","Transcript Link")</f>
        <v>Transcript Link</v>
      </c>
    </row>
    <row r="1161" ht="195" spans="1:13">
      <c r="A1161" s="1" t="s">
        <v>5525</v>
      </c>
      <c r="B1161" s="1" t="s">
        <v>13</v>
      </c>
      <c r="C1161" s="4" t="s">
        <v>5526</v>
      </c>
      <c r="D1161" s="1" t="s">
        <v>5527</v>
      </c>
      <c r="E1161" s="1" t="s">
        <v>5528</v>
      </c>
      <c r="F1161" s="4" t="s">
        <v>17</v>
      </c>
      <c r="G1161" s="1" t="s">
        <v>18</v>
      </c>
      <c r="H1161" s="1" t="s">
        <v>19</v>
      </c>
      <c r="I1161" s="1" t="s">
        <v>20</v>
      </c>
      <c r="J1161" s="1" t="s">
        <v>5529</v>
      </c>
      <c r="K1161" s="1" t="s">
        <v>22</v>
      </c>
      <c r="L1161" s="1" t="str">
        <f>HYPERLINK("https://files.afu.se/Downloads/Transcripts/0%20-%20Government/USA%20-%20NASA/2017 06 05 - NASA - U.S. Commercial Cargo Ship Arrives at the Space Station_FF36XCcs8cM - transcript (automated).pdf","Transcript Link")</f>
        <v>Transcript Link</v>
      </c>
      <c r="M1161" s="2" t="str">
        <f>HYPERLINK("https://files.afu.se/Downloads/Transcripts/0%20-%20Government/USA%20-%20NASA/2017 06 05 - NASA - U.S. Commercial Cargo Ship Arrives at the Space Station_FF36XCcs8cM - transcript (automated).pdf","Transcript Link")</f>
        <v>Transcript Link</v>
      </c>
    </row>
    <row r="1162" ht="225" spans="1:13">
      <c r="A1162" s="1" t="s">
        <v>5530</v>
      </c>
      <c r="B1162" s="1" t="s">
        <v>13</v>
      </c>
      <c r="C1162" s="4" t="s">
        <v>5531</v>
      </c>
      <c r="D1162" s="1" t="s">
        <v>5532</v>
      </c>
      <c r="E1162" s="1" t="s">
        <v>5533</v>
      </c>
      <c r="F1162" s="4" t="s">
        <v>17</v>
      </c>
      <c r="G1162" s="1" t="s">
        <v>18</v>
      </c>
      <c r="H1162" s="1" t="s">
        <v>19</v>
      </c>
      <c r="I1162" s="1" t="s">
        <v>20</v>
      </c>
      <c r="J1162" s="1" t="s">
        <v>5534</v>
      </c>
      <c r="K1162" s="1" t="s">
        <v>22</v>
      </c>
      <c r="L1162" s="1" t="str">
        <f>HYPERLINK("https://files.afu.se/Downloads/Transcripts/0%20-%20Government/USA%20-%20NASA/2017 06 04 - NASA - U.S. Commercial Cargo Ship Departs the Space Station_HoQPitS3lq4 - transcript (automated).pdf","Transcript Link")</f>
        <v>Transcript Link</v>
      </c>
      <c r="M1162" s="2" t="str">
        <f>HYPERLINK("https://files.afu.se/Downloads/Transcripts/0%20-%20Government/USA%20-%20NASA/2017 06 04 - NASA - U.S. Commercial Cargo Ship Departs the Space Station_HoQPitS3lq4 - transcript (automated).pdf","Transcript Link")</f>
        <v>Transcript Link</v>
      </c>
    </row>
    <row r="1163" ht="165" spans="1:13">
      <c r="A1163" s="1" t="s">
        <v>5530</v>
      </c>
      <c r="B1163" s="1" t="s">
        <v>13</v>
      </c>
      <c r="C1163" s="4" t="s">
        <v>5535</v>
      </c>
      <c r="D1163" s="1" t="s">
        <v>5269</v>
      </c>
      <c r="E1163" s="1" t="s">
        <v>5536</v>
      </c>
      <c r="F1163" s="4" t="s">
        <v>17</v>
      </c>
      <c r="G1163" s="1" t="s">
        <v>18</v>
      </c>
      <c r="H1163" s="1" t="s">
        <v>19</v>
      </c>
      <c r="I1163" s="1" t="s">
        <v>20</v>
      </c>
      <c r="J1163" s="1" t="s">
        <v>5537</v>
      </c>
      <c r="K1163" s="1" t="s">
        <v>22</v>
      </c>
      <c r="L1163" s="1" t="str">
        <f>HYPERLINK("https://files.afu.se/Downloads/Transcripts/0%20-%20Government/USA%20-%20NASA/2017 06 04 - NASA - Post-Launch Status of Next Space Station Supply Mission_zQ5TirURht4 - transcript (automated).pdf","Transcript Link")</f>
        <v>Transcript Link</v>
      </c>
      <c r="M1163" s="2" t="str">
        <f>HYPERLINK("https://files.afu.se/Downloads/Transcripts/0%20-%20Government/USA%20-%20NASA/2017 06 04 - NASA - Post-Launch Status of Next Space Station Supply Mission_zQ5TirURht4 - transcript (automated).pdf","Transcript Link")</f>
        <v>Transcript Link</v>
      </c>
    </row>
    <row r="1164" ht="165" spans="1:13">
      <c r="A1164" s="1" t="s">
        <v>5538</v>
      </c>
      <c r="B1164" s="1" t="s">
        <v>13</v>
      </c>
      <c r="C1164" s="4" t="s">
        <v>5539</v>
      </c>
      <c r="D1164" s="1" t="s">
        <v>5540</v>
      </c>
      <c r="E1164" s="1" t="s">
        <v>5541</v>
      </c>
      <c r="F1164" s="4" t="s">
        <v>17</v>
      </c>
      <c r="G1164" s="1" t="s">
        <v>18</v>
      </c>
      <c r="H1164" s="1" t="s">
        <v>19</v>
      </c>
      <c r="I1164" s="1" t="s">
        <v>20</v>
      </c>
      <c r="J1164" s="1" t="s">
        <v>5542</v>
      </c>
      <c r="K1164" s="1" t="s">
        <v>22</v>
      </c>
      <c r="L1164" s="1" t="str">
        <f>HYPERLINK("https://files.afu.se/Downloads/Transcripts/0%20-%20Government/USA%20-%20NASA/2017 06 03 - NASA - U.S. Commercial Cargo Ship heads to the Space Station_vHr-fylhVbs - transcript (automated).pdf","Transcript Link")</f>
        <v>Transcript Link</v>
      </c>
      <c r="M1164" s="2" t="str">
        <f>HYPERLINK("https://files.afu.se/Downloads/Transcripts/0%20-%20Government/USA%20-%20NASA/2017 06 03 - NASA - U.S. Commercial Cargo Ship heads to the Space Station_vHr-fylhVbs - transcript (automated).pdf","Transcript Link")</f>
        <v>Transcript Link</v>
      </c>
    </row>
    <row r="1165" ht="165" spans="1:13">
      <c r="A1165" s="1" t="s">
        <v>5543</v>
      </c>
      <c r="B1165" s="1" t="s">
        <v>13</v>
      </c>
      <c r="C1165" s="4" t="s">
        <v>5544</v>
      </c>
      <c r="D1165" s="1" t="s">
        <v>5545</v>
      </c>
      <c r="E1165" s="1" t="s">
        <v>5546</v>
      </c>
      <c r="F1165" s="4" t="s">
        <v>17</v>
      </c>
      <c r="G1165" s="1" t="s">
        <v>18</v>
      </c>
      <c r="H1165" s="1" t="s">
        <v>19</v>
      </c>
      <c r="I1165" s="1" t="s">
        <v>20</v>
      </c>
      <c r="J1165" s="1" t="s">
        <v>5547</v>
      </c>
      <c r="K1165" s="1" t="s">
        <v>22</v>
      </c>
      <c r="L1165" s="1" t="str">
        <f>HYPERLINK("https://files.afu.se/Downloads/Transcripts/0%20-%20Government/USA%20-%20NASA/2017 06 02 - NASA - First Mission into the Sun’s Atmosphere on This Week @NASA – June 2, 2017_5QKXphPsRkY - transcript (automated).pdf","Transcript Link")</f>
        <v>Transcript Link</v>
      </c>
      <c r="M1165" s="2" t="str">
        <f>HYPERLINK("https://files.afu.se/Downloads/Transcripts/0%20-%20Government/USA%20-%20NASA/2017 06 02 - NASA - First Mission into the Sun’s Atmosphere on This Week @NASA – June 2, 2017_5QKXphPsRkY - transcript (automated).pdf","Transcript Link")</f>
        <v>Transcript Link</v>
      </c>
    </row>
    <row r="1166" ht="165" spans="1:13">
      <c r="A1166" s="1" t="s">
        <v>5543</v>
      </c>
      <c r="B1166" s="1" t="s">
        <v>13</v>
      </c>
      <c r="C1166" s="4" t="s">
        <v>5548</v>
      </c>
      <c r="D1166" s="1" t="s">
        <v>5549</v>
      </c>
      <c r="E1166" s="1" t="s">
        <v>5550</v>
      </c>
      <c r="F1166" s="4" t="s">
        <v>17</v>
      </c>
      <c r="G1166" s="1" t="s">
        <v>18</v>
      </c>
      <c r="H1166" s="1" t="s">
        <v>19</v>
      </c>
      <c r="I1166" s="1" t="s">
        <v>20</v>
      </c>
      <c r="J1166" s="1" t="s">
        <v>5551</v>
      </c>
      <c r="K1166" s="1" t="s">
        <v>22</v>
      </c>
      <c r="L1166" s="1" t="str">
        <f>HYPERLINK("https://files.afu.se/Downloads/Transcripts/0%20-%20Government/USA%20-%20NASA/2017 06 02 - NASA - Expedition 51 Crew Lands Safely in Kazakhstan to Complete More Than Six Months in Space_ggy-Ham5AW8 - transcript (automated).pdf","Transcript Link")</f>
        <v>Transcript Link</v>
      </c>
      <c r="M1166" s="2" t="str">
        <f>HYPERLINK("https://files.afu.se/Downloads/Transcripts/0%20-%20Government/USA%20-%20NASA/2017 06 02 - NASA - Expedition 51 Crew Lands Safely in Kazakhstan to Complete More Than Six Months in Space_ggy-Ham5AW8 - transcript (automated).pdf","Transcript Link")</f>
        <v>Transcript Link</v>
      </c>
    </row>
    <row r="1167" ht="165" spans="1:13">
      <c r="A1167" s="1" t="s">
        <v>5543</v>
      </c>
      <c r="B1167" s="1" t="s">
        <v>13</v>
      </c>
      <c r="C1167" s="4" t="s">
        <v>5552</v>
      </c>
      <c r="D1167" s="1" t="s">
        <v>5553</v>
      </c>
      <c r="E1167" s="1" t="s">
        <v>5554</v>
      </c>
      <c r="F1167" s="4" t="s">
        <v>17</v>
      </c>
      <c r="G1167" s="1" t="s">
        <v>18</v>
      </c>
      <c r="H1167" s="1" t="s">
        <v>19</v>
      </c>
      <c r="I1167" s="1" t="s">
        <v>20</v>
      </c>
      <c r="J1167" s="1" t="s">
        <v>5555</v>
      </c>
      <c r="K1167" s="1" t="s">
        <v>22</v>
      </c>
      <c r="L1167" s="1" t="str">
        <f>HYPERLINK("https://files.afu.se/Downloads/Transcripts/0%20-%20Government/USA%20-%20NASA/2017 06 02 - NASA - Expedition 51 Crew Departs Space Station_eO6ooxvOYZs - transcript (automated).pdf","Transcript Link")</f>
        <v>Transcript Link</v>
      </c>
      <c r="M1167" s="2" t="str">
        <f>HYPERLINK("https://files.afu.se/Downloads/Transcripts/0%20-%20Government/USA%20-%20NASA/2017 06 02 - NASA - Expedition 51 Crew Departs Space Station_eO6ooxvOYZs - transcript (automated).pdf","Transcript Link")</f>
        <v>Transcript Link</v>
      </c>
    </row>
    <row r="1168" ht="165" spans="1:13">
      <c r="A1168" s="1" t="s">
        <v>5556</v>
      </c>
      <c r="B1168" s="1" t="s">
        <v>13</v>
      </c>
      <c r="C1168" s="4" t="s">
        <v>5557</v>
      </c>
      <c r="D1168" s="1" t="s">
        <v>5558</v>
      </c>
      <c r="E1168" s="1" t="s">
        <v>5559</v>
      </c>
      <c r="F1168" s="4" t="s">
        <v>17</v>
      </c>
      <c r="G1168" s="1" t="s">
        <v>18</v>
      </c>
      <c r="H1168" s="1" t="s">
        <v>19</v>
      </c>
      <c r="I1168" s="1" t="s">
        <v>20</v>
      </c>
      <c r="J1168" s="1" t="s">
        <v>5560</v>
      </c>
      <c r="K1168" s="1" t="s">
        <v>22</v>
      </c>
      <c r="L1168" s="1" t="str">
        <f>HYPERLINK("https://files.afu.se/Downloads/Transcripts/0%20-%20Government/USA%20-%20NASA/2017 06 01 - NASA - Expedition 51 Crew Hands Over the Space Station to Expedition 52_HKJtROhJPFE - transcript (automated).pdf","Transcript Link")</f>
        <v>Transcript Link</v>
      </c>
      <c r="M1168" s="2" t="str">
        <f>HYPERLINK("https://files.afu.se/Downloads/Transcripts/0%20-%20Government/USA%20-%20NASA/2017 06 01 - NASA - Expedition 51 Crew Hands Over the Space Station to Expedition 52_HKJtROhJPFE - transcript (automated).pdf","Transcript Link")</f>
        <v>Transcript Link</v>
      </c>
    </row>
    <row r="1169" ht="165" spans="1:13">
      <c r="A1169" s="1" t="s">
        <v>5556</v>
      </c>
      <c r="B1169" s="1" t="s">
        <v>13</v>
      </c>
      <c r="C1169" s="4" t="s">
        <v>5561</v>
      </c>
      <c r="D1169" s="1" t="s">
        <v>5562</v>
      </c>
      <c r="E1169" s="1" t="s">
        <v>5563</v>
      </c>
      <c r="F1169" s="4" t="s">
        <v>17</v>
      </c>
      <c r="G1169" s="1" t="s">
        <v>18</v>
      </c>
      <c r="H1169" s="1" t="s">
        <v>19</v>
      </c>
      <c r="I1169" s="1" t="s">
        <v>20</v>
      </c>
      <c r="J1169" s="1" t="s">
        <v>5564</v>
      </c>
      <c r="K1169" s="1" t="s">
        <v>22</v>
      </c>
      <c r="L1169" s="1" t="str">
        <f>HYPERLINK("https://files.afu.se/Downloads/Transcripts/0%20-%20Government/USA%20-%20NASA/2017 06 01 - NASA - Pre-Launch Status of Next Space Station Supply Mission_UZRf6yxzjbQ - transcript (automated).pdf","Transcript Link")</f>
        <v>Transcript Link</v>
      </c>
      <c r="M1169" s="2" t="str">
        <f>HYPERLINK("https://files.afu.se/Downloads/Transcripts/0%20-%20Government/USA%20-%20NASA/2017 06 01 - NASA - Pre-Launch Status of Next Space Station Supply Mission_UZRf6yxzjbQ - transcript (automated).pdf","Transcript Link")</f>
        <v>Transcript Link</v>
      </c>
    </row>
    <row r="1170" ht="285" spans="1:13">
      <c r="A1170" s="1" t="s">
        <v>5556</v>
      </c>
      <c r="B1170" s="1" t="s">
        <v>13</v>
      </c>
      <c r="C1170" s="4" t="s">
        <v>5565</v>
      </c>
      <c r="D1170" s="1" t="s">
        <v>5566</v>
      </c>
      <c r="E1170" s="1" t="s">
        <v>5567</v>
      </c>
      <c r="F1170" s="4" t="s">
        <v>17</v>
      </c>
      <c r="G1170" s="1" t="s">
        <v>18</v>
      </c>
      <c r="H1170" s="1" t="s">
        <v>19</v>
      </c>
      <c r="I1170" s="1" t="s">
        <v>20</v>
      </c>
      <c r="J1170" s="1" t="s">
        <v>5568</v>
      </c>
      <c r="K1170" s="1" t="s">
        <v>22</v>
      </c>
      <c r="L1170" s="1" t="str">
        <f>HYPERLINK("https://files.afu.se/Downloads/Transcripts/0%20-%20Government/USA%20-%20NASA/2017 06 01 - NASA - NASA names Unique Solar Mission after University of Chicago Physicist Eugene Parker_jRyKWzTT6kg - transcript (automated).pdf","Transcript Link")</f>
        <v>Transcript Link</v>
      </c>
      <c r="M1170" s="2" t="str">
        <f>HYPERLINK("https://files.afu.se/Downloads/Transcripts/0%20-%20Government/USA%20-%20NASA/2017 06 01 - NASA - NASA names Unique Solar Mission after University of Chicago Physicist Eugene Parker_jRyKWzTT6kg - transcript (automated).pdf","Transcript Link")</f>
        <v>Transcript Link</v>
      </c>
    </row>
    <row r="1171" ht="165" spans="1:13">
      <c r="A1171" s="1" t="s">
        <v>5569</v>
      </c>
      <c r="B1171" s="1" t="s">
        <v>13</v>
      </c>
      <c r="C1171" s="4" t="s">
        <v>5570</v>
      </c>
      <c r="D1171" s="1" t="s">
        <v>5571</v>
      </c>
      <c r="E1171" s="1" t="s">
        <v>5572</v>
      </c>
      <c r="F1171" s="4" t="s">
        <v>17</v>
      </c>
      <c r="G1171" s="1" t="s">
        <v>18</v>
      </c>
      <c r="H1171" s="1" t="s">
        <v>19</v>
      </c>
      <c r="I1171" s="1" t="s">
        <v>20</v>
      </c>
      <c r="J1171" s="1" t="s">
        <v>5573</v>
      </c>
      <c r="K1171" s="1" t="s">
        <v>22</v>
      </c>
      <c r="L1171" s="1" t="str">
        <f>HYPERLINK("https://files.afu.se/Downloads/Transcripts/0%20-%20Government/USA%20-%20NASA/2017 05 31 - NASA - What's On Board Next Space Station Supply Mission_kv-hgH4vnvo - transcript (automated).pdf","Transcript Link")</f>
        <v>Transcript Link</v>
      </c>
      <c r="M1171" s="2" t="str">
        <f>HYPERLINK("https://files.afu.se/Downloads/Transcripts/0%20-%20Government/USA%20-%20NASA/2017 05 31 - NASA - What's On Board Next Space Station Supply Mission_kv-hgH4vnvo - transcript (automated).pdf","Transcript Link")</f>
        <v>Transcript Link</v>
      </c>
    </row>
    <row r="1172" ht="165" spans="1:13">
      <c r="A1172" s="1" t="s">
        <v>5569</v>
      </c>
      <c r="B1172" s="1" t="s">
        <v>13</v>
      </c>
      <c r="C1172" s="4" t="s">
        <v>5574</v>
      </c>
      <c r="D1172" s="1" t="s">
        <v>5575</v>
      </c>
      <c r="E1172" s="1" t="s">
        <v>5576</v>
      </c>
      <c r="F1172" s="4" t="s">
        <v>17</v>
      </c>
      <c r="G1172" s="1" t="s">
        <v>18</v>
      </c>
      <c r="H1172" s="1" t="s">
        <v>19</v>
      </c>
      <c r="I1172" s="1" t="s">
        <v>20</v>
      </c>
      <c r="J1172" s="1" t="s">
        <v>5577</v>
      </c>
      <c r="K1172" s="1" t="s">
        <v>22</v>
      </c>
      <c r="L1172" s="1" t="str">
        <f>HYPERLINK("https://files.afu.se/Downloads/Transcripts/0%20-%20Government/USA%20-%20NASA/2017 05 31 - NASA - Space Station Crew Member Discusses Life in Space with Denver Media_cBOm3WzoLeQ - transcript (automated).pdf","Transcript Link")</f>
        <v>Transcript Link</v>
      </c>
      <c r="M1172" s="2" t="str">
        <f>HYPERLINK("https://files.afu.se/Downloads/Transcripts/0%20-%20Government/USA%20-%20NASA/2017 05 31 - NASA - Space Station Crew Member Discusses Life in Space with Denver Media_cBOm3WzoLeQ - transcript (automated).pdf","Transcript Link")</f>
        <v>Transcript Link</v>
      </c>
    </row>
    <row r="1173" ht="165" spans="1:13">
      <c r="A1173" s="1" t="s">
        <v>5578</v>
      </c>
      <c r="B1173" s="1" t="s">
        <v>13</v>
      </c>
      <c r="C1173" s="4" t="s">
        <v>5579</v>
      </c>
      <c r="D1173" s="1" t="s">
        <v>5580</v>
      </c>
      <c r="E1173" s="1" t="s">
        <v>5581</v>
      </c>
      <c r="F1173" s="4" t="s">
        <v>17</v>
      </c>
      <c r="G1173" s="1" t="s">
        <v>18</v>
      </c>
      <c r="H1173" s="1" t="s">
        <v>19</v>
      </c>
      <c r="I1173" s="1" t="s">
        <v>20</v>
      </c>
      <c r="J1173" s="1" t="s">
        <v>5582</v>
      </c>
      <c r="K1173" s="1" t="s">
        <v>22</v>
      </c>
      <c r="L1173" s="1" t="str">
        <f>HYPERLINK("https://files.afu.se/Downloads/Transcripts/0%20-%20Government/USA%20-%20NASA/2017 05 26 - NASA - Lightfoot Discusses FY 2018 Budget Proposal on This Week @NASA – May 26, 2017_VQH725d5-WA - transcript (automated).pdf","Transcript Link")</f>
        <v>Transcript Link</v>
      </c>
      <c r="M1173" s="2" t="str">
        <f>HYPERLINK("https://files.afu.se/Downloads/Transcripts/0%20-%20Government/USA%20-%20NASA/2017 05 26 - NASA - Lightfoot Discusses FY 2018 Budget Proposal on This Week @NASA – May 26, 2017_VQH725d5-WA - transcript (automated).pdf","Transcript Link")</f>
        <v>Transcript Link</v>
      </c>
    </row>
    <row r="1174" ht="165" spans="1:13">
      <c r="A1174" s="1" t="s">
        <v>5583</v>
      </c>
      <c r="B1174" s="1" t="s">
        <v>13</v>
      </c>
      <c r="C1174" s="4" t="s">
        <v>5584</v>
      </c>
      <c r="D1174" s="1" t="s">
        <v>5585</v>
      </c>
      <c r="E1174" s="1" t="s">
        <v>5586</v>
      </c>
      <c r="F1174" s="4" t="s">
        <v>17</v>
      </c>
      <c r="G1174" s="1" t="s">
        <v>18</v>
      </c>
      <c r="H1174" s="1" t="s">
        <v>19</v>
      </c>
      <c r="I1174" s="1" t="s">
        <v>20</v>
      </c>
      <c r="J1174" s="1" t="s">
        <v>5587</v>
      </c>
      <c r="K1174" s="1" t="s">
        <v>22</v>
      </c>
      <c r="L1174" s="1" t="str">
        <f>HYPERLINK("https://files.afu.se/Downloads/Transcripts/0%20-%20Government/USA%20-%20NASA/2017 05 25 - NASA - Acting Administrator Robert Lightfoot Discusses NASA's FY2018 NASA Budget Request_hEOkHbpXSTs - transcript (automated).pdf","Transcript Link")</f>
        <v>Transcript Link</v>
      </c>
      <c r="M1174" s="2" t="str">
        <f>HYPERLINK("https://files.afu.se/Downloads/Transcripts/0%20-%20Government/USA%20-%20NASA/2017 05 25 - NASA - Acting Administrator Robert Lightfoot Discusses NASA's FY2018 NASA Budget Request_hEOkHbpXSTs - transcript (automated).pdf","Transcript Link")</f>
        <v>Transcript Link</v>
      </c>
    </row>
    <row r="1175" ht="165" spans="1:13">
      <c r="A1175" s="1" t="s">
        <v>5588</v>
      </c>
      <c r="B1175" s="1" t="s">
        <v>13</v>
      </c>
      <c r="C1175" s="4" t="s">
        <v>5589</v>
      </c>
      <c r="D1175" s="1" t="s">
        <v>5590</v>
      </c>
      <c r="E1175" s="1" t="s">
        <v>5591</v>
      </c>
      <c r="F1175" s="4" t="s">
        <v>17</v>
      </c>
      <c r="G1175" s="1" t="s">
        <v>18</v>
      </c>
      <c r="H1175" s="1" t="s">
        <v>19</v>
      </c>
      <c r="I1175" s="1" t="s">
        <v>20</v>
      </c>
      <c r="J1175" s="1" t="s">
        <v>5592</v>
      </c>
      <c r="K1175" s="1" t="s">
        <v>22</v>
      </c>
      <c r="L1175" s="1" t="str">
        <f>HYPERLINK("https://files.afu.se/Downloads/Transcripts/0%20-%20Government/USA%20-%20NASA/2017 05 24 - NASA - NASA  Dream. Innovate. Build. Discover._gqcAYs4fcfo - transcript (automated).pdf","Transcript Link")</f>
        <v>Transcript Link</v>
      </c>
      <c r="M1175" s="2" t="str">
        <f>HYPERLINK("https://files.afu.se/Downloads/Transcripts/0%20-%20Government/USA%20-%20NASA/2017 05 24 - NASA - NASA  Dream. Innovate. Build. Discover._gqcAYs4fcfo - transcript (automated).pdf","Transcript Link")</f>
        <v>Transcript Link</v>
      </c>
    </row>
    <row r="1176" ht="409.5" spans="1:13">
      <c r="A1176" s="1" t="s">
        <v>5593</v>
      </c>
      <c r="B1176" s="1" t="s">
        <v>13</v>
      </c>
      <c r="C1176" s="4" t="s">
        <v>5594</v>
      </c>
      <c r="D1176" s="1" t="s">
        <v>5595</v>
      </c>
      <c r="E1176" s="1" t="s">
        <v>5596</v>
      </c>
      <c r="F1176" s="4" t="s">
        <v>17</v>
      </c>
      <c r="G1176" s="1" t="s">
        <v>18</v>
      </c>
      <c r="H1176" s="1" t="s">
        <v>19</v>
      </c>
      <c r="I1176" s="1" t="s">
        <v>20</v>
      </c>
      <c r="J1176" s="1" t="s">
        <v>5597</v>
      </c>
      <c r="K1176" s="1" t="s">
        <v>22</v>
      </c>
      <c r="L1176" s="1" t="str">
        <f>HYPERLINK("https://files.afu.se/Downloads/Transcripts/0%20-%20Government/USA%20-%20NASA/2017 05 19 - NASA - 2017 U.S. Astronaut Hall of Fame Induction_gKcAh-RtVus - transcript (automated).pdf","Transcript Link")</f>
        <v>Transcript Link</v>
      </c>
      <c r="M1176" s="2" t="str">
        <f>HYPERLINK("https://files.afu.se/Downloads/Transcripts/0%20-%20Government/USA%20-%20NASA/2017 05 19 - NASA - 2017 U.S. Astronaut Hall of Fame Induction_gKcAh-RtVus - transcript (automated).pdf","Transcript Link")</f>
        <v>Transcript Link</v>
      </c>
    </row>
    <row r="1177" ht="240" spans="1:13">
      <c r="A1177" s="1" t="s">
        <v>5593</v>
      </c>
      <c r="B1177" s="1" t="s">
        <v>13</v>
      </c>
      <c r="C1177" s="4" t="s">
        <v>5598</v>
      </c>
      <c r="D1177" s="1" t="s">
        <v>5599</v>
      </c>
      <c r="E1177" s="1" t="s">
        <v>5600</v>
      </c>
      <c r="F1177" s="4" t="s">
        <v>17</v>
      </c>
      <c r="G1177" s="1" t="s">
        <v>18</v>
      </c>
      <c r="H1177" s="1" t="s">
        <v>19</v>
      </c>
      <c r="I1177" s="1" t="s">
        <v>20</v>
      </c>
      <c r="J1177" s="1" t="s">
        <v>5601</v>
      </c>
      <c r="K1177" s="1" t="s">
        <v>22</v>
      </c>
      <c r="L1177" s="1" t="str">
        <f>HYPERLINK("https://files.afu.se/Downloads/Transcripts/0%20-%20Government/USA%20-%20NASA/2017 05 19 - NASA - Media View Barge Pegasus and SLS Hardware on This Week @NASA – May 19, 2017_1s3f1rETyEU - transcript (automated).pdf","Transcript Link")</f>
        <v>Transcript Link</v>
      </c>
      <c r="M1177" s="2" t="str">
        <f>HYPERLINK("https://files.afu.se/Downloads/Transcripts/0%20-%20Government/USA%20-%20NASA/2017 05 19 - NASA - Media View Barge Pegasus and SLS Hardware on This Week @NASA – May 19, 2017_1s3f1rETyEU - transcript (automated).pdf","Transcript Link")</f>
        <v>Transcript Link</v>
      </c>
    </row>
    <row r="1178" ht="180" spans="1:13">
      <c r="A1178" s="1" t="s">
        <v>5593</v>
      </c>
      <c r="B1178" s="1" t="s">
        <v>13</v>
      </c>
      <c r="C1178" s="4" t="s">
        <v>5602</v>
      </c>
      <c r="D1178" s="1" t="s">
        <v>5603</v>
      </c>
      <c r="E1178" s="1" t="s">
        <v>5604</v>
      </c>
      <c r="F1178" s="4" t="s">
        <v>17</v>
      </c>
      <c r="G1178" s="1" t="s">
        <v>18</v>
      </c>
      <c r="H1178" s="1" t="s">
        <v>19</v>
      </c>
      <c r="I1178" s="1" t="s">
        <v>20</v>
      </c>
      <c r="J1178" s="1" t="s">
        <v>5605</v>
      </c>
      <c r="K1178" s="1" t="s">
        <v>22</v>
      </c>
      <c r="L1178" s="1" t="str">
        <f>HYPERLINK("https://files.afu.se/Downloads/Transcripts/0%20-%20Government/USA%20-%20NASA/2017 05 19 - NASA - Space Station Crew Members Discuss Life in Space with Utah Students, Officials_hrHMvlxYGf0 - transcript (automated).pdf","Transcript Link")</f>
        <v>Transcript Link</v>
      </c>
      <c r="M1178" s="2" t="str">
        <f>HYPERLINK("https://files.afu.se/Downloads/Transcripts/0%20-%20Government/USA%20-%20NASA/2017 05 19 - NASA - Space Station Crew Members Discuss Life in Space with Utah Students, Officials_hrHMvlxYGf0 - transcript (automated).pdf","Transcript Link")</f>
        <v>Transcript Link</v>
      </c>
    </row>
    <row r="1179" ht="180" spans="1:13">
      <c r="A1179" s="1" t="s">
        <v>5606</v>
      </c>
      <c r="B1179" s="1" t="s">
        <v>13</v>
      </c>
      <c r="C1179" s="4" t="s">
        <v>5607</v>
      </c>
      <c r="D1179" s="1" t="s">
        <v>5608</v>
      </c>
      <c r="E1179" s="1" t="s">
        <v>5609</v>
      </c>
      <c r="F1179" s="4" t="s">
        <v>17</v>
      </c>
      <c r="G1179" s="1" t="s">
        <v>18</v>
      </c>
      <c r="H1179" s="1" t="s">
        <v>19</v>
      </c>
      <c r="I1179" s="1" t="s">
        <v>20</v>
      </c>
      <c r="J1179" s="1" t="s">
        <v>5610</v>
      </c>
      <c r="K1179" s="1" t="s">
        <v>22</v>
      </c>
      <c r="L1179" s="1" t="str">
        <f>HYPERLINK("https://files.afu.se/Downloads/Transcripts/0%20-%20Government/USA%20-%20NASA/2017 05 17 - NASA - STEM in 30 - World War I  Legacy, Letters, and Belgian War Lace_b1oZKIsnWeU - transcript (automated).pdf","Transcript Link")</f>
        <v>Transcript Link</v>
      </c>
      <c r="M1179" s="2" t="str">
        <f>HYPERLINK("https://files.afu.se/Downloads/Transcripts/0%20-%20Government/USA%20-%20NASA/2017 05 17 - NASA - STEM in 30 - World War I  Legacy, Letters, and Belgian War Lace_b1oZKIsnWeU - transcript (automated).pdf","Transcript Link")</f>
        <v>Transcript Link</v>
      </c>
    </row>
    <row r="1180" ht="165" spans="1:13">
      <c r="A1180" s="1" t="s">
        <v>5611</v>
      </c>
      <c r="B1180" s="1" t="s">
        <v>13</v>
      </c>
      <c r="C1180" s="4" t="s">
        <v>5612</v>
      </c>
      <c r="D1180" s="1" t="s">
        <v>5613</v>
      </c>
      <c r="E1180" s="1" t="s">
        <v>5614</v>
      </c>
      <c r="F1180" s="4" t="s">
        <v>17</v>
      </c>
      <c r="G1180" s="1" t="s">
        <v>18</v>
      </c>
      <c r="H1180" s="1" t="s">
        <v>19</v>
      </c>
      <c r="I1180" s="1" t="s">
        <v>20</v>
      </c>
      <c r="J1180" s="1" t="s">
        <v>5615</v>
      </c>
      <c r="K1180" s="1" t="s">
        <v>22</v>
      </c>
      <c r="L1180" s="1" t="str">
        <f>HYPERLINK("https://files.afu.se/Downloads/Transcripts/0%20-%20Government/USA%20-%20NASA/2017 05 12 - NASA - Space Station Crew Conducts Milestone Spacewalk_TwBVaAH7q-k - transcript (automated).pdf","Transcript Link")</f>
        <v>Transcript Link</v>
      </c>
      <c r="M1180" s="2" t="str">
        <f>HYPERLINK("https://files.afu.se/Downloads/Transcripts/0%20-%20Government/USA%20-%20NASA/2017 05 12 - NASA - Space Station Crew Conducts Milestone Spacewalk_TwBVaAH7q-k - transcript (automated).pdf","Transcript Link")</f>
        <v>Transcript Link</v>
      </c>
    </row>
    <row r="1181" ht="240" spans="1:13">
      <c r="A1181" s="1" t="s">
        <v>5611</v>
      </c>
      <c r="B1181" s="1" t="s">
        <v>13</v>
      </c>
      <c r="C1181" s="4" t="s">
        <v>5616</v>
      </c>
      <c r="D1181" s="1" t="s">
        <v>5617</v>
      </c>
      <c r="E1181" s="1" t="s">
        <v>5618</v>
      </c>
      <c r="F1181" s="4" t="s">
        <v>17</v>
      </c>
      <c r="G1181" s="1" t="s">
        <v>18</v>
      </c>
      <c r="H1181" s="1" t="s">
        <v>19</v>
      </c>
      <c r="I1181" s="1" t="s">
        <v>20</v>
      </c>
      <c r="J1181" s="1" t="s">
        <v>5619</v>
      </c>
      <c r="K1181" s="1" t="s">
        <v>22</v>
      </c>
      <c r="L1181" s="1" t="str">
        <f>HYPERLINK("https://files.afu.se/Downloads/Transcripts/0%20-%20Government/USA%20-%20NASA/2017 05 12 - NASA - Milestone Spacewalk on the Space Station on This Week @NASA – May 12, 2017_BZOMDa_02ck - transcript (automated).pdf","Transcript Link")</f>
        <v>Transcript Link</v>
      </c>
      <c r="M1181" s="2" t="str">
        <f>HYPERLINK("https://files.afu.se/Downloads/Transcripts/0%20-%20Government/USA%20-%20NASA/2017 05 12 - NASA - Milestone Spacewalk on the Space Station on This Week @NASA – May 12, 2017_BZOMDa_02ck - transcript (automated).pdf","Transcript Link")</f>
        <v>Transcript Link</v>
      </c>
    </row>
    <row r="1182" ht="225" spans="1:13">
      <c r="A1182" s="1" t="s">
        <v>5620</v>
      </c>
      <c r="B1182" s="1" t="s">
        <v>13</v>
      </c>
      <c r="C1182" s="4" t="s">
        <v>5621</v>
      </c>
      <c r="D1182" s="1" t="s">
        <v>5622</v>
      </c>
      <c r="E1182" s="1" t="s">
        <v>5623</v>
      </c>
      <c r="F1182" s="4" t="s">
        <v>17</v>
      </c>
      <c r="G1182" s="1" t="s">
        <v>18</v>
      </c>
      <c r="H1182" s="1" t="s">
        <v>19</v>
      </c>
      <c r="I1182" s="1" t="s">
        <v>20</v>
      </c>
      <c r="J1182" s="1" t="s">
        <v>5624</v>
      </c>
      <c r="K1182" s="1" t="s">
        <v>22</v>
      </c>
      <c r="L1182" s="1" t="str">
        <f>HYPERLINK("https://files.afu.se/Downloads/Transcripts/0%20-%20Government/USA%20-%20NASA/2017 05 10 - NASA - Future Space Station Crew Previews Upcoming Mission_wWMu_47tsFs - transcript (automated).pdf","Transcript Link")</f>
        <v>Transcript Link</v>
      </c>
      <c r="M1182" s="2" t="str">
        <f>HYPERLINK("https://files.afu.se/Downloads/Transcripts/0%20-%20Government/USA%20-%20NASA/2017 05 10 - NASA - Future Space Station Crew Previews Upcoming Mission_wWMu_47tsFs - transcript (automated).pdf","Transcript Link")</f>
        <v>Transcript Link</v>
      </c>
    </row>
    <row r="1183" ht="165" spans="1:13">
      <c r="A1183" s="1" t="s">
        <v>5620</v>
      </c>
      <c r="B1183" s="1" t="s">
        <v>13</v>
      </c>
      <c r="C1183" s="4" t="s">
        <v>5625</v>
      </c>
      <c r="D1183" s="1" t="s">
        <v>5626</v>
      </c>
      <c r="E1183" s="1" t="s">
        <v>5627</v>
      </c>
      <c r="F1183" s="4" t="s">
        <v>17</v>
      </c>
      <c r="G1183" s="1" t="s">
        <v>18</v>
      </c>
      <c r="H1183" s="1" t="s">
        <v>19</v>
      </c>
      <c r="I1183" s="1" t="s">
        <v>20</v>
      </c>
      <c r="J1183" s="1" t="s">
        <v>5628</v>
      </c>
      <c r="K1183" s="1" t="s">
        <v>22</v>
      </c>
      <c r="L1183" s="1" t="str">
        <f>HYPERLINK("https://files.afu.se/Downloads/Transcripts/0%20-%20Government/USA%20-%20NASA/2017 05 10 - NASA - NASA Celebrates Mars New Year in Mars, Pennsylvania_FF8k9NWaRuw - transcript (automated).pdf","Transcript Link")</f>
        <v>Transcript Link</v>
      </c>
      <c r="M1183" s="2" t="str">
        <f>HYPERLINK("https://files.afu.se/Downloads/Transcripts/0%20-%20Government/USA%20-%20NASA/2017 05 10 - NASA - NASA Celebrates Mars New Year in Mars, Pennsylvania_FF8k9NWaRuw - transcript (automated).pdf","Transcript Link")</f>
        <v>Transcript Link</v>
      </c>
    </row>
    <row r="1184" ht="165" spans="1:13">
      <c r="A1184" s="1" t="s">
        <v>5620</v>
      </c>
      <c r="B1184" s="1" t="s">
        <v>13</v>
      </c>
      <c r="C1184" s="4" t="s">
        <v>5629</v>
      </c>
      <c r="D1184" s="1" t="s">
        <v>5630</v>
      </c>
      <c r="E1184" s="1" t="s">
        <v>5631</v>
      </c>
      <c r="F1184" s="4" t="s">
        <v>17</v>
      </c>
      <c r="G1184" s="1" t="s">
        <v>18</v>
      </c>
      <c r="H1184" s="1" t="s">
        <v>19</v>
      </c>
      <c r="I1184" s="1" t="s">
        <v>20</v>
      </c>
      <c r="J1184" s="1" t="s">
        <v>5632</v>
      </c>
      <c r="K1184" s="1" t="s">
        <v>22</v>
      </c>
      <c r="L1184" s="1" t="str">
        <f>HYPERLINK("https://files.afu.se/Downloads/Transcripts/0%20-%20Government/USA%20-%20NASA/2017 05 10 - NASA - NASA Astronaut Discusses Life in Space with his Alma Mater_KwUKPyWRT9A - transcript (automated).pdf","Transcript Link")</f>
        <v>Transcript Link</v>
      </c>
      <c r="M1184" s="2" t="str">
        <f>HYPERLINK("https://files.afu.se/Downloads/Transcripts/0%20-%20Government/USA%20-%20NASA/2017 05 10 - NASA - NASA Astronaut Discusses Life in Space with his Alma Mater_KwUKPyWRT9A - transcript (automated).pdf","Transcript Link")</f>
        <v>Transcript Link</v>
      </c>
    </row>
    <row r="1185" ht="165" spans="1:13">
      <c r="A1185" s="1" t="s">
        <v>5633</v>
      </c>
      <c r="B1185" s="1" t="s">
        <v>13</v>
      </c>
      <c r="C1185" s="4" t="s">
        <v>5634</v>
      </c>
      <c r="D1185" s="1" t="s">
        <v>5635</v>
      </c>
      <c r="E1185" s="1" t="s">
        <v>5636</v>
      </c>
      <c r="F1185" s="4" t="s">
        <v>17</v>
      </c>
      <c r="G1185" s="1" t="s">
        <v>18</v>
      </c>
      <c r="H1185" s="1" t="s">
        <v>19</v>
      </c>
      <c r="I1185" s="1" t="s">
        <v>20</v>
      </c>
      <c r="J1185" s="1" t="s">
        <v>5637</v>
      </c>
      <c r="K1185" s="1" t="s">
        <v>22</v>
      </c>
      <c r="L1185" s="1" t="str">
        <f>HYPERLINK("https://files.afu.se/Downloads/Transcripts/0%20-%20Government/USA%20-%20NASA/2017 05 09 - NASA - Space Station Crew Member Discusses Life in Space with French Officials, Students_RTSNKC-VDmU - transcript (automated).pdf","Transcript Link")</f>
        <v>Transcript Link</v>
      </c>
      <c r="M1185" s="2" t="str">
        <f>HYPERLINK("https://files.afu.se/Downloads/Transcripts/0%20-%20Government/USA%20-%20NASA/2017 05 09 - NASA - Space Station Crew Member Discusses Life in Space with French Officials, Students_RTSNKC-VDmU - transcript (automated).pdf","Transcript Link")</f>
        <v>Transcript Link</v>
      </c>
    </row>
    <row r="1186" ht="225" spans="1:13">
      <c r="A1186" s="1" t="s">
        <v>5638</v>
      </c>
      <c r="B1186" s="1" t="s">
        <v>13</v>
      </c>
      <c r="C1186" s="4" t="s">
        <v>5639</v>
      </c>
      <c r="D1186" s="1" t="s">
        <v>5640</v>
      </c>
      <c r="E1186" s="1" t="s">
        <v>5641</v>
      </c>
      <c r="F1186" s="4" t="s">
        <v>17</v>
      </c>
      <c r="G1186" s="1" t="s">
        <v>18</v>
      </c>
      <c r="H1186" s="1" t="s">
        <v>19</v>
      </c>
      <c r="I1186" s="1" t="s">
        <v>20</v>
      </c>
      <c r="J1186" s="1" t="s">
        <v>5642</v>
      </c>
      <c r="K1186" s="1" t="s">
        <v>22</v>
      </c>
      <c r="L1186" s="1" t="str">
        <f>HYPERLINK("https://files.afu.se/Downloads/Transcripts/0%20-%20Government/USA%20-%20NASA/2017 05 05 - NASA - Webb Telescope Passes Important Optical Test on This Week @NASA – May 5, 2017_z3F5ZXhuD70 - transcript (automated).pdf","Transcript Link")</f>
        <v>Transcript Link</v>
      </c>
      <c r="M1186" s="2" t="str">
        <f>HYPERLINK("https://files.afu.se/Downloads/Transcripts/0%20-%20Government/USA%20-%20NASA/2017 05 05 - NASA - Webb Telescope Passes Important Optical Test on This Week @NASA – May 5, 2017_z3F5ZXhuD70 - transcript (automated).pdf","Transcript Link")</f>
        <v>Transcript Link</v>
      </c>
    </row>
    <row r="1187" ht="165" spans="1:13">
      <c r="A1187" s="1" t="s">
        <v>5643</v>
      </c>
      <c r="B1187" s="1" t="s">
        <v>13</v>
      </c>
      <c r="C1187" s="4" t="s">
        <v>5644</v>
      </c>
      <c r="D1187" s="1" t="s">
        <v>5645</v>
      </c>
      <c r="E1187" s="1" t="s">
        <v>5646</v>
      </c>
      <c r="F1187" s="4" t="s">
        <v>17</v>
      </c>
      <c r="G1187" s="1" t="s">
        <v>18</v>
      </c>
      <c r="H1187" s="1" t="s">
        <v>19</v>
      </c>
      <c r="I1187" s="1" t="s">
        <v>20</v>
      </c>
      <c r="J1187" s="1" t="s">
        <v>5647</v>
      </c>
      <c r="K1187" s="1" t="s">
        <v>22</v>
      </c>
      <c r="L1187" s="1" t="str">
        <f>HYPERLINK("https://files.afu.se/Downloads/Transcripts/0%20-%20Government/USA%20-%20NASA/2017 05 04 - NASA - RNASA Space Awards Gala 2017_eeY-0-kZmrw - transcript (automated).pdf","Transcript Link")</f>
        <v>Transcript Link</v>
      </c>
      <c r="M1187" s="2" t="str">
        <f>HYPERLINK("https://files.afu.se/Downloads/Transcripts/0%20-%20Government/USA%20-%20NASA/2017 05 04 - NASA - RNASA Space Awards Gala 2017_eeY-0-kZmrw - transcript (automated).pdf","Transcript Link")</f>
        <v>Transcript Link</v>
      </c>
    </row>
    <row r="1188" ht="165" spans="1:13">
      <c r="A1188" s="1" t="s">
        <v>5648</v>
      </c>
      <c r="B1188" s="1" t="s">
        <v>13</v>
      </c>
      <c r="C1188" s="4" t="s">
        <v>5649</v>
      </c>
      <c r="D1188" s="1" t="s">
        <v>5650</v>
      </c>
      <c r="E1188" s="1" t="s">
        <v>5651</v>
      </c>
      <c r="F1188" s="4" t="s">
        <v>17</v>
      </c>
      <c r="G1188" s="1" t="s">
        <v>18</v>
      </c>
      <c r="H1188" s="1" t="s">
        <v>19</v>
      </c>
      <c r="I1188" s="1" t="s">
        <v>20</v>
      </c>
      <c r="J1188" s="1" t="s">
        <v>5652</v>
      </c>
      <c r="K1188" s="1" t="s">
        <v>22</v>
      </c>
      <c r="L1188" s="1" t="str">
        <f>HYPERLINK("https://files.afu.se/Downloads/Transcripts/0%20-%20Government/USA%20-%20NASA/2017 05 03 - NASA - Space Station Crew Member Discusses Life in Space with French Media_u5Har_tEsPs - transcript (automated).pdf","Transcript Link")</f>
        <v>Transcript Link</v>
      </c>
      <c r="M1188" s="2" t="str">
        <f>HYPERLINK("https://files.afu.se/Downloads/Transcripts/0%20-%20Government/USA%20-%20NASA/2017 05 03 - NASA - Space Station Crew Member Discusses Life in Space with French Media_u5Har_tEsPs - transcript (automated).pdf","Transcript Link")</f>
        <v>Transcript Link</v>
      </c>
    </row>
    <row r="1189" ht="165" spans="1:13">
      <c r="A1189" s="1" t="s">
        <v>5653</v>
      </c>
      <c r="B1189" s="1" t="s">
        <v>13</v>
      </c>
      <c r="C1189" s="4" t="s">
        <v>5654</v>
      </c>
      <c r="D1189" s="1" t="s">
        <v>5655</v>
      </c>
      <c r="E1189" s="1" t="s">
        <v>5656</v>
      </c>
      <c r="F1189" s="4" t="s">
        <v>17</v>
      </c>
      <c r="G1189" s="1" t="s">
        <v>18</v>
      </c>
      <c r="H1189" s="1" t="s">
        <v>19</v>
      </c>
      <c r="I1189" s="1" t="s">
        <v>20</v>
      </c>
      <c r="J1189" s="1" t="s">
        <v>5657</v>
      </c>
      <c r="K1189" s="1" t="s">
        <v>22</v>
      </c>
      <c r="L1189" s="1" t="str">
        <f>HYPERLINK("https://files.afu.se/Downloads/Transcripts/0%20-%20Government/USA%20-%20NASA/2017 05 01 - NASA - Space Station Crew Discusses Life in Space with the Media_0JLg21Dh56I - transcript (automated).pdf","Transcript Link")</f>
        <v>Transcript Link</v>
      </c>
      <c r="M1189" s="2" t="str">
        <f>HYPERLINK("https://files.afu.se/Downloads/Transcripts/0%20-%20Government/USA%20-%20NASA/2017 05 01 - NASA - Space Station Crew Discusses Life in Space with the Media_0JLg21Dh56I - transcript (automated).pdf","Transcript Link")</f>
        <v>Transcript Link</v>
      </c>
    </row>
    <row r="1190" ht="255" spans="1:13">
      <c r="A1190" s="1" t="s">
        <v>5658</v>
      </c>
      <c r="B1190" s="1" t="s">
        <v>13</v>
      </c>
      <c r="C1190" s="4" t="s">
        <v>5659</v>
      </c>
      <c r="D1190" s="1" t="s">
        <v>5660</v>
      </c>
      <c r="E1190" s="1" t="s">
        <v>5661</v>
      </c>
      <c r="F1190" s="4" t="s">
        <v>17</v>
      </c>
      <c r="G1190" s="1" t="s">
        <v>18</v>
      </c>
      <c r="H1190" s="1" t="s">
        <v>19</v>
      </c>
      <c r="I1190" s="1" t="s">
        <v>20</v>
      </c>
      <c r="J1190" s="1" t="s">
        <v>5662</v>
      </c>
      <c r="K1190" s="1" t="s">
        <v>22</v>
      </c>
      <c r="L1190" s="1" t="str">
        <f>HYPERLINK("https://files.afu.se/Downloads/Transcripts/0%20-%20Government/USA%20-%20NASA/2017 04 28 - NASA - Whitson Receives Call from President Trump on This Week @NASA – April 28, 2017_y93Mgx-yfUg - transcript (automated).pdf","Transcript Link")</f>
        <v>Transcript Link</v>
      </c>
      <c r="M1190" s="2" t="str">
        <f>HYPERLINK("https://files.afu.se/Downloads/Transcripts/0%20-%20Government/USA%20-%20NASA/2017 04 28 - NASA - Whitson Receives Call from President Trump on This Week @NASA – April 28, 2017_y93Mgx-yfUg - transcript (automated).pdf","Transcript Link")</f>
        <v>Transcript Link</v>
      </c>
    </row>
    <row r="1191" ht="180" spans="1:13">
      <c r="A1191" s="1" t="s">
        <v>5658</v>
      </c>
      <c r="B1191" s="1" t="s">
        <v>13</v>
      </c>
      <c r="C1191" s="4" t="s">
        <v>5663</v>
      </c>
      <c r="D1191" s="1" t="s">
        <v>5664</v>
      </c>
      <c r="E1191" s="1" t="s">
        <v>5665</v>
      </c>
      <c r="F1191" s="4" t="s">
        <v>17</v>
      </c>
      <c r="G1191" s="1" t="s">
        <v>18</v>
      </c>
      <c r="H1191" s="1" t="s">
        <v>19</v>
      </c>
      <c r="I1191" s="1" t="s">
        <v>20</v>
      </c>
      <c r="J1191" s="1" t="s">
        <v>5666</v>
      </c>
      <c r="K1191" s="1" t="s">
        <v>22</v>
      </c>
      <c r="L1191" s="1" t="str">
        <f>HYPERLINK("https://files.afu.se/Downloads/Transcripts/0%20-%20Government/USA%20-%20NASA/2017 04 28 - NASA - NASA's First 100 Days_j0IYSEIhGkY - transcript (automated).pdf","Transcript Link")</f>
        <v>Transcript Link</v>
      </c>
      <c r="M1191" s="2" t="str">
        <f>HYPERLINK("https://files.afu.se/Downloads/Transcripts/0%20-%20Government/USA%20-%20NASA/2017 04 28 - NASA - NASA's First 100 Days_j0IYSEIhGkY - transcript (automated).pdf","Transcript Link")</f>
        <v>Transcript Link</v>
      </c>
    </row>
    <row r="1192" ht="165" spans="1:13">
      <c r="A1192" s="1" t="s">
        <v>5658</v>
      </c>
      <c r="B1192" s="1" t="s">
        <v>13</v>
      </c>
      <c r="C1192" s="4" t="s">
        <v>5667</v>
      </c>
      <c r="D1192" s="1" t="s">
        <v>5668</v>
      </c>
      <c r="E1192" s="1" t="s">
        <v>5669</v>
      </c>
      <c r="F1192" s="4" t="s">
        <v>17</v>
      </c>
      <c r="G1192" s="1" t="s">
        <v>18</v>
      </c>
      <c r="H1192" s="1" t="s">
        <v>19</v>
      </c>
      <c r="I1192" s="1" t="s">
        <v>20</v>
      </c>
      <c r="J1192" s="1" t="s">
        <v>5670</v>
      </c>
      <c r="K1192" s="1" t="s">
        <v>22</v>
      </c>
      <c r="L1192" s="1" t="str">
        <f>HYPERLINK("https://files.afu.se/Downloads/Transcripts/0%20-%20Government/USA%20-%20NASA/2017 04 28 - NASA - NASA Acting Administrator Robert Lightfoot's 2017 National Small Business Week message._zQyWjzw_wfQ - transcript (automated).pdf","Transcript Link")</f>
        <v>Transcript Link</v>
      </c>
      <c r="M1192" s="2" t="str">
        <f>HYPERLINK("https://files.afu.se/Downloads/Transcripts/0%20-%20Government/USA%20-%20NASA/2017 04 28 - NASA - NASA Acting Administrator Robert Lightfoot's 2017 National Small Business Week message._zQyWjzw_wfQ - transcript (automated).pdf","Transcript Link")</f>
        <v>Transcript Link</v>
      </c>
    </row>
    <row r="1193" ht="195" spans="1:13">
      <c r="A1193" s="1" t="s">
        <v>5671</v>
      </c>
      <c r="B1193" s="1" t="s">
        <v>13</v>
      </c>
      <c r="C1193" s="4" t="s">
        <v>5672</v>
      </c>
      <c r="D1193" s="1" t="s">
        <v>5673</v>
      </c>
      <c r="E1193" s="1" t="s">
        <v>5674</v>
      </c>
      <c r="F1193" s="4" t="s">
        <v>17</v>
      </c>
      <c r="G1193" s="1" t="s">
        <v>18</v>
      </c>
      <c r="H1193" s="1" t="s">
        <v>19</v>
      </c>
      <c r="I1193" s="1" t="s">
        <v>20</v>
      </c>
      <c r="J1193" s="1" t="s">
        <v>5675</v>
      </c>
      <c r="K1193" s="1" t="s">
        <v>22</v>
      </c>
      <c r="L1193" s="1" t="str">
        <f>HYPERLINK("https://files.afu.se/Downloads/Transcripts/0%20-%20Government/USA%20-%20NASA/2017 04 26 - NASA - 4K UHD Television Downlinked from the Space Station in Ground-Breaking Demonstration_zEPCeXWQtyM - transcript (automated).pdf","Transcript Link")</f>
        <v>Transcript Link</v>
      </c>
      <c r="M1193" s="2" t="str">
        <f>HYPERLINK("https://files.afu.se/Downloads/Transcripts/0%20-%20Government/USA%20-%20NASA/2017 04 26 - NASA - 4K UHD Television Downlinked from the Space Station in Ground-Breaking Demonstration_zEPCeXWQtyM - transcript (automated).pdf","Transcript Link")</f>
        <v>Transcript Link</v>
      </c>
    </row>
    <row r="1194" ht="165" spans="1:13">
      <c r="A1194" s="1" t="s">
        <v>5676</v>
      </c>
      <c r="B1194" s="1" t="s">
        <v>13</v>
      </c>
      <c r="C1194" s="4" t="s">
        <v>5677</v>
      </c>
      <c r="D1194" s="1" t="s">
        <v>5678</v>
      </c>
      <c r="E1194" s="1" t="s">
        <v>5679</v>
      </c>
      <c r="F1194" s="4" t="s">
        <v>17</v>
      </c>
      <c r="G1194" s="1" t="s">
        <v>18</v>
      </c>
      <c r="H1194" s="1" t="s">
        <v>19</v>
      </c>
      <c r="I1194" s="1" t="s">
        <v>20</v>
      </c>
      <c r="J1194" s="1" t="s">
        <v>5680</v>
      </c>
      <c r="K1194" s="1" t="s">
        <v>22</v>
      </c>
      <c r="L1194" s="1" t="str">
        <f>HYPERLINK("https://files.afu.se/Downloads/Transcripts/0%20-%20Government/USA%20-%20NASA/2017 04 24 - NASA - President Trump Calls Space Station Crew on Record-Setting Day_5HMwKwWnV4k - transcript (automated).pdf","Transcript Link")</f>
        <v>Transcript Link</v>
      </c>
      <c r="M1194" s="2" t="str">
        <f>HYPERLINK("https://files.afu.se/Downloads/Transcripts/0%20-%20Government/USA%20-%20NASA/2017 04 24 - NASA - President Trump Calls Space Station Crew on Record-Setting Day_5HMwKwWnV4k - transcript (automated).pdf","Transcript Link")</f>
        <v>Transcript Link</v>
      </c>
    </row>
    <row r="1195" ht="195" spans="1:13">
      <c r="A1195" s="1" t="s">
        <v>5681</v>
      </c>
      <c r="B1195" s="1" t="s">
        <v>13</v>
      </c>
      <c r="C1195" s="4" t="s">
        <v>5682</v>
      </c>
      <c r="D1195" s="1" t="s">
        <v>5683</v>
      </c>
      <c r="E1195" s="1" t="s">
        <v>5684</v>
      </c>
      <c r="F1195" s="4" t="s">
        <v>17</v>
      </c>
      <c r="G1195" s="1" t="s">
        <v>18</v>
      </c>
      <c r="H1195" s="1" t="s">
        <v>19</v>
      </c>
      <c r="I1195" s="1" t="s">
        <v>20</v>
      </c>
      <c r="J1195" s="1" t="s">
        <v>5685</v>
      </c>
      <c r="K1195" s="1" t="s">
        <v>22</v>
      </c>
      <c r="L1195" s="1" t="str">
        <f>HYPERLINK("https://files.afu.se/Downloads/Transcripts/0%20-%20Government/USA%20-%20NASA/2017 04 22 - NASA - Expedition 52-52 Launches to the Space Station on This Week @NASA – April 21, 2017_3Qycsss6bXI - transcript (automated).pdf","Transcript Link")</f>
        <v>Transcript Link</v>
      </c>
      <c r="M1195" s="2" t="str">
        <f>HYPERLINK("https://files.afu.se/Downloads/Transcripts/0%20-%20Government/USA%20-%20NASA/2017 04 22 - NASA - Expedition 52-52 Launches to the Space Station on This Week @NASA – April 21, 2017_3Qycsss6bXI - transcript (automated).pdf","Transcript Link")</f>
        <v>Transcript Link</v>
      </c>
    </row>
    <row r="1196" ht="165" spans="1:13">
      <c r="A1196" s="1" t="s">
        <v>5681</v>
      </c>
      <c r="B1196" s="1" t="s">
        <v>13</v>
      </c>
      <c r="C1196" s="4" t="s">
        <v>5686</v>
      </c>
      <c r="D1196" s="1" t="s">
        <v>5687</v>
      </c>
      <c r="E1196" s="1" t="s">
        <v>5688</v>
      </c>
      <c r="F1196" s="4" t="s">
        <v>17</v>
      </c>
      <c r="G1196" s="1" t="s">
        <v>18</v>
      </c>
      <c r="H1196" s="1" t="s">
        <v>19</v>
      </c>
      <c r="I1196" s="1" t="s">
        <v>20</v>
      </c>
      <c r="J1196" s="1" t="s">
        <v>5689</v>
      </c>
      <c r="K1196" s="1" t="s">
        <v>22</v>
      </c>
      <c r="L1196" s="1" t="str">
        <f>HYPERLINK("https://files.afu.se/Downloads/Transcripts/0%20-%20Government/USA%20-%20NASA/2017 04 22 - NASA - U.S. Commercial Cargo Ship Arrives at the International Space Station_c-BY-JpUfsQ - transcript (automated).pdf","Transcript Link")</f>
        <v>Transcript Link</v>
      </c>
      <c r="M1196" s="2" t="str">
        <f>HYPERLINK("https://files.afu.se/Downloads/Transcripts/0%20-%20Government/USA%20-%20NASA/2017 04 22 - NASA - U.S. Commercial Cargo Ship Arrives at the International Space Station_c-BY-JpUfsQ - transcript (automated).pdf","Transcript Link")</f>
        <v>Transcript Link</v>
      </c>
    </row>
    <row r="1197" ht="165" spans="1:13">
      <c r="A1197" s="1" t="s">
        <v>5690</v>
      </c>
      <c r="B1197" s="1" t="s">
        <v>13</v>
      </c>
      <c r="C1197" s="4" t="s">
        <v>5691</v>
      </c>
      <c r="D1197" s="1" t="s">
        <v>5692</v>
      </c>
      <c r="E1197" s="1" t="s">
        <v>5693</v>
      </c>
      <c r="F1197" s="4" t="s">
        <v>17</v>
      </c>
      <c r="G1197" s="1" t="s">
        <v>18</v>
      </c>
      <c r="H1197" s="1" t="s">
        <v>19</v>
      </c>
      <c r="I1197" s="1" t="s">
        <v>20</v>
      </c>
      <c r="J1197" s="1" t="s">
        <v>5694</v>
      </c>
      <c r="K1197" s="1" t="s">
        <v>22</v>
      </c>
      <c r="L1197" s="1" t="str">
        <f>HYPERLINK("https://files.afu.se/Downloads/Transcripts/0%20-%20Government/USA%20-%20NASA/2017 04 21 - NASA - NASA Celebrates Earth Day_NFJ50KZDTrc - transcript (automated).pdf","Transcript Link")</f>
        <v>Transcript Link</v>
      </c>
      <c r="M1197" s="2" t="str">
        <f>HYPERLINK("https://files.afu.se/Downloads/Transcripts/0%20-%20Government/USA%20-%20NASA/2017 04 21 - NASA - NASA Celebrates Earth Day_NFJ50KZDTrc - transcript (automated).pdf","Transcript Link")</f>
        <v>Transcript Link</v>
      </c>
    </row>
    <row r="1198" ht="165" spans="1:13">
      <c r="A1198" s="1" t="s">
        <v>5695</v>
      </c>
      <c r="B1198" s="1" t="s">
        <v>13</v>
      </c>
      <c r="C1198" s="4" t="s">
        <v>5696</v>
      </c>
      <c r="D1198" s="1" t="s">
        <v>5697</v>
      </c>
      <c r="E1198" s="1" t="s">
        <v>5698</v>
      </c>
      <c r="F1198" s="4" t="s">
        <v>17</v>
      </c>
      <c r="G1198" s="1" t="s">
        <v>18</v>
      </c>
      <c r="H1198" s="1" t="s">
        <v>19</v>
      </c>
      <c r="I1198" s="1" t="s">
        <v>20</v>
      </c>
      <c r="J1198" s="1" t="s">
        <v>5699</v>
      </c>
      <c r="K1198" s="1" t="s">
        <v>22</v>
      </c>
      <c r="L1198" s="1" t="str">
        <f>HYPERLINK("https://files.afu.se/Downloads/Transcripts/0%20-%20Government/USA%20-%20NASA/2017 04 20 - NASA - Expedition 51-52 Crew Welcomed Aboard the Space Station_TQgZ8QM_t04 - transcript (automated).pdf","Transcript Link")</f>
        <v>Transcript Link</v>
      </c>
      <c r="M1198" s="2" t="str">
        <f>HYPERLINK("https://files.afu.se/Downloads/Transcripts/0%20-%20Government/USA%20-%20NASA/2017 04 20 - NASA - Expedition 51-52 Crew Welcomed Aboard the Space Station_TQgZ8QM_t04 - transcript (automated).pdf","Transcript Link")</f>
        <v>Transcript Link</v>
      </c>
    </row>
    <row r="1199" ht="165" spans="1:13">
      <c r="A1199" s="1" t="s">
        <v>5695</v>
      </c>
      <c r="B1199" s="1" t="s">
        <v>13</v>
      </c>
      <c r="C1199" s="4" t="s">
        <v>5700</v>
      </c>
      <c r="D1199" s="1" t="s">
        <v>5701</v>
      </c>
      <c r="E1199" s="1" t="s">
        <v>5702</v>
      </c>
      <c r="F1199" s="4" t="s">
        <v>17</v>
      </c>
      <c r="G1199" s="1" t="s">
        <v>18</v>
      </c>
      <c r="H1199" s="1" t="s">
        <v>19</v>
      </c>
      <c r="I1199" s="1" t="s">
        <v>20</v>
      </c>
      <c r="J1199" s="1" t="s">
        <v>5703</v>
      </c>
      <c r="K1199" s="1" t="s">
        <v>22</v>
      </c>
      <c r="L1199" s="1" t="str">
        <f>HYPERLINK("https://files.afu.se/Downloads/Transcripts/0%20-%20Government/USA%20-%20NASA/2017 04 20 - NASA - Expedition 51-52 Crew Docks to the Space Station_UXrQJ5h0xFs - transcript (automated).pdf","Transcript Link")</f>
        <v>Transcript Link</v>
      </c>
      <c r="M1199" s="2" t="str">
        <f>HYPERLINK("https://files.afu.se/Downloads/Transcripts/0%20-%20Government/USA%20-%20NASA/2017 04 20 - NASA - Expedition 51-52 Crew Docks to the Space Station_UXrQJ5h0xFs - transcript (automated).pdf","Transcript Link")</f>
        <v>Transcript Link</v>
      </c>
    </row>
    <row r="1200" ht="165" spans="1:13">
      <c r="A1200" s="1" t="s">
        <v>5695</v>
      </c>
      <c r="B1200" s="1" t="s">
        <v>13</v>
      </c>
      <c r="C1200" s="4" t="s">
        <v>5704</v>
      </c>
      <c r="D1200" s="1" t="s">
        <v>5705</v>
      </c>
      <c r="E1200" s="1" t="s">
        <v>5706</v>
      </c>
      <c r="F1200" s="4" t="s">
        <v>17</v>
      </c>
      <c r="G1200" s="1" t="s">
        <v>18</v>
      </c>
      <c r="H1200" s="1" t="s">
        <v>19</v>
      </c>
      <c r="I1200" s="1" t="s">
        <v>20</v>
      </c>
      <c r="J1200" s="1" t="s">
        <v>5707</v>
      </c>
      <c r="K1200" s="1" t="s">
        <v>22</v>
      </c>
      <c r="L1200" s="1" t="str">
        <f>HYPERLINK("https://files.afu.se/Downloads/Transcripts/0%20-%20Government/USA%20-%20NASA/2017 04 20 - NASA - Expedition 51-52 Launches to the International Space Station_XdS7xrP6xG8 - transcript (automated).pdf","Transcript Link")</f>
        <v>Transcript Link</v>
      </c>
      <c r="M1200" s="2" t="str">
        <f>HYPERLINK("https://files.afu.se/Downloads/Transcripts/0%20-%20Government/USA%20-%20NASA/2017 04 20 - NASA - Expedition 51-52 Launches to the International Space Station_XdS7xrP6xG8 - transcript (automated).pdf","Transcript Link")</f>
        <v>Transcript Link</v>
      </c>
    </row>
    <row r="1201" ht="165" spans="1:13">
      <c r="A1201" s="1" t="s">
        <v>5708</v>
      </c>
      <c r="B1201" s="1" t="s">
        <v>13</v>
      </c>
      <c r="C1201" s="4" t="s">
        <v>5709</v>
      </c>
      <c r="D1201" s="1" t="s">
        <v>5710</v>
      </c>
      <c r="E1201" s="1" t="s">
        <v>5711</v>
      </c>
      <c r="F1201" s="4" t="s">
        <v>17</v>
      </c>
      <c r="G1201" s="1" t="s">
        <v>18</v>
      </c>
      <c r="H1201" s="1" t="s">
        <v>19</v>
      </c>
      <c r="I1201" s="1" t="s">
        <v>20</v>
      </c>
      <c r="J1201" s="1" t="s">
        <v>5712</v>
      </c>
      <c r="K1201" s="1" t="s">
        <v>22</v>
      </c>
      <c r="L1201" s="1" t="str">
        <f>HYPERLINK("https://files.afu.se/Downloads/Transcripts/0%20-%20Government/USA%20-%20NASA/2017 04 19 - NASA - Expedition 51-52 Crew Meets Officials and Reporters as Launch Approaches_r2MCnCjzFZc - transcript (automated).pdf","Transcript Link")</f>
        <v>Transcript Link</v>
      </c>
      <c r="M1201" s="2" t="str">
        <f>HYPERLINK("https://files.afu.se/Downloads/Transcripts/0%20-%20Government/USA%20-%20NASA/2017 04 19 - NASA - Expedition 51-52 Crew Meets Officials and Reporters as Launch Approaches_r2MCnCjzFZc - transcript (automated).pdf","Transcript Link")</f>
        <v>Transcript Link</v>
      </c>
    </row>
    <row r="1202" ht="225" spans="1:13">
      <c r="A1202" s="1" t="s">
        <v>5708</v>
      </c>
      <c r="B1202" s="1" t="s">
        <v>13</v>
      </c>
      <c r="C1202" s="4" t="s">
        <v>5713</v>
      </c>
      <c r="D1202" s="1" t="s">
        <v>5714</v>
      </c>
      <c r="E1202" s="1" t="s">
        <v>5715</v>
      </c>
      <c r="F1202" s="4" t="s">
        <v>17</v>
      </c>
      <c r="G1202" s="1" t="s">
        <v>18</v>
      </c>
      <c r="H1202" s="1" t="s">
        <v>19</v>
      </c>
      <c r="I1202" s="1" t="s">
        <v>20</v>
      </c>
      <c r="J1202" s="1" t="s">
        <v>5716</v>
      </c>
      <c r="K1202" s="1" t="s">
        <v>22</v>
      </c>
      <c r="L1202" s="1" t="str">
        <f>HYPERLINK("https://files.afu.se/Downloads/Transcripts/0%20-%20Government/USA%20-%20NASA/2017 04 19 - NASA - STEM in 30 - Women Paving the Way to Mars_osno3wJuj7Q - transcript (automated).pdf","Transcript Link")</f>
        <v>Transcript Link</v>
      </c>
      <c r="M1202" s="2" t="str">
        <f>HYPERLINK("https://files.afu.se/Downloads/Transcripts/0%20-%20Government/USA%20-%20NASA/2017 04 19 - NASA - STEM in 30 - Women Paving the Way to Mars_osno3wJuj7Q - transcript (automated).pdf","Transcript Link")</f>
        <v>Transcript Link</v>
      </c>
    </row>
    <row r="1203" ht="165" spans="1:13">
      <c r="A1203" s="1" t="s">
        <v>5708</v>
      </c>
      <c r="B1203" s="1" t="s">
        <v>13</v>
      </c>
      <c r="C1203" s="4" t="s">
        <v>5717</v>
      </c>
      <c r="D1203" s="1" t="s">
        <v>5718</v>
      </c>
      <c r="E1203" s="1" t="s">
        <v>5719</v>
      </c>
      <c r="F1203" s="4" t="s">
        <v>17</v>
      </c>
      <c r="G1203" s="1" t="s">
        <v>18</v>
      </c>
      <c r="H1203" s="1" t="s">
        <v>19</v>
      </c>
      <c r="I1203" s="1" t="s">
        <v>20</v>
      </c>
      <c r="J1203" s="1" t="s">
        <v>5720</v>
      </c>
      <c r="K1203" s="1" t="s">
        <v>22</v>
      </c>
      <c r="L1203" s="1" t="str">
        <f>HYPERLINK("https://files.afu.se/Downloads/Transcripts/0%20-%20Government/USA%20-%20NASA/2017 04 19 - NASA - What’s New in Aerospace  Celebrating Earth Day with Kathy Sullivan_cvOWo7iDT6M - transcript (automated).pdf","Transcript Link")</f>
        <v>Transcript Link</v>
      </c>
      <c r="M1203" s="2" t="str">
        <f>HYPERLINK("https://files.afu.se/Downloads/Transcripts/0%20-%20Government/USA%20-%20NASA/2017 04 19 - NASA - What’s New in Aerospace  Celebrating Earth Day with Kathy Sullivan_cvOWo7iDT6M - transcript (automated).pdf","Transcript Link")</f>
        <v>Transcript Link</v>
      </c>
    </row>
    <row r="1204" ht="165" spans="1:13">
      <c r="A1204" s="1" t="s">
        <v>5708</v>
      </c>
      <c r="B1204" s="1" t="s">
        <v>13</v>
      </c>
      <c r="C1204" s="4" t="s">
        <v>5721</v>
      </c>
      <c r="D1204" s="1" t="s">
        <v>5722</v>
      </c>
      <c r="E1204" s="1" t="s">
        <v>5723</v>
      </c>
      <c r="F1204" s="4" t="s">
        <v>17</v>
      </c>
      <c r="G1204" s="1" t="s">
        <v>18</v>
      </c>
      <c r="H1204" s="1" t="s">
        <v>19</v>
      </c>
      <c r="I1204" s="1" t="s">
        <v>20</v>
      </c>
      <c r="J1204" s="1" t="s">
        <v>5724</v>
      </c>
      <c r="K1204" s="1" t="s">
        <v>22</v>
      </c>
      <c r="L1204" s="1" t="str">
        <f>HYPERLINK("https://files.afu.se/Downloads/Transcripts/0%20-%20Government/USA%20-%20NASA/2017 04 19 - NASA - Adopt the Planet_suqMoiTvxrg - transcript (automated).pdf","Transcript Link")</f>
        <v>Transcript Link</v>
      </c>
      <c r="M1204" s="2" t="str">
        <f>HYPERLINK("https://files.afu.se/Downloads/Transcripts/0%20-%20Government/USA%20-%20NASA/2017 04 19 - NASA - Adopt the Planet_suqMoiTvxrg - transcript (automated).pdf","Transcript Link")</f>
        <v>Transcript Link</v>
      </c>
    </row>
    <row r="1205" ht="165" spans="1:13">
      <c r="A1205" s="1" t="s">
        <v>5725</v>
      </c>
      <c r="B1205" s="1" t="s">
        <v>13</v>
      </c>
      <c r="C1205" s="4" t="s">
        <v>5726</v>
      </c>
      <c r="D1205" s="1" t="s">
        <v>5727</v>
      </c>
      <c r="E1205" s="1" t="s">
        <v>5728</v>
      </c>
      <c r="F1205" s="4" t="s">
        <v>17</v>
      </c>
      <c r="G1205" s="1" t="s">
        <v>18</v>
      </c>
      <c r="H1205" s="1" t="s">
        <v>19</v>
      </c>
      <c r="I1205" s="1" t="s">
        <v>20</v>
      </c>
      <c r="J1205" s="1" t="s">
        <v>5729</v>
      </c>
      <c r="K1205" s="1" t="s">
        <v>22</v>
      </c>
      <c r="L1205" s="1" t="str">
        <f>HYPERLINK("https://files.afu.se/Downloads/Transcripts/0%20-%20Government/USA%20-%20NASA/2017 04 18 - NASA - Post-Launch Status of Orbital ATK Mission to Space Station_Wb0eLZISnxE - transcript (automated).pdf","Transcript Link")</f>
        <v>Transcript Link</v>
      </c>
      <c r="M1205" s="2" t="str">
        <f>HYPERLINK("https://files.afu.se/Downloads/Transcripts/0%20-%20Government/USA%20-%20NASA/2017 04 18 - NASA - Post-Launch Status of Orbital ATK Mission to Space Station_Wb0eLZISnxE - transcript (automated).pdf","Transcript Link")</f>
        <v>Transcript Link</v>
      </c>
    </row>
    <row r="1206" ht="165" spans="1:13">
      <c r="A1206" s="1" t="s">
        <v>5725</v>
      </c>
      <c r="B1206" s="1" t="s">
        <v>13</v>
      </c>
      <c r="C1206" s="4" t="s">
        <v>5730</v>
      </c>
      <c r="D1206" s="1" t="s">
        <v>5731</v>
      </c>
      <c r="E1206" s="1" t="s">
        <v>5732</v>
      </c>
      <c r="F1206" s="4" t="s">
        <v>17</v>
      </c>
      <c r="G1206" s="1" t="s">
        <v>18</v>
      </c>
      <c r="H1206" s="1" t="s">
        <v>19</v>
      </c>
      <c r="I1206" s="1" t="s">
        <v>20</v>
      </c>
      <c r="J1206" s="1" t="s">
        <v>5733</v>
      </c>
      <c r="K1206" s="1" t="s">
        <v>22</v>
      </c>
      <c r="L1206" s="1" t="str">
        <f>HYPERLINK("https://files.afu.se/Downloads/Transcripts/0%20-%20Government/USA%20-%20NASA/2017 04 18 - NASA - Orbital ATK’s Cygnus Cargo Spacecraft Launches to the ISS_7I78wLrWBmA - transcript (automated).pdf","Transcript Link")</f>
        <v>Transcript Link</v>
      </c>
      <c r="M1206" s="2" t="str">
        <f>HYPERLINK("https://files.afu.se/Downloads/Transcripts/0%20-%20Government/USA%20-%20NASA/2017 04 18 - NASA - Orbital ATK’s Cygnus Cargo Spacecraft Launches to the ISS_7I78wLrWBmA - transcript (automated).pdf","Transcript Link")</f>
        <v>Transcript Link</v>
      </c>
    </row>
    <row r="1207" ht="165" spans="1:13">
      <c r="A1207" s="1" t="s">
        <v>5734</v>
      </c>
      <c r="B1207" s="1" t="s">
        <v>13</v>
      </c>
      <c r="C1207" s="4" t="s">
        <v>5735</v>
      </c>
      <c r="D1207" s="1" t="s">
        <v>5736</v>
      </c>
      <c r="E1207" s="1" t="s">
        <v>5737</v>
      </c>
      <c r="F1207" s="4" t="s">
        <v>17</v>
      </c>
      <c r="G1207" s="1" t="s">
        <v>18</v>
      </c>
      <c r="H1207" s="1" t="s">
        <v>19</v>
      </c>
      <c r="I1207" s="1" t="s">
        <v>20</v>
      </c>
      <c r="J1207" s="1" t="s">
        <v>5738</v>
      </c>
      <c r="K1207" s="1" t="s">
        <v>22</v>
      </c>
      <c r="L1207" s="1" t="str">
        <f>HYPERLINK("https://files.afu.se/Downloads/Transcripts/0%20-%20Government/USA%20-%20NASA/2017 04 17 - NASA - What’s On Board Next Space Station Supply Mission_rQXl0vreQkA - transcript (automated).pdf","Transcript Link")</f>
        <v>Transcript Link</v>
      </c>
      <c r="M1207" s="2" t="str">
        <f>HYPERLINK("https://files.afu.se/Downloads/Transcripts/0%20-%20Government/USA%20-%20NASA/2017 04 17 - NASA - What’s On Board Next Space Station Supply Mission_rQXl0vreQkA - transcript (automated).pdf","Transcript Link")</f>
        <v>Transcript Link</v>
      </c>
    </row>
    <row r="1208" ht="165" spans="1:13">
      <c r="A1208" s="1" t="s">
        <v>5734</v>
      </c>
      <c r="B1208" s="1" t="s">
        <v>13</v>
      </c>
      <c r="C1208" s="4" t="s">
        <v>5739</v>
      </c>
      <c r="D1208" s="1" t="s">
        <v>5740</v>
      </c>
      <c r="E1208" s="1" t="s">
        <v>5741</v>
      </c>
      <c r="F1208" s="4" t="s">
        <v>17</v>
      </c>
      <c r="G1208" s="1" t="s">
        <v>18</v>
      </c>
      <c r="H1208" s="1" t="s">
        <v>19</v>
      </c>
      <c r="I1208" s="1" t="s">
        <v>20</v>
      </c>
      <c r="J1208" s="1" t="s">
        <v>5742</v>
      </c>
      <c r="K1208" s="1" t="s">
        <v>22</v>
      </c>
      <c r="L1208" s="1" t="str">
        <f>HYPERLINK("https://files.afu.se/Downloads/Transcripts/0%20-%20Government/USA%20-%20NASA/2017 04 17 - NASA - Pre-Launch Status of Next Orbital ATK Mission to ISS_q6DZacU-yMo - transcript (automated).pdf","Transcript Link")</f>
        <v>Transcript Link</v>
      </c>
      <c r="M1208" s="2" t="str">
        <f>HYPERLINK("https://files.afu.se/Downloads/Transcripts/0%20-%20Government/USA%20-%20NASA/2017 04 17 - NASA - Pre-Launch Status of Next Orbital ATK Mission to ISS_q6DZacU-yMo - transcript (automated).pdf","Transcript Link")</f>
        <v>Transcript Link</v>
      </c>
    </row>
    <row r="1209" ht="165" spans="1:13">
      <c r="A1209" s="1" t="s">
        <v>5734</v>
      </c>
      <c r="B1209" s="1" t="s">
        <v>13</v>
      </c>
      <c r="C1209" s="4" t="s">
        <v>5743</v>
      </c>
      <c r="D1209" s="1" t="s">
        <v>5744</v>
      </c>
      <c r="E1209" s="1" t="s">
        <v>5745</v>
      </c>
      <c r="F1209" s="4" t="s">
        <v>17</v>
      </c>
      <c r="G1209" s="1" t="s">
        <v>18</v>
      </c>
      <c r="H1209" s="1" t="s">
        <v>19</v>
      </c>
      <c r="I1209" s="1" t="s">
        <v>20</v>
      </c>
      <c r="J1209" s="1" t="s">
        <v>5746</v>
      </c>
      <c r="K1209" s="1" t="s">
        <v>22</v>
      </c>
      <c r="L1209" s="1" t="str">
        <f>HYPERLINK("https://files.afu.se/Downloads/Transcripts/0%20-%20Government/USA%20-%20NASA/2017 04 17 - NASA - Expedition 51-52 Soyuz Vehicle is Prepared for Launch in Kazakhstan_YwsPKE1QUwg - transcript (automated).pdf","Transcript Link")</f>
        <v>Transcript Link</v>
      </c>
      <c r="M1209" s="2" t="str">
        <f>HYPERLINK("https://files.afu.se/Downloads/Transcripts/0%20-%20Government/USA%20-%20NASA/2017 04 17 - NASA - Expedition 51-52 Soyuz Vehicle is Prepared for Launch in Kazakhstan_YwsPKE1QUwg - transcript (automated).pdf","Transcript Link")</f>
        <v>Transcript Link</v>
      </c>
    </row>
    <row r="1210" ht="165" spans="1:13">
      <c r="A1210" s="1" t="s">
        <v>5734</v>
      </c>
      <c r="B1210" s="1" t="s">
        <v>13</v>
      </c>
      <c r="C1210" s="4" t="s">
        <v>5747</v>
      </c>
      <c r="D1210" s="1" t="s">
        <v>5650</v>
      </c>
      <c r="E1210" s="1" t="s">
        <v>5748</v>
      </c>
      <c r="F1210" s="4" t="s">
        <v>17</v>
      </c>
      <c r="G1210" s="1" t="s">
        <v>18</v>
      </c>
      <c r="H1210" s="1" t="s">
        <v>19</v>
      </c>
      <c r="I1210" s="1" t="s">
        <v>20</v>
      </c>
      <c r="J1210" s="1" t="s">
        <v>5749</v>
      </c>
      <c r="K1210" s="1" t="s">
        <v>22</v>
      </c>
      <c r="L1210" s="1" t="str">
        <f>HYPERLINK("https://files.afu.se/Downloads/Transcripts/0%20-%20Government/USA%20-%20NASA/2017 04 17 - NASA - Space Station Crew Member Discusses Life in Space with French Media_v4gG3LQf2RI - transcript (automated).pdf","Transcript Link")</f>
        <v>Transcript Link</v>
      </c>
      <c r="M1210" s="2" t="str">
        <f>HYPERLINK("https://files.afu.se/Downloads/Transcripts/0%20-%20Government/USA%20-%20NASA/2017 04 17 - NASA - Space Station Crew Member Discusses Life in Space with French Media_v4gG3LQf2RI - transcript (automated).pdf","Transcript Link")</f>
        <v>Transcript Link</v>
      </c>
    </row>
    <row r="1211" ht="165" spans="1:13">
      <c r="A1211" s="1" t="s">
        <v>5750</v>
      </c>
      <c r="B1211" s="1" t="s">
        <v>13</v>
      </c>
      <c r="C1211" s="4" t="s">
        <v>5751</v>
      </c>
      <c r="D1211" s="1" t="s">
        <v>5752</v>
      </c>
      <c r="F1211" s="4" t="s">
        <v>17</v>
      </c>
      <c r="G1211" s="1" t="s">
        <v>18</v>
      </c>
      <c r="H1211" s="1" t="s">
        <v>19</v>
      </c>
      <c r="I1211" s="1" t="s">
        <v>20</v>
      </c>
      <c r="J1211" s="1" t="s">
        <v>5753</v>
      </c>
      <c r="K1211" s="1" t="s">
        <v>22</v>
      </c>
      <c r="L1211" s="1" t="str">
        <f>HYPERLINK("https://files.afu.se/Downloads/Transcripts/0%20-%20Government/USA%20-%20NASA/2017 04 14 - NASA - Expedition 51-52 Prepares for Launch in Kazakhstan_t1pBC9q8DLM - transcript (automated).pdf","Transcript Link")</f>
        <v>Transcript Link</v>
      </c>
      <c r="M1211" s="2" t="str">
        <f>HYPERLINK("https://files.afu.se/Downloads/Transcripts/0%20-%20Government/USA%20-%20NASA/2017 04 14 - NASA - Expedition 51-52 Prepares for Launch in Kazakhstan_t1pBC9q8DLM - transcript (automated).pdf","Transcript Link")</f>
        <v>Transcript Link</v>
      </c>
    </row>
    <row r="1212" ht="300" spans="1:13">
      <c r="A1212" s="1" t="s">
        <v>5750</v>
      </c>
      <c r="B1212" s="1" t="s">
        <v>13</v>
      </c>
      <c r="C1212" s="4" t="s">
        <v>5754</v>
      </c>
      <c r="D1212" s="1" t="s">
        <v>5755</v>
      </c>
      <c r="E1212" s="1" t="s">
        <v>5756</v>
      </c>
      <c r="F1212" s="4" t="s">
        <v>17</v>
      </c>
      <c r="G1212" s="1" t="s">
        <v>18</v>
      </c>
      <c r="H1212" s="1" t="s">
        <v>19</v>
      </c>
      <c r="I1212" s="1" t="s">
        <v>20</v>
      </c>
      <c r="J1212" s="1" t="s">
        <v>5757</v>
      </c>
      <c r="K1212" s="1" t="s">
        <v>22</v>
      </c>
      <c r="L1212" s="1" t="str">
        <f>HYPERLINK("https://files.afu.se/Downloads/Transcripts/0%20-%20Government/USA%20-%20NASA/2017 04 14 - NASA - Oceans Beyond Earth on This Week @NASA – April 14, 2017_sfCoPZnvhpQ - transcript (automated).pdf","Transcript Link")</f>
        <v>Transcript Link</v>
      </c>
      <c r="M1212" s="2" t="str">
        <f>HYPERLINK("https://files.afu.se/Downloads/Transcripts/0%20-%20Government/USA%20-%20NASA/2017 04 14 - NASA - Oceans Beyond Earth on This Week @NASA – April 14, 2017_sfCoPZnvhpQ - transcript (automated).pdf","Transcript Link")</f>
        <v>Transcript Link</v>
      </c>
    </row>
    <row r="1213" ht="165" spans="1:13">
      <c r="A1213" s="1" t="s">
        <v>5758</v>
      </c>
      <c r="B1213" s="1" t="s">
        <v>13</v>
      </c>
      <c r="C1213" s="4" t="s">
        <v>5759</v>
      </c>
      <c r="D1213" s="1" t="s">
        <v>5760</v>
      </c>
      <c r="E1213" s="1" t="s">
        <v>5761</v>
      </c>
      <c r="F1213" s="4" t="s">
        <v>17</v>
      </c>
      <c r="G1213" s="1" t="s">
        <v>18</v>
      </c>
      <c r="H1213" s="1" t="s">
        <v>19</v>
      </c>
      <c r="I1213" s="1" t="s">
        <v>20</v>
      </c>
      <c r="J1213" s="1" t="s">
        <v>5762</v>
      </c>
      <c r="K1213" s="1" t="s">
        <v>22</v>
      </c>
      <c r="L1213" s="1" t="str">
        <f>HYPERLINK("https://files.afu.se/Downloads/Transcripts/0%20-%20Government/USA%20-%20NASA/2017 04 13 - NASA - Space Station Commander Discusses Her Record Flight with the Media_s-TCk5HdBiE - transcript (automated).pdf","Transcript Link")</f>
        <v>Transcript Link</v>
      </c>
      <c r="M1213" s="2" t="str">
        <f>HYPERLINK("https://files.afu.se/Downloads/Transcripts/0%20-%20Government/USA%20-%20NASA/2017 04 13 - NASA - Space Station Commander Discusses Her Record Flight with the Media_s-TCk5HdBiE - transcript (automated).pdf","Transcript Link")</f>
        <v>Transcript Link</v>
      </c>
    </row>
    <row r="1214" ht="409.5" spans="1:13">
      <c r="A1214" s="1" t="s">
        <v>5758</v>
      </c>
      <c r="B1214" s="1" t="s">
        <v>13</v>
      </c>
      <c r="C1214" s="4" t="s">
        <v>5763</v>
      </c>
      <c r="D1214" s="1" t="s">
        <v>5764</v>
      </c>
      <c r="E1214" s="1" t="s">
        <v>5765</v>
      </c>
      <c r="F1214" s="4" t="s">
        <v>17</v>
      </c>
      <c r="G1214" s="1" t="s">
        <v>18</v>
      </c>
      <c r="H1214" s="1" t="s">
        <v>19</v>
      </c>
      <c r="I1214" s="1" t="s">
        <v>20</v>
      </c>
      <c r="J1214" s="1" t="s">
        <v>5766</v>
      </c>
      <c r="K1214" s="1" t="s">
        <v>22</v>
      </c>
      <c r="L1214" s="1" t="str">
        <f>HYPERLINK("https://files.afu.se/Downloads/Transcripts/0%20-%20Government/USA%20-%20NASA/2017 04 13 - NASA - NASA Reveals New Discoveries on Oceans Beyond Earth During Science Briefing_3n-0CSCcJuQ - transcript (automated).pdf","Transcript Link")</f>
        <v>Transcript Link</v>
      </c>
      <c r="M1214" s="2" t="str">
        <f>HYPERLINK("https://files.afu.se/Downloads/Transcripts/0%20-%20Government/USA%20-%20NASA/2017 04 13 - NASA - NASA Reveals New Discoveries on Oceans Beyond Earth During Science Briefing_3n-0CSCcJuQ - transcript (automated).pdf","Transcript Link")</f>
        <v>Transcript Link</v>
      </c>
    </row>
    <row r="1215" ht="165" spans="1:13">
      <c r="A1215" s="1" t="s">
        <v>5767</v>
      </c>
      <c r="B1215" s="1" t="s">
        <v>13</v>
      </c>
      <c r="C1215" s="4" t="s">
        <v>5768</v>
      </c>
      <c r="D1215" s="1" t="s">
        <v>5769</v>
      </c>
      <c r="E1215" s="1" t="s">
        <v>5770</v>
      </c>
      <c r="F1215" s="4" t="s">
        <v>17</v>
      </c>
      <c r="G1215" s="1" t="s">
        <v>18</v>
      </c>
      <c r="H1215" s="1" t="s">
        <v>19</v>
      </c>
      <c r="I1215" s="1" t="s">
        <v>20</v>
      </c>
      <c r="J1215" s="1" t="s">
        <v>5771</v>
      </c>
      <c r="K1215" s="1" t="s">
        <v>22</v>
      </c>
      <c r="L1215" s="1" t="str">
        <f>HYPERLINK("https://files.afu.se/Downloads/Transcripts/0%20-%20Government/USA%20-%20NASA/2017 04 12 - NASA - Space Station Commander Discusses Record Flight with the Media_nJiwSL-2ECw - transcript (automated).pdf","Transcript Link")</f>
        <v>Transcript Link</v>
      </c>
      <c r="M1215" s="2" t="str">
        <f>HYPERLINK("https://files.afu.se/Downloads/Transcripts/0%20-%20Government/USA%20-%20NASA/2017 04 12 - NASA - Space Station Commander Discusses Record Flight with the Media_nJiwSL-2ECw - transcript (automated).pdf","Transcript Link")</f>
        <v>Transcript Link</v>
      </c>
    </row>
    <row r="1216" ht="165" spans="1:13">
      <c r="A1216" s="1" t="s">
        <v>5772</v>
      </c>
      <c r="B1216" s="1" t="s">
        <v>13</v>
      </c>
      <c r="C1216" s="4" t="s">
        <v>5773</v>
      </c>
      <c r="D1216" s="1" t="s">
        <v>5774</v>
      </c>
      <c r="E1216" s="1" t="s">
        <v>5775</v>
      </c>
      <c r="F1216" s="4" t="s">
        <v>17</v>
      </c>
      <c r="G1216" s="1" t="s">
        <v>18</v>
      </c>
      <c r="H1216" s="1" t="s">
        <v>19</v>
      </c>
      <c r="I1216" s="1" t="s">
        <v>20</v>
      </c>
      <c r="J1216" s="1" t="s">
        <v>5776</v>
      </c>
      <c r="K1216" s="1" t="s">
        <v>22</v>
      </c>
      <c r="L1216" s="1" t="str">
        <f>HYPERLINK("https://files.afu.se/Downloads/Transcripts/0%20-%20Government/USA%20-%20NASA/2017 04 11 - NASA - Expedition 50 Crew Receives a Warm Welcome in Kazakhstan_EwQTNNp2uUI - transcript (automated).pdf","Transcript Link")</f>
        <v>Transcript Link</v>
      </c>
      <c r="M1216" s="2" t="str">
        <f>HYPERLINK("https://files.afu.se/Downloads/Transcripts/0%20-%20Government/USA%20-%20NASA/2017 04 11 - NASA - Expedition 50 Crew Receives a Warm Welcome in Kazakhstan_EwQTNNp2uUI - transcript (automated).pdf","Transcript Link")</f>
        <v>Transcript Link</v>
      </c>
    </row>
    <row r="1217" ht="165" spans="1:13">
      <c r="A1217" s="1" t="s">
        <v>5777</v>
      </c>
      <c r="B1217" s="1" t="s">
        <v>13</v>
      </c>
      <c r="C1217" s="4" t="s">
        <v>5778</v>
      </c>
      <c r="D1217" s="1" t="s">
        <v>5779</v>
      </c>
      <c r="E1217" s="1" t="s">
        <v>5780</v>
      </c>
      <c r="F1217" s="4" t="s">
        <v>17</v>
      </c>
      <c r="G1217" s="1" t="s">
        <v>18</v>
      </c>
      <c r="H1217" s="1" t="s">
        <v>19</v>
      </c>
      <c r="I1217" s="1" t="s">
        <v>20</v>
      </c>
      <c r="J1217" s="1" t="s">
        <v>5781</v>
      </c>
      <c r="K1217" s="1" t="s">
        <v>22</v>
      </c>
      <c r="L1217" s="1" t="str">
        <f>HYPERLINK("https://files.afu.se/Downloads/Transcripts/0%20-%20Government/USA%20-%20NASA/2017 04 10 - NASA - Expedition 50 Crew Lands Safely in Kazakhstan to Complete Six Month Mission_BWP90RQq_Wc - transcript (automated).pdf","Transcript Link")</f>
        <v>Transcript Link</v>
      </c>
      <c r="M1217" s="2" t="str">
        <f>HYPERLINK("https://files.afu.se/Downloads/Transcripts/0%20-%20Government/USA%20-%20NASA/2017 04 10 - NASA - Expedition 50 Crew Lands Safely in Kazakhstan to Complete Six Month Mission_BWP90RQq_Wc - transcript (automated).pdf","Transcript Link")</f>
        <v>Transcript Link</v>
      </c>
    </row>
    <row r="1218" ht="165" spans="1:13">
      <c r="A1218" s="1" t="s">
        <v>5782</v>
      </c>
      <c r="B1218" s="1" t="s">
        <v>13</v>
      </c>
      <c r="C1218" s="4" t="s">
        <v>5783</v>
      </c>
      <c r="D1218" s="1" t="s">
        <v>5784</v>
      </c>
      <c r="E1218" s="1" t="s">
        <v>5785</v>
      </c>
      <c r="F1218" s="4" t="s">
        <v>17</v>
      </c>
      <c r="G1218" s="1" t="s">
        <v>18</v>
      </c>
      <c r="H1218" s="1" t="s">
        <v>19</v>
      </c>
      <c r="I1218" s="1" t="s">
        <v>20</v>
      </c>
      <c r="J1218" s="1" t="s">
        <v>5786</v>
      </c>
      <c r="K1218" s="1" t="s">
        <v>22</v>
      </c>
      <c r="L1218" s="1" t="str">
        <f>HYPERLINK("https://files.afu.se/Downloads/Transcripts/0%20-%20Government/USA%20-%20NASA/2017 04 09 - NASA - Expedition 50 Crew Hands Over the Space Station to Expedition 51_9J_k3ro0sLk - transcript (automated).pdf","Transcript Link")</f>
        <v>Transcript Link</v>
      </c>
      <c r="M1218" s="2" t="str">
        <f>HYPERLINK("https://files.afu.se/Downloads/Transcripts/0%20-%20Government/USA%20-%20NASA/2017 04 09 - NASA - Expedition 50 Crew Hands Over the Space Station to Expedition 51_9J_k3ro0sLk - transcript (automated).pdf","Transcript Link")</f>
        <v>Transcript Link</v>
      </c>
    </row>
    <row r="1219" ht="270" spans="1:13">
      <c r="A1219" s="1" t="s">
        <v>5787</v>
      </c>
      <c r="B1219" s="1" t="s">
        <v>13</v>
      </c>
      <c r="C1219" s="4" t="s">
        <v>5788</v>
      </c>
      <c r="D1219" s="1" t="s">
        <v>5789</v>
      </c>
      <c r="E1219" s="1" t="s">
        <v>5790</v>
      </c>
      <c r="F1219" s="4" t="s">
        <v>17</v>
      </c>
      <c r="G1219" s="1" t="s">
        <v>18</v>
      </c>
      <c r="H1219" s="1" t="s">
        <v>19</v>
      </c>
      <c r="I1219" s="1" t="s">
        <v>20</v>
      </c>
      <c r="J1219" s="1" t="s">
        <v>5791</v>
      </c>
      <c r="K1219" s="1" t="s">
        <v>22</v>
      </c>
      <c r="L1219" s="1" t="str">
        <f>HYPERLINK("https://files.afu.se/Downloads/Transcripts/0%20-%20Government/USA%20-%20NASA/2017 04 07 - NASA - NASA Cassini Mission Prepares for “Grand Finale” on This Week @NASA – April 7, 2017_mJYMzsQZ5SY - transcript (automated).pdf","Transcript Link")</f>
        <v>Transcript Link</v>
      </c>
      <c r="M1219" s="2" t="str">
        <f>HYPERLINK("https://files.afu.se/Downloads/Transcripts/0%20-%20Government/USA%20-%20NASA/2017 04 07 - NASA - NASA Cassini Mission Prepares for “Grand Finale” on This Week @NASA – April 7, 2017_mJYMzsQZ5SY - transcript (automated).pdf","Transcript Link")</f>
        <v>Transcript Link</v>
      </c>
    </row>
    <row r="1220" ht="285" spans="1:13">
      <c r="A1220" s="1" t="s">
        <v>5792</v>
      </c>
      <c r="B1220" s="1" t="s">
        <v>13</v>
      </c>
      <c r="C1220" s="4" t="s">
        <v>5793</v>
      </c>
      <c r="D1220" s="1" t="s">
        <v>5794</v>
      </c>
      <c r="E1220" s="1" t="s">
        <v>5795</v>
      </c>
      <c r="F1220" s="4" t="s">
        <v>17</v>
      </c>
      <c r="G1220" s="1" t="s">
        <v>18</v>
      </c>
      <c r="H1220" s="1" t="s">
        <v>19</v>
      </c>
      <c r="I1220" s="1" t="s">
        <v>20</v>
      </c>
      <c r="J1220" s="1" t="s">
        <v>5796</v>
      </c>
      <c r="K1220" s="1" t="s">
        <v>22</v>
      </c>
      <c r="L1220" s="1" t="str">
        <f>HYPERLINK("https://files.afu.se/Downloads/Transcripts/0%20-%20Government/USA%20-%20NASA/2017 04 06 - NASA - NASA astronaut and U.S. Senator John Glenn was laid to rest at Arlington National Cemetery_gtwhd_3LWXY - transcript (automated).pdf","Transcript Link")</f>
        <v>Transcript Link</v>
      </c>
      <c r="M1220" s="2" t="str">
        <f>HYPERLINK("https://files.afu.se/Downloads/Transcripts/0%20-%20Government/USA%20-%20NASA/2017 04 06 - NASA - NASA astronaut and U.S. Senator John Glenn was laid to rest at Arlington National Cemetery_gtwhd_3LWXY - transcript (automated).pdf","Transcript Link")</f>
        <v>Transcript Link</v>
      </c>
    </row>
    <row r="1221" ht="165" spans="1:13">
      <c r="A1221" s="1" t="s">
        <v>5792</v>
      </c>
      <c r="B1221" s="1" t="s">
        <v>13</v>
      </c>
      <c r="C1221" s="4" t="s">
        <v>5797</v>
      </c>
      <c r="D1221" s="1" t="s">
        <v>5798</v>
      </c>
      <c r="E1221" s="1" t="s">
        <v>5799</v>
      </c>
      <c r="F1221" s="4" t="s">
        <v>17</v>
      </c>
      <c r="G1221" s="1" t="s">
        <v>18</v>
      </c>
      <c r="H1221" s="1" t="s">
        <v>19</v>
      </c>
      <c r="I1221" s="1" t="s">
        <v>20</v>
      </c>
      <c r="J1221" s="1" t="s">
        <v>5800</v>
      </c>
      <c r="K1221" s="1" t="s">
        <v>22</v>
      </c>
      <c r="L1221" s="1" t="str">
        <f>HYPERLINK("https://files.afu.se/Downloads/Transcripts/0%20-%20Government/USA%20-%20NASA/2017 04 06 - NASA - Former NASA Astronaut, U.S. Senator John Glenn Laid to Rest in Arlington Cemetery__ykgj5IurzI - transcript (automated).pdf","Transcript Link")</f>
        <v>Transcript Link</v>
      </c>
      <c r="M1221" s="2" t="str">
        <f>HYPERLINK("https://files.afu.se/Downloads/Transcripts/0%20-%20Government/USA%20-%20NASA/2017 04 06 - NASA - Former NASA Astronaut, U.S. Senator John Glenn Laid to Rest in Arlington Cemetery__ykgj5IurzI - transcript (automated).pdf","Transcript Link")</f>
        <v>Transcript Link</v>
      </c>
    </row>
    <row r="1222" ht="240" spans="1:13">
      <c r="A1222" s="1" t="s">
        <v>5801</v>
      </c>
      <c r="B1222" s="1" t="s">
        <v>13</v>
      </c>
      <c r="C1222" s="4" t="s">
        <v>5802</v>
      </c>
      <c r="D1222" s="1" t="s">
        <v>5803</v>
      </c>
      <c r="E1222" s="1" t="s">
        <v>5804</v>
      </c>
      <c r="F1222" s="4" t="s">
        <v>17</v>
      </c>
      <c r="G1222" s="1" t="s">
        <v>18</v>
      </c>
      <c r="H1222" s="1" t="s">
        <v>19</v>
      </c>
      <c r="I1222" s="1" t="s">
        <v>20</v>
      </c>
      <c r="J1222" s="1" t="s">
        <v>5805</v>
      </c>
      <c r="K1222" s="1" t="s">
        <v>22</v>
      </c>
      <c r="L1222" s="1" t="str">
        <f>HYPERLINK("https://files.afu.se/Downloads/Transcripts/0%20-%20Government/USA%20-%20NASA/2017 04 04 - NASA - NASA Previews ‘Grand Finale’ of Cassini Saturn Mission_G9lFTYLr2AY - transcript (automated).pdf","Transcript Link")</f>
        <v>Transcript Link</v>
      </c>
      <c r="M1222" s="2" t="str">
        <f>HYPERLINK("https://files.afu.se/Downloads/Transcripts/0%20-%20Government/USA%20-%20NASA/2017 04 04 - NASA - NASA Previews ‘Grand Finale’ of Cassini Saturn Mission_G9lFTYLr2AY - transcript (automated).pdf","Transcript Link")</f>
        <v>Transcript Link</v>
      </c>
    </row>
    <row r="1223" ht="165" spans="1:13">
      <c r="A1223" s="1" t="s">
        <v>5801</v>
      </c>
      <c r="B1223" s="1" t="s">
        <v>13</v>
      </c>
      <c r="C1223" s="4" t="s">
        <v>5806</v>
      </c>
      <c r="D1223" s="1" t="s">
        <v>5807</v>
      </c>
      <c r="E1223" s="1" t="s">
        <v>5808</v>
      </c>
      <c r="F1223" s="4" t="s">
        <v>17</v>
      </c>
      <c r="G1223" s="1" t="s">
        <v>18</v>
      </c>
      <c r="H1223" s="1" t="s">
        <v>19</v>
      </c>
      <c r="I1223" s="1" t="s">
        <v>20</v>
      </c>
      <c r="J1223" s="1" t="s">
        <v>5809</v>
      </c>
      <c r="K1223" s="1" t="s">
        <v>22</v>
      </c>
      <c r="L1223" s="1" t="str">
        <f>HYPERLINK("https://files.afu.se/Downloads/Transcripts/0%20-%20Government/USA%20-%20NASA/2017 04 04 - NASA - ISS Expedition 51-52 Pre Flight Training Footage_85CdUFxr8yM - transcript (automated).pdf","Transcript Link")</f>
        <v>Transcript Link</v>
      </c>
      <c r="M1223" s="2" t="str">
        <f>HYPERLINK("https://files.afu.se/Downloads/Transcripts/0%20-%20Government/USA%20-%20NASA/2017 04 04 - NASA - ISS Expedition 51-52 Pre Flight Training Footage_85CdUFxr8yM - transcript (automated).pdf","Transcript Link")</f>
        <v>Transcript Link</v>
      </c>
    </row>
    <row r="1224" ht="180" spans="1:13">
      <c r="A1224" s="1" t="s">
        <v>5810</v>
      </c>
      <c r="B1224" s="1" t="s">
        <v>13</v>
      </c>
      <c r="C1224" s="4" t="s">
        <v>5811</v>
      </c>
      <c r="D1224" s="1" t="s">
        <v>5812</v>
      </c>
      <c r="E1224" s="1" t="s">
        <v>5813</v>
      </c>
      <c r="F1224" s="4" t="s">
        <v>17</v>
      </c>
      <c r="G1224" s="1" t="s">
        <v>18</v>
      </c>
      <c r="H1224" s="1" t="s">
        <v>19</v>
      </c>
      <c r="I1224" s="1" t="s">
        <v>20</v>
      </c>
      <c r="J1224" s="1" t="s">
        <v>5814</v>
      </c>
      <c r="K1224" s="1" t="s">
        <v>22</v>
      </c>
      <c r="L1224" s="1" t="str">
        <f>HYPERLINK("https://files.afu.se/Downloads/Transcripts/0%20-%20Government/USA%20-%20NASA/2017 04 03 - NASA - Expedition 51-52 Crew Conducts Traditional Ceremonies in Star City and Moscow, Russia_n08MwZn2qCs - transcript (automated).pdf","Transcript Link")</f>
        <v>Transcript Link</v>
      </c>
      <c r="M1224" s="2" t="str">
        <f>HYPERLINK("https://files.afu.se/Downloads/Transcripts/0%20-%20Government/USA%20-%20NASA/2017 04 03 - NASA - Expedition 51-52 Crew Conducts Traditional Ceremonies in Star City and Moscow, Russia_n08MwZn2qCs - transcript (automated).pdf","Transcript Link")</f>
        <v>Transcript Link</v>
      </c>
    </row>
    <row r="1225" ht="165" spans="1:13">
      <c r="A1225" s="1" t="s">
        <v>5810</v>
      </c>
      <c r="B1225" s="1" t="s">
        <v>13</v>
      </c>
      <c r="C1225" s="4" t="s">
        <v>5815</v>
      </c>
      <c r="D1225" s="1" t="s">
        <v>5816</v>
      </c>
      <c r="E1225" s="1" t="s">
        <v>5817</v>
      </c>
      <c r="F1225" s="4" t="s">
        <v>17</v>
      </c>
      <c r="G1225" s="1" t="s">
        <v>18</v>
      </c>
      <c r="H1225" s="1" t="s">
        <v>19</v>
      </c>
      <c r="I1225" s="1" t="s">
        <v>20</v>
      </c>
      <c r="J1225" s="1" t="s">
        <v>5818</v>
      </c>
      <c r="K1225" s="1" t="s">
        <v>22</v>
      </c>
      <c r="L1225" s="1" t="str">
        <f>HYPERLINK("https://files.afu.se/Downloads/Transcripts/0%20-%20Government/USA%20-%20NASA/2017 04 03 - NASA - International Space Station Expedition 51-52 Crew News Conference_Cc2ytcEsy1o - transcript (automated).pdf","Transcript Link")</f>
        <v>Transcript Link</v>
      </c>
      <c r="M1225" s="2" t="str">
        <f>HYPERLINK("https://files.afu.se/Downloads/Transcripts/0%20-%20Government/USA%20-%20NASA/2017 04 03 - NASA - International Space Station Expedition 51-52 Crew News Conference_Cc2ytcEsy1o - transcript (automated).pdf","Transcript Link")</f>
        <v>Transcript Link</v>
      </c>
    </row>
    <row r="1226" ht="165" spans="1:13">
      <c r="A1226" s="1" t="s">
        <v>5810</v>
      </c>
      <c r="B1226" s="1" t="s">
        <v>13</v>
      </c>
      <c r="C1226" s="4" t="s">
        <v>5819</v>
      </c>
      <c r="D1226" s="1" t="s">
        <v>5820</v>
      </c>
      <c r="E1226" s="1" t="s">
        <v>5821</v>
      </c>
      <c r="F1226" s="4" t="s">
        <v>17</v>
      </c>
      <c r="G1226" s="1" t="s">
        <v>18</v>
      </c>
      <c r="H1226" s="1" t="s">
        <v>19</v>
      </c>
      <c r="I1226" s="1" t="s">
        <v>20</v>
      </c>
      <c r="J1226" s="1" t="s">
        <v>5822</v>
      </c>
      <c r="K1226" s="1" t="s">
        <v>22</v>
      </c>
      <c r="L1226" s="1" t="str">
        <f>HYPERLINK("https://files.afu.se/Downloads/Transcripts/0%20-%20Government/USA%20-%20NASA/2017 04 03 - NASA - Space Station Crew Members Discuss Life in Space with California Students_hzt6_JaUyFU - transcript (automated).pdf","Transcript Link")</f>
        <v>Transcript Link</v>
      </c>
      <c r="M1226" s="2" t="str">
        <f>HYPERLINK("https://files.afu.se/Downloads/Transcripts/0%20-%20Government/USA%20-%20NASA/2017 04 03 - NASA - Space Station Crew Members Discuss Life in Space with California Students_hzt6_JaUyFU - transcript (automated).pdf","Transcript Link")</f>
        <v>Transcript Link</v>
      </c>
    </row>
    <row r="1227" ht="270" spans="1:13">
      <c r="A1227" s="1" t="s">
        <v>5823</v>
      </c>
      <c r="B1227" s="1" t="s">
        <v>13</v>
      </c>
      <c r="C1227" s="4" t="s">
        <v>5824</v>
      </c>
      <c r="D1227" s="1" t="s">
        <v>5825</v>
      </c>
      <c r="E1227" s="1" t="s">
        <v>5826</v>
      </c>
      <c r="F1227" s="4" t="s">
        <v>17</v>
      </c>
      <c r="G1227" s="1" t="s">
        <v>18</v>
      </c>
      <c r="H1227" s="1" t="s">
        <v>19</v>
      </c>
      <c r="I1227" s="1" t="s">
        <v>20</v>
      </c>
      <c r="J1227" s="1" t="s">
        <v>5827</v>
      </c>
      <c r="K1227" s="1" t="s">
        <v>22</v>
      </c>
      <c r="L1227" s="1" t="str">
        <f>HYPERLINK("https://files.afu.se/Downloads/Transcripts/0%20-%20Government/USA%20-%20NASA/2017 03 31 - NASA - Space Station Crew Members Walk In Space to Connect Docking Adapter Component_KivgQJzKtfY - transcript (automated).pdf","Transcript Link")</f>
        <v>Transcript Link</v>
      </c>
      <c r="M1227" s="2" t="str">
        <f>HYPERLINK("https://files.afu.se/Downloads/Transcripts/0%20-%20Government/USA%20-%20NASA/2017 03 31 - NASA - Space Station Crew Members Walk In Space to Connect Docking Adapter Component_KivgQJzKtfY - transcript (automated).pdf","Transcript Link")</f>
        <v>Transcript Link</v>
      </c>
    </row>
    <row r="1228" ht="165" spans="1:13">
      <c r="A1228" s="1" t="s">
        <v>5823</v>
      </c>
      <c r="B1228" s="1" t="s">
        <v>13</v>
      </c>
      <c r="C1228" s="4" t="s">
        <v>5828</v>
      </c>
      <c r="D1228" s="1" t="s">
        <v>5829</v>
      </c>
      <c r="E1228" s="1" t="s">
        <v>5830</v>
      </c>
      <c r="F1228" s="4" t="s">
        <v>17</v>
      </c>
      <c r="G1228" s="1" t="s">
        <v>18</v>
      </c>
      <c r="H1228" s="1" t="s">
        <v>19</v>
      </c>
      <c r="I1228" s="1" t="s">
        <v>20</v>
      </c>
      <c r="J1228" s="1" t="s">
        <v>5831</v>
      </c>
      <c r="K1228" s="1" t="s">
        <v>22</v>
      </c>
      <c r="L1228" s="1" t="str">
        <f>HYPERLINK("https://files.afu.se/Downloads/Transcripts/0%20-%20Government/USA%20-%20NASA/2017 03 31 - NASA - Expedition 50 - 51 Crew Undergoes Final Training Outside Moscow_V-EAJV3e9xw - transcript (automated).pdf","Transcript Link")</f>
        <v>Transcript Link</v>
      </c>
      <c r="M1228" s="2" t="str">
        <f>HYPERLINK("https://files.afu.se/Downloads/Transcripts/0%20-%20Government/USA%20-%20NASA/2017 03 31 - NASA - Expedition 50 - 51 Crew Undergoes Final Training Outside Moscow_V-EAJV3e9xw - transcript (automated).pdf","Transcript Link")</f>
        <v>Transcript Link</v>
      </c>
    </row>
    <row r="1229" ht="225" spans="1:13">
      <c r="A1229" s="1" t="s">
        <v>5823</v>
      </c>
      <c r="B1229" s="1" t="s">
        <v>13</v>
      </c>
      <c r="C1229" s="4" t="s">
        <v>5832</v>
      </c>
      <c r="D1229" s="1" t="s">
        <v>5833</v>
      </c>
      <c r="E1229" s="1" t="s">
        <v>5834</v>
      </c>
      <c r="F1229" s="4" t="s">
        <v>17</v>
      </c>
      <c r="G1229" s="1" t="s">
        <v>18</v>
      </c>
      <c r="H1229" s="1" t="s">
        <v>19</v>
      </c>
      <c r="I1229" s="1" t="s">
        <v>20</v>
      </c>
      <c r="J1229" s="1" t="s">
        <v>5835</v>
      </c>
      <c r="K1229" s="1" t="s">
        <v>22</v>
      </c>
      <c r="L1229" s="1" t="str">
        <f>HYPERLINK("https://files.afu.se/Downloads/Transcripts/0%20-%20Government/USA%20-%20NASA/2017 03 31 - NASA - Space Station Upgrades Continue on This Week @NASA – March 31, 2017_CZmCHDJOSwU - transcript (automated).pdf","Transcript Link")</f>
        <v>Transcript Link</v>
      </c>
      <c r="M1229" s="2" t="str">
        <f>HYPERLINK("https://files.afu.se/Downloads/Transcripts/0%20-%20Government/USA%20-%20NASA/2017 03 31 - NASA - Space Station Upgrades Continue on This Week @NASA – March 31, 2017_CZmCHDJOSwU - transcript (automated).pdf","Transcript Link")</f>
        <v>Transcript Link</v>
      </c>
    </row>
    <row r="1230" ht="165" spans="1:13">
      <c r="A1230" s="1" t="s">
        <v>5836</v>
      </c>
      <c r="B1230" s="1" t="s">
        <v>13</v>
      </c>
      <c r="C1230" s="4" t="s">
        <v>5837</v>
      </c>
      <c r="D1230" s="1" t="s">
        <v>5838</v>
      </c>
      <c r="E1230" s="1" t="s">
        <v>5839</v>
      </c>
      <c r="F1230" s="4" t="s">
        <v>17</v>
      </c>
      <c r="G1230" s="1" t="s">
        <v>18</v>
      </c>
      <c r="H1230" s="1" t="s">
        <v>19</v>
      </c>
      <c r="I1230" s="1" t="s">
        <v>20</v>
      </c>
      <c r="J1230" s="1" t="s">
        <v>5840</v>
      </c>
      <c r="K1230" s="1" t="s">
        <v>22</v>
      </c>
      <c r="L1230" s="1" t="str">
        <f>HYPERLINK("https://files.afu.se/Downloads/Transcripts/0%20-%20Government/USA%20-%20NASA/2017 03 28 - NASA - NASA 2017 Women's History Month Profile - Steffi Valkov, AFRC_c8RSgL2dxCk - transcript (automated).pdf","Transcript Link")</f>
        <v>Transcript Link</v>
      </c>
      <c r="M1230" s="2" t="str">
        <f>HYPERLINK("https://files.afu.se/Downloads/Transcripts/0%20-%20Government/USA%20-%20NASA/2017 03 28 - NASA - NASA 2017 Women's History Month Profile - Steffi Valkov, AFRC_c8RSgL2dxCk - transcript (automated).pdf","Transcript Link")</f>
        <v>Transcript Link</v>
      </c>
    </row>
    <row r="1231" ht="165" spans="1:13">
      <c r="A1231" s="1" t="s">
        <v>5836</v>
      </c>
      <c r="B1231" s="1" t="s">
        <v>13</v>
      </c>
      <c r="C1231" s="4" t="s">
        <v>5841</v>
      </c>
      <c r="D1231" s="1" t="s">
        <v>5842</v>
      </c>
      <c r="E1231" s="1" t="s">
        <v>5843</v>
      </c>
      <c r="F1231" s="4" t="s">
        <v>17</v>
      </c>
      <c r="G1231" s="1" t="s">
        <v>18</v>
      </c>
      <c r="H1231" s="1" t="s">
        <v>19</v>
      </c>
      <c r="I1231" s="1" t="s">
        <v>20</v>
      </c>
      <c r="J1231" s="1" t="s">
        <v>5844</v>
      </c>
      <c r="K1231" s="1" t="s">
        <v>22</v>
      </c>
      <c r="L1231" s="1" t="str">
        <f>HYPERLINK("https://files.afu.se/Downloads/Transcripts/0%20-%20Government/USA%20-%20NASA/2017 03 28 - NASA - NASA Participates in Women's History STEM Event_fHu3VdaH7gU - transcript (automated).pdf","Transcript Link")</f>
        <v>Transcript Link</v>
      </c>
      <c r="M1231" s="2" t="str">
        <f>HYPERLINK("https://files.afu.se/Downloads/Transcripts/0%20-%20Government/USA%20-%20NASA/2017 03 28 - NASA - NASA Participates in Women's History STEM Event_fHu3VdaH7gU - transcript (automated).pdf","Transcript Link")</f>
        <v>Transcript Link</v>
      </c>
    </row>
    <row r="1232" ht="165" spans="1:13">
      <c r="A1232" s="1" t="s">
        <v>5845</v>
      </c>
      <c r="B1232" s="1" t="s">
        <v>13</v>
      </c>
      <c r="C1232" s="4" t="s">
        <v>5846</v>
      </c>
      <c r="D1232" s="1" t="s">
        <v>5847</v>
      </c>
      <c r="E1232" s="1" t="s">
        <v>5848</v>
      </c>
      <c r="F1232" s="4" t="s">
        <v>17</v>
      </c>
      <c r="G1232" s="1" t="s">
        <v>18</v>
      </c>
      <c r="H1232" s="1" t="s">
        <v>19</v>
      </c>
      <c r="I1232" s="1" t="s">
        <v>20</v>
      </c>
      <c r="J1232" s="1" t="s">
        <v>5849</v>
      </c>
      <c r="K1232" s="1" t="s">
        <v>22</v>
      </c>
      <c r="L1232" s="1" t="str">
        <f>HYPERLINK("https://files.afu.se/Downloads/Transcripts/0%20-%20Government/USA%20-%20NASA/2017 03 25 - NASA - NASA Highlighted in President's Weekly Address_mdtKAbS4FuE - transcript (automated).pdf","Transcript Link")</f>
        <v>Transcript Link</v>
      </c>
      <c r="M1232" s="2" t="str">
        <f>HYPERLINK("https://files.afu.se/Downloads/Transcripts/0%20-%20Government/USA%20-%20NASA/2017 03 25 - NASA - NASA Highlighted in President's Weekly Address_mdtKAbS4FuE - transcript (automated).pdf","Transcript Link")</f>
        <v>Transcript Link</v>
      </c>
    </row>
    <row r="1233" ht="285" spans="1:13">
      <c r="A1233" s="1" t="s">
        <v>5850</v>
      </c>
      <c r="B1233" s="1" t="s">
        <v>13</v>
      </c>
      <c r="C1233" s="4" t="s">
        <v>5851</v>
      </c>
      <c r="D1233" s="1" t="s">
        <v>5852</v>
      </c>
      <c r="E1233" s="1" t="s">
        <v>5853</v>
      </c>
      <c r="F1233" s="4" t="s">
        <v>17</v>
      </c>
      <c r="G1233" s="1" t="s">
        <v>18</v>
      </c>
      <c r="H1233" s="1" t="s">
        <v>19</v>
      </c>
      <c r="I1233" s="1" t="s">
        <v>20</v>
      </c>
      <c r="J1233" s="1" t="s">
        <v>5854</v>
      </c>
      <c r="K1233" s="1" t="s">
        <v>22</v>
      </c>
      <c r="L1233" s="1" t="str">
        <f>HYPERLINK("https://files.afu.se/Downloads/Transcripts/0%20-%20Government/USA%20-%20NASA/2017 03 24 - NASA - President Signs NASA Transition Authorization Act on This Week @NASA – March 24, 2017_cM16zp1tNvI - transcript (automated).pdf","Transcript Link")</f>
        <v>Transcript Link</v>
      </c>
      <c r="M1233" s="2" t="str">
        <f>HYPERLINK("https://files.afu.se/Downloads/Transcripts/0%20-%20Government/USA%20-%20NASA/2017 03 24 - NASA - President Signs NASA Transition Authorization Act on This Week @NASA – March 24, 2017_cM16zp1tNvI - transcript (automated).pdf","Transcript Link")</f>
        <v>Transcript Link</v>
      </c>
    </row>
    <row r="1234" ht="255" spans="1:13">
      <c r="A1234" s="1" t="s">
        <v>5850</v>
      </c>
      <c r="B1234" s="1" t="s">
        <v>13</v>
      </c>
      <c r="C1234" s="4" t="s">
        <v>5855</v>
      </c>
      <c r="D1234" s="1" t="s">
        <v>5856</v>
      </c>
      <c r="E1234" s="1" t="s">
        <v>5857</v>
      </c>
      <c r="F1234" s="4" t="s">
        <v>17</v>
      </c>
      <c r="G1234" s="1" t="s">
        <v>18</v>
      </c>
      <c r="H1234" s="1" t="s">
        <v>19</v>
      </c>
      <c r="I1234" s="1" t="s">
        <v>20</v>
      </c>
      <c r="J1234" s="1" t="s">
        <v>5858</v>
      </c>
      <c r="K1234" s="1" t="s">
        <v>22</v>
      </c>
      <c r="L1234" s="1" t="str">
        <f>HYPERLINK("https://files.afu.se/Downloads/Transcripts/0%20-%20Government/USA%20-%20NASA/2017 03 24 - NASA - Space Station Crew Members Walk in Space with an Eye to the Future_mTc22ZPMl_c - transcript (automated).pdf","Transcript Link")</f>
        <v>Transcript Link</v>
      </c>
      <c r="M1234" s="2" t="str">
        <f>HYPERLINK("https://files.afu.se/Downloads/Transcripts/0%20-%20Government/USA%20-%20NASA/2017 03 24 - NASA - Space Station Crew Members Walk in Space with an Eye to the Future_mTc22ZPMl_c - transcript (automated).pdf","Transcript Link")</f>
        <v>Transcript Link</v>
      </c>
    </row>
    <row r="1235" ht="165" spans="1:13">
      <c r="A1235" s="1" t="s">
        <v>5859</v>
      </c>
      <c r="B1235" s="1" t="s">
        <v>13</v>
      </c>
      <c r="C1235" s="4" t="s">
        <v>5860</v>
      </c>
      <c r="D1235" s="1" t="s">
        <v>5861</v>
      </c>
      <c r="E1235" s="1" t="s">
        <v>5862</v>
      </c>
      <c r="F1235" s="4" t="s">
        <v>17</v>
      </c>
      <c r="G1235" s="1" t="s">
        <v>18</v>
      </c>
      <c r="H1235" s="1" t="s">
        <v>19</v>
      </c>
      <c r="I1235" s="1" t="s">
        <v>20</v>
      </c>
      <c r="J1235" s="1" t="s">
        <v>5863</v>
      </c>
      <c r="K1235" s="1" t="s">
        <v>22</v>
      </c>
      <c r="L1235" s="1" t="str">
        <f>HYPERLINK("https://files.afu.se/Downloads/Transcripts/0%20-%20Government/USA%20-%20NASA/2017 03 23 - NASA - NASA’s Stennis Space Center Conducts RS-25 Engine Test_pORQHY59Qqs - transcript (automated).pdf","Transcript Link")</f>
        <v>Transcript Link</v>
      </c>
      <c r="M1235" s="2" t="str">
        <f>HYPERLINK("https://files.afu.se/Downloads/Transcripts/0%20-%20Government/USA%20-%20NASA/2017 03 23 - NASA - NASA’s Stennis Space Center Conducts RS-25 Engine Test_pORQHY59Qqs - transcript (automated).pdf","Transcript Link")</f>
        <v>Transcript Link</v>
      </c>
    </row>
    <row r="1236" ht="165" spans="1:13">
      <c r="A1236" s="1" t="s">
        <v>5859</v>
      </c>
      <c r="B1236" s="1" t="s">
        <v>13</v>
      </c>
      <c r="C1236" s="4" t="s">
        <v>5864</v>
      </c>
      <c r="D1236" s="1" t="s">
        <v>5865</v>
      </c>
      <c r="E1236" s="1" t="s">
        <v>5866</v>
      </c>
      <c r="F1236" s="4" t="s">
        <v>17</v>
      </c>
      <c r="G1236" s="1" t="s">
        <v>18</v>
      </c>
      <c r="H1236" s="1" t="s">
        <v>19</v>
      </c>
      <c r="I1236" s="1" t="s">
        <v>20</v>
      </c>
      <c r="J1236" s="1" t="s">
        <v>5867</v>
      </c>
      <c r="K1236" s="1" t="s">
        <v>22</v>
      </c>
      <c r="L1236" s="1" t="str">
        <f>HYPERLINK("https://files.afu.se/Downloads/Transcripts/0%20-%20Government/USA%20-%20NASA/2017 03 23 - NASA - What’s New in Aerospace – A Presentation by NASA Astronaut Jeff Williams_CbtfsIY1f1Q - transcript (automated).pdf","Transcript Link")</f>
        <v>Transcript Link</v>
      </c>
      <c r="M1236" s="2" t="str">
        <f>HYPERLINK("https://files.afu.se/Downloads/Transcripts/0%20-%20Government/USA%20-%20NASA/2017 03 23 - NASA - What’s New in Aerospace – A Presentation by NASA Astronaut Jeff Williams_CbtfsIY1f1Q - transcript (automated).pdf","Transcript Link")</f>
        <v>Transcript Link</v>
      </c>
    </row>
    <row r="1237" ht="165" spans="1:13">
      <c r="A1237" s="1" t="s">
        <v>5868</v>
      </c>
      <c r="B1237" s="1" t="s">
        <v>13</v>
      </c>
      <c r="C1237" s="4" t="s">
        <v>5869</v>
      </c>
      <c r="D1237" s="1" t="s">
        <v>5870</v>
      </c>
      <c r="E1237" s="1" t="s">
        <v>5871</v>
      </c>
      <c r="F1237" s="4" t="s">
        <v>17</v>
      </c>
      <c r="G1237" s="1" t="s">
        <v>18</v>
      </c>
      <c r="H1237" s="1" t="s">
        <v>19</v>
      </c>
      <c r="I1237" s="1" t="s">
        <v>20</v>
      </c>
      <c r="J1237" s="1" t="s">
        <v>5872</v>
      </c>
      <c r="K1237" s="1" t="s">
        <v>22</v>
      </c>
      <c r="L1237" s="1" t="str">
        <f>HYPERLINK("https://files.afu.se/Downloads/Transcripts/0%20-%20Government/USA%20-%20NASA/2017 03 22 - NASA - NASA Press Briefing Previews Three U.S. Spacewalks_crr5Uk-Tvzk - transcript (automated).pdf","Transcript Link")</f>
        <v>Transcript Link</v>
      </c>
      <c r="M1237" s="2" t="str">
        <f>HYPERLINK("https://files.afu.se/Downloads/Transcripts/0%20-%20Government/USA%20-%20NASA/2017 03 22 - NASA - NASA Press Briefing Previews Three U.S. Spacewalks_crr5Uk-Tvzk - transcript (automated).pdf","Transcript Link")</f>
        <v>Transcript Link</v>
      </c>
    </row>
    <row r="1238" ht="315" spans="1:13">
      <c r="A1238" s="1" t="s">
        <v>5873</v>
      </c>
      <c r="B1238" s="1" t="s">
        <v>13</v>
      </c>
      <c r="C1238" s="4" t="s">
        <v>5874</v>
      </c>
      <c r="D1238" s="1" t="s">
        <v>5875</v>
      </c>
      <c r="E1238" s="1" t="s">
        <v>5876</v>
      </c>
      <c r="F1238" s="4" t="s">
        <v>17</v>
      </c>
      <c r="G1238" s="1" t="s">
        <v>18</v>
      </c>
      <c r="H1238" s="1" t="s">
        <v>19</v>
      </c>
      <c r="I1238" s="1" t="s">
        <v>20</v>
      </c>
      <c r="J1238" s="1" t="s">
        <v>5877</v>
      </c>
      <c r="K1238" s="1" t="s">
        <v>22</v>
      </c>
      <c r="L1238" s="1" t="str">
        <f>HYPERLINK("https://files.afu.se/Downloads/Transcripts/0%20-%20Government/USA%20-%20NASA/2017 03 21 - NASA - NASA Acting Administrator Statement on the NASA Authorization Act of 2017_OV1nZdG0oQk - transcript (automated).pdf","Transcript Link")</f>
        <v>Transcript Link</v>
      </c>
      <c r="M1238" s="2" t="str">
        <f>HYPERLINK("https://files.afu.se/Downloads/Transcripts/0%20-%20Government/USA%20-%20NASA/2017 03 21 - NASA - NASA Acting Administrator Statement on the NASA Authorization Act of 2017_OV1nZdG0oQk - transcript (automated).pdf","Transcript Link")</f>
        <v>Transcript Link</v>
      </c>
    </row>
    <row r="1239" ht="165" spans="1:13">
      <c r="A1239" s="1" t="s">
        <v>5873</v>
      </c>
      <c r="B1239" s="1" t="s">
        <v>13</v>
      </c>
      <c r="C1239" s="4" t="s">
        <v>5878</v>
      </c>
      <c r="D1239" s="1" t="s">
        <v>5879</v>
      </c>
      <c r="E1239" s="1" t="s">
        <v>5880</v>
      </c>
      <c r="F1239" s="4" t="s">
        <v>17</v>
      </c>
      <c r="G1239" s="1" t="s">
        <v>18</v>
      </c>
      <c r="H1239" s="1" t="s">
        <v>19</v>
      </c>
      <c r="I1239" s="1" t="s">
        <v>20</v>
      </c>
      <c r="J1239" s="1" t="s">
        <v>5881</v>
      </c>
      <c r="K1239" s="1" t="s">
        <v>22</v>
      </c>
      <c r="L1239" s="1" t="str">
        <f>HYPERLINK("https://files.afu.se/Downloads/Transcripts/0%20-%20Government/USA%20-%20NASA/2017 03 21 - NASA - Space Station Crew Members Answer Questions from Social Media Devotees_GZHzZANk6jA - transcript (automated).pdf","Transcript Link")</f>
        <v>Transcript Link</v>
      </c>
      <c r="M1239" s="2" t="str">
        <f>HYPERLINK("https://files.afu.se/Downloads/Transcripts/0%20-%20Government/USA%20-%20NASA/2017 03 21 - NASA - Space Station Crew Members Answer Questions from Social Media Devotees_GZHzZANk6jA - transcript (automated).pdf","Transcript Link")</f>
        <v>Transcript Link</v>
      </c>
    </row>
    <row r="1240" ht="165" spans="1:13">
      <c r="A1240" s="1" t="s">
        <v>5873</v>
      </c>
      <c r="B1240" s="1" t="s">
        <v>13</v>
      </c>
      <c r="C1240" s="4" t="s">
        <v>5882</v>
      </c>
      <c r="D1240" s="1" t="s">
        <v>5883</v>
      </c>
      <c r="E1240" s="1" t="s">
        <v>5884</v>
      </c>
      <c r="F1240" s="4" t="s">
        <v>17</v>
      </c>
      <c r="G1240" s="1" t="s">
        <v>18</v>
      </c>
      <c r="H1240" s="1" t="s">
        <v>19</v>
      </c>
      <c r="I1240" s="1" t="s">
        <v>20</v>
      </c>
      <c r="J1240" s="1" t="s">
        <v>5885</v>
      </c>
      <c r="K1240" s="1" t="s">
        <v>22</v>
      </c>
      <c r="L1240" s="1" t="str">
        <f>HYPERLINK("https://files.afu.se/Downloads/Transcripts/0%20-%20Government/USA%20-%20NASA/2017 03 21 - NASA - Space Station Crew Member Discusses Life in Space with the French President_v1hBajn3vI8 - transcript (automated).pdf","Transcript Link")</f>
        <v>Transcript Link</v>
      </c>
      <c r="M1240" s="2" t="str">
        <f>HYPERLINK("https://files.afu.se/Downloads/Transcripts/0%20-%20Government/USA%20-%20NASA/2017 03 21 - NASA - Space Station Crew Member Discusses Life in Space with the French President_v1hBajn3vI8 - transcript (automated).pdf","Transcript Link")</f>
        <v>Transcript Link</v>
      </c>
    </row>
    <row r="1241" ht="165" spans="1:13">
      <c r="A1241" s="1" t="s">
        <v>5886</v>
      </c>
      <c r="B1241" s="1" t="s">
        <v>13</v>
      </c>
      <c r="C1241" s="4" t="s">
        <v>5887</v>
      </c>
      <c r="D1241" s="1" t="s">
        <v>5888</v>
      </c>
      <c r="E1241" s="1" t="s">
        <v>5889</v>
      </c>
      <c r="F1241" s="4" t="s">
        <v>17</v>
      </c>
      <c r="G1241" s="1" t="s">
        <v>18</v>
      </c>
      <c r="H1241" s="1" t="s">
        <v>19</v>
      </c>
      <c r="I1241" s="1" t="s">
        <v>20</v>
      </c>
      <c r="J1241" s="1" t="s">
        <v>5890</v>
      </c>
      <c r="K1241" s="1" t="s">
        <v>22</v>
      </c>
      <c r="L1241" s="1" t="str">
        <f>HYPERLINK("https://files.afu.se/Downloads/Transcripts/0%20-%20Government/USA%20-%20NASA/2017 03 20 - NASA - Space Station Crew Member Discusses the Environment with French Students_tjxRGQ2kSf8 - transcript (automated).pdf","Transcript Link")</f>
        <v>Transcript Link</v>
      </c>
      <c r="M1241" s="2" t="str">
        <f>HYPERLINK("https://files.afu.se/Downloads/Transcripts/0%20-%20Government/USA%20-%20NASA/2017 03 20 - NASA - Space Station Crew Member Discusses the Environment with French Students_tjxRGQ2kSf8 - transcript (automated).pdf","Transcript Link")</f>
        <v>Transcript Link</v>
      </c>
    </row>
    <row r="1242" ht="195" spans="1:13">
      <c r="A1242" s="1" t="s">
        <v>5891</v>
      </c>
      <c r="B1242" s="1" t="s">
        <v>13</v>
      </c>
      <c r="C1242" s="4" t="s">
        <v>5892</v>
      </c>
      <c r="D1242" s="1" t="s">
        <v>5893</v>
      </c>
      <c r="E1242" s="1" t="s">
        <v>5894</v>
      </c>
      <c r="F1242" s="4" t="s">
        <v>17</v>
      </c>
      <c r="G1242" s="1" t="s">
        <v>18</v>
      </c>
      <c r="H1242" s="1" t="s">
        <v>19</v>
      </c>
      <c r="I1242" s="1" t="s">
        <v>20</v>
      </c>
      <c r="J1242" s="1" t="s">
        <v>5895</v>
      </c>
      <c r="K1242" s="1" t="s">
        <v>22</v>
      </c>
      <c r="L1242" s="1" t="str">
        <f>HYPERLINK("https://files.afu.se/Downloads/Transcripts/0%20-%20Government/USA%20-%20NASA/2017 03 19 - NASA - U.S. Commercial Cargo Ship Departs the International Space Station_vc2qvfXEl7s - transcript (automated).pdf","Transcript Link")</f>
        <v>Transcript Link</v>
      </c>
      <c r="M1242" s="2" t="str">
        <f>HYPERLINK("https://files.afu.se/Downloads/Transcripts/0%20-%20Government/USA%20-%20NASA/2017 03 19 - NASA - U.S. Commercial Cargo Ship Departs the International Space Station_vc2qvfXEl7s - transcript (automated).pdf","Transcript Link")</f>
        <v>Transcript Link</v>
      </c>
    </row>
    <row r="1243" ht="165" spans="1:13">
      <c r="A1243" s="1" t="s">
        <v>5896</v>
      </c>
      <c r="B1243" s="1" t="s">
        <v>13</v>
      </c>
      <c r="C1243" s="4" t="s">
        <v>5897</v>
      </c>
      <c r="D1243" s="1" t="s">
        <v>5898</v>
      </c>
      <c r="E1243" s="1" t="s">
        <v>5899</v>
      </c>
      <c r="F1243" s="4" t="s">
        <v>17</v>
      </c>
      <c r="G1243" s="1" t="s">
        <v>18</v>
      </c>
      <c r="H1243" s="1" t="s">
        <v>19</v>
      </c>
      <c r="I1243" s="1" t="s">
        <v>20</v>
      </c>
      <c r="J1243" s="1" t="s">
        <v>5900</v>
      </c>
      <c r="K1243" s="1" t="s">
        <v>22</v>
      </c>
      <c r="L1243" s="1" t="str">
        <f>HYPERLINK("https://files.afu.se/Downloads/Transcripts/0%20-%20Government/USA%20-%20NASA/2017 03 17 - NASA - Space Station Astronauts Talk with West Virginia Students_2mUHtyA0eO4 - transcript (automated).pdf","Transcript Link")</f>
        <v>Transcript Link</v>
      </c>
      <c r="M1243" s="2" t="str">
        <f>HYPERLINK("https://files.afu.se/Downloads/Transcripts/0%20-%20Government/USA%20-%20NASA/2017 03 17 - NASA - Space Station Astronauts Talk with West Virginia Students_2mUHtyA0eO4 - transcript (automated).pdf","Transcript Link")</f>
        <v>Transcript Link</v>
      </c>
    </row>
    <row r="1244" ht="210" spans="1:13">
      <c r="A1244" s="1" t="s">
        <v>5896</v>
      </c>
      <c r="B1244" s="1" t="s">
        <v>13</v>
      </c>
      <c r="C1244" s="4" t="s">
        <v>5901</v>
      </c>
      <c r="D1244" s="1" t="s">
        <v>5902</v>
      </c>
      <c r="E1244" s="1" t="s">
        <v>5903</v>
      </c>
      <c r="F1244" s="4" t="s">
        <v>17</v>
      </c>
      <c r="G1244" s="1" t="s">
        <v>18</v>
      </c>
      <c r="H1244" s="1" t="s">
        <v>19</v>
      </c>
      <c r="I1244" s="1" t="s">
        <v>20</v>
      </c>
      <c r="J1244" s="1" t="s">
        <v>5904</v>
      </c>
      <c r="K1244" s="1" t="s">
        <v>22</v>
      </c>
      <c r="L1244" s="1" t="str">
        <f>HYPERLINK("https://files.afu.se/Downloads/Transcripts/0%20-%20Government/USA%20-%20NASA/2017 03 17 - NASA - Study Confirms Biofuels Reduce Jet Engine Pollution on This Week @NASA – March 17, 2017_MLR4P21s59o - transcript (automated).pdf","Transcript Link")</f>
        <v>Transcript Link</v>
      </c>
      <c r="M1244" s="2" t="str">
        <f>HYPERLINK("https://files.afu.se/Downloads/Transcripts/0%20-%20Government/USA%20-%20NASA/2017 03 17 - NASA - Study Confirms Biofuels Reduce Jet Engine Pollution on This Week @NASA – March 17, 2017_MLR4P21s59o - transcript (automated).pdf","Transcript Link")</f>
        <v>Transcript Link</v>
      </c>
    </row>
    <row r="1245" ht="165" spans="1:13">
      <c r="A1245" s="1" t="s">
        <v>5905</v>
      </c>
      <c r="B1245" s="1" t="s">
        <v>13</v>
      </c>
      <c r="C1245" s="4" t="s">
        <v>5906</v>
      </c>
      <c r="D1245" s="1" t="s">
        <v>5907</v>
      </c>
      <c r="E1245" s="1" t="s">
        <v>5908</v>
      </c>
      <c r="F1245" s="4" t="s">
        <v>17</v>
      </c>
      <c r="G1245" s="1" t="s">
        <v>18</v>
      </c>
      <c r="H1245" s="1" t="s">
        <v>19</v>
      </c>
      <c r="I1245" s="1" t="s">
        <v>20</v>
      </c>
      <c r="J1245" s="1" t="s">
        <v>5909</v>
      </c>
      <c r="K1245" s="1" t="s">
        <v>22</v>
      </c>
      <c r="L1245" s="1" t="str">
        <f>HYPERLINK("https://files.afu.se/Downloads/Transcripts/0%20-%20Government/USA%20-%20NASA/2017 03 13 - NASA - STEM in 30 – The Technology of Racecars to Rockets_4Fc6QABHnYA - transcript (automated).pdf","Transcript Link")</f>
        <v>Transcript Link</v>
      </c>
      <c r="M1245" s="2" t="str">
        <f>HYPERLINK("https://files.afu.se/Downloads/Transcripts/0%20-%20Government/USA%20-%20NASA/2017 03 13 - NASA - STEM in 30 – The Technology of Racecars to Rockets_4Fc6QABHnYA - transcript (automated).pdf","Transcript Link")</f>
        <v>Transcript Link</v>
      </c>
    </row>
    <row r="1246" ht="195" spans="1:13">
      <c r="A1246" s="1" t="s">
        <v>5910</v>
      </c>
      <c r="B1246" s="1" t="s">
        <v>13</v>
      </c>
      <c r="C1246" s="4" t="s">
        <v>5911</v>
      </c>
      <c r="D1246" s="1" t="s">
        <v>5912</v>
      </c>
      <c r="E1246" s="1" t="s">
        <v>5913</v>
      </c>
      <c r="F1246" s="4" t="s">
        <v>17</v>
      </c>
      <c r="G1246" s="1" t="s">
        <v>18</v>
      </c>
      <c r="H1246" s="1" t="s">
        <v>19</v>
      </c>
      <c r="I1246" s="1" t="s">
        <v>20</v>
      </c>
      <c r="J1246" s="1" t="s">
        <v>5914</v>
      </c>
      <c r="K1246" s="1" t="s">
        <v>22</v>
      </c>
      <c r="L1246" s="1" t="str">
        <f>HYPERLINK("https://files.afu.se/Downloads/Transcripts/0%20-%20Government/USA%20-%20NASA/2017 03 10 - NASA - Orion Spacecraft Parachute Test on This Week @NASA – March 10, 2017_bZ9D5Iz_o10 - transcript (automated).pdf","Transcript Link")</f>
        <v>Transcript Link</v>
      </c>
      <c r="M1246" s="2" t="str">
        <f>HYPERLINK("https://files.afu.se/Downloads/Transcripts/0%20-%20Government/USA%20-%20NASA/2017 03 10 - NASA - Orion Spacecraft Parachute Test on This Week @NASA – March 10, 2017_bZ9D5Iz_o10 - transcript (automated).pdf","Transcript Link")</f>
        <v>Transcript Link</v>
      </c>
    </row>
    <row r="1247" ht="165" spans="1:13">
      <c r="A1247" s="1" t="s">
        <v>5915</v>
      </c>
      <c r="B1247" s="1" t="s">
        <v>13</v>
      </c>
      <c r="C1247" s="4" t="s">
        <v>5916</v>
      </c>
      <c r="D1247" s="1" t="s">
        <v>5917</v>
      </c>
      <c r="E1247" s="1" t="s">
        <v>5918</v>
      </c>
      <c r="F1247" s="4" t="s">
        <v>17</v>
      </c>
      <c r="G1247" s="1" t="s">
        <v>18</v>
      </c>
      <c r="H1247" s="1" t="s">
        <v>19</v>
      </c>
      <c r="I1247" s="1" t="s">
        <v>20</v>
      </c>
      <c r="J1247" s="1" t="s">
        <v>5919</v>
      </c>
      <c r="K1247" s="1" t="s">
        <v>22</v>
      </c>
      <c r="L1247" s="1" t="str">
        <f>HYPERLINK("https://files.afu.se/Downloads/Transcripts/0%20-%20Government/USA%20-%20NASA/2017 03 09 - NASA - NASA Modern Figures - Maria Caballero_DVjZQQWp_8o - transcript (automated).pdf","Transcript Link")</f>
        <v>Transcript Link</v>
      </c>
      <c r="M1247" s="2" t="str">
        <f>HYPERLINK("https://files.afu.se/Downloads/Transcripts/0%20-%20Government/USA%20-%20NASA/2017 03 09 - NASA - NASA Modern Figures - Maria Caballero_DVjZQQWp_8o - transcript (automated).pdf","Transcript Link")</f>
        <v>Transcript Link</v>
      </c>
    </row>
    <row r="1248" ht="165" spans="1:13">
      <c r="A1248" s="1" t="s">
        <v>5920</v>
      </c>
      <c r="B1248" s="1" t="s">
        <v>13</v>
      </c>
      <c r="C1248" s="4" t="s">
        <v>5921</v>
      </c>
      <c r="D1248" s="1" t="s">
        <v>5650</v>
      </c>
      <c r="E1248" s="1" t="s">
        <v>5922</v>
      </c>
      <c r="F1248" s="4" t="s">
        <v>17</v>
      </c>
      <c r="G1248" s="1" t="s">
        <v>18</v>
      </c>
      <c r="H1248" s="1" t="s">
        <v>19</v>
      </c>
      <c r="I1248" s="1" t="s">
        <v>20</v>
      </c>
      <c r="J1248" s="1" t="s">
        <v>5923</v>
      </c>
      <c r="K1248" s="1" t="s">
        <v>22</v>
      </c>
      <c r="L1248" s="1" t="str">
        <f>HYPERLINK("https://files.afu.se/Downloads/Transcripts/0%20-%20Government/USA%20-%20NASA/2017 03 06 - NASA - Space Station Crew Member Discusses Life in Space with French Media_ZYU_uS19aNg - transcript (automated).pdf","Transcript Link")</f>
        <v>Transcript Link</v>
      </c>
      <c r="M1248" s="2" t="str">
        <f>HYPERLINK("https://files.afu.se/Downloads/Transcripts/0%20-%20Government/USA%20-%20NASA/2017 03 06 - NASA - Space Station Crew Member Discusses Life in Space with French Media_ZYU_uS19aNg - transcript (automated).pdf","Transcript Link")</f>
        <v>Transcript Link</v>
      </c>
    </row>
    <row r="1249" ht="225" spans="1:13">
      <c r="A1249" s="1" t="s">
        <v>5924</v>
      </c>
      <c r="B1249" s="1" t="s">
        <v>13</v>
      </c>
      <c r="C1249" s="4" t="s">
        <v>5925</v>
      </c>
      <c r="D1249" s="1" t="s">
        <v>5926</v>
      </c>
      <c r="E1249" s="1" t="s">
        <v>5927</v>
      </c>
      <c r="F1249" s="4" t="s">
        <v>17</v>
      </c>
      <c r="G1249" s="1" t="s">
        <v>18</v>
      </c>
      <c r="H1249" s="1" t="s">
        <v>19</v>
      </c>
      <c r="I1249" s="1" t="s">
        <v>20</v>
      </c>
      <c r="J1249" s="1" t="s">
        <v>5928</v>
      </c>
      <c r="K1249" s="1" t="s">
        <v>22</v>
      </c>
      <c r="L1249" s="1" t="str">
        <f>HYPERLINK("https://files.afu.se/Downloads/Transcripts/0%20-%20Government/USA%20-%20NASA/2017 03 03 - NASA - NASA Advancing Aviation Technology on This Week @NASA – March 3, 2017_3FYW37_Oypo - transcript (automated).pdf","Transcript Link")</f>
        <v>Transcript Link</v>
      </c>
      <c r="M1249" s="2" t="str">
        <f>HYPERLINK("https://files.afu.se/Downloads/Transcripts/0%20-%20Government/USA%20-%20NASA/2017 03 03 - NASA - NASA Advancing Aviation Technology on This Week @NASA – March 3, 2017_3FYW37_Oypo - transcript (automated).pdf","Transcript Link")</f>
        <v>Transcript Link</v>
      </c>
    </row>
    <row r="1250" ht="165" spans="1:13">
      <c r="A1250" s="1" t="s">
        <v>5924</v>
      </c>
      <c r="B1250" s="1" t="s">
        <v>13</v>
      </c>
      <c r="C1250" s="4" t="s">
        <v>5929</v>
      </c>
      <c r="D1250" s="1" t="s">
        <v>5930</v>
      </c>
      <c r="E1250" s="1" t="s">
        <v>5931</v>
      </c>
      <c r="F1250" s="4" t="s">
        <v>17</v>
      </c>
      <c r="G1250" s="1" t="s">
        <v>18</v>
      </c>
      <c r="H1250" s="1" t="s">
        <v>19</v>
      </c>
      <c r="I1250" s="1" t="s">
        <v>20</v>
      </c>
      <c r="J1250" s="1" t="s">
        <v>5932</v>
      </c>
      <c r="K1250" s="1" t="s">
        <v>22</v>
      </c>
      <c r="L1250" s="1" t="str">
        <f>HYPERLINK("https://files.afu.se/Downloads/Transcripts/0%20-%20Government/USA%20-%20NASA/2017 03 03 - NASA - Space Station Crew Member Discusses Life in Space with Texas Students_z4bgP6QLJI8 - transcript (automated).pdf","Transcript Link")</f>
        <v>Transcript Link</v>
      </c>
      <c r="M1250" s="2" t="str">
        <f>HYPERLINK("https://files.afu.se/Downloads/Transcripts/0%20-%20Government/USA%20-%20NASA/2017 03 03 - NASA - Space Station Crew Member Discusses Life in Space with Texas Students_z4bgP6QLJI8 - transcript (automated).pdf","Transcript Link")</f>
        <v>Transcript Link</v>
      </c>
    </row>
    <row r="1251" ht="225" spans="1:13">
      <c r="A1251" s="1" t="s">
        <v>5933</v>
      </c>
      <c r="B1251" s="1" t="s">
        <v>13</v>
      </c>
      <c r="C1251" s="4" t="s">
        <v>5934</v>
      </c>
      <c r="D1251" s="1" t="s">
        <v>5935</v>
      </c>
      <c r="E1251" s="1" t="s">
        <v>5936</v>
      </c>
      <c r="F1251" s="4" t="s">
        <v>17</v>
      </c>
      <c r="G1251" s="1" t="s">
        <v>18</v>
      </c>
      <c r="H1251" s="1" t="s">
        <v>19</v>
      </c>
      <c r="I1251" s="1" t="s">
        <v>20</v>
      </c>
      <c r="J1251" s="1" t="s">
        <v>5937</v>
      </c>
      <c r="K1251" s="1" t="s">
        <v>22</v>
      </c>
      <c r="L1251" s="1" t="str">
        <f>HYPERLINK("https://files.afu.se/Downloads/Transcripts/0%20-%20Government/USA%20-%20NASA/2017 03 02 - NASA - Space Station Crew Members Discuss Life in Space with Acting Administrator, Aviation Industry Expert_NEHw-wanC1E - transcript (automated).pdf","Transcript Link")</f>
        <v>Transcript Link</v>
      </c>
      <c r="M1251" s="2" t="str">
        <f>HYPERLINK("https://files.afu.se/Downloads/Transcripts/0%20-%20Government/USA%20-%20NASA/2017 03 02 - NASA - Space Station Crew Members Discuss Life in Space with Acting Administrator, Aviation Industry Expert_NEHw-wanC1E - transcript (automated).pdf","Transcript Link")</f>
        <v>Transcript Link</v>
      </c>
    </row>
    <row r="1252" ht="300" spans="1:13">
      <c r="A1252" s="1" t="s">
        <v>5938</v>
      </c>
      <c r="B1252" s="1" t="s">
        <v>13</v>
      </c>
      <c r="C1252" s="4" t="s">
        <v>5939</v>
      </c>
      <c r="D1252" s="1" t="s">
        <v>5940</v>
      </c>
      <c r="E1252" s="1" t="s">
        <v>5941</v>
      </c>
      <c r="F1252" s="4" t="s">
        <v>17</v>
      </c>
      <c r="G1252" s="1" t="s">
        <v>18</v>
      </c>
      <c r="H1252" s="1" t="s">
        <v>19</v>
      </c>
      <c r="I1252" s="1" t="s">
        <v>20</v>
      </c>
      <c r="J1252" s="1" t="s">
        <v>5942</v>
      </c>
      <c r="K1252" s="1" t="s">
        <v>22</v>
      </c>
      <c r="L1252" s="1" t="str">
        <f>HYPERLINK("https://files.afu.se/Downloads/Transcripts/0%20-%20Government/USA%20-%20NASA/2017 02 27 - NASA - 2017 NASA African American History Month Profile – Clifton T. Arnold, Jr , Stennis Space Center_zHvC4fCdvZc - transcript (automated).pdf","Transcript Link")</f>
        <v>Transcript Link</v>
      </c>
      <c r="M1252" s="2" t="str">
        <f>HYPERLINK("https://files.afu.se/Downloads/Transcripts/0%20-%20Government/USA%20-%20NASA/2017 02 27 - NASA - 2017 NASA African American History Month Profile – Clifton T. Arnold, Jr , Stennis Space Center_zHvC4fCdvZc - transcript (automated).pdf","Transcript Link")</f>
        <v>Transcript Link</v>
      </c>
    </row>
    <row r="1253" ht="210" spans="1:13">
      <c r="A1253" s="1" t="s">
        <v>5943</v>
      </c>
      <c r="B1253" s="1" t="s">
        <v>13</v>
      </c>
      <c r="C1253" s="4" t="s">
        <v>5944</v>
      </c>
      <c r="D1253" s="1" t="s">
        <v>5945</v>
      </c>
      <c r="E1253" s="1" t="s">
        <v>5946</v>
      </c>
      <c r="F1253" s="4" t="s">
        <v>17</v>
      </c>
      <c r="G1253" s="1" t="s">
        <v>18</v>
      </c>
      <c r="H1253" s="1" t="s">
        <v>19</v>
      </c>
      <c r="I1253" s="1" t="s">
        <v>20</v>
      </c>
      <c r="J1253" s="1" t="s">
        <v>5947</v>
      </c>
      <c r="K1253" s="1" t="s">
        <v>22</v>
      </c>
      <c r="L1253" s="1" t="str">
        <f>HYPERLINK("https://files.afu.se/Downloads/Transcripts/0%20-%20Government/USA%20-%20NASA/2017 02 24 - NASA - The Most Earth Size, Habitable Zone Planets around a Single Star on This Week @NASA – 02 24 2017_iwl6uD9A8Qg - transcript (automated).pdf","Transcript Link")</f>
        <v>Transcript Link</v>
      </c>
      <c r="M1253" s="2" t="str">
        <f>HYPERLINK("https://files.afu.se/Downloads/Transcripts/0%20-%20Government/USA%20-%20NASA/2017 02 24 - NASA - The Most Earth Size, Habitable Zone Planets around a Single Star on This Week @NASA – 02 24 2017_iwl6uD9A8Qg - transcript (automated).pdf","Transcript Link")</f>
        <v>Transcript Link</v>
      </c>
    </row>
    <row r="1254" ht="165" spans="1:13">
      <c r="A1254" s="1" t="s">
        <v>5943</v>
      </c>
      <c r="B1254" s="1" t="s">
        <v>13</v>
      </c>
      <c r="C1254" s="4" t="s">
        <v>5948</v>
      </c>
      <c r="D1254" s="1" t="s">
        <v>5949</v>
      </c>
      <c r="E1254" s="1" t="s">
        <v>5950</v>
      </c>
      <c r="F1254" s="4" t="s">
        <v>17</v>
      </c>
      <c r="G1254" s="1" t="s">
        <v>18</v>
      </c>
      <c r="H1254" s="1" t="s">
        <v>19</v>
      </c>
      <c r="I1254" s="1" t="s">
        <v>20</v>
      </c>
      <c r="J1254" s="1" t="s">
        <v>5951</v>
      </c>
      <c r="K1254" s="1" t="s">
        <v>22</v>
      </c>
      <c r="L1254" s="1" t="str">
        <f>HYPERLINK("https://files.afu.se/Downloads/Transcripts/0%20-%20Government/USA%20-%20NASA/2017 02 24 - NASA - Russian Cargo Craft Arrives at the International Space Station_ElfkWqJ1D9I - transcript (automated).pdf","Transcript Link")</f>
        <v>Transcript Link</v>
      </c>
      <c r="M1254" s="2" t="str">
        <f>HYPERLINK("https://files.afu.se/Downloads/Transcripts/0%20-%20Government/USA%20-%20NASA/2017 02 24 - NASA - Russian Cargo Craft Arrives at the International Space Station_ElfkWqJ1D9I - transcript (automated).pdf","Transcript Link")</f>
        <v>Transcript Link</v>
      </c>
    </row>
    <row r="1255" ht="165" spans="1:13">
      <c r="A1255" s="1" t="s">
        <v>5952</v>
      </c>
      <c r="B1255" s="1" t="s">
        <v>13</v>
      </c>
      <c r="C1255" s="4" t="s">
        <v>5953</v>
      </c>
      <c r="D1255" s="1" t="s">
        <v>5954</v>
      </c>
      <c r="E1255" s="1" t="s">
        <v>5955</v>
      </c>
      <c r="F1255" s="4" t="s">
        <v>17</v>
      </c>
      <c r="G1255" s="1" t="s">
        <v>18</v>
      </c>
      <c r="H1255" s="1" t="s">
        <v>19</v>
      </c>
      <c r="I1255" s="1" t="s">
        <v>20</v>
      </c>
      <c r="J1255" s="1" t="s">
        <v>5956</v>
      </c>
      <c r="K1255" s="1" t="s">
        <v>22</v>
      </c>
      <c r="L1255" s="1" t="str">
        <f>HYPERLINK("https://files.afu.se/Downloads/Transcripts/0%20-%20Government/USA%20-%20NASA/2017 02 23 - NASA - SpaceX Dragon Cargo Spacecraft Attached to the International Space Station_DHMC0dqUe_o - transcript (automated).pdf","Transcript Link")</f>
        <v>Transcript Link</v>
      </c>
      <c r="M1255" s="2" t="str">
        <f>HYPERLINK("https://files.afu.se/Downloads/Transcripts/0%20-%20Government/USA%20-%20NASA/2017 02 23 - NASA - SpaceX Dragon Cargo Spacecraft Attached to the International Space Station_DHMC0dqUe_o - transcript (automated).pdf","Transcript Link")</f>
        <v>Transcript Link</v>
      </c>
    </row>
    <row r="1256" ht="165" spans="1:13">
      <c r="A1256" s="1" t="s">
        <v>5952</v>
      </c>
      <c r="B1256" s="1" t="s">
        <v>13</v>
      </c>
      <c r="C1256" s="4" t="s">
        <v>5957</v>
      </c>
      <c r="D1256" s="1" t="s">
        <v>5259</v>
      </c>
      <c r="E1256" s="1" t="s">
        <v>5958</v>
      </c>
      <c r="F1256" s="4" t="s">
        <v>17</v>
      </c>
      <c r="G1256" s="1" t="s">
        <v>18</v>
      </c>
      <c r="H1256" s="1" t="s">
        <v>19</v>
      </c>
      <c r="I1256" s="1" t="s">
        <v>20</v>
      </c>
      <c r="J1256" s="1" t="s">
        <v>5959</v>
      </c>
      <c r="K1256" s="1" t="s">
        <v>22</v>
      </c>
      <c r="L1256" s="1" t="str">
        <f>HYPERLINK("https://files.afu.se/Downloads/Transcripts/0%20-%20Government/USA%20-%20NASA/2017 02 23 - NASA - U.S. Commercial Cargo Craft Arrives at the International Space Station_OyinPlh8A98 - transcript (automated).pdf","Transcript Link")</f>
        <v>Transcript Link</v>
      </c>
      <c r="M1256" s="2" t="str">
        <f>HYPERLINK("https://files.afu.se/Downloads/Transcripts/0%20-%20Government/USA%20-%20NASA/2017 02 23 - NASA - U.S. Commercial Cargo Craft Arrives at the International Space Station_OyinPlh8A98 - transcript (automated).pdf","Transcript Link")</f>
        <v>Transcript Link</v>
      </c>
    </row>
    <row r="1257" ht="180" spans="1:13">
      <c r="A1257" s="1" t="s">
        <v>5960</v>
      </c>
      <c r="B1257" s="1" t="s">
        <v>13</v>
      </c>
      <c r="C1257" s="4" t="s">
        <v>5961</v>
      </c>
      <c r="D1257" s="1" t="s">
        <v>5962</v>
      </c>
      <c r="E1257" s="1" t="s">
        <v>5963</v>
      </c>
      <c r="F1257" s="4" t="s">
        <v>17</v>
      </c>
      <c r="G1257" s="1" t="s">
        <v>18</v>
      </c>
      <c r="H1257" s="1" t="s">
        <v>19</v>
      </c>
      <c r="I1257" s="1" t="s">
        <v>20</v>
      </c>
      <c r="J1257" s="1" t="s">
        <v>5964</v>
      </c>
      <c r="K1257" s="1" t="s">
        <v>22</v>
      </c>
      <c r="L1257" s="1" t="str">
        <f>HYPERLINK("https://files.afu.se/Downloads/Transcripts/0%20-%20Government/USA%20-%20NASA/2017 02 22 - NASA - NASA’s Spitzer Reveals Largest Batch of Earth-Size, Habitable-Zone Planets Around a Single Star_v5Xr-WkW5JM - transcript (automated).pdf","Transcript Link")</f>
        <v>Transcript Link</v>
      </c>
      <c r="M1257" s="2" t="str">
        <f>HYPERLINK("https://files.afu.se/Downloads/Transcripts/0%20-%20Government/USA%20-%20NASA/2017 02 22 - NASA - NASA’s Spitzer Reveals Largest Batch of Earth-Size, Habitable-Zone Planets Around a Single Star_v5Xr-WkW5JM - transcript (automated).pdf","Transcript Link")</f>
        <v>Transcript Link</v>
      </c>
    </row>
    <row r="1258" ht="165" spans="1:13">
      <c r="A1258" s="1" t="s">
        <v>5960</v>
      </c>
      <c r="B1258" s="1" t="s">
        <v>13</v>
      </c>
      <c r="C1258" s="4" t="s">
        <v>5965</v>
      </c>
      <c r="D1258" s="1" t="s">
        <v>5966</v>
      </c>
      <c r="E1258" s="1" t="s">
        <v>5967</v>
      </c>
      <c r="F1258" s="4" t="s">
        <v>17</v>
      </c>
      <c r="G1258" s="1" t="s">
        <v>18</v>
      </c>
      <c r="H1258" s="1" t="s">
        <v>19</v>
      </c>
      <c r="I1258" s="1" t="s">
        <v>20</v>
      </c>
      <c r="J1258" s="1" t="s">
        <v>5968</v>
      </c>
      <c r="K1258" s="1" t="s">
        <v>22</v>
      </c>
      <c r="L1258" s="1" t="str">
        <f>HYPERLINK("https://files.afu.se/Downloads/Transcripts/0%20-%20Government/USA%20-%20NASA/2017 02 22 - NASA - Russian Cargo Craft Sets Sail for the International Space Station_VMRhijLXKq0 - transcript (automated).pdf","Transcript Link")</f>
        <v>Transcript Link</v>
      </c>
      <c r="M1258" s="2" t="str">
        <f>HYPERLINK("https://files.afu.se/Downloads/Transcripts/0%20-%20Government/USA%20-%20NASA/2017 02 22 - NASA - Russian Cargo Craft Sets Sail for the International Space Station_VMRhijLXKq0 - transcript (automated).pdf","Transcript Link")</f>
        <v>Transcript Link</v>
      </c>
    </row>
    <row r="1259" ht="165" spans="1:13">
      <c r="A1259" s="1" t="s">
        <v>5969</v>
      </c>
      <c r="B1259" s="1" t="s">
        <v>13</v>
      </c>
      <c r="C1259" s="4" t="s">
        <v>5970</v>
      </c>
      <c r="D1259" s="1" t="s">
        <v>5971</v>
      </c>
      <c r="E1259" s="1" t="s">
        <v>5972</v>
      </c>
      <c r="F1259" s="4" t="s">
        <v>17</v>
      </c>
      <c r="G1259" s="1" t="s">
        <v>18</v>
      </c>
      <c r="H1259" s="1" t="s">
        <v>19</v>
      </c>
      <c r="I1259" s="1" t="s">
        <v>20</v>
      </c>
      <c r="J1259" s="1" t="s">
        <v>5973</v>
      </c>
      <c r="K1259" s="1" t="s">
        <v>22</v>
      </c>
      <c r="L1259" s="1" t="str">
        <f>HYPERLINK("https://files.afu.se/Downloads/Transcripts/0%20-%20Government/USA%20-%20NASA/2017 02 21 - NASA - Lightfoot Visits Michoud on This Week @NASA – February 18, 2017_MPxW5Am2j-w - transcript (automated).pdf","Transcript Link")</f>
        <v>Transcript Link</v>
      </c>
      <c r="M1259" s="2" t="str">
        <f>HYPERLINK("https://files.afu.se/Downloads/Transcripts/0%20-%20Government/USA%20-%20NASA/2017 02 21 - NASA - Lightfoot Visits Michoud on This Week @NASA – February 18, 2017_MPxW5Am2j-w - transcript (automated).pdf","Transcript Link")</f>
        <v>Transcript Link</v>
      </c>
    </row>
    <row r="1260" ht="165" spans="1:13">
      <c r="A1260" s="1" t="s">
        <v>5974</v>
      </c>
      <c r="B1260" s="1" t="s">
        <v>13</v>
      </c>
      <c r="C1260" s="4" t="s">
        <v>5975</v>
      </c>
      <c r="D1260" s="1" t="s">
        <v>5976</v>
      </c>
      <c r="E1260" s="1" t="s">
        <v>5977</v>
      </c>
      <c r="F1260" s="4" t="s">
        <v>17</v>
      </c>
      <c r="G1260" s="1" t="s">
        <v>18</v>
      </c>
      <c r="H1260" s="1" t="s">
        <v>19</v>
      </c>
      <c r="I1260" s="1" t="s">
        <v>20</v>
      </c>
      <c r="J1260" s="1" t="s">
        <v>5978</v>
      </c>
      <c r="K1260" s="1" t="s">
        <v>22</v>
      </c>
      <c r="L1260" s="1" t="str">
        <f>HYPERLINK("https://files.afu.se/Downloads/Transcripts/0%20-%20Government/USA%20-%20NASA/2017 02 19 - NASA - NASA Holds Post-Launch Briefing to Discuss Status of SpaceX Mission to the ISS_jAmvGHyylQ4 - transcript (automated).pdf","Transcript Link")</f>
        <v>Transcript Link</v>
      </c>
      <c r="M1260" s="2" t="str">
        <f>HYPERLINK("https://files.afu.se/Downloads/Transcripts/0%20-%20Government/USA%20-%20NASA/2017 02 19 - NASA - NASA Holds Post-Launch Briefing to Discuss Status of SpaceX Mission to the ISS_jAmvGHyylQ4 - transcript (automated).pdf","Transcript Link")</f>
        <v>Transcript Link</v>
      </c>
    </row>
    <row r="1261" ht="165" spans="1:13">
      <c r="A1261" s="1" t="s">
        <v>5974</v>
      </c>
      <c r="B1261" s="1" t="s">
        <v>13</v>
      </c>
      <c r="C1261" s="4" t="s">
        <v>5979</v>
      </c>
      <c r="D1261" s="1" t="s">
        <v>5980</v>
      </c>
      <c r="E1261" s="1" t="s">
        <v>5981</v>
      </c>
      <c r="F1261" s="4" t="s">
        <v>17</v>
      </c>
      <c r="G1261" s="1" t="s">
        <v>18</v>
      </c>
      <c r="H1261" s="1" t="s">
        <v>19</v>
      </c>
      <c r="I1261" s="1" t="s">
        <v>20</v>
      </c>
      <c r="J1261" s="1" t="s">
        <v>5982</v>
      </c>
      <c r="K1261" s="1" t="s">
        <v>22</v>
      </c>
      <c r="L1261" s="1" t="str">
        <f>HYPERLINK("https://files.afu.se/Downloads/Transcripts/0%20-%20Government/USA%20-%20NASA/2017 02 19 - NASA - SpaceX Launches Tenth Cargo Mission to the International Space Station_zyA2RZYCFY4 - transcript (automated).pdf","Transcript Link")</f>
        <v>Transcript Link</v>
      </c>
      <c r="M1261" s="2" t="str">
        <f>HYPERLINK("https://files.afu.se/Downloads/Transcripts/0%20-%20Government/USA%20-%20NASA/2017 02 19 - NASA - SpaceX Launches Tenth Cargo Mission to the International Space Station_zyA2RZYCFY4 - transcript (automated).pdf","Transcript Link")</f>
        <v>Transcript Link</v>
      </c>
    </row>
    <row r="1262" ht="165" spans="1:13">
      <c r="A1262" s="1" t="s">
        <v>5983</v>
      </c>
      <c r="B1262" s="1" t="s">
        <v>13</v>
      </c>
      <c r="C1262" s="4" t="s">
        <v>5984</v>
      </c>
      <c r="D1262" s="1" t="s">
        <v>5985</v>
      </c>
      <c r="E1262" s="1" t="s">
        <v>5986</v>
      </c>
      <c r="F1262" s="4" t="s">
        <v>17</v>
      </c>
      <c r="G1262" s="1" t="s">
        <v>18</v>
      </c>
      <c r="H1262" s="1" t="s">
        <v>19</v>
      </c>
      <c r="I1262" s="1" t="s">
        <v>20</v>
      </c>
      <c r="J1262" s="1" t="s">
        <v>5987</v>
      </c>
      <c r="K1262" s="1" t="s">
        <v>22</v>
      </c>
      <c r="L1262" s="1" t="str">
        <f>HYPERLINK("https://files.afu.se/Downloads/Transcripts/0%20-%20Government/USA%20-%20NASA/2017 02 18 - NASA - SpaceX Postpones Launch of Tenth Cargo Mission to the International Space Station_E4YHhIVZuWA - transcript (automated).pdf","Transcript Link")</f>
        <v>Transcript Link</v>
      </c>
      <c r="M1262" s="2" t="str">
        <f>HYPERLINK("https://files.afu.se/Downloads/Transcripts/0%20-%20Government/USA%20-%20NASA/2017 02 18 - NASA - SpaceX Postpones Launch of Tenth Cargo Mission to the International Space Station_E4YHhIVZuWA - transcript (automated).pdf","Transcript Link")</f>
        <v>Transcript Link</v>
      </c>
    </row>
    <row r="1263" ht="165" spans="1:13">
      <c r="A1263" s="1" t="s">
        <v>5983</v>
      </c>
      <c r="B1263" s="1" t="s">
        <v>13</v>
      </c>
      <c r="C1263" s="4" t="s">
        <v>5988</v>
      </c>
      <c r="D1263" s="1" t="s">
        <v>5989</v>
      </c>
      <c r="E1263" s="1" t="s">
        <v>5990</v>
      </c>
      <c r="F1263" s="4" t="s">
        <v>17</v>
      </c>
      <c r="G1263" s="1" t="s">
        <v>18</v>
      </c>
      <c r="H1263" s="1" t="s">
        <v>19</v>
      </c>
      <c r="I1263" s="1" t="s">
        <v>20</v>
      </c>
      <c r="J1263" s="1" t="s">
        <v>5991</v>
      </c>
      <c r="K1263" s="1" t="s">
        <v>22</v>
      </c>
      <c r="L1263" s="1" t="str">
        <f>HYPERLINK("https://files.afu.se/Downloads/Transcripts/0%20-%20Government/USA%20-%20NASA/2017 02 18 - NASA - NASA Holds Prelaunch Briefing about the Next Space Station Resupply Mission_z23RuPcdYD8 - transcript (automated).pdf","Transcript Link")</f>
        <v>Transcript Link</v>
      </c>
      <c r="M1263" s="2" t="str">
        <f>HYPERLINK("https://files.afu.se/Downloads/Transcripts/0%20-%20Government/USA%20-%20NASA/2017 02 18 - NASA - NASA Holds Prelaunch Briefing about the Next Space Station Resupply Mission_z23RuPcdYD8 - transcript (automated).pdf","Transcript Link")</f>
        <v>Transcript Link</v>
      </c>
    </row>
    <row r="1264" ht="165" spans="1:13">
      <c r="A1264" s="1" t="s">
        <v>5992</v>
      </c>
      <c r="B1264" s="1" t="s">
        <v>13</v>
      </c>
      <c r="C1264" s="4" t="s">
        <v>5993</v>
      </c>
      <c r="D1264" s="1" t="s">
        <v>5994</v>
      </c>
      <c r="E1264" s="1" t="s">
        <v>5995</v>
      </c>
      <c r="F1264" s="4" t="s">
        <v>17</v>
      </c>
      <c r="G1264" s="1" t="s">
        <v>18</v>
      </c>
      <c r="H1264" s="1" t="s">
        <v>19</v>
      </c>
      <c r="I1264" s="1" t="s">
        <v>20</v>
      </c>
      <c r="J1264" s="1" t="s">
        <v>5996</v>
      </c>
      <c r="K1264" s="1" t="s">
        <v>22</v>
      </c>
      <c r="L1264" s="1" t="str">
        <f>HYPERLINK("https://files.afu.se/Downloads/Transcripts/0%20-%20Government/USA%20-%20NASA/2017 02 17 - NASA - NASA Holds Pre-launch Briefing at Historic Pad 39A at Kennedy Space Center_xjXYSJF-7Cs - transcript (automated).pdf","Transcript Link")</f>
        <v>Transcript Link</v>
      </c>
      <c r="M1264" s="2" t="str">
        <f>HYPERLINK("https://files.afu.se/Downloads/Transcripts/0%20-%20Government/USA%20-%20NASA/2017 02 17 - NASA - NASA Holds Pre-launch Briefing at Historic Pad 39A at Kennedy Space Center_xjXYSJF-7Cs - transcript (automated).pdf","Transcript Link")</f>
        <v>Transcript Link</v>
      </c>
    </row>
    <row r="1265" ht="165" spans="1:13">
      <c r="A1265" s="1" t="s">
        <v>5992</v>
      </c>
      <c r="B1265" s="1" t="s">
        <v>13</v>
      </c>
      <c r="C1265" s="4" t="s">
        <v>5997</v>
      </c>
      <c r="D1265" s="1" t="s">
        <v>5998</v>
      </c>
      <c r="E1265" s="1" t="s">
        <v>5999</v>
      </c>
      <c r="F1265" s="4" t="s">
        <v>17</v>
      </c>
      <c r="G1265" s="1" t="s">
        <v>18</v>
      </c>
      <c r="H1265" s="1" t="s">
        <v>19</v>
      </c>
      <c r="I1265" s="1" t="s">
        <v>20</v>
      </c>
      <c r="J1265" s="1" t="s">
        <v>6000</v>
      </c>
      <c r="K1265" s="1" t="s">
        <v>22</v>
      </c>
      <c r="L1265" s="1" t="str">
        <f>HYPERLINK("https://files.afu.se/Downloads/Transcripts/0%20-%20Government/USA%20-%20NASA/2017 02 17 - NASA - NASA Briefing Highlights “What’s on Board” Next SpaceX Mission to the Space Station_NsBDNyCtMAI - transcript (automated).pdf","Transcript Link")</f>
        <v>Transcript Link</v>
      </c>
      <c r="M1265" s="2" t="str">
        <f>HYPERLINK("https://files.afu.se/Downloads/Transcripts/0%20-%20Government/USA%20-%20NASA/2017 02 17 - NASA - NASA Briefing Highlights “What’s on Board” Next SpaceX Mission to the Space Station_NsBDNyCtMAI - transcript (automated).pdf","Transcript Link")</f>
        <v>Transcript Link</v>
      </c>
    </row>
    <row r="1266" ht="165" spans="1:13">
      <c r="A1266" s="1" t="s">
        <v>5992</v>
      </c>
      <c r="B1266" s="1" t="s">
        <v>13</v>
      </c>
      <c r="C1266" s="4" t="s">
        <v>6001</v>
      </c>
      <c r="D1266" s="1" t="s">
        <v>6002</v>
      </c>
      <c r="E1266" s="1" t="s">
        <v>6003</v>
      </c>
      <c r="F1266" s="4" t="s">
        <v>17</v>
      </c>
      <c r="G1266" s="1" t="s">
        <v>18</v>
      </c>
      <c r="H1266" s="1" t="s">
        <v>19</v>
      </c>
      <c r="I1266" s="1" t="s">
        <v>20</v>
      </c>
      <c r="J1266" s="1" t="s">
        <v>6004</v>
      </c>
      <c r="K1266" s="1" t="s">
        <v>22</v>
      </c>
      <c r="L1266" s="1" t="str">
        <f>HYPERLINK("https://files.afu.se/Downloads/Transcripts/0%20-%20Government/USA%20-%20NASA/2017 02 17 - NASA - Space Station Crew Discusses Life in Space with Fox News_4wlcb5L_enA - transcript (automated).pdf","Transcript Link")</f>
        <v>Transcript Link</v>
      </c>
      <c r="M1266" s="2" t="str">
        <f>HYPERLINK("https://files.afu.se/Downloads/Transcripts/0%20-%20Government/USA%20-%20NASA/2017 02 17 - NASA - Space Station Crew Discusses Life in Space with Fox News_4wlcb5L_enA - transcript (automated).pdf","Transcript Link")</f>
        <v>Transcript Link</v>
      </c>
    </row>
    <row r="1267" ht="165" spans="1:13">
      <c r="A1267" s="1" t="s">
        <v>6005</v>
      </c>
      <c r="B1267" s="1" t="s">
        <v>13</v>
      </c>
      <c r="C1267" s="4" t="s">
        <v>6006</v>
      </c>
      <c r="D1267" s="1" t="s">
        <v>6007</v>
      </c>
      <c r="E1267" s="1" t="s">
        <v>6008</v>
      </c>
      <c r="F1267" s="4" t="s">
        <v>17</v>
      </c>
      <c r="G1267" s="1" t="s">
        <v>18</v>
      </c>
      <c r="H1267" s="1" t="s">
        <v>19</v>
      </c>
      <c r="I1267" s="1" t="s">
        <v>20</v>
      </c>
      <c r="J1267" s="1" t="s">
        <v>6009</v>
      </c>
      <c r="K1267" s="1" t="s">
        <v>22</v>
      </c>
      <c r="L1267" s="1" t="str">
        <f>HYPERLINK("https://files.afu.se/Downloads/Transcripts/0%20-%20Government/USA%20-%20NASA/2017 02 16 - NASA - 2017 NASA African American History Month Profile Mark Davis, Armstrong Flight Research Center_DHlSAIu03us - transcript (automated).pdf","Transcript Link")</f>
        <v>Transcript Link</v>
      </c>
      <c r="M1267" s="2" t="str">
        <f>HYPERLINK("https://files.afu.se/Downloads/Transcripts/0%20-%20Government/USA%20-%20NASA/2017 02 16 - NASA - 2017 NASA African American History Month Profile Mark Davis, Armstrong Flight Research Center_DHlSAIu03us - transcript (automated).pdf","Transcript Link")</f>
        <v>Transcript Link</v>
      </c>
    </row>
    <row r="1268" ht="165" spans="1:13">
      <c r="A1268" s="1" t="s">
        <v>6010</v>
      </c>
      <c r="B1268" s="1" t="s">
        <v>13</v>
      </c>
      <c r="C1268" s="4" t="s">
        <v>6011</v>
      </c>
      <c r="D1268" s="1" t="s">
        <v>6012</v>
      </c>
      <c r="E1268" s="1" t="s">
        <v>6013</v>
      </c>
      <c r="F1268" s="4" t="s">
        <v>17</v>
      </c>
      <c r="G1268" s="1" t="s">
        <v>18</v>
      </c>
      <c r="H1268" s="1" t="s">
        <v>19</v>
      </c>
      <c r="I1268" s="1" t="s">
        <v>20</v>
      </c>
      <c r="J1268" s="1" t="s">
        <v>6014</v>
      </c>
      <c r="K1268" s="1" t="s">
        <v>22</v>
      </c>
      <c r="L1268" s="1" t="str">
        <f>HYPERLINK("https://files.afu.se/Downloads/Transcripts/0%20-%20Government/USA%20-%20NASA/2017 02 15 - NASA - NASA Presents Exceptional Public Achievement Award to Hidden Figures Director, Author_TNPXr4Pgd2M - transcript (automated).pdf","Transcript Link")</f>
        <v>Transcript Link</v>
      </c>
      <c r="M1268" s="2" t="str">
        <f>HYPERLINK("https://files.afu.se/Downloads/Transcripts/0%20-%20Government/USA%20-%20NASA/2017 02 15 - NASA - NASA Presents Exceptional Public Achievement Award to Hidden Figures Director, Author_TNPXr4Pgd2M - transcript (automated).pdf","Transcript Link")</f>
        <v>Transcript Link</v>
      </c>
    </row>
    <row r="1269" ht="165" spans="1:13">
      <c r="A1269" s="1" t="s">
        <v>6015</v>
      </c>
      <c r="B1269" s="1" t="s">
        <v>13</v>
      </c>
      <c r="C1269" s="4" t="s">
        <v>6016</v>
      </c>
      <c r="D1269" s="1" t="s">
        <v>6017</v>
      </c>
      <c r="E1269" s="1" t="s">
        <v>6018</v>
      </c>
      <c r="F1269" s="4" t="s">
        <v>17</v>
      </c>
      <c r="G1269" s="1" t="s">
        <v>18</v>
      </c>
      <c r="H1269" s="1" t="s">
        <v>19</v>
      </c>
      <c r="I1269" s="1" t="s">
        <v>20</v>
      </c>
      <c r="J1269" s="1" t="s">
        <v>6019</v>
      </c>
      <c r="K1269" s="1" t="s">
        <v>22</v>
      </c>
      <c r="L1269" s="1" t="str">
        <f>HYPERLINK("https://files.afu.se/Downloads/Transcripts/0%20-%20Government/USA%20-%20NASA/2017 02 11 - NASA - African American Pioneers in Aviation and Space_s7vLo2Ic4ZE - transcript (automated).pdf","Transcript Link")</f>
        <v>Transcript Link</v>
      </c>
      <c r="M1269" s="2" t="str">
        <f>HYPERLINK("https://files.afu.se/Downloads/Transcripts/0%20-%20Government/USA%20-%20NASA/2017 02 11 - NASA - African American Pioneers in Aviation and Space_s7vLo2Ic4ZE - transcript (automated).pdf","Transcript Link")</f>
        <v>Transcript Link</v>
      </c>
    </row>
    <row r="1270" ht="165" spans="1:13">
      <c r="A1270" s="1" t="s">
        <v>6020</v>
      </c>
      <c r="B1270" s="1" t="s">
        <v>13</v>
      </c>
      <c r="C1270" s="4" t="s">
        <v>6021</v>
      </c>
      <c r="D1270" s="1" t="s">
        <v>6022</v>
      </c>
      <c r="E1270" s="1" t="s">
        <v>6023</v>
      </c>
      <c r="F1270" s="4" t="s">
        <v>17</v>
      </c>
      <c r="G1270" s="1" t="s">
        <v>18</v>
      </c>
      <c r="H1270" s="1" t="s">
        <v>19</v>
      </c>
      <c r="I1270" s="1" t="s">
        <v>20</v>
      </c>
      <c r="J1270" s="1" t="s">
        <v>6024</v>
      </c>
      <c r="K1270" s="1" t="s">
        <v>22</v>
      </c>
      <c r="L1270" s="1" t="str">
        <f>HYPERLINK("https://files.afu.se/Downloads/Transcripts/0%20-%20Government/USA%20-%20NASA/2017 02 10 - NASA - Michoud Recovering From Tornado on This Week @NASA – February 10, 2017__kuId9fC8SA - transcript (automated).pdf","Transcript Link")</f>
        <v>Transcript Link</v>
      </c>
      <c r="M1270" s="2" t="str">
        <f>HYPERLINK("https://files.afu.se/Downloads/Transcripts/0%20-%20Government/USA%20-%20NASA/2017 02 10 - NASA - Michoud Recovering From Tornado on This Week @NASA – February 10, 2017__kuId9fC8SA - transcript (automated).pdf","Transcript Link")</f>
        <v>Transcript Link</v>
      </c>
    </row>
    <row r="1271" ht="165" spans="1:13">
      <c r="A1271" s="1" t="s">
        <v>6025</v>
      </c>
      <c r="B1271" s="1" t="s">
        <v>13</v>
      </c>
      <c r="C1271" s="4" t="s">
        <v>6026</v>
      </c>
      <c r="D1271" s="1" t="s">
        <v>6027</v>
      </c>
      <c r="E1271" s="1" t="s">
        <v>6028</v>
      </c>
      <c r="F1271" s="4" t="s">
        <v>17</v>
      </c>
      <c r="G1271" s="1" t="s">
        <v>18</v>
      </c>
      <c r="H1271" s="1" t="s">
        <v>19</v>
      </c>
      <c r="I1271" s="1" t="s">
        <v>20</v>
      </c>
      <c r="J1271" s="1" t="s">
        <v>6029</v>
      </c>
      <c r="K1271" s="1" t="s">
        <v>22</v>
      </c>
      <c r="L1271" s="1" t="str">
        <f>HYPERLINK("https://files.afu.se/Downloads/Transcripts/0%20-%20Government/USA%20-%20NASA/2017 02 09 - NASA - Tornado Recovery Ongoing at NASA’s Michoud Assembly Facility, New Orleans LA_5YSFgSEzufE - transcript (automated).pdf","Transcript Link")</f>
        <v>Transcript Link</v>
      </c>
      <c r="M1271" s="2" t="str">
        <f>HYPERLINK("https://files.afu.se/Downloads/Transcripts/0%20-%20Government/USA%20-%20NASA/2017 02 09 - NASA - Tornado Recovery Ongoing at NASA’s Michoud Assembly Facility, New Orleans LA_5YSFgSEzufE - transcript (automated).pdf","Transcript Link")</f>
        <v>Transcript Link</v>
      </c>
    </row>
    <row r="1272" ht="165" spans="1:13">
      <c r="A1272" s="1" t="s">
        <v>6025</v>
      </c>
      <c r="B1272" s="1" t="s">
        <v>13</v>
      </c>
      <c r="C1272" s="4" t="s">
        <v>6030</v>
      </c>
      <c r="D1272" s="1" t="s">
        <v>5930</v>
      </c>
      <c r="E1272" s="1" t="s">
        <v>6031</v>
      </c>
      <c r="F1272" s="4" t="s">
        <v>17</v>
      </c>
      <c r="G1272" s="1" t="s">
        <v>18</v>
      </c>
      <c r="H1272" s="1" t="s">
        <v>19</v>
      </c>
      <c r="I1272" s="1" t="s">
        <v>20</v>
      </c>
      <c r="J1272" s="1" t="s">
        <v>6032</v>
      </c>
      <c r="K1272" s="1" t="s">
        <v>22</v>
      </c>
      <c r="L1272" s="1" t="str">
        <f>HYPERLINK("https://files.afu.se/Downloads/Transcripts/0%20-%20Government/USA%20-%20NASA/2017 02 09 - NASA - Space Station Crew Member Discusses Life in Space with Texas Students_9XtVQn9kcYM - transcript (automated).pdf","Transcript Link")</f>
        <v>Transcript Link</v>
      </c>
      <c r="M1272" s="2" t="str">
        <f>HYPERLINK("https://files.afu.se/Downloads/Transcripts/0%20-%20Government/USA%20-%20NASA/2017 02 09 - NASA - Space Station Crew Member Discusses Life in Space with Texas Students_9XtVQn9kcYM - transcript (automated).pdf","Transcript Link")</f>
        <v>Transcript Link</v>
      </c>
    </row>
    <row r="1273" ht="165" spans="1:13">
      <c r="A1273" s="1" t="s">
        <v>6033</v>
      </c>
      <c r="B1273" s="1" t="s">
        <v>13</v>
      </c>
      <c r="C1273" s="4" t="s">
        <v>6034</v>
      </c>
      <c r="D1273" s="1" t="s">
        <v>6035</v>
      </c>
      <c r="E1273" s="1" t="s">
        <v>6036</v>
      </c>
      <c r="F1273" s="4" t="s">
        <v>17</v>
      </c>
      <c r="G1273" s="1" t="s">
        <v>18</v>
      </c>
      <c r="H1273" s="1" t="s">
        <v>19</v>
      </c>
      <c r="I1273" s="1" t="s">
        <v>20</v>
      </c>
      <c r="J1273" s="1" t="s">
        <v>6037</v>
      </c>
      <c r="K1273" s="1" t="s">
        <v>22</v>
      </c>
      <c r="L1273" s="1" t="str">
        <f>HYPERLINK("https://files.afu.se/Downloads/Transcripts/0%20-%20Government/USA%20-%20NASA/2017 02 07 - NASA - NASA's Michoud Assembly Facility Impacted by Tornado_qIGt7mFk7as - transcript (automated).pdf","Transcript Link")</f>
        <v>Transcript Link</v>
      </c>
      <c r="M1273" s="2" t="str">
        <f>HYPERLINK("https://files.afu.se/Downloads/Transcripts/0%20-%20Government/USA%20-%20NASA/2017 02 07 - NASA - NASA's Michoud Assembly Facility Impacted by Tornado_qIGt7mFk7as - transcript (automated).pdf","Transcript Link")</f>
        <v>Transcript Link</v>
      </c>
    </row>
    <row r="1274" ht="165" spans="1:13">
      <c r="A1274" s="1" t="s">
        <v>6033</v>
      </c>
      <c r="B1274" s="1" t="s">
        <v>13</v>
      </c>
      <c r="C1274" s="4" t="s">
        <v>6038</v>
      </c>
      <c r="D1274" s="1" t="s">
        <v>6039</v>
      </c>
      <c r="E1274" s="1" t="s">
        <v>6040</v>
      </c>
      <c r="F1274" s="4" t="s">
        <v>17</v>
      </c>
      <c r="G1274" s="1" t="s">
        <v>18</v>
      </c>
      <c r="H1274" s="1" t="s">
        <v>19</v>
      </c>
      <c r="I1274" s="1" t="s">
        <v>20</v>
      </c>
      <c r="J1274" s="1" t="s">
        <v>6041</v>
      </c>
      <c r="K1274" s="1" t="s">
        <v>22</v>
      </c>
      <c r="L1274" s="1" t="str">
        <f>HYPERLINK("https://files.afu.se/Downloads/Transcripts/0%20-%20Government/USA%20-%20NASA/2017 02 07 - NASA - Space Station Crew Member Discusses Life in Space and Role Model Responsibilities_puXeQa8LFHM - transcript (automated).pdf","Transcript Link")</f>
        <v>Transcript Link</v>
      </c>
      <c r="M1274" s="2" t="str">
        <f>HYPERLINK("https://files.afu.se/Downloads/Transcripts/0%20-%20Government/USA%20-%20NASA/2017 02 07 - NASA - Space Station Crew Member Discusses Life in Space and Role Model Responsibilities_puXeQa8LFHM - transcript (automated).pdf","Transcript Link")</f>
        <v>Transcript Link</v>
      </c>
    </row>
    <row r="1275" ht="180" spans="1:13">
      <c r="A1275" s="1" t="s">
        <v>6042</v>
      </c>
      <c r="B1275" s="1" t="s">
        <v>13</v>
      </c>
      <c r="C1275" s="4" t="s">
        <v>6043</v>
      </c>
      <c r="D1275" s="1" t="s">
        <v>6044</v>
      </c>
      <c r="E1275" s="1" t="s">
        <v>6045</v>
      </c>
      <c r="F1275" s="4" t="s">
        <v>17</v>
      </c>
      <c r="G1275" s="1" t="s">
        <v>18</v>
      </c>
      <c r="H1275" s="1" t="s">
        <v>19</v>
      </c>
      <c r="I1275" s="1" t="s">
        <v>20</v>
      </c>
      <c r="J1275" s="1" t="s">
        <v>6046</v>
      </c>
      <c r="K1275" s="1" t="s">
        <v>22</v>
      </c>
      <c r="L1275" s="1" t="str">
        <f>HYPERLINK("https://files.afu.se/Downloads/Transcripts/0%20-%20Government/USA%20-%20NASA/2017 02 03 - NASA - Juno’s Latest Close Flyby of Jupiter on This Week @NASA – February 3, 2017_xfL2FVHoeZQ - transcript (automated).pdf","Transcript Link")</f>
        <v>Transcript Link</v>
      </c>
      <c r="M1275" s="2" t="str">
        <f>HYPERLINK("https://files.afu.se/Downloads/Transcripts/0%20-%20Government/USA%20-%20NASA/2017 02 03 - NASA - Juno’s Latest Close Flyby of Jupiter on This Week @NASA – February 3, 2017_xfL2FVHoeZQ - transcript (automated).pdf","Transcript Link")</f>
        <v>Transcript Link</v>
      </c>
    </row>
    <row r="1276" ht="165" spans="1:13">
      <c r="A1276" s="1" t="s">
        <v>6047</v>
      </c>
      <c r="B1276" s="1" t="s">
        <v>13</v>
      </c>
      <c r="C1276" s="4" t="s">
        <v>6048</v>
      </c>
      <c r="D1276" s="1" t="s">
        <v>6049</v>
      </c>
      <c r="E1276" s="1" t="s">
        <v>6050</v>
      </c>
      <c r="F1276" s="4" t="s">
        <v>17</v>
      </c>
      <c r="G1276" s="1" t="s">
        <v>18</v>
      </c>
      <c r="H1276" s="1" t="s">
        <v>19</v>
      </c>
      <c r="I1276" s="1" t="s">
        <v>20</v>
      </c>
      <c r="J1276" s="1" t="s">
        <v>6051</v>
      </c>
      <c r="K1276" s="1" t="s">
        <v>22</v>
      </c>
      <c r="L1276" s="1" t="str">
        <f>HYPERLINK("https://files.afu.se/Downloads/Transcripts/0%20-%20Government/USA%20-%20NASA/2017 02 01 - NASA - Space Station Crew Discusses Life in Space with Social Media Attendees_Jp4ZsNobZ2o - transcript (automated).pdf","Transcript Link")</f>
        <v>Transcript Link</v>
      </c>
      <c r="M1276" s="2" t="str">
        <f>HYPERLINK("https://files.afu.se/Downloads/Transcripts/0%20-%20Government/USA%20-%20NASA/2017 02 01 - NASA - Space Station Crew Discusses Life in Space with Social Media Attendees_Jp4ZsNobZ2o - transcript (automated).pdf","Transcript Link")</f>
        <v>Transcript Link</v>
      </c>
    </row>
    <row r="1277" ht="165" spans="1:13">
      <c r="A1277" s="1" t="s">
        <v>6052</v>
      </c>
      <c r="B1277" s="1" t="s">
        <v>13</v>
      </c>
      <c r="C1277" s="4" t="s">
        <v>6053</v>
      </c>
      <c r="D1277" s="1" t="s">
        <v>6054</v>
      </c>
      <c r="E1277" s="1" t="s">
        <v>6055</v>
      </c>
      <c r="F1277" s="4" t="s">
        <v>17</v>
      </c>
      <c r="G1277" s="1" t="s">
        <v>18</v>
      </c>
      <c r="H1277" s="1" t="s">
        <v>19</v>
      </c>
      <c r="I1277" s="1" t="s">
        <v>20</v>
      </c>
      <c r="J1277" s="1" t="s">
        <v>6056</v>
      </c>
      <c r="K1277" s="1" t="s">
        <v>22</v>
      </c>
      <c r="L1277" s="1" t="str">
        <f>HYPERLINK("https://files.afu.se/Downloads/Transcripts/0%20-%20Government/USA%20-%20NASA/2017 01 30 - NASA - NASA's Day of Remembrance_6U5N_uEn2Ko - transcript (automated).pdf","Transcript Link")</f>
        <v>Transcript Link</v>
      </c>
      <c r="M1277" s="2" t="str">
        <f>HYPERLINK("https://files.afu.se/Downloads/Transcripts/0%20-%20Government/USA%20-%20NASA/2017 01 30 - NASA - NASA's Day of Remembrance_6U5N_uEn2Ko - transcript (automated).pdf","Transcript Link")</f>
        <v>Transcript Link</v>
      </c>
    </row>
    <row r="1278" ht="165" spans="1:13">
      <c r="A1278" s="1" t="s">
        <v>6057</v>
      </c>
      <c r="B1278" s="1" t="s">
        <v>13</v>
      </c>
      <c r="C1278" s="4" t="s">
        <v>6058</v>
      </c>
      <c r="D1278" s="1" t="s">
        <v>6059</v>
      </c>
      <c r="E1278" s="1" t="s">
        <v>6060</v>
      </c>
      <c r="F1278" s="4" t="s">
        <v>17</v>
      </c>
      <c r="G1278" s="1" t="s">
        <v>18</v>
      </c>
      <c r="H1278" s="1" t="s">
        <v>19</v>
      </c>
      <c r="I1278" s="1" t="s">
        <v>20</v>
      </c>
      <c r="J1278" s="1" t="s">
        <v>6061</v>
      </c>
      <c r="K1278" s="1" t="s">
        <v>22</v>
      </c>
      <c r="L1278" s="1" t="str">
        <f>HYPERLINK("https://files.afu.se/Downloads/Transcripts/0%20-%20Government/USA%20-%20NASA/2017 01 27 - NASA - Day of Remembrance -- Apollo 1_7X1qZmmP2mw - transcript (automated).pdf","Transcript Link")</f>
        <v>Transcript Link</v>
      </c>
      <c r="M1278" s="2" t="str">
        <f>HYPERLINK("https://files.afu.se/Downloads/Transcripts/0%20-%20Government/USA%20-%20NASA/2017 01 27 - NASA - Day of Remembrance -- Apollo 1_7X1qZmmP2mw - transcript (automated).pdf","Transcript Link")</f>
        <v>Transcript Link</v>
      </c>
    </row>
    <row r="1279" ht="165" spans="1:13">
      <c r="A1279" s="1" t="s">
        <v>6057</v>
      </c>
      <c r="B1279" s="1" t="s">
        <v>13</v>
      </c>
      <c r="C1279" s="4" t="s">
        <v>6062</v>
      </c>
      <c r="D1279" s="1" t="s">
        <v>6063</v>
      </c>
      <c r="E1279" s="1" t="s">
        <v>6064</v>
      </c>
      <c r="F1279" s="4" t="s">
        <v>17</v>
      </c>
      <c r="G1279" s="1" t="s">
        <v>18</v>
      </c>
      <c r="H1279" s="1" t="s">
        <v>19</v>
      </c>
      <c r="I1279" s="1" t="s">
        <v>20</v>
      </c>
      <c r="J1279" s="1" t="s">
        <v>6065</v>
      </c>
      <c r="K1279" s="1" t="s">
        <v>22</v>
      </c>
      <c r="L1279" s="1" t="str">
        <f>HYPERLINK("https://files.afu.se/Downloads/Transcripts/0%20-%20Government/USA%20-%20NASA/2017 01 27 - NASA - New Suits for Commercial Crew Astronauts on This Week @NASA – January 27, 2017_mfjx2ZN6vU4 - transcript (automated).pdf","Transcript Link")</f>
        <v>Transcript Link</v>
      </c>
      <c r="M1279" s="2" t="str">
        <f>HYPERLINK("https://files.afu.se/Downloads/Transcripts/0%20-%20Government/USA%20-%20NASA/2017 01 27 - NASA - New Suits for Commercial Crew Astronauts on This Week @NASA – January 27, 2017_mfjx2ZN6vU4 - transcript (automated).pdf","Transcript Link")</f>
        <v>Transcript Link</v>
      </c>
    </row>
    <row r="1280" ht="165" spans="1:13">
      <c r="A1280" s="1" t="s">
        <v>6057</v>
      </c>
      <c r="B1280" s="1" t="s">
        <v>13</v>
      </c>
      <c r="C1280" s="4" t="s">
        <v>6066</v>
      </c>
      <c r="D1280" s="1" t="s">
        <v>6067</v>
      </c>
      <c r="E1280" s="1" t="s">
        <v>6068</v>
      </c>
      <c r="F1280" s="4" t="s">
        <v>17</v>
      </c>
      <c r="G1280" s="1" t="s">
        <v>18</v>
      </c>
      <c r="H1280" s="1" t="s">
        <v>19</v>
      </c>
      <c r="I1280" s="1" t="s">
        <v>20</v>
      </c>
      <c r="J1280" s="1" t="s">
        <v>6069</v>
      </c>
      <c r="K1280" s="1" t="s">
        <v>22</v>
      </c>
      <c r="L1280" s="1" t="str">
        <f>HYPERLINK("https://files.afu.se/Downloads/Transcripts/0%20-%20Government/USA%20-%20NASA/2017 01 27 - NASA - New Apollo 1 Tribute Opened at Kennedy Space Center Visitor Complex_CRXnExLzapA - transcript (automated).pdf","Transcript Link")</f>
        <v>Transcript Link</v>
      </c>
      <c r="M1280" s="2" t="str">
        <f>HYPERLINK("https://files.afu.se/Downloads/Transcripts/0%20-%20Government/USA%20-%20NASA/2017 01 27 - NASA - New Apollo 1 Tribute Opened at Kennedy Space Center Visitor Complex_CRXnExLzapA - transcript (automated).pdf","Transcript Link")</f>
        <v>Transcript Link</v>
      </c>
    </row>
    <row r="1281" ht="165" spans="1:13">
      <c r="A1281" s="1" t="s">
        <v>6057</v>
      </c>
      <c r="B1281" s="1" t="s">
        <v>13</v>
      </c>
      <c r="C1281" s="4" t="s">
        <v>6070</v>
      </c>
      <c r="D1281" s="1" t="s">
        <v>6071</v>
      </c>
      <c r="E1281" s="1" t="s">
        <v>6072</v>
      </c>
      <c r="F1281" s="4" t="s">
        <v>17</v>
      </c>
      <c r="G1281" s="1" t="s">
        <v>18</v>
      </c>
      <c r="H1281" s="1" t="s">
        <v>19</v>
      </c>
      <c r="I1281" s="1" t="s">
        <v>20</v>
      </c>
      <c r="J1281" s="1" t="s">
        <v>6073</v>
      </c>
      <c r="K1281" s="1" t="s">
        <v>22</v>
      </c>
      <c r="L1281" s="1" t="str">
        <f>HYPERLINK("https://files.afu.se/Downloads/Transcripts/0%20-%20Government/USA%20-%20NASA/2017 01 27 - NASA - Japanese Cargo Ship Departs the ISS_Aw6MD_KSQDU - transcript (automated).pdf","Transcript Link")</f>
        <v>Transcript Link</v>
      </c>
      <c r="M1281" s="2" t="str">
        <f>HYPERLINK("https://files.afu.se/Downloads/Transcripts/0%20-%20Government/USA%20-%20NASA/2017 01 27 - NASA - Japanese Cargo Ship Departs the ISS_Aw6MD_KSQDU - transcript (automated).pdf","Transcript Link")</f>
        <v>Transcript Link</v>
      </c>
    </row>
    <row r="1282" ht="165" spans="1:13">
      <c r="A1282" s="1" t="s">
        <v>6074</v>
      </c>
      <c r="B1282" s="1" t="s">
        <v>13</v>
      </c>
      <c r="C1282" s="4" t="s">
        <v>6075</v>
      </c>
      <c r="D1282" s="1" t="s">
        <v>6076</v>
      </c>
      <c r="E1282" s="1" t="s">
        <v>6077</v>
      </c>
      <c r="F1282" s="4" t="s">
        <v>17</v>
      </c>
      <c r="G1282" s="1" t="s">
        <v>18</v>
      </c>
      <c r="H1282" s="1" t="s">
        <v>19</v>
      </c>
      <c r="I1282" s="1" t="s">
        <v>20</v>
      </c>
      <c r="J1282" s="1" t="s">
        <v>6078</v>
      </c>
      <c r="K1282" s="1" t="s">
        <v>22</v>
      </c>
      <c r="L1282" s="1" t="str">
        <f>HYPERLINK("https://files.afu.se/Downloads/Transcripts/0%20-%20Government/USA%20-%20NASA/2017 01 26 - NASA - Space Station Commander Talks with Oklahoma Students_M0v9Vtu3KII - transcript (automated).pdf","Transcript Link")</f>
        <v>Transcript Link</v>
      </c>
      <c r="M1282" s="2" t="str">
        <f>HYPERLINK("https://files.afu.se/Downloads/Transcripts/0%20-%20Government/USA%20-%20NASA/2017 01 26 - NASA - Space Station Commander Talks with Oklahoma Students_M0v9Vtu3KII - transcript (automated).pdf","Transcript Link")</f>
        <v>Transcript Link</v>
      </c>
    </row>
    <row r="1283" ht="165" spans="1:13">
      <c r="A1283" s="1" t="s">
        <v>6074</v>
      </c>
      <c r="B1283" s="1" t="s">
        <v>13</v>
      </c>
      <c r="C1283" s="4" t="s">
        <v>6079</v>
      </c>
      <c r="D1283" s="1" t="s">
        <v>6080</v>
      </c>
      <c r="E1283" s="1" t="s">
        <v>6081</v>
      </c>
      <c r="F1283" s="4" t="s">
        <v>17</v>
      </c>
      <c r="G1283" s="1" t="s">
        <v>18</v>
      </c>
      <c r="H1283" s="1" t="s">
        <v>19</v>
      </c>
      <c r="I1283" s="1" t="s">
        <v>20</v>
      </c>
      <c r="J1283" s="1" t="s">
        <v>6082</v>
      </c>
      <c r="K1283" s="1" t="s">
        <v>22</v>
      </c>
      <c r="L1283" s="1" t="str">
        <f>HYPERLINK("https://files.afu.se/Downloads/Transcripts/0%20-%20Government/USA%20-%20NASA/2017 01 26 - NASA - Kennedy Space Center Pays Tribute to NASA’s Fallen Heroes_v2cmgdBtkeA - transcript (automated).pdf","Transcript Link")</f>
        <v>Transcript Link</v>
      </c>
      <c r="M1283" s="2" t="str">
        <f>HYPERLINK("https://files.afu.se/Downloads/Transcripts/0%20-%20Government/USA%20-%20NASA/2017 01 26 - NASA - Kennedy Space Center Pays Tribute to NASA’s Fallen Heroes_v2cmgdBtkeA - transcript (automated).pdf","Transcript Link")</f>
        <v>Transcript Link</v>
      </c>
    </row>
    <row r="1284" ht="165" spans="1:13">
      <c r="A1284" s="1" t="s">
        <v>6083</v>
      </c>
      <c r="B1284" s="1" t="s">
        <v>13</v>
      </c>
      <c r="C1284" s="4" t="s">
        <v>6084</v>
      </c>
      <c r="D1284" s="1" t="s">
        <v>6085</v>
      </c>
      <c r="E1284" s="1" t="s">
        <v>6086</v>
      </c>
      <c r="F1284" s="4" t="s">
        <v>17</v>
      </c>
      <c r="G1284" s="1" t="s">
        <v>18</v>
      </c>
      <c r="H1284" s="1" t="s">
        <v>19</v>
      </c>
      <c r="I1284" s="1" t="s">
        <v>20</v>
      </c>
      <c r="J1284" s="1" t="s">
        <v>6087</v>
      </c>
      <c r="K1284" s="1" t="s">
        <v>22</v>
      </c>
      <c r="L1284" s="1" t="str">
        <f>HYPERLINK("https://files.afu.se/Downloads/Transcripts/0%20-%20Government/USA%20-%20NASA/2017 01 25 - NASA - NASA Hosts News Conference, Interviews with Next Space Station Crew_Zag-n8Iw5yQ - transcript (automated).pdf","Transcript Link")</f>
        <v>Transcript Link</v>
      </c>
      <c r="M1284" s="2" t="str">
        <f>HYPERLINK("https://files.afu.se/Downloads/Transcripts/0%20-%20Government/USA%20-%20NASA/2017 01 25 - NASA - NASA Hosts News Conference, Interviews with Next Space Station Crew_Zag-n8Iw5yQ - transcript (automated).pdf","Transcript Link")</f>
        <v>Transcript Link</v>
      </c>
    </row>
    <row r="1285" ht="165" spans="1:13">
      <c r="A1285" s="1" t="s">
        <v>6083</v>
      </c>
      <c r="B1285" s="1" t="s">
        <v>13</v>
      </c>
      <c r="C1285" s="4" t="s">
        <v>6088</v>
      </c>
      <c r="D1285" s="1" t="s">
        <v>6089</v>
      </c>
      <c r="E1285" s="1" t="s">
        <v>6090</v>
      </c>
      <c r="F1285" s="4" t="s">
        <v>17</v>
      </c>
      <c r="G1285" s="1" t="s">
        <v>18</v>
      </c>
      <c r="H1285" s="1" t="s">
        <v>19</v>
      </c>
      <c r="I1285" s="1" t="s">
        <v>20</v>
      </c>
      <c r="J1285" s="1" t="s">
        <v>6091</v>
      </c>
      <c r="K1285" s="1" t="s">
        <v>22</v>
      </c>
      <c r="L1285" s="1" t="str">
        <f>HYPERLINK("https://files.afu.se/Downloads/Transcripts/0%20-%20Government/USA%20-%20NASA/2017 01 25 - NASA - STEM in 30 - The Biology of Long-Term Spaceflight_tBSMsI4bsmo - transcript (automated).pdf","Transcript Link")</f>
        <v>Transcript Link</v>
      </c>
      <c r="M1285" s="2" t="str">
        <f>HYPERLINK("https://files.afu.se/Downloads/Transcripts/0%20-%20Government/USA%20-%20NASA/2017 01 25 - NASA - STEM in 30 - The Biology of Long-Term Spaceflight_tBSMsI4bsmo - transcript (automated).pdf","Transcript Link")</f>
        <v>Transcript Link</v>
      </c>
    </row>
    <row r="1286" ht="165" spans="1:13">
      <c r="A1286" s="1" t="s">
        <v>6083</v>
      </c>
      <c r="B1286" s="1" t="s">
        <v>13</v>
      </c>
      <c r="C1286" s="4" t="s">
        <v>6092</v>
      </c>
      <c r="D1286" s="1" t="s">
        <v>6093</v>
      </c>
      <c r="E1286" s="1" t="s">
        <v>6094</v>
      </c>
      <c r="F1286" s="4" t="s">
        <v>17</v>
      </c>
      <c r="G1286" s="1" t="s">
        <v>18</v>
      </c>
      <c r="H1286" s="1" t="s">
        <v>19</v>
      </c>
      <c r="I1286" s="1" t="s">
        <v>20</v>
      </c>
      <c r="J1286" s="1" t="s">
        <v>6095</v>
      </c>
      <c r="K1286" s="1" t="s">
        <v>22</v>
      </c>
      <c r="L1286" s="1" t="str">
        <f>HYPERLINK("https://files.afu.se/Downloads/Transcripts/0%20-%20Government/USA%20-%20NASA/2017 01 25 - NASA - NASA Television Provides Coverage of Service Celebrating Life, Legacy of Eugene Cernan_Cp4aEsSB7K0 - transcript (automated).pdf","Transcript Link")</f>
        <v>Transcript Link</v>
      </c>
      <c r="M1286" s="2" t="str">
        <f>HYPERLINK("https://files.afu.se/Downloads/Transcripts/0%20-%20Government/USA%20-%20NASA/2017 01 25 - NASA - NASA Television Provides Coverage of Service Celebrating Life, Legacy of Eugene Cernan_Cp4aEsSB7K0 - transcript (automated).pdf","Transcript Link")</f>
        <v>Transcript Link</v>
      </c>
    </row>
    <row r="1287" ht="165" spans="1:13">
      <c r="A1287" s="1" t="s">
        <v>6096</v>
      </c>
      <c r="B1287" s="1" t="s">
        <v>13</v>
      </c>
      <c r="C1287" s="4" t="s">
        <v>6097</v>
      </c>
      <c r="D1287" s="1" t="s">
        <v>6098</v>
      </c>
      <c r="E1287" s="1" t="s">
        <v>6099</v>
      </c>
      <c r="F1287" s="4" t="s">
        <v>17</v>
      </c>
      <c r="G1287" s="1" t="s">
        <v>18</v>
      </c>
      <c r="H1287" s="1" t="s">
        <v>19</v>
      </c>
      <c r="I1287" s="1" t="s">
        <v>20</v>
      </c>
      <c r="J1287" s="1" t="s">
        <v>6100</v>
      </c>
      <c r="K1287" s="1" t="s">
        <v>22</v>
      </c>
      <c r="L1287" s="1" t="str">
        <f>HYPERLINK("https://files.afu.se/Downloads/Transcripts/0%20-%20Government/USA%20-%20NASA/2017 01 24 - NASA - Space Station Crew Member Discusses Life in Space with European Students_ZGc91NuZiUU - transcript (automated).pdf","Transcript Link")</f>
        <v>Transcript Link</v>
      </c>
      <c r="M1287" s="2" t="str">
        <f>HYPERLINK("https://files.afu.se/Downloads/Transcripts/0%20-%20Government/USA%20-%20NASA/2017 01 24 - NASA - Space Station Crew Member Discusses Life in Space with European Students_ZGc91NuZiUU - transcript (automated).pdf","Transcript Link")</f>
        <v>Transcript Link</v>
      </c>
    </row>
    <row r="1288" ht="165" spans="1:13">
      <c r="A1288" s="1" t="s">
        <v>6101</v>
      </c>
      <c r="B1288" s="1" t="s">
        <v>13</v>
      </c>
      <c r="C1288" s="4" t="s">
        <v>6102</v>
      </c>
      <c r="D1288" s="1" t="s">
        <v>6103</v>
      </c>
      <c r="E1288" s="1" t="s">
        <v>6104</v>
      </c>
      <c r="F1288" s="4" t="s">
        <v>17</v>
      </c>
      <c r="G1288" s="1" t="s">
        <v>18</v>
      </c>
      <c r="H1288" s="1" t="s">
        <v>19</v>
      </c>
      <c r="I1288" s="1" t="s">
        <v>20</v>
      </c>
      <c r="J1288" s="1" t="s">
        <v>6105</v>
      </c>
      <c r="K1288" s="1" t="s">
        <v>22</v>
      </c>
      <c r="L1288" s="1" t="str">
        <f>HYPERLINK("https://files.afu.se/Downloads/Transcripts/0%20-%20Government/USA%20-%20NASA/2017 01 19 - NASA - Warmest Global Temperature on Record on This Week @NASA – January 20, 2017_mD-I6Gq6eZc - transcript (automated).pdf","Transcript Link")</f>
        <v>Transcript Link</v>
      </c>
      <c r="M1288" s="2" t="str">
        <f>HYPERLINK("https://files.afu.se/Downloads/Transcripts/0%20-%20Government/USA%20-%20NASA/2017 01 19 - NASA - Warmest Global Temperature on Record on This Week @NASA – January 20, 2017_mD-I6Gq6eZc - transcript (automated).pdf","Transcript Link")</f>
        <v>Transcript Link</v>
      </c>
    </row>
    <row r="1289" ht="165" spans="1:13">
      <c r="A1289" s="1" t="s">
        <v>6101</v>
      </c>
      <c r="B1289" s="1" t="s">
        <v>13</v>
      </c>
      <c r="C1289" s="4" t="s">
        <v>6106</v>
      </c>
      <c r="D1289" s="1" t="s">
        <v>6107</v>
      </c>
      <c r="E1289" s="1" t="s">
        <v>6108</v>
      </c>
      <c r="F1289" s="4" t="s">
        <v>17</v>
      </c>
      <c r="G1289" s="1" t="s">
        <v>18</v>
      </c>
      <c r="H1289" s="1" t="s">
        <v>19</v>
      </c>
      <c r="I1289" s="1" t="s">
        <v>20</v>
      </c>
      <c r="J1289" s="1" t="s">
        <v>6109</v>
      </c>
      <c r="K1289" s="1" t="s">
        <v>22</v>
      </c>
      <c r="L1289" s="1" t="str">
        <f>HYPERLINK("https://files.afu.se/Downloads/Transcripts/0%20-%20Government/USA%20-%20NASA/2017 01 19 - NASA - Space Station Crew Member Discusses Life in Space with Iowa Media_TdvND-cYINQ - transcript (automated).pdf","Transcript Link")</f>
        <v>Transcript Link</v>
      </c>
      <c r="M1289" s="2" t="str">
        <f>HYPERLINK("https://files.afu.se/Downloads/Transcripts/0%20-%20Government/USA%20-%20NASA/2017 01 19 - NASA - Space Station Crew Member Discusses Life in Space with Iowa Media_TdvND-cYINQ - transcript (automated).pdf","Transcript Link")</f>
        <v>Transcript Link</v>
      </c>
    </row>
    <row r="1290" ht="165" spans="1:13">
      <c r="A1290" s="1" t="s">
        <v>6110</v>
      </c>
      <c r="B1290" s="1" t="s">
        <v>13</v>
      </c>
      <c r="C1290" s="4" t="s">
        <v>6111</v>
      </c>
      <c r="D1290" s="1" t="s">
        <v>5650</v>
      </c>
      <c r="E1290" s="1" t="s">
        <v>6112</v>
      </c>
      <c r="F1290" s="4" t="s">
        <v>17</v>
      </c>
      <c r="G1290" s="1" t="s">
        <v>18</v>
      </c>
      <c r="H1290" s="1" t="s">
        <v>19</v>
      </c>
      <c r="I1290" s="1" t="s">
        <v>20</v>
      </c>
      <c r="J1290" s="1" t="s">
        <v>6113</v>
      </c>
      <c r="K1290" s="1" t="s">
        <v>22</v>
      </c>
      <c r="L1290" s="1" t="str">
        <f>HYPERLINK("https://files.afu.se/Downloads/Transcripts/0%20-%20Government/USA%20-%20NASA/2017 01 18 - NASA - Space Station Crew Member Discusses Life in Space with French Media_zbODBcnVQ7w - transcript (automated).pdf","Transcript Link")</f>
        <v>Transcript Link</v>
      </c>
      <c r="M1290" s="2" t="str">
        <f>HYPERLINK("https://files.afu.se/Downloads/Transcripts/0%20-%20Government/USA%20-%20NASA/2017 01 18 - NASA - Space Station Crew Member Discusses Life in Space with French Media_zbODBcnVQ7w - transcript (automated).pdf","Transcript Link")</f>
        <v>Transcript Link</v>
      </c>
    </row>
    <row r="1291" ht="165" spans="1:13">
      <c r="A1291" s="1" t="s">
        <v>6114</v>
      </c>
      <c r="B1291" s="1" t="s">
        <v>13</v>
      </c>
      <c r="C1291" s="4" t="s">
        <v>6115</v>
      </c>
      <c r="D1291" s="1" t="s">
        <v>6116</v>
      </c>
      <c r="E1291" s="1" t="s">
        <v>6117</v>
      </c>
      <c r="F1291" s="4" t="s">
        <v>17</v>
      </c>
      <c r="G1291" s="1" t="s">
        <v>18</v>
      </c>
      <c r="H1291" s="1" t="s">
        <v>19</v>
      </c>
      <c r="I1291" s="1" t="s">
        <v>20</v>
      </c>
      <c r="J1291" s="1" t="s">
        <v>6118</v>
      </c>
      <c r="K1291" s="1" t="s">
        <v>22</v>
      </c>
      <c r="L1291" s="1" t="str">
        <f>HYPERLINK("https://files.afu.se/Downloads/Transcripts/0%20-%20Government/USA%20-%20NASA/2017 01 17 - NASA - NASA Administrator Bolden Remembers Gene Cernan_zhsH3MB11Vg - transcript (automated).pdf","Transcript Link")</f>
        <v>Transcript Link</v>
      </c>
      <c r="M1291" s="2" t="str">
        <f>HYPERLINK("https://files.afu.se/Downloads/Transcripts/0%20-%20Government/USA%20-%20NASA/2017 01 17 - NASA - NASA Administrator Bolden Remembers Gene Cernan_zhsH3MB11Vg - transcript (automated).pdf","Transcript Link")</f>
        <v>Transcript Link</v>
      </c>
    </row>
    <row r="1292" ht="409.5" spans="1:13">
      <c r="A1292" s="1" t="s">
        <v>6119</v>
      </c>
      <c r="B1292" s="1" t="s">
        <v>13</v>
      </c>
      <c r="C1292" s="4" t="s">
        <v>6120</v>
      </c>
      <c r="D1292" s="1" t="s">
        <v>6121</v>
      </c>
      <c r="E1292" s="1" t="s">
        <v>6122</v>
      </c>
      <c r="F1292" s="4" t="s">
        <v>17</v>
      </c>
      <c r="G1292" s="1" t="s">
        <v>18</v>
      </c>
      <c r="H1292" s="1" t="s">
        <v>19</v>
      </c>
      <c r="I1292" s="1" t="s">
        <v>20</v>
      </c>
      <c r="J1292" s="1" t="s">
        <v>6123</v>
      </c>
      <c r="K1292" s="1" t="s">
        <v>22</v>
      </c>
      <c r="L1292" s="1" t="str">
        <f>HYPERLINK("https://files.afu.se/Downloads/Transcripts/0%20-%20Government/USA%20-%20NASA/2017 01 16 - NASA - NASA Reflects on Legacy of Gene Cernan, Last Man to Walk on Moon_PPgc0MbMB84 - transcript (automated).pdf","Transcript Link")</f>
        <v>Transcript Link</v>
      </c>
      <c r="M1292" s="2" t="str">
        <f>HYPERLINK("https://files.afu.se/Downloads/Transcripts/0%20-%20Government/USA%20-%20NASA/2017 01 16 - NASA - NASA Reflects on Legacy of Gene Cernan, Last Man to Walk on Moon_PPgc0MbMB84 - transcript (automated).pdf","Transcript Link")</f>
        <v>Transcript Link</v>
      </c>
    </row>
    <row r="1293" ht="225" spans="1:13">
      <c r="A1293" s="1" t="s">
        <v>6124</v>
      </c>
      <c r="B1293" s="1" t="s">
        <v>13</v>
      </c>
      <c r="C1293" s="4" t="s">
        <v>6125</v>
      </c>
      <c r="D1293" s="1" t="s">
        <v>6126</v>
      </c>
      <c r="E1293" s="1" t="s">
        <v>6127</v>
      </c>
      <c r="F1293" s="4" t="s">
        <v>17</v>
      </c>
      <c r="G1293" s="1" t="s">
        <v>18</v>
      </c>
      <c r="H1293" s="1" t="s">
        <v>19</v>
      </c>
      <c r="I1293" s="1" t="s">
        <v>20</v>
      </c>
      <c r="J1293" s="1" t="s">
        <v>6128</v>
      </c>
      <c r="K1293" s="1" t="s">
        <v>22</v>
      </c>
      <c r="L1293" s="1" t="str">
        <f>HYPERLINK("https://files.afu.se/Downloads/Transcripts/0%20-%20Government/USA%20-%20NASA/2017 01 13 - NASA - Space Station Spacewalkers Continue Power Upgrades on Orbital Outpost_9lInMFHKlIM - transcript (automated).pdf","Transcript Link")</f>
        <v>Transcript Link</v>
      </c>
      <c r="M1293" s="2" t="str">
        <f>HYPERLINK("https://files.afu.se/Downloads/Transcripts/0%20-%20Government/USA%20-%20NASA/2017 01 13 - NASA - Space Station Spacewalkers Continue Power Upgrades on Orbital Outpost_9lInMFHKlIM - transcript (automated).pdf","Transcript Link")</f>
        <v>Transcript Link</v>
      </c>
    </row>
    <row r="1294" ht="165" spans="1:13">
      <c r="A1294" s="1" t="s">
        <v>6124</v>
      </c>
      <c r="B1294" s="1" t="s">
        <v>13</v>
      </c>
      <c r="C1294" s="4" t="s">
        <v>6129</v>
      </c>
      <c r="D1294" s="1" t="s">
        <v>6130</v>
      </c>
      <c r="E1294" s="1" t="s">
        <v>6131</v>
      </c>
      <c r="F1294" s="4" t="s">
        <v>17</v>
      </c>
      <c r="G1294" s="1" t="s">
        <v>18</v>
      </c>
      <c r="H1294" s="1" t="s">
        <v>19</v>
      </c>
      <c r="I1294" s="1" t="s">
        <v>20</v>
      </c>
      <c r="J1294" s="1" t="s">
        <v>6132</v>
      </c>
      <c r="K1294" s="1" t="s">
        <v>22</v>
      </c>
      <c r="L1294" s="1" t="str">
        <f>HYPERLINK("https://files.afu.se/Downloads/Transcripts/0%20-%20Government/USA%20-%20NASA/2017 01 13 - NASA - NASA Modern Figure  Lizalyn Smith_3DjWsQRoZ2g - transcript (automated).pdf","Transcript Link")</f>
        <v>Transcript Link</v>
      </c>
      <c r="M1294" s="2" t="str">
        <f>HYPERLINK("https://files.afu.se/Downloads/Transcripts/0%20-%20Government/USA%20-%20NASA/2017 01 13 - NASA - NASA Modern Figure  Lizalyn Smith_3DjWsQRoZ2g - transcript (automated).pdf","Transcript Link")</f>
        <v>Transcript Link</v>
      </c>
    </row>
    <row r="1295" ht="165" spans="1:13">
      <c r="A1295" s="1" t="s">
        <v>6124</v>
      </c>
      <c r="B1295" s="1" t="s">
        <v>13</v>
      </c>
      <c r="C1295" s="4" t="s">
        <v>6133</v>
      </c>
      <c r="D1295" s="1" t="s">
        <v>6134</v>
      </c>
      <c r="E1295" s="1" t="s">
        <v>6135</v>
      </c>
      <c r="F1295" s="4" t="s">
        <v>17</v>
      </c>
      <c r="G1295" s="1" t="s">
        <v>18</v>
      </c>
      <c r="H1295" s="1" t="s">
        <v>19</v>
      </c>
      <c r="I1295" s="1" t="s">
        <v>20</v>
      </c>
      <c r="J1295" s="1" t="s">
        <v>6136</v>
      </c>
      <c r="K1295" s="1" t="s">
        <v>22</v>
      </c>
      <c r="L1295" s="1" t="str">
        <f>HYPERLINK("https://files.afu.se/Downloads/Transcripts/0%20-%20Government/USA%20-%20NASA/2017 01 13 - NASA - Another Powerful Spacewalk on This Week @NASA – January 13, 2017_HfrAoR_xeTk - transcript (automated).pdf","Transcript Link")</f>
        <v>Transcript Link</v>
      </c>
      <c r="M1295" s="2" t="str">
        <f>HYPERLINK("https://files.afu.se/Downloads/Transcripts/0%20-%20Government/USA%20-%20NASA/2017 01 13 - NASA - Another Powerful Spacewalk on This Week @NASA – January 13, 2017_HfrAoR_xeTk - transcript (automated).pdf","Transcript Link")</f>
        <v>Transcript Link</v>
      </c>
    </row>
    <row r="1296" ht="165" spans="1:13">
      <c r="A1296" s="1" t="s">
        <v>6124</v>
      </c>
      <c r="B1296" s="1" t="s">
        <v>13</v>
      </c>
      <c r="C1296" s="4" t="s">
        <v>6137</v>
      </c>
      <c r="D1296" s="1" t="s">
        <v>6138</v>
      </c>
      <c r="E1296" s="1" t="s">
        <v>6139</v>
      </c>
      <c r="F1296" s="4" t="s">
        <v>17</v>
      </c>
      <c r="G1296" s="1" t="s">
        <v>18</v>
      </c>
      <c r="H1296" s="1" t="s">
        <v>19</v>
      </c>
      <c r="I1296" s="1" t="s">
        <v>20</v>
      </c>
      <c r="J1296" s="1" t="s">
        <v>6140</v>
      </c>
      <c r="K1296" s="1" t="s">
        <v>22</v>
      </c>
      <c r="L1296" s="1" t="str">
        <f>HYPERLINK("https://files.afu.se/Downloads/Transcripts/0%20-%20Government/USA%20-%20NASA/2017 01 13 - NASA - NASA Celebrates Martin Luther King, Jr. Day_ta907wQlllQ - transcript (automated).pdf","Transcript Link")</f>
        <v>Transcript Link</v>
      </c>
      <c r="M1296" s="2" t="str">
        <f>HYPERLINK("https://files.afu.se/Downloads/Transcripts/0%20-%20Government/USA%20-%20NASA/2017 01 13 - NASA - NASA Celebrates Martin Luther King, Jr. Day_ta907wQlllQ - transcript (automated).pdf","Transcript Link")</f>
        <v>Transcript Link</v>
      </c>
    </row>
    <row r="1297" ht="165" spans="1:13">
      <c r="A1297" s="1" t="s">
        <v>6124</v>
      </c>
      <c r="B1297" s="1" t="s">
        <v>13</v>
      </c>
      <c r="C1297" s="4" t="s">
        <v>6141</v>
      </c>
      <c r="D1297" s="1" t="s">
        <v>6142</v>
      </c>
      <c r="E1297" s="1" t="s">
        <v>6143</v>
      </c>
      <c r="F1297" s="4" t="s">
        <v>17</v>
      </c>
      <c r="G1297" s="1" t="s">
        <v>18</v>
      </c>
      <c r="H1297" s="1" t="s">
        <v>19</v>
      </c>
      <c r="I1297" s="1" t="s">
        <v>20</v>
      </c>
      <c r="J1297" s="1" t="s">
        <v>6144</v>
      </c>
      <c r="K1297" s="1" t="s">
        <v>22</v>
      </c>
      <c r="L1297" s="1" t="str">
        <f>HYPERLINK("https://files.afu.se/Downloads/Transcripts/0%20-%20Government/USA%20-%20NASA/2017 01 13 - NASA - NASA Modern Figure  Ruth Jones_b4n72ceDdVA - transcript (automated).pdf","Transcript Link")</f>
        <v>Transcript Link</v>
      </c>
      <c r="M1297" s="2" t="str">
        <f>HYPERLINK("https://files.afu.se/Downloads/Transcripts/0%20-%20Government/USA%20-%20NASA/2017 01 13 - NASA - NASA Modern Figure  Ruth Jones_b4n72ceDdVA - transcript (automated).pdf","Transcript Link")</f>
        <v>Transcript Link</v>
      </c>
    </row>
    <row r="1298" ht="165" spans="1:13">
      <c r="A1298" s="1" t="s">
        <v>6145</v>
      </c>
      <c r="B1298" s="1" t="s">
        <v>13</v>
      </c>
      <c r="C1298" s="4" t="s">
        <v>6146</v>
      </c>
      <c r="D1298" s="1" t="s">
        <v>6147</v>
      </c>
      <c r="E1298" s="1" t="s">
        <v>6148</v>
      </c>
      <c r="F1298" s="4" t="s">
        <v>17</v>
      </c>
      <c r="G1298" s="1" t="s">
        <v>18</v>
      </c>
      <c r="H1298" s="1" t="s">
        <v>19</v>
      </c>
      <c r="I1298" s="1" t="s">
        <v>20</v>
      </c>
      <c r="J1298" s="1" t="s">
        <v>6149</v>
      </c>
      <c r="K1298" s="1" t="s">
        <v>22</v>
      </c>
      <c r="L1298" s="1" t="str">
        <f>HYPERLINK("https://files.afu.se/Downloads/Transcripts/0%20-%20Government/USA%20-%20NASA/2017 01 12 - NASA - Charles Bolden  Past 8 Years_Uw8E26uS6Xs - transcript (automated).pdf","Transcript Link")</f>
        <v>Transcript Link</v>
      </c>
      <c r="M1298" s="2" t="str">
        <f>HYPERLINK("https://files.afu.se/Downloads/Transcripts/0%20-%20Government/USA%20-%20NASA/2017 01 12 - NASA - Charles Bolden  Past 8 Years_Uw8E26uS6Xs - transcript (automated).pdf","Transcript Link")</f>
        <v>Transcript Link</v>
      </c>
    </row>
    <row r="1299" ht="165" spans="1:13">
      <c r="A1299" s="1" t="s">
        <v>6150</v>
      </c>
      <c r="B1299" s="1" t="s">
        <v>13</v>
      </c>
      <c r="C1299" s="4" t="s">
        <v>6151</v>
      </c>
      <c r="D1299" s="1" t="s">
        <v>6152</v>
      </c>
      <c r="E1299" s="1" t="s">
        <v>6153</v>
      </c>
      <c r="F1299" s="4" t="s">
        <v>17</v>
      </c>
      <c r="G1299" s="1" t="s">
        <v>18</v>
      </c>
      <c r="H1299" s="1" t="s">
        <v>19</v>
      </c>
      <c r="I1299" s="1" t="s">
        <v>20</v>
      </c>
      <c r="J1299" s="1" t="s">
        <v>6154</v>
      </c>
      <c r="K1299" s="1" t="s">
        <v>22</v>
      </c>
      <c r="L1299" s="1" t="str">
        <f>HYPERLINK("https://files.afu.se/Downloads/Transcripts/0%20-%20Government/USA%20-%20NASA/2017 01 11 - NASA - Station Crew Member Discusses Life in Space with French Media_vIrUL0p25s0 - transcript (automated).pdf","Transcript Link")</f>
        <v>Transcript Link</v>
      </c>
      <c r="M1299" s="2" t="str">
        <f>HYPERLINK("https://files.afu.se/Downloads/Transcripts/0%20-%20Government/USA%20-%20NASA/2017 01 11 - NASA - Station Crew Member Discusses Life in Space with French Media_vIrUL0p25s0 - transcript (automated).pdf","Transcript Link")</f>
        <v>Transcript Link</v>
      </c>
    </row>
    <row r="1300" ht="165" spans="1:13">
      <c r="A1300" s="1" t="s">
        <v>6155</v>
      </c>
      <c r="B1300" s="1" t="s">
        <v>13</v>
      </c>
      <c r="C1300" s="4" t="s">
        <v>6156</v>
      </c>
      <c r="D1300" s="1" t="s">
        <v>6157</v>
      </c>
      <c r="E1300" s="1" t="s">
        <v>6158</v>
      </c>
      <c r="F1300" s="4" t="s">
        <v>17</v>
      </c>
      <c r="G1300" s="1" t="s">
        <v>18</v>
      </c>
      <c r="H1300" s="1" t="s">
        <v>19</v>
      </c>
      <c r="I1300" s="1" t="s">
        <v>20</v>
      </c>
      <c r="J1300" s="1" t="s">
        <v>6159</v>
      </c>
      <c r="K1300" s="1" t="s">
        <v>22</v>
      </c>
      <c r="L1300" s="1" t="str">
        <f>HYPERLINK("https://files.afu.se/Downloads/Transcripts/0%20-%20Government/USA%20-%20NASA/2017 01 10 - NASA - Space Station Commander Discusses Life in Space with Students from Former School_OGuaYnHw4tk - transcript (automated).pdf","Transcript Link")</f>
        <v>Transcript Link</v>
      </c>
      <c r="M1300" s="2" t="str">
        <f>HYPERLINK("https://files.afu.se/Downloads/Transcripts/0%20-%20Government/USA%20-%20NASA/2017 01 10 - NASA - Space Station Commander Discusses Life in Space with Students from Former School_OGuaYnHw4tk - transcript (automated).pdf","Transcript Link")</f>
        <v>Transcript Link</v>
      </c>
    </row>
    <row r="1301" ht="165" spans="1:13">
      <c r="A1301" s="1" t="s">
        <v>6160</v>
      </c>
      <c r="B1301" s="1" t="s">
        <v>13</v>
      </c>
      <c r="C1301" s="4" t="s">
        <v>6161</v>
      </c>
      <c r="D1301" s="1" t="s">
        <v>6162</v>
      </c>
      <c r="E1301" s="1" t="s">
        <v>6163</v>
      </c>
      <c r="F1301" s="4" t="s">
        <v>17</v>
      </c>
      <c r="G1301" s="1" t="s">
        <v>18</v>
      </c>
      <c r="H1301" s="1" t="s">
        <v>19</v>
      </c>
      <c r="I1301" s="1" t="s">
        <v>20</v>
      </c>
      <c r="J1301" s="1" t="s">
        <v>6164</v>
      </c>
      <c r="K1301" s="1" t="s">
        <v>22</v>
      </c>
      <c r="L1301" s="1" t="str">
        <f>HYPERLINK("https://files.afu.se/Downloads/Transcripts/0%20-%20Government/USA%20-%20NASA/2017 01 06 - NASA - Space Station Power Upgrade on This Week @NASA – January 6, 2017_xPF4sJsiFaQ - transcript (automated).pdf","Transcript Link")</f>
        <v>Transcript Link</v>
      </c>
      <c r="M1301" s="2" t="str">
        <f>HYPERLINK("https://files.afu.se/Downloads/Transcripts/0%20-%20Government/USA%20-%20NASA/2017 01 06 - NASA - Space Station Power Upgrade on This Week @NASA – January 6, 2017_xPF4sJsiFaQ - transcript (automated).pdf","Transcript Link")</f>
        <v>Transcript Link</v>
      </c>
    </row>
    <row r="1302" ht="210" spans="1:13">
      <c r="A1302" s="1" t="s">
        <v>6160</v>
      </c>
      <c r="B1302" s="1" t="s">
        <v>13</v>
      </c>
      <c r="C1302" s="4" t="s">
        <v>6165</v>
      </c>
      <c r="D1302" s="1" t="s">
        <v>6166</v>
      </c>
      <c r="E1302" s="1" t="s">
        <v>6167</v>
      </c>
      <c r="F1302" s="4" t="s">
        <v>17</v>
      </c>
      <c r="G1302" s="1" t="s">
        <v>18</v>
      </c>
      <c r="H1302" s="1" t="s">
        <v>19</v>
      </c>
      <c r="I1302" s="1" t="s">
        <v>20</v>
      </c>
      <c r="J1302" s="1" t="s">
        <v>6168</v>
      </c>
      <c r="K1302" s="1" t="s">
        <v>22</v>
      </c>
      <c r="L1302" s="1" t="str">
        <f>HYPERLINK("https://files.afu.se/Downloads/Transcripts/0%20-%20Government/USA%20-%20NASA/2017 01 06 - NASA - Space Station Crew Members Conduct a Spacewalk for Battery Replacement on the Outpost_Q3-mK7VSma4 - transcript (automated).pdf","Transcript Link")</f>
        <v>Transcript Link</v>
      </c>
      <c r="M1302" s="2" t="str">
        <f>HYPERLINK("https://files.afu.se/Downloads/Transcripts/0%20-%20Government/USA%20-%20NASA/2017 01 06 - NASA - Space Station Crew Members Conduct a Spacewalk for Battery Replacement on the Outpost_Q3-mK7VSma4 - transcript (automated).pdf","Transcript Link")</f>
        <v>Transcript Link</v>
      </c>
    </row>
    <row r="1303" ht="165" spans="1:13">
      <c r="A1303" s="1" t="s">
        <v>6169</v>
      </c>
      <c r="B1303" s="1" t="s">
        <v>13</v>
      </c>
      <c r="C1303" s="4" t="s">
        <v>6170</v>
      </c>
      <c r="D1303" s="1" t="s">
        <v>6171</v>
      </c>
      <c r="E1303" s="1" t="s">
        <v>6172</v>
      </c>
      <c r="F1303" s="4" t="s">
        <v>17</v>
      </c>
      <c r="G1303" s="1" t="s">
        <v>18</v>
      </c>
      <c r="H1303" s="1" t="s">
        <v>19</v>
      </c>
      <c r="I1303" s="1" t="s">
        <v>20</v>
      </c>
      <c r="J1303" s="1" t="s">
        <v>6173</v>
      </c>
      <c r="K1303" s="1" t="s">
        <v>22</v>
      </c>
      <c r="L1303" s="1" t="str">
        <f>HYPERLINK("https://files.afu.se/Downloads/Transcripts/0%20-%20Government/USA%20-%20NASA/2017 01 05 - NASA - NASA Modern Figure  Andrea Razzaghi_hVmX7-GOPiU - transcript (automated).pdf","Transcript Link")</f>
        <v>Transcript Link</v>
      </c>
      <c r="M1303" s="2" t="str">
        <f>HYPERLINK("https://files.afu.se/Downloads/Transcripts/0%20-%20Government/USA%20-%20NASA/2017 01 05 - NASA - NASA Modern Figure  Andrea Razzaghi_hVmX7-GOPiU - transcript (automated).pdf","Transcript Link")</f>
        <v>Transcript Link</v>
      </c>
    </row>
    <row r="1304" ht="165" spans="1:13">
      <c r="A1304" s="1" t="s">
        <v>6169</v>
      </c>
      <c r="B1304" s="1" t="s">
        <v>13</v>
      </c>
      <c r="C1304" s="4" t="s">
        <v>6174</v>
      </c>
      <c r="D1304" s="1" t="s">
        <v>6175</v>
      </c>
      <c r="E1304" s="1" t="s">
        <v>6176</v>
      </c>
      <c r="F1304" s="4" t="s">
        <v>17</v>
      </c>
      <c r="G1304" s="1" t="s">
        <v>18</v>
      </c>
      <c r="H1304" s="1" t="s">
        <v>19</v>
      </c>
      <c r="I1304" s="1" t="s">
        <v>20</v>
      </c>
      <c r="J1304" s="1" t="s">
        <v>6177</v>
      </c>
      <c r="K1304" s="1" t="s">
        <v>22</v>
      </c>
      <c r="L1304" s="1" t="str">
        <f>HYPERLINK("https://files.afu.se/Downloads/Transcripts/0%20-%20Government/USA%20-%20NASA/2017 01 05 - NASA - NASA Sharing Discoveries at Annual Meeting of the American Astronomical Society_hhd19ZPy4Pc - transcript (automated).pdf","Transcript Link")</f>
        <v>Transcript Link</v>
      </c>
      <c r="M1304" s="2" t="str">
        <f>HYPERLINK("https://files.afu.se/Downloads/Transcripts/0%20-%20Government/USA%20-%20NASA/2017 01 05 - NASA - NASA Sharing Discoveries at Annual Meeting of the American Astronomical Society_hhd19ZPy4Pc - transcript (automated).pdf","Transcript Link")</f>
        <v>Transcript Link</v>
      </c>
    </row>
    <row r="1305" ht="165" spans="1:13">
      <c r="A1305" s="1" t="s">
        <v>6178</v>
      </c>
      <c r="B1305" s="1" t="s">
        <v>13</v>
      </c>
      <c r="C1305" s="4" t="s">
        <v>6179</v>
      </c>
      <c r="D1305" s="1" t="s">
        <v>6180</v>
      </c>
      <c r="E1305" s="1" t="s">
        <v>6181</v>
      </c>
      <c r="F1305" s="4" t="s">
        <v>17</v>
      </c>
      <c r="G1305" s="1" t="s">
        <v>18</v>
      </c>
      <c r="H1305" s="1" t="s">
        <v>19</v>
      </c>
      <c r="I1305" s="1" t="s">
        <v>20</v>
      </c>
      <c r="J1305" s="1" t="s">
        <v>6182</v>
      </c>
      <c r="K1305" s="1" t="s">
        <v>22</v>
      </c>
      <c r="L1305" s="1" t="str">
        <f>HYPERLINK("https://files.afu.se/Downloads/Transcripts/0%20-%20Government/USA%20-%20NASA/2017 01 04 - NASA - NASA Previews Spacewalks to Upgrade ISS Power System_LuUncJgH-YA - transcript (automated).pdf","Transcript Link")</f>
        <v>Transcript Link</v>
      </c>
      <c r="M1305" s="2" t="str">
        <f>HYPERLINK("https://files.afu.se/Downloads/Transcripts/0%20-%20Government/USA%20-%20NASA/2017 01 04 - NASA - NASA Previews Spacewalks to Upgrade ISS Power System_LuUncJgH-YA - transcript (automated).pdf","Transcript Link")</f>
        <v>Transcript Link</v>
      </c>
    </row>
    <row r="1306" ht="180" spans="1:13">
      <c r="A1306" s="1" t="s">
        <v>6178</v>
      </c>
      <c r="B1306" s="1" t="s">
        <v>13</v>
      </c>
      <c r="C1306" s="4" t="s">
        <v>6183</v>
      </c>
      <c r="D1306" s="1" t="s">
        <v>6184</v>
      </c>
      <c r="E1306" s="1" t="s">
        <v>6185</v>
      </c>
      <c r="F1306" s="4" t="s">
        <v>17</v>
      </c>
      <c r="G1306" s="1" t="s">
        <v>18</v>
      </c>
      <c r="H1306" s="1" t="s">
        <v>19</v>
      </c>
      <c r="I1306" s="1" t="s">
        <v>20</v>
      </c>
      <c r="J1306" s="1" t="s">
        <v>6186</v>
      </c>
      <c r="K1306" s="1" t="s">
        <v>22</v>
      </c>
      <c r="L1306" s="1" t="str">
        <f>HYPERLINK("https://files.afu.se/Downloads/Transcripts/0%20-%20Government/USA%20-%20NASA/2017 01 04 - NASA - NASA’s New Discovery Missions_nYdCU1QQQro - transcript (automated).pdf","Transcript Link")</f>
        <v>Transcript Link</v>
      </c>
      <c r="M1306" s="2" t="str">
        <f>HYPERLINK("https://files.afu.se/Downloads/Transcripts/0%20-%20Government/USA%20-%20NASA/2017 01 04 - NASA - NASA’s New Discovery Missions_nYdCU1QQQro - transcript (automated).pdf","Transcript Link")</f>
        <v>Transcript Link</v>
      </c>
    </row>
    <row r="1307" ht="210" spans="1:13">
      <c r="A1307" s="1" t="s">
        <v>6187</v>
      </c>
      <c r="B1307" s="1" t="s">
        <v>13</v>
      </c>
      <c r="C1307" s="4" t="s">
        <v>6188</v>
      </c>
      <c r="D1307" s="1" t="s">
        <v>6189</v>
      </c>
      <c r="E1307" s="1" t="s">
        <v>6190</v>
      </c>
      <c r="F1307" s="4" t="s">
        <v>17</v>
      </c>
      <c r="G1307" s="1" t="s">
        <v>18</v>
      </c>
      <c r="H1307" s="1" t="s">
        <v>19</v>
      </c>
      <c r="I1307" s="1" t="s">
        <v>20</v>
      </c>
      <c r="J1307" s="1" t="s">
        <v>6191</v>
      </c>
      <c r="K1307" s="1" t="s">
        <v>22</v>
      </c>
      <c r="L1307" s="1" t="str">
        <f>HYPERLINK("https://files.afu.se/Downloads/Transcripts/0%20-%20Government/USA%20-%20NASA/2017 01 03 - NASA - Space Station Crew Members Discuss Upcoming Spacewalks and Life in Space_unnoeVghr5c - transcript (automated).pdf","Transcript Link")</f>
        <v>Transcript Link</v>
      </c>
      <c r="M1307" s="2" t="str">
        <f>HYPERLINK("https://files.afu.se/Downloads/Transcripts/0%20-%20Government/USA%20-%20NASA/2017 01 03 - NASA - Space Station Crew Members Discuss Upcoming Spacewalks and Life in Space_unnoeVghr5c - transcript (automated).pdf","Transcript Link")</f>
        <v>Transcript Link</v>
      </c>
    </row>
    <row r="1308" ht="165" spans="1:13">
      <c r="A1308" s="1" t="s">
        <v>6192</v>
      </c>
      <c r="B1308" s="1" t="s">
        <v>13</v>
      </c>
      <c r="C1308" s="4" t="s">
        <v>6193</v>
      </c>
      <c r="D1308" s="1" t="s">
        <v>6194</v>
      </c>
      <c r="E1308" s="1" t="s">
        <v>6195</v>
      </c>
      <c r="F1308" s="4" t="s">
        <v>17</v>
      </c>
      <c r="G1308" s="1" t="s">
        <v>18</v>
      </c>
      <c r="H1308" s="1" t="s">
        <v>19</v>
      </c>
      <c r="I1308" s="1" t="s">
        <v>20</v>
      </c>
      <c r="J1308" s="1" t="s">
        <v>6196</v>
      </c>
      <c r="K1308" s="1" t="s">
        <v>22</v>
      </c>
      <c r="L1308" s="1" t="str">
        <f>HYPERLINK("https://files.afu.se/Downloads/Transcripts/0%20-%20Government/USA%20-%20NASA/2017 01 01 - NASA - Happy New Year from NASA_tBDKqbCV0RM - transcript (automated).pdf","Transcript Link")</f>
        <v>Transcript Link</v>
      </c>
      <c r="M1308" s="2" t="str">
        <f>HYPERLINK("https://files.afu.se/Downloads/Transcripts/0%20-%20Government/USA%20-%20NASA/2017 01 01 - NASA - Happy New Year from NASA_tBDKqbCV0RM - transcript (automated).pdf","Transcript Link")</f>
        <v>Transcript Link</v>
      </c>
    </row>
    <row r="1309" ht="165" spans="1:13">
      <c r="A1309" s="1" t="s">
        <v>6197</v>
      </c>
      <c r="B1309" s="1" t="s">
        <v>13</v>
      </c>
      <c r="C1309" s="4" t="s">
        <v>6198</v>
      </c>
      <c r="D1309" s="1" t="s">
        <v>6199</v>
      </c>
      <c r="E1309" s="1" t="s">
        <v>6200</v>
      </c>
      <c r="F1309" s="4" t="s">
        <v>17</v>
      </c>
      <c r="G1309" s="1" t="s">
        <v>18</v>
      </c>
      <c r="H1309" s="1" t="s">
        <v>19</v>
      </c>
      <c r="I1309" s="1" t="s">
        <v>20</v>
      </c>
      <c r="J1309" s="1" t="s">
        <v>6201</v>
      </c>
      <c r="K1309" s="1" t="s">
        <v>22</v>
      </c>
      <c r="L1309" s="1" t="str">
        <f>HYPERLINK("https://files.afu.se/Downloads/Transcripts/0%20-%20Government/USA%20-%20NASA/2016 12 29 - NASA - NASA Modern Figure  Antja Chambers_QU8NfXmbMZc - transcript (automated).pdf","Transcript Link")</f>
        <v>Transcript Link</v>
      </c>
      <c r="M1309" s="2" t="str">
        <f>HYPERLINK("https://files.afu.se/Downloads/Transcripts/0%20-%20Government/USA%20-%20NASA/2016 12 29 - NASA - NASA Modern Figure  Antja Chambers_QU8NfXmbMZc - transcript (automated).pdf","Transcript Link")</f>
        <v>Transcript Link</v>
      </c>
    </row>
    <row r="1310" ht="165" spans="1:13">
      <c r="A1310" s="1" t="s">
        <v>6197</v>
      </c>
      <c r="B1310" s="1" t="s">
        <v>13</v>
      </c>
      <c r="C1310" s="4" t="s">
        <v>6202</v>
      </c>
      <c r="D1310" s="1" t="s">
        <v>6203</v>
      </c>
      <c r="E1310" s="1" t="s">
        <v>6204</v>
      </c>
      <c r="F1310" s="4" t="s">
        <v>17</v>
      </c>
      <c r="G1310" s="1" t="s">
        <v>18</v>
      </c>
      <c r="H1310" s="1" t="s">
        <v>19</v>
      </c>
      <c r="I1310" s="1" t="s">
        <v>20</v>
      </c>
      <c r="J1310" s="1" t="s">
        <v>6205</v>
      </c>
      <c r="K1310" s="1" t="s">
        <v>22</v>
      </c>
      <c r="L1310" s="1" t="str">
        <f>HYPERLINK("https://files.afu.se/Downloads/Transcripts/0%20-%20Government/USA%20-%20NASA/2016 12 29 - NASA - NASA Modern Figure  Jeanette Epps_sc7TGp2Fhls - transcript (automated).pdf","Transcript Link")</f>
        <v>Transcript Link</v>
      </c>
      <c r="M1310" s="2" t="str">
        <f>HYPERLINK("https://files.afu.se/Downloads/Transcripts/0%20-%20Government/USA%20-%20NASA/2016 12 29 - NASA - NASA Modern Figure  Jeanette Epps_sc7TGp2Fhls - transcript (automated).pdf","Transcript Link")</f>
        <v>Transcript Link</v>
      </c>
    </row>
    <row r="1311" ht="165" spans="1:13">
      <c r="A1311" s="1" t="s">
        <v>6206</v>
      </c>
      <c r="B1311" s="1" t="s">
        <v>13</v>
      </c>
      <c r="C1311" s="4" t="s">
        <v>6207</v>
      </c>
      <c r="D1311" s="1" t="s">
        <v>6208</v>
      </c>
      <c r="E1311" s="1" t="s">
        <v>6209</v>
      </c>
      <c r="F1311" s="4" t="s">
        <v>17</v>
      </c>
      <c r="G1311" s="1" t="s">
        <v>18</v>
      </c>
      <c r="H1311" s="1" t="s">
        <v>19</v>
      </c>
      <c r="I1311" s="1" t="s">
        <v>20</v>
      </c>
      <c r="J1311" s="1" t="s">
        <v>6210</v>
      </c>
      <c r="K1311" s="1" t="s">
        <v>22</v>
      </c>
      <c r="L1311" s="1" t="str">
        <f>HYPERLINK("https://files.afu.se/Downloads/Transcripts/0%20-%20Government/USA%20-%20NASA/2016 12 28 - NASA - NASA 2017 - Building the Future_cTULoZggpcw - transcript (automated).pdf","Transcript Link")</f>
        <v>Transcript Link</v>
      </c>
      <c r="M1311" s="2" t="str">
        <f>HYPERLINK("https://files.afu.se/Downloads/Transcripts/0%20-%20Government/USA%20-%20NASA/2016 12 28 - NASA - NASA 2017 - Building the Future_cTULoZggpcw - transcript (automated).pdf","Transcript Link")</f>
        <v>Transcript Link</v>
      </c>
    </row>
    <row r="1312" ht="165" spans="1:13">
      <c r="A1312" s="1" t="s">
        <v>6211</v>
      </c>
      <c r="B1312" s="1" t="s">
        <v>13</v>
      </c>
      <c r="C1312" s="4" t="s">
        <v>6212</v>
      </c>
      <c r="D1312" s="1" t="s">
        <v>6213</v>
      </c>
      <c r="E1312" s="1" t="s">
        <v>6214</v>
      </c>
      <c r="F1312" s="4" t="s">
        <v>17</v>
      </c>
      <c r="G1312" s="1" t="s">
        <v>18</v>
      </c>
      <c r="H1312" s="1" t="s">
        <v>19</v>
      </c>
      <c r="I1312" s="1" t="s">
        <v>20</v>
      </c>
      <c r="J1312" s="1" t="s">
        <v>6215</v>
      </c>
      <c r="K1312" s="1" t="s">
        <v>22</v>
      </c>
      <c r="L1312" s="1" t="str">
        <f>HYPERLINK("https://files.afu.se/Downloads/Transcripts/0%20-%20Government/USA%20-%20NASA/2016 12 27 - NASA - Space Station Crewmembers Discuss Life in Space with Reporters in Iowa and Texas_DfjLNULOz20 - transcript (automated).pdf","Transcript Link")</f>
        <v>Transcript Link</v>
      </c>
      <c r="M1312" s="2" t="str">
        <f>HYPERLINK("https://files.afu.se/Downloads/Transcripts/0%20-%20Government/USA%20-%20NASA/2016 12 27 - NASA - Space Station Crewmembers Discuss Life in Space with Reporters in Iowa and Texas_DfjLNULOz20 - transcript (automated).pdf","Transcript Link")</f>
        <v>Transcript Link</v>
      </c>
    </row>
    <row r="1313" ht="165" spans="1:13">
      <c r="A1313" s="1" t="s">
        <v>6216</v>
      </c>
      <c r="B1313" s="1" t="s">
        <v>13</v>
      </c>
      <c r="C1313" s="4" t="s">
        <v>6217</v>
      </c>
      <c r="D1313" s="1" t="s">
        <v>6218</v>
      </c>
      <c r="E1313" s="1" t="s">
        <v>6219</v>
      </c>
      <c r="F1313" s="4" t="s">
        <v>17</v>
      </c>
      <c r="G1313" s="1" t="s">
        <v>18</v>
      </c>
      <c r="H1313" s="1" t="s">
        <v>19</v>
      </c>
      <c r="I1313" s="1" t="s">
        <v>20</v>
      </c>
      <c r="J1313" s="1" t="s">
        <v>6220</v>
      </c>
      <c r="K1313" s="1" t="s">
        <v>22</v>
      </c>
      <c r="L1313" s="1" t="str">
        <f>HYPERLINK("https://files.afu.se/Downloads/Transcripts/0%20-%20Government/USA%20-%20NASA/2016 12 22 - NASA - NASA Modern Figure  Kimberly Ennix-Sandhu_1NrqBe_xm-w - transcript (automated).pdf","Transcript Link")</f>
        <v>Transcript Link</v>
      </c>
      <c r="M1313" s="2" t="str">
        <f>HYPERLINK("https://files.afu.se/Downloads/Transcripts/0%20-%20Government/USA%20-%20NASA/2016 12 22 - NASA - NASA Modern Figure  Kimberly Ennix-Sandhu_1NrqBe_xm-w - transcript (automated).pdf","Transcript Link")</f>
        <v>Transcript Link</v>
      </c>
    </row>
    <row r="1314" ht="165" spans="1:13">
      <c r="A1314" s="1" t="s">
        <v>6216</v>
      </c>
      <c r="B1314" s="1" t="s">
        <v>13</v>
      </c>
      <c r="C1314" s="4" t="s">
        <v>6221</v>
      </c>
      <c r="D1314" s="1" t="s">
        <v>1886</v>
      </c>
      <c r="E1314" s="1" t="s">
        <v>6222</v>
      </c>
      <c r="F1314" s="4" t="s">
        <v>17</v>
      </c>
      <c r="G1314" s="1" t="s">
        <v>18</v>
      </c>
      <c r="H1314" s="1" t="s">
        <v>19</v>
      </c>
      <c r="I1314" s="1" t="s">
        <v>20</v>
      </c>
      <c r="J1314" s="1" t="s">
        <v>6223</v>
      </c>
      <c r="K1314" s="1" t="s">
        <v>22</v>
      </c>
      <c r="L1314" s="1" t="str">
        <f>HYPERLINK("https://files.afu.se/Downloads/Transcripts/0%20-%20Government/USA%20-%20NASA/2016 12 22 - NASA - Season's Greetings from NASA_UWCUGDm8NvM - transcript (automated).pdf","Transcript Link")</f>
        <v>Transcript Link</v>
      </c>
      <c r="M1314" s="2" t="str">
        <f>HYPERLINK("https://files.afu.se/Downloads/Transcripts/0%20-%20Government/USA%20-%20NASA/2016 12 22 - NASA - Season's Greetings from NASA_UWCUGDm8NvM - transcript (automated).pdf","Transcript Link")</f>
        <v>Transcript Link</v>
      </c>
    </row>
    <row r="1315" ht="165" spans="1:13">
      <c r="A1315" s="1" t="s">
        <v>6216</v>
      </c>
      <c r="B1315" s="1" t="s">
        <v>13</v>
      </c>
      <c r="C1315" s="4" t="s">
        <v>6224</v>
      </c>
      <c r="D1315" s="1" t="s">
        <v>6107</v>
      </c>
      <c r="E1315" s="1" t="s">
        <v>6225</v>
      </c>
      <c r="F1315" s="4" t="s">
        <v>17</v>
      </c>
      <c r="G1315" s="1" t="s">
        <v>18</v>
      </c>
      <c r="H1315" s="1" t="s">
        <v>19</v>
      </c>
      <c r="I1315" s="1" t="s">
        <v>20</v>
      </c>
      <c r="J1315" s="1" t="s">
        <v>6226</v>
      </c>
      <c r="K1315" s="1" t="s">
        <v>22</v>
      </c>
      <c r="L1315" s="1" t="str">
        <f>HYPERLINK("https://files.afu.se/Downloads/Transcripts/0%20-%20Government/USA%20-%20NASA/2016 12 22 - NASA - Space Station Crew Member Discusses Life in Space with Iowa Media_3_rbhRCXQhg - transcript (automated).pdf","Transcript Link")</f>
        <v>Transcript Link</v>
      </c>
      <c r="M1315" s="2" t="str">
        <f>HYPERLINK("https://files.afu.se/Downloads/Transcripts/0%20-%20Government/USA%20-%20NASA/2016 12 22 - NASA - Space Station Crew Member Discusses Life in Space with Iowa Media_3_rbhRCXQhg - transcript (automated).pdf","Transcript Link")</f>
        <v>Transcript Link</v>
      </c>
    </row>
    <row r="1316" ht="165" spans="1:13">
      <c r="A1316" s="1" t="s">
        <v>6227</v>
      </c>
      <c r="B1316" s="1" t="s">
        <v>13</v>
      </c>
      <c r="C1316" s="4" t="s">
        <v>6228</v>
      </c>
      <c r="D1316" s="1" t="s">
        <v>6229</v>
      </c>
      <c r="E1316" s="1" t="s">
        <v>6230</v>
      </c>
      <c r="F1316" s="4" t="s">
        <v>17</v>
      </c>
      <c r="G1316" s="1" t="s">
        <v>18</v>
      </c>
      <c r="H1316" s="1" t="s">
        <v>19</v>
      </c>
      <c r="I1316" s="1" t="s">
        <v>20</v>
      </c>
      <c r="J1316" s="1" t="s">
        <v>6231</v>
      </c>
      <c r="K1316" s="1" t="s">
        <v>22</v>
      </c>
      <c r="L1316" s="1" t="str">
        <f>HYPERLINK("https://files.afu.se/Downloads/Transcripts/0%20-%20Government/USA%20-%20NASA/2016 12 21 - NASA - The Stars of Passengers Quiz NASA Scientist_3mrSJoogdyw - transcript (automated).pdf","Transcript Link")</f>
        <v>Transcript Link</v>
      </c>
      <c r="M1316" s="2" t="str">
        <f>HYPERLINK("https://files.afu.se/Downloads/Transcripts/0%20-%20Government/USA%20-%20NASA/2016 12 21 - NASA - The Stars of Passengers Quiz NASA Scientist_3mrSJoogdyw - transcript (automated).pdf","Transcript Link")</f>
        <v>Transcript Link</v>
      </c>
    </row>
    <row r="1317" ht="165" spans="1:13">
      <c r="A1317" s="1" t="s">
        <v>6232</v>
      </c>
      <c r="B1317" s="1" t="s">
        <v>13</v>
      </c>
      <c r="C1317" s="4" t="s">
        <v>6233</v>
      </c>
      <c r="D1317" s="1" t="s">
        <v>6234</v>
      </c>
      <c r="E1317" s="1" t="s">
        <v>6235</v>
      </c>
      <c r="F1317" s="4" t="s">
        <v>17</v>
      </c>
      <c r="G1317" s="1" t="s">
        <v>18</v>
      </c>
      <c r="H1317" s="1" t="s">
        <v>19</v>
      </c>
      <c r="I1317" s="1" t="s">
        <v>20</v>
      </c>
      <c r="J1317" s="1" t="s">
        <v>6236</v>
      </c>
      <c r="K1317" s="1" t="s">
        <v>22</v>
      </c>
      <c r="L1317" s="1" t="str">
        <f>HYPERLINK("https://files.afu.se/Downloads/Transcripts/0%20-%20Government/USA%20-%20NASA/2016 12 20 - NASA - Space Station Crew Celebrates the Holidays Aboard the Orbital Lab_DsSRWM85y7s - transcript (automated).pdf","Transcript Link")</f>
        <v>Transcript Link</v>
      </c>
      <c r="M1317" s="2" t="str">
        <f>HYPERLINK("https://files.afu.se/Downloads/Transcripts/0%20-%20Government/USA%20-%20NASA/2016 12 20 - NASA - Space Station Crew Celebrates the Holidays Aboard the Orbital Lab_DsSRWM85y7s - transcript (automated).pdf","Transcript Link")</f>
        <v>Transcript Link</v>
      </c>
    </row>
    <row r="1318" ht="165" spans="1:13">
      <c r="A1318" s="1" t="s">
        <v>6237</v>
      </c>
      <c r="B1318" s="1" t="s">
        <v>13</v>
      </c>
      <c r="C1318" s="4" t="s">
        <v>6238</v>
      </c>
      <c r="D1318" s="1" t="s">
        <v>6239</v>
      </c>
      <c r="E1318" s="1" t="s">
        <v>6240</v>
      </c>
      <c r="F1318" s="4" t="s">
        <v>17</v>
      </c>
      <c r="G1318" s="1" t="s">
        <v>18</v>
      </c>
      <c r="H1318" s="1" t="s">
        <v>19</v>
      </c>
      <c r="I1318" s="1" t="s">
        <v>20</v>
      </c>
      <c r="J1318" s="1" t="s">
        <v>6241</v>
      </c>
      <c r="K1318" s="1" t="s">
        <v>22</v>
      </c>
      <c r="L1318" s="1" t="str">
        <f>HYPERLINK("https://files.afu.se/Downloads/Transcripts/0%20-%20Government/USA%20-%20NASA/2016 12 19 - NASA - Space Station Commander Talks About his Mission with his Alma Mater_7Pu5MizzFP0 - transcript (automated).pdf","Transcript Link")</f>
        <v>Transcript Link</v>
      </c>
      <c r="M1318" s="2" t="str">
        <f>HYPERLINK("https://files.afu.se/Downloads/Transcripts/0%20-%20Government/USA%20-%20NASA/2016 12 19 - NASA - Space Station Commander Talks About his Mission with his Alma Mater_7Pu5MizzFP0 - transcript (automated).pdf","Transcript Link")</f>
        <v>Transcript Link</v>
      </c>
    </row>
    <row r="1319" ht="165" spans="1:13">
      <c r="A1319" s="1" t="s">
        <v>6242</v>
      </c>
      <c r="B1319" s="1" t="s">
        <v>13</v>
      </c>
      <c r="C1319" s="4" t="s">
        <v>6243</v>
      </c>
      <c r="D1319" s="1" t="s">
        <v>6244</v>
      </c>
      <c r="E1319" s="1" t="s">
        <v>6245</v>
      </c>
      <c r="F1319" s="4" t="s">
        <v>17</v>
      </c>
      <c r="G1319" s="1" t="s">
        <v>18</v>
      </c>
      <c r="H1319" s="1" t="s">
        <v>19</v>
      </c>
      <c r="I1319" s="1" t="s">
        <v>20</v>
      </c>
      <c r="J1319" s="1" t="s">
        <v>6246</v>
      </c>
      <c r="K1319" s="1" t="s">
        <v>22</v>
      </c>
      <c r="L1319" s="1" t="str">
        <f>HYPERLINK("https://files.afu.se/Downloads/Transcripts/0%20-%20Government/USA%20-%20NASA/2016 12 18 - NASA - Live Coverage of John Glenn Memorial_hqICEGWow98 - transcript (automated).pdf","Transcript Link")</f>
        <v>Transcript Link</v>
      </c>
      <c r="M1319" s="2" t="str">
        <f>HYPERLINK("https://files.afu.se/Downloads/Transcripts/0%20-%20Government/USA%20-%20NASA/2016 12 18 - NASA - Live Coverage of John Glenn Memorial_hqICEGWow98 - transcript (automated).pdf","Transcript Link")</f>
        <v>Transcript Link</v>
      </c>
    </row>
    <row r="1320" ht="255" spans="1:13">
      <c r="A1320" s="1" t="s">
        <v>6242</v>
      </c>
      <c r="B1320" s="1" t="s">
        <v>13</v>
      </c>
      <c r="C1320" s="4" t="s">
        <v>6247</v>
      </c>
      <c r="D1320" s="1" t="s">
        <v>6248</v>
      </c>
      <c r="E1320" s="1" t="s">
        <v>6249</v>
      </c>
      <c r="F1320" s="4" t="s">
        <v>17</v>
      </c>
      <c r="G1320" s="1" t="s">
        <v>18</v>
      </c>
      <c r="H1320" s="1" t="s">
        <v>19</v>
      </c>
      <c r="I1320" s="1" t="s">
        <v>20</v>
      </c>
      <c r="J1320" s="1" t="s">
        <v>6250</v>
      </c>
      <c r="K1320" s="1" t="s">
        <v>22</v>
      </c>
      <c r="L1320" s="1" t="str">
        <f>HYPERLINK("https://files.afu.se/Downloads/Transcripts/0%20-%20Government/USA%20-%20NASA/2016 12 18 - NASA - Ohio Service Celebrates Life of Late Former NASA Astronaut and U. S. Senator, John Glenn_JjoKF6M_37M - transcript (automated).pdf","Transcript Link")</f>
        <v>Transcript Link</v>
      </c>
      <c r="M1320" s="2" t="str">
        <f>HYPERLINK("https://files.afu.se/Downloads/Transcripts/0%20-%20Government/USA%20-%20NASA/2016 12 18 - NASA - Ohio Service Celebrates Life of Late Former NASA Astronaut and U. S. Senator, John Glenn_JjoKF6M_37M - transcript (automated).pdf","Transcript Link")</f>
        <v>Transcript Link</v>
      </c>
    </row>
    <row r="1321" ht="165" spans="1:13">
      <c r="A1321" s="1" t="s">
        <v>6251</v>
      </c>
      <c r="B1321" s="1" t="s">
        <v>13</v>
      </c>
      <c r="C1321" s="4" t="s">
        <v>6252</v>
      </c>
      <c r="D1321" s="1" t="s">
        <v>6253</v>
      </c>
      <c r="E1321" s="1" t="s">
        <v>6254</v>
      </c>
      <c r="F1321" s="4" t="s">
        <v>17</v>
      </c>
      <c r="G1321" s="1" t="s">
        <v>18</v>
      </c>
      <c r="H1321" s="1" t="s">
        <v>19</v>
      </c>
      <c r="I1321" s="1" t="s">
        <v>20</v>
      </c>
      <c r="J1321" s="1" t="s">
        <v>6255</v>
      </c>
      <c r="K1321" s="1" t="s">
        <v>22</v>
      </c>
      <c r="L1321" s="1" t="str">
        <f>HYPERLINK("https://files.afu.se/Downloads/Transcripts/0%20-%20Government/USA%20-%20NASA/2016 12 17 - NASA - Dec. 17 John Glenn Celebration of Life Service-Additional Footage_CbtufKt1sSM - transcript (automated).pdf","Transcript Link")</f>
        <v>Transcript Link</v>
      </c>
      <c r="M1321" s="2" t="str">
        <f>HYPERLINK("https://files.afu.se/Downloads/Transcripts/0%20-%20Government/USA%20-%20NASA/2016 12 17 - NASA - Dec. 17 John Glenn Celebration of Life Service-Additional Footage_CbtufKt1sSM - transcript (automated).pdf","Transcript Link")</f>
        <v>Transcript Link</v>
      </c>
    </row>
    <row r="1322" ht="165" spans="1:13">
      <c r="A1322" s="1" t="s">
        <v>6251</v>
      </c>
      <c r="B1322" s="1" t="s">
        <v>13</v>
      </c>
      <c r="C1322" s="4" t="s">
        <v>6256</v>
      </c>
      <c r="D1322" s="1" t="s">
        <v>6257</v>
      </c>
      <c r="E1322" s="1" t="s">
        <v>6258</v>
      </c>
      <c r="F1322" s="4" t="s">
        <v>17</v>
      </c>
      <c r="G1322" s="1" t="s">
        <v>18</v>
      </c>
      <c r="H1322" s="1" t="s">
        <v>19</v>
      </c>
      <c r="I1322" s="1" t="s">
        <v>20</v>
      </c>
      <c r="J1322" s="1" t="s">
        <v>6259</v>
      </c>
      <c r="K1322" s="1" t="s">
        <v>22</v>
      </c>
      <c r="L1322" s="1" t="str">
        <f>HYPERLINK("https://files.afu.se/Downloads/Transcripts/0%20-%20Government/USA%20-%20NASA/2016 12 17 - NASA - NASA Administrator, other Officials Pay Respects at John Glenn Viewing_E0gaG1aNvkE - transcript (automated).pdf","Transcript Link")</f>
        <v>Transcript Link</v>
      </c>
      <c r="M1322" s="2" t="str">
        <f>HYPERLINK("https://files.afu.se/Downloads/Transcripts/0%20-%20Government/USA%20-%20NASA/2016 12 17 - NASA - NASA Administrator, other Officials Pay Respects at John Glenn Viewing_E0gaG1aNvkE - transcript (automated).pdf","Transcript Link")</f>
        <v>Transcript Link</v>
      </c>
    </row>
    <row r="1323" ht="165" spans="1:13">
      <c r="A1323" s="1" t="s">
        <v>6251</v>
      </c>
      <c r="B1323" s="1" t="s">
        <v>13</v>
      </c>
      <c r="C1323" s="4" t="s">
        <v>6260</v>
      </c>
      <c r="D1323" s="1" t="s">
        <v>6261</v>
      </c>
      <c r="E1323" s="1" t="s">
        <v>6262</v>
      </c>
      <c r="F1323" s="4" t="s">
        <v>17</v>
      </c>
      <c r="G1323" s="1" t="s">
        <v>18</v>
      </c>
      <c r="H1323" s="1" t="s">
        <v>19</v>
      </c>
      <c r="I1323" s="1" t="s">
        <v>20</v>
      </c>
      <c r="J1323" s="1" t="s">
        <v>6263</v>
      </c>
      <c r="K1323" s="1" t="s">
        <v>22</v>
      </c>
      <c r="L1323" s="1" t="str">
        <f>HYPERLINK("https://files.afu.se/Downloads/Transcripts/0%20-%20Government/USA%20-%20NASA/2016 12 17 - NASA - Former NASA Astronaut and U.S. Senator John Glenn Lies in State at Ohio Capitol_-2yVN_hL-Xo - transcript (automated).pdf","Transcript Link")</f>
        <v>Transcript Link</v>
      </c>
      <c r="M1323" s="2" t="str">
        <f>HYPERLINK("https://files.afu.se/Downloads/Transcripts/0%20-%20Government/USA%20-%20NASA/2016 12 17 - NASA - Former NASA Astronaut and U.S. Senator John Glenn Lies in State at Ohio Capitol_-2yVN_hL-Xo - transcript (automated).pdf","Transcript Link")</f>
        <v>Transcript Link</v>
      </c>
    </row>
    <row r="1324" ht="255" spans="1:13">
      <c r="A1324" s="1" t="s">
        <v>6251</v>
      </c>
      <c r="B1324" s="1" t="s">
        <v>13</v>
      </c>
      <c r="C1324" s="4" t="s">
        <v>6264</v>
      </c>
      <c r="D1324" s="1" t="s">
        <v>6265</v>
      </c>
      <c r="E1324" s="1" t="s">
        <v>6266</v>
      </c>
      <c r="F1324" s="4" t="s">
        <v>17</v>
      </c>
      <c r="G1324" s="1" t="s">
        <v>18</v>
      </c>
      <c r="H1324" s="1" t="s">
        <v>19</v>
      </c>
      <c r="I1324" s="1" t="s">
        <v>20</v>
      </c>
      <c r="J1324" s="1" t="s">
        <v>6267</v>
      </c>
      <c r="K1324" s="1" t="s">
        <v>22</v>
      </c>
      <c r="L1324" s="1" t="str">
        <f>HYPERLINK("https://files.afu.se/Downloads/Transcripts/0%20-%20Government/USA%20-%20NASA/2016 12 17 - NASA - Public Viewing Held for Late, Former NASA Astronaut and U.S. Senator, John Glenn_BAv5bA2_5q8 - transcript (automated).pdf","Transcript Link")</f>
        <v>Transcript Link</v>
      </c>
      <c r="M1324" s="2" t="str">
        <f>HYPERLINK("https://files.afu.se/Downloads/Transcripts/0%20-%20Government/USA%20-%20NASA/2016 12 17 - NASA - Public Viewing Held for Late, Former NASA Astronaut and U.S. Senator, John Glenn_BAv5bA2_5q8 - transcript (automated).pdf","Transcript Link")</f>
        <v>Transcript Link</v>
      </c>
    </row>
    <row r="1325" ht="165" spans="1:13">
      <c r="A1325" s="1" t="s">
        <v>6268</v>
      </c>
      <c r="B1325" s="1" t="s">
        <v>13</v>
      </c>
      <c r="C1325" s="4" t="s">
        <v>6269</v>
      </c>
      <c r="D1325" s="1" t="s">
        <v>6270</v>
      </c>
      <c r="E1325" s="1" t="s">
        <v>6271</v>
      </c>
      <c r="F1325" s="4" t="s">
        <v>17</v>
      </c>
      <c r="G1325" s="1" t="s">
        <v>18</v>
      </c>
      <c r="H1325" s="1" t="s">
        <v>19</v>
      </c>
      <c r="I1325" s="1" t="s">
        <v>20</v>
      </c>
      <c r="J1325" s="1" t="s">
        <v>6272</v>
      </c>
      <c r="K1325" s="1" t="s">
        <v>22</v>
      </c>
      <c r="L1325" s="1" t="str">
        <f>HYPERLINK("https://files.afu.se/Downloads/Transcripts/0%20-%20Government/USA%20-%20NASA/2016 12 15 - NASA - What Happened This Year @NASA – December 15, 2016_0at7Dq3mtFo - transcript (automated).pdf","Transcript Link")</f>
        <v>Transcript Link</v>
      </c>
      <c r="M1325" s="2" t="str">
        <f>HYPERLINK("https://files.afu.se/Downloads/Transcripts/0%20-%20Government/USA%20-%20NASA/2016 12 15 - NASA - What Happened This Year @NASA – December 15, 2016_0at7Dq3mtFo - transcript (automated).pdf","Transcript Link")</f>
        <v>Transcript Link</v>
      </c>
    </row>
    <row r="1326" ht="165" spans="1:13">
      <c r="A1326" s="1" t="s">
        <v>6268</v>
      </c>
      <c r="B1326" s="1" t="s">
        <v>13</v>
      </c>
      <c r="C1326" s="4" t="s">
        <v>6273</v>
      </c>
      <c r="D1326" s="1" t="s">
        <v>6274</v>
      </c>
      <c r="E1326" s="1" t="s">
        <v>6275</v>
      </c>
      <c r="F1326" s="4" t="s">
        <v>17</v>
      </c>
      <c r="G1326" s="1" t="s">
        <v>18</v>
      </c>
      <c r="H1326" s="1" t="s">
        <v>19</v>
      </c>
      <c r="I1326" s="1" t="s">
        <v>20</v>
      </c>
      <c r="J1326" s="1" t="s">
        <v>6276</v>
      </c>
      <c r="K1326" s="1" t="s">
        <v>22</v>
      </c>
      <c r="L1326" s="1" t="str">
        <f>HYPERLINK("https://files.afu.se/Downloads/Transcripts/0%20-%20Government/USA%20-%20NASA/2016 12 15 - NASA - Space Station Commander Discusses Life in Space with Massachusetts Students_P2Aj3jGni-I - transcript (automated).pdf","Transcript Link")</f>
        <v>Transcript Link</v>
      </c>
      <c r="M1326" s="2" t="str">
        <f>HYPERLINK("https://files.afu.se/Downloads/Transcripts/0%20-%20Government/USA%20-%20NASA/2016 12 15 - NASA - Space Station Commander Discusses Life in Space with Massachusetts Students_P2Aj3jGni-I - transcript (automated).pdf","Transcript Link")</f>
        <v>Transcript Link</v>
      </c>
    </row>
    <row r="1327" ht="165" spans="1:13">
      <c r="A1327" s="1" t="s">
        <v>6268</v>
      </c>
      <c r="B1327" s="1" t="s">
        <v>13</v>
      </c>
      <c r="C1327" s="4" t="s">
        <v>6277</v>
      </c>
      <c r="D1327" s="1" t="s">
        <v>6278</v>
      </c>
      <c r="E1327" s="1" t="s">
        <v>6279</v>
      </c>
      <c r="F1327" s="4" t="s">
        <v>17</v>
      </c>
      <c r="G1327" s="1" t="s">
        <v>18</v>
      </c>
      <c r="H1327" s="1" t="s">
        <v>19</v>
      </c>
      <c r="I1327" s="1" t="s">
        <v>20</v>
      </c>
      <c r="J1327" s="1" t="s">
        <v>6280</v>
      </c>
      <c r="K1327" s="1" t="s">
        <v>22</v>
      </c>
      <c r="L1327" s="1" t="str">
        <f>HYPERLINK("https://files.afu.se/Downloads/Transcripts/0%20-%20Government/USA%20-%20NASA/2016 12 15 - NASA - NASA Launches Satellite Constellation for Hurricane Tracking Mission_JKMUpi9IP3A - transcript (automated).pdf","Transcript Link")</f>
        <v>Transcript Link</v>
      </c>
      <c r="M1327" s="2" t="str">
        <f>HYPERLINK("https://files.afu.se/Downloads/Transcripts/0%20-%20Government/USA%20-%20NASA/2016 12 15 - NASA - NASA Launches Satellite Constellation for Hurricane Tracking Mission_JKMUpi9IP3A - transcript (automated).pdf","Transcript Link")</f>
        <v>Transcript Link</v>
      </c>
    </row>
    <row r="1328" ht="210" spans="1:13">
      <c r="A1328" s="1" t="s">
        <v>6281</v>
      </c>
      <c r="B1328" s="1" t="s">
        <v>13</v>
      </c>
      <c r="C1328" s="4" t="s">
        <v>6282</v>
      </c>
      <c r="D1328" s="1" t="s">
        <v>6283</v>
      </c>
      <c r="E1328" s="1" t="s">
        <v>6284</v>
      </c>
      <c r="F1328" s="4" t="s">
        <v>17</v>
      </c>
      <c r="G1328" s="1" t="s">
        <v>18</v>
      </c>
      <c r="H1328" s="1" t="s">
        <v>19</v>
      </c>
      <c r="I1328" s="1" t="s">
        <v>20</v>
      </c>
      <c r="J1328" s="1" t="s">
        <v>6285</v>
      </c>
      <c r="K1328" s="1" t="s">
        <v>22</v>
      </c>
      <c r="L1328" s="1" t="str">
        <f>HYPERLINK("https://files.afu.se/Downloads/Transcripts/0%20-%20Government/USA%20-%20NASA/2016 12 14 - NASA - The Talent of Hidden Figures Visit Kennedy Space Center_qoMtPgyafHg - transcript (automated).pdf","Transcript Link")</f>
        <v>Transcript Link</v>
      </c>
      <c r="M1328" s="2" t="str">
        <f>HYPERLINK("https://files.afu.se/Downloads/Transcripts/0%20-%20Government/USA%20-%20NASA/2016 12 14 - NASA - The Talent of Hidden Figures Visit Kennedy Space Center_qoMtPgyafHg - transcript (automated).pdf","Transcript Link")</f>
        <v>Transcript Link</v>
      </c>
    </row>
    <row r="1329" ht="195" spans="1:13">
      <c r="A1329" s="1" t="s">
        <v>6281</v>
      </c>
      <c r="B1329" s="1" t="s">
        <v>13</v>
      </c>
      <c r="C1329" s="4" t="s">
        <v>6286</v>
      </c>
      <c r="D1329" s="1" t="s">
        <v>6287</v>
      </c>
      <c r="E1329" s="1" t="s">
        <v>6288</v>
      </c>
      <c r="F1329" s="4" t="s">
        <v>17</v>
      </c>
      <c r="G1329" s="1" t="s">
        <v>18</v>
      </c>
      <c r="H1329" s="1" t="s">
        <v>19</v>
      </c>
      <c r="I1329" s="1" t="s">
        <v>20</v>
      </c>
      <c r="J1329" s="1" t="s">
        <v>6289</v>
      </c>
      <c r="K1329" s="1" t="s">
        <v>22</v>
      </c>
      <c r="L1329" s="1" t="str">
        <f>HYPERLINK("https://files.afu.se/Downloads/Transcripts/0%20-%20Government/USA%20-%20NASA/2016 12 14 - NASA - NASA Science On Display at American Geophysical Union Meeting_BAopjEcxIUQ - transcript (automated).pdf","Transcript Link")</f>
        <v>Transcript Link</v>
      </c>
      <c r="M1329" s="2" t="str">
        <f>HYPERLINK("https://files.afu.se/Downloads/Transcripts/0%20-%20Government/USA%20-%20NASA/2016 12 14 - NASA - NASA Science On Display at American Geophysical Union Meeting_BAopjEcxIUQ - transcript (automated).pdf","Transcript Link")</f>
        <v>Transcript Link</v>
      </c>
    </row>
    <row r="1330" ht="165" spans="1:13">
      <c r="A1330" s="1" t="s">
        <v>6281</v>
      </c>
      <c r="B1330" s="1" t="s">
        <v>13</v>
      </c>
      <c r="C1330" s="4" t="s">
        <v>6290</v>
      </c>
      <c r="D1330" s="1" t="s">
        <v>6291</v>
      </c>
      <c r="E1330" s="1" t="s">
        <v>6292</v>
      </c>
      <c r="F1330" s="4" t="s">
        <v>17</v>
      </c>
      <c r="G1330" s="1" t="s">
        <v>18</v>
      </c>
      <c r="H1330" s="1" t="s">
        <v>19</v>
      </c>
      <c r="I1330" s="1" t="s">
        <v>20</v>
      </c>
      <c r="J1330" s="1" t="s">
        <v>6293</v>
      </c>
      <c r="K1330" s="1" t="s">
        <v>22</v>
      </c>
      <c r="L1330" s="1" t="str">
        <f>HYPERLINK("https://files.afu.se/Downloads/Transcripts/0%20-%20Government/USA%20-%20NASA/2016 12 14 - NASA - NASA Modern Figure  Christyl Johnson_qX612jbS9po - transcript (automated).pdf","Transcript Link")</f>
        <v>Transcript Link</v>
      </c>
      <c r="M1330" s="2" t="str">
        <f>HYPERLINK("https://files.afu.se/Downloads/Transcripts/0%20-%20Government/USA%20-%20NASA/2016 12 14 - NASA - NASA Modern Figure  Christyl Johnson_qX612jbS9po - transcript (automated).pdf","Transcript Link")</f>
        <v>Transcript Link</v>
      </c>
    </row>
    <row r="1331" ht="165" spans="1:13">
      <c r="A1331" s="1" t="s">
        <v>6294</v>
      </c>
      <c r="B1331" s="1" t="s">
        <v>13</v>
      </c>
      <c r="C1331" s="4" t="s">
        <v>6295</v>
      </c>
      <c r="D1331" s="1" t="s">
        <v>6296</v>
      </c>
      <c r="E1331" s="1" t="s">
        <v>6297</v>
      </c>
      <c r="F1331" s="4" t="s">
        <v>17</v>
      </c>
      <c r="G1331" s="1" t="s">
        <v>18</v>
      </c>
      <c r="H1331" s="1" t="s">
        <v>19</v>
      </c>
      <c r="I1331" s="1" t="s">
        <v>20</v>
      </c>
      <c r="J1331" s="1" t="s">
        <v>6298</v>
      </c>
      <c r="K1331" s="1" t="s">
        <v>22</v>
      </c>
      <c r="L1331" s="1" t="str">
        <f>HYPERLINK("https://files.afu.se/Downloads/Transcripts/0%20-%20Government/USA%20-%20NASA/2016 12 13 - NASA - Japanese Cargo Ship Attached to the International Space Station_iPCaqbM3474 - transcript (automated).pdf","Transcript Link")</f>
        <v>Transcript Link</v>
      </c>
      <c r="M1331" s="2" t="str">
        <f>HYPERLINK("https://files.afu.se/Downloads/Transcripts/0%20-%20Government/USA%20-%20NASA/2016 12 13 - NASA - Japanese Cargo Ship Attached to the International Space Station_iPCaqbM3474 - transcript (automated).pdf","Transcript Link")</f>
        <v>Transcript Link</v>
      </c>
    </row>
    <row r="1332" ht="165" spans="1:13">
      <c r="A1332" s="1" t="s">
        <v>6294</v>
      </c>
      <c r="B1332" s="1" t="s">
        <v>13</v>
      </c>
      <c r="C1332" s="4" t="s">
        <v>6299</v>
      </c>
      <c r="D1332" s="1" t="s">
        <v>6300</v>
      </c>
      <c r="E1332" s="1" t="s">
        <v>6301</v>
      </c>
      <c r="F1332" s="4" t="s">
        <v>17</v>
      </c>
      <c r="G1332" s="1" t="s">
        <v>18</v>
      </c>
      <c r="H1332" s="1" t="s">
        <v>19</v>
      </c>
      <c r="I1332" s="1" t="s">
        <v>20</v>
      </c>
      <c r="J1332" s="1" t="s">
        <v>6302</v>
      </c>
      <c r="K1332" s="1" t="s">
        <v>22</v>
      </c>
      <c r="L1332" s="1" t="str">
        <f>HYPERLINK("https://files.afu.se/Downloads/Transcripts/0%20-%20Government/USA%20-%20NASA/2016 12 13 - NASA - Japanese Cargo Ship Arrives at the International Space Station_EZoJdZhvadE - transcript (automated).pdf","Transcript Link")</f>
        <v>Transcript Link</v>
      </c>
      <c r="M1332" s="2" t="str">
        <f>HYPERLINK("https://files.afu.se/Downloads/Transcripts/0%20-%20Government/USA%20-%20NASA/2016 12 13 - NASA - Japanese Cargo Ship Arrives at the International Space Station_EZoJdZhvadE - transcript (automated).pdf","Transcript Link")</f>
        <v>Transcript Link</v>
      </c>
    </row>
    <row r="1333" ht="165" spans="1:13">
      <c r="A1333" s="1" t="s">
        <v>6303</v>
      </c>
      <c r="B1333" s="1" t="s">
        <v>13</v>
      </c>
      <c r="C1333" s="4" t="s">
        <v>6304</v>
      </c>
      <c r="D1333" s="1" t="s">
        <v>6305</v>
      </c>
      <c r="E1333" s="1" t="s">
        <v>6306</v>
      </c>
      <c r="F1333" s="4" t="s">
        <v>17</v>
      </c>
      <c r="G1333" s="1" t="s">
        <v>18</v>
      </c>
      <c r="H1333" s="1" t="s">
        <v>19</v>
      </c>
      <c r="I1333" s="1" t="s">
        <v>20</v>
      </c>
      <c r="J1333" s="1" t="s">
        <v>6307</v>
      </c>
      <c r="K1333" s="1" t="s">
        <v>22</v>
      </c>
      <c r="L1333" s="1" t="str">
        <f>HYPERLINK("https://files.afu.se/Downloads/Transcripts/0%20-%20Government/USA%20-%20NASA/2016 12 12 - NASA - NASA Invites Media to Talk with Cast of Hidden Figures_YWuo8bcIXiM - transcript (automated).pdf","Transcript Link")</f>
        <v>Transcript Link</v>
      </c>
      <c r="M1333" s="2" t="str">
        <f>HYPERLINK("https://files.afu.se/Downloads/Transcripts/0%20-%20Government/USA%20-%20NASA/2016 12 12 - NASA - NASA Invites Media to Talk with Cast of Hidden Figures_YWuo8bcIXiM - transcript (automated).pdf","Transcript Link")</f>
        <v>Transcript Link</v>
      </c>
    </row>
    <row r="1334" ht="165" spans="1:13">
      <c r="A1334" s="1" t="s">
        <v>6303</v>
      </c>
      <c r="B1334" s="1" t="s">
        <v>13</v>
      </c>
      <c r="C1334" s="4" t="s">
        <v>6308</v>
      </c>
      <c r="D1334" s="1" t="s">
        <v>6309</v>
      </c>
      <c r="E1334" s="1" t="s">
        <v>6310</v>
      </c>
      <c r="F1334" s="4" t="s">
        <v>17</v>
      </c>
      <c r="G1334" s="1" t="s">
        <v>18</v>
      </c>
      <c r="H1334" s="1" t="s">
        <v>19</v>
      </c>
      <c r="I1334" s="1" t="s">
        <v>20</v>
      </c>
      <c r="J1334" s="1" t="s">
        <v>6311</v>
      </c>
      <c r="K1334" s="1" t="s">
        <v>22</v>
      </c>
      <c r="L1334" s="1" t="str">
        <f>HYPERLINK("https://files.afu.se/Downloads/Transcripts/0%20-%20Government/USA%20-%20NASA/2016 12 12 - NASA - Friendship 7_yNxPO6nYqLc - transcript (automated).pdf","Transcript Link")</f>
        <v>Transcript Link</v>
      </c>
      <c r="M1334" s="2" t="str">
        <f>HYPERLINK("https://files.afu.se/Downloads/Transcripts/0%20-%20Government/USA%20-%20NASA/2016 12 12 - NASA - Friendship 7_yNxPO6nYqLc - transcript (automated).pdf","Transcript Link")</f>
        <v>Transcript Link</v>
      </c>
    </row>
    <row r="1335" ht="165" spans="1:13">
      <c r="A1335" s="1" t="s">
        <v>6312</v>
      </c>
      <c r="B1335" s="1" t="s">
        <v>13</v>
      </c>
      <c r="C1335" s="4" t="s">
        <v>6313</v>
      </c>
      <c r="D1335" s="1" t="s">
        <v>6314</v>
      </c>
      <c r="E1335" s="1" t="s">
        <v>6315</v>
      </c>
      <c r="F1335" s="4" t="s">
        <v>17</v>
      </c>
      <c r="G1335" s="1" t="s">
        <v>18</v>
      </c>
      <c r="H1335" s="1" t="s">
        <v>19</v>
      </c>
      <c r="I1335" s="1" t="s">
        <v>20</v>
      </c>
      <c r="J1335" s="1" t="s">
        <v>6316</v>
      </c>
      <c r="K1335" s="1" t="s">
        <v>22</v>
      </c>
      <c r="L1335" s="1" t="str">
        <f>HYPERLINK("https://files.afu.se/Downloads/Transcripts/0%20-%20Government/USA%20-%20NASA/2016 12 11 - NASA - Hidden Figures in New York_avSZeI7WYgw - transcript (automated).pdf","Transcript Link")</f>
        <v>Transcript Link</v>
      </c>
      <c r="M1335" s="2" t="str">
        <f>HYPERLINK("https://files.afu.se/Downloads/Transcripts/0%20-%20Government/USA%20-%20NASA/2016 12 11 - NASA - Hidden Figures in New York_avSZeI7WYgw - transcript (automated).pdf","Transcript Link")</f>
        <v>Transcript Link</v>
      </c>
    </row>
    <row r="1336" ht="195" spans="1:13">
      <c r="A1336" s="1" t="s">
        <v>6317</v>
      </c>
      <c r="B1336" s="1" t="s">
        <v>13</v>
      </c>
      <c r="C1336" s="4" t="s">
        <v>6318</v>
      </c>
      <c r="D1336" s="1" t="s">
        <v>6319</v>
      </c>
      <c r="E1336" s="1" t="s">
        <v>6320</v>
      </c>
      <c r="F1336" s="4" t="s">
        <v>17</v>
      </c>
      <c r="G1336" s="1" t="s">
        <v>18</v>
      </c>
      <c r="H1336" s="1" t="s">
        <v>19</v>
      </c>
      <c r="I1336" s="1" t="s">
        <v>20</v>
      </c>
      <c r="J1336" s="1" t="s">
        <v>6321</v>
      </c>
      <c r="K1336" s="1" t="s">
        <v>22</v>
      </c>
      <c r="L1336" s="1" t="str">
        <f>HYPERLINK("https://files.afu.se/Downloads/Transcripts/0%20-%20Government/USA%20-%20NASA/2016 12 10 - NASA - Science of Small Satellite Constellation Mission Previewed during Briefing_lXDBaQJI7-8 - transcript (automated).pdf","Transcript Link")</f>
        <v>Transcript Link</v>
      </c>
      <c r="M1336" s="2" t="str">
        <f>HYPERLINK("https://files.afu.se/Downloads/Transcripts/0%20-%20Government/USA%20-%20NASA/2016 12 10 - NASA - Science of Small Satellite Constellation Mission Previewed during Briefing_lXDBaQJI7-8 - transcript (automated).pdf","Transcript Link")</f>
        <v>Transcript Link</v>
      </c>
    </row>
    <row r="1337" ht="210" spans="1:13">
      <c r="A1337" s="1" t="s">
        <v>6317</v>
      </c>
      <c r="B1337" s="1" t="s">
        <v>13</v>
      </c>
      <c r="C1337" s="4" t="s">
        <v>6322</v>
      </c>
      <c r="D1337" s="1" t="s">
        <v>6323</v>
      </c>
      <c r="E1337" s="1" t="s">
        <v>6324</v>
      </c>
      <c r="F1337" s="4" t="s">
        <v>17</v>
      </c>
      <c r="G1337" s="1" t="s">
        <v>18</v>
      </c>
      <c r="H1337" s="1" t="s">
        <v>19</v>
      </c>
      <c r="I1337" s="1" t="s">
        <v>20</v>
      </c>
      <c r="J1337" s="1" t="s">
        <v>6325</v>
      </c>
      <c r="K1337" s="1" t="s">
        <v>22</v>
      </c>
      <c r="L1337" s="1" t="str">
        <f>HYPERLINK("https://files.afu.se/Downloads/Transcripts/0%20-%20Government/USA%20-%20NASA/2016 12 10 - NASA - Status of Small Satellite Constellation Mission Discussed during Pre-launch Briefing_9y86GAOmhC0 - transcript (automated).pdf","Transcript Link")</f>
        <v>Transcript Link</v>
      </c>
      <c r="M1337" s="2" t="str">
        <f>HYPERLINK("https://files.afu.se/Downloads/Transcripts/0%20-%20Government/USA%20-%20NASA/2016 12 10 - NASA - Status of Small Satellite Constellation Mission Discussed during Pre-launch Briefing_9y86GAOmhC0 - transcript (automated).pdf","Transcript Link")</f>
        <v>Transcript Link</v>
      </c>
    </row>
    <row r="1338" ht="165" spans="1:13">
      <c r="A1338" s="1" t="s">
        <v>6326</v>
      </c>
      <c r="B1338" s="1" t="s">
        <v>13</v>
      </c>
      <c r="C1338" s="4" t="s">
        <v>6327</v>
      </c>
      <c r="D1338" s="1" t="s">
        <v>6328</v>
      </c>
      <c r="E1338" s="1" t="s">
        <v>6329</v>
      </c>
      <c r="F1338" s="4" t="s">
        <v>17</v>
      </c>
      <c r="G1338" s="1" t="s">
        <v>18</v>
      </c>
      <c r="H1338" s="1" t="s">
        <v>19</v>
      </c>
      <c r="I1338" s="1" t="s">
        <v>20</v>
      </c>
      <c r="J1338" s="1" t="s">
        <v>6330</v>
      </c>
      <c r="K1338" s="1" t="s">
        <v>22</v>
      </c>
      <c r="L1338" s="1" t="str">
        <f>HYPERLINK("https://files.afu.se/Downloads/Transcripts/0%20-%20Government/USA%20-%20NASA/2016 12 09 - NASA - Space Station Crew Pays Tribute to John Glenn_f_wDJMKSFgY - transcript (automated).pdf","Transcript Link")</f>
        <v>Transcript Link</v>
      </c>
      <c r="M1338" s="2" t="str">
        <f>HYPERLINK("https://files.afu.se/Downloads/Transcripts/0%20-%20Government/USA%20-%20NASA/2016 12 09 - NASA - Space Station Crew Pays Tribute to John Glenn_f_wDJMKSFgY - transcript (automated).pdf","Transcript Link")</f>
        <v>Transcript Link</v>
      </c>
    </row>
    <row r="1339" ht="165" spans="1:13">
      <c r="A1339" s="1" t="s">
        <v>6326</v>
      </c>
      <c r="B1339" s="1" t="s">
        <v>13</v>
      </c>
      <c r="C1339" s="4" t="s">
        <v>6331</v>
      </c>
      <c r="D1339" s="1" t="s">
        <v>6332</v>
      </c>
      <c r="E1339" s="1" t="s">
        <v>6333</v>
      </c>
      <c r="F1339" s="4" t="s">
        <v>17</v>
      </c>
      <c r="G1339" s="1" t="s">
        <v>18</v>
      </c>
      <c r="H1339" s="1" t="s">
        <v>19</v>
      </c>
      <c r="I1339" s="1" t="s">
        <v>20</v>
      </c>
      <c r="J1339" s="1" t="s">
        <v>6334</v>
      </c>
      <c r="K1339" s="1" t="s">
        <v>22</v>
      </c>
      <c r="L1339" s="1" t="str">
        <f>HYPERLINK("https://files.afu.se/Downloads/Transcripts/0%20-%20Government/USA%20-%20NASA/2016 12 09 - NASA - Space Station Crew Member Discusses Life in Space with Discovery Channel_PWaaewxwc90 - transcript (automated).pdf","Transcript Link")</f>
        <v>Transcript Link</v>
      </c>
      <c r="M1339" s="2" t="str">
        <f>HYPERLINK("https://files.afu.se/Downloads/Transcripts/0%20-%20Government/USA%20-%20NASA/2016 12 09 - NASA - Space Station Crew Member Discusses Life in Space with Discovery Channel_PWaaewxwc90 - transcript (automated).pdf","Transcript Link")</f>
        <v>Transcript Link</v>
      </c>
    </row>
    <row r="1340" ht="165" spans="1:13">
      <c r="A1340" s="1" t="s">
        <v>6326</v>
      </c>
      <c r="B1340" s="1" t="s">
        <v>13</v>
      </c>
      <c r="C1340" s="4" t="s">
        <v>6335</v>
      </c>
      <c r="D1340" s="1" t="s">
        <v>6336</v>
      </c>
      <c r="E1340" s="1" t="s">
        <v>6337</v>
      </c>
      <c r="F1340" s="4" t="s">
        <v>17</v>
      </c>
      <c r="G1340" s="1" t="s">
        <v>18</v>
      </c>
      <c r="H1340" s="1" t="s">
        <v>19</v>
      </c>
      <c r="I1340" s="1" t="s">
        <v>20</v>
      </c>
      <c r="J1340" s="1" t="s">
        <v>6338</v>
      </c>
      <c r="K1340" s="1" t="s">
        <v>22</v>
      </c>
      <c r="L1340" s="1" t="str">
        <f>HYPERLINK("https://files.afu.se/Downloads/Transcripts/0%20-%20Government/USA%20-%20NASA/2016 12 09 - NASA - Japanese Cargo Ship Sets Sail on Resupply Run to the International Space Station_e018fUaHqLE - transcript (automated).pdf","Transcript Link")</f>
        <v>Transcript Link</v>
      </c>
      <c r="M1340" s="2" t="str">
        <f>HYPERLINK("https://files.afu.se/Downloads/Transcripts/0%20-%20Government/USA%20-%20NASA/2016 12 09 - NASA - Japanese Cargo Ship Sets Sail on Resupply Run to the International Space Station_e018fUaHqLE - transcript (automated).pdf","Transcript Link")</f>
        <v>Transcript Link</v>
      </c>
    </row>
    <row r="1341" ht="390" spans="1:13">
      <c r="A1341" s="1" t="s">
        <v>6326</v>
      </c>
      <c r="B1341" s="1" t="s">
        <v>13</v>
      </c>
      <c r="C1341" s="4" t="s">
        <v>6339</v>
      </c>
      <c r="D1341" s="1" t="s">
        <v>6340</v>
      </c>
      <c r="E1341" s="1" t="s">
        <v>6341</v>
      </c>
      <c r="F1341" s="4" t="s">
        <v>17</v>
      </c>
      <c r="G1341" s="1" t="s">
        <v>18</v>
      </c>
      <c r="H1341" s="1" t="s">
        <v>19</v>
      </c>
      <c r="I1341" s="1" t="s">
        <v>20</v>
      </c>
      <c r="J1341" s="1" t="s">
        <v>6342</v>
      </c>
      <c r="K1341" s="1" t="s">
        <v>22</v>
      </c>
      <c r="L1341" s="1" t="str">
        <f>HYPERLINK("https://files.afu.se/Downloads/Transcripts/0%20-%20Government/USA%20-%20NASA/2016 12 09 - NASA - NASA Remembers American Legend John Glenn_cj6EkDzO1aA - transcript (automated).pdf","Transcript Link")</f>
        <v>Transcript Link</v>
      </c>
      <c r="M1341" s="2" t="str">
        <f>HYPERLINK("https://files.afu.se/Downloads/Transcripts/0%20-%20Government/USA%20-%20NASA/2016 12 09 - NASA - NASA Remembers American Legend John Glenn_cj6EkDzO1aA - transcript (automated).pdf","Transcript Link")</f>
        <v>Transcript Link</v>
      </c>
    </row>
    <row r="1342" ht="165" spans="1:13">
      <c r="A1342" s="1" t="s">
        <v>6343</v>
      </c>
      <c r="B1342" s="1" t="s">
        <v>13</v>
      </c>
      <c r="C1342" s="4" t="s">
        <v>6344</v>
      </c>
      <c r="D1342" s="1" t="s">
        <v>6345</v>
      </c>
      <c r="F1342" s="4" t="s">
        <v>17</v>
      </c>
      <c r="G1342" s="1" t="s">
        <v>18</v>
      </c>
      <c r="H1342" s="1" t="s">
        <v>19</v>
      </c>
      <c r="I1342" s="1" t="s">
        <v>20</v>
      </c>
      <c r="J1342" s="1" t="s">
        <v>6346</v>
      </c>
      <c r="K1342" s="1" t="s">
        <v>22</v>
      </c>
      <c r="L1342" s="1" t="str">
        <f>HYPERLINK("https://files.afu.se/Downloads/Transcripts/0%20-%20Government/USA%20-%20NASA/2016 12 08 - NASA - John Glenn_NFQf5QCD71o - transcript (automated).pdf","Transcript Link")</f>
        <v>Transcript Link</v>
      </c>
      <c r="M1342" s="2" t="str">
        <f>HYPERLINK("https://files.afu.se/Downloads/Transcripts/0%20-%20Government/USA%20-%20NASA/2016 12 08 - NASA - John Glenn_NFQf5QCD71o - transcript (automated).pdf","Transcript Link")</f>
        <v>Transcript Link</v>
      </c>
    </row>
    <row r="1343" ht="165" spans="1:13">
      <c r="A1343" s="1" t="s">
        <v>6343</v>
      </c>
      <c r="B1343" s="1" t="s">
        <v>13</v>
      </c>
      <c r="C1343" s="4" t="s">
        <v>6347</v>
      </c>
      <c r="D1343" s="1" t="s">
        <v>6348</v>
      </c>
      <c r="E1343" s="1" t="s">
        <v>6349</v>
      </c>
      <c r="F1343" s="4" t="s">
        <v>17</v>
      </c>
      <c r="G1343" s="1" t="s">
        <v>18</v>
      </c>
      <c r="H1343" s="1" t="s">
        <v>19</v>
      </c>
      <c r="I1343" s="1" t="s">
        <v>20</v>
      </c>
      <c r="J1343" s="1" t="s">
        <v>6350</v>
      </c>
      <c r="K1343" s="1" t="s">
        <v>22</v>
      </c>
      <c r="L1343" s="1" t="str">
        <f>HYPERLINK("https://files.afu.se/Downloads/Transcripts/0%20-%20Government/USA%20-%20NASA/2016 12 08 - NASA - John Glenn An American Hero_iwE4y-3WBT0 - transcript (automated).pdf","Transcript Link")</f>
        <v>Transcript Link</v>
      </c>
      <c r="M1343" s="2" t="str">
        <f>HYPERLINK("https://files.afu.se/Downloads/Transcripts/0%20-%20Government/USA%20-%20NASA/2016 12 08 - NASA - John Glenn An American Hero_iwE4y-3WBT0 - transcript (automated).pdf","Transcript Link")</f>
        <v>Transcript Link</v>
      </c>
    </row>
    <row r="1344" ht="165" spans="1:13">
      <c r="A1344" s="1" t="s">
        <v>6343</v>
      </c>
      <c r="B1344" s="1" t="s">
        <v>13</v>
      </c>
      <c r="C1344" s="4" t="s">
        <v>6351</v>
      </c>
      <c r="D1344" s="1" t="s">
        <v>6352</v>
      </c>
      <c r="E1344" s="1" t="s">
        <v>6353</v>
      </c>
      <c r="F1344" s="4" t="s">
        <v>17</v>
      </c>
      <c r="G1344" s="1" t="s">
        <v>18</v>
      </c>
      <c r="H1344" s="1" t="s">
        <v>19</v>
      </c>
      <c r="I1344" s="1" t="s">
        <v>20</v>
      </c>
      <c r="J1344" s="1" t="s">
        <v>6354</v>
      </c>
      <c r="K1344" s="1" t="s">
        <v>22</v>
      </c>
      <c r="L1344" s="1" t="str">
        <f>HYPERLINK("https://files.afu.se/Downloads/Transcripts/0%20-%20Government/USA%20-%20NASA/2016 12 08 - NASA - Voyage of Friendship 7_rQUkpmvhhuQ - transcript (automated).pdf","Transcript Link")</f>
        <v>Transcript Link</v>
      </c>
      <c r="M1344" s="2" t="str">
        <f>HYPERLINK("https://files.afu.se/Downloads/Transcripts/0%20-%20Government/USA%20-%20NASA/2016 12 08 - NASA - Voyage of Friendship 7_rQUkpmvhhuQ - transcript (automated).pdf","Transcript Link")</f>
        <v>Transcript Link</v>
      </c>
    </row>
    <row r="1345" ht="165" spans="1:13">
      <c r="A1345" s="1" t="s">
        <v>6343</v>
      </c>
      <c r="B1345" s="1" t="s">
        <v>13</v>
      </c>
      <c r="C1345" s="4" t="s">
        <v>6355</v>
      </c>
      <c r="D1345" s="1" t="s">
        <v>6356</v>
      </c>
      <c r="E1345" s="1" t="s">
        <v>6357</v>
      </c>
      <c r="F1345" s="4" t="s">
        <v>17</v>
      </c>
      <c r="G1345" s="1" t="s">
        <v>18</v>
      </c>
      <c r="H1345" s="1" t="s">
        <v>19</v>
      </c>
      <c r="I1345" s="1" t="s">
        <v>20</v>
      </c>
      <c r="J1345" s="1" t="s">
        <v>6358</v>
      </c>
      <c r="K1345" s="1" t="s">
        <v>22</v>
      </c>
      <c r="L1345" s="1" t="str">
        <f>HYPERLINK("https://files.afu.se/Downloads/Transcripts/0%20-%20Government/USA%20-%20NASA/2016 12 08 - NASA - The John Glenn Story_YpJFdudBNUw - transcript (automated).pdf","Transcript Link")</f>
        <v>Transcript Link</v>
      </c>
      <c r="M1345" s="2" t="str">
        <f>HYPERLINK("https://files.afu.se/Downloads/Transcripts/0%20-%20Government/USA%20-%20NASA/2016 12 08 - NASA - The John Glenn Story_YpJFdudBNUw - transcript (automated).pdf","Transcript Link")</f>
        <v>Transcript Link</v>
      </c>
    </row>
    <row r="1346" ht="165" spans="1:13">
      <c r="A1346" s="1" t="s">
        <v>6343</v>
      </c>
      <c r="B1346" s="1" t="s">
        <v>13</v>
      </c>
      <c r="C1346" s="4" t="s">
        <v>6359</v>
      </c>
      <c r="D1346" s="1" t="s">
        <v>6360</v>
      </c>
      <c r="E1346" s="1" t="s">
        <v>6361</v>
      </c>
      <c r="F1346" s="4" t="s">
        <v>17</v>
      </c>
      <c r="G1346" s="1" t="s">
        <v>18</v>
      </c>
      <c r="H1346" s="1" t="s">
        <v>19</v>
      </c>
      <c r="I1346" s="1" t="s">
        <v>20</v>
      </c>
      <c r="J1346" s="1" t="s">
        <v>6362</v>
      </c>
      <c r="K1346" s="1" t="s">
        <v>22</v>
      </c>
      <c r="L1346" s="1" t="str">
        <f>HYPERLINK("https://files.afu.se/Downloads/Transcripts/0%20-%20Government/USA%20-%20NASA/2016 12 08 - NASA - NASA Modern Figure  Gilena Monroe_RHTAQG8xXz8 - transcript (automated).pdf","Transcript Link")</f>
        <v>Transcript Link</v>
      </c>
      <c r="M1346" s="2" t="str">
        <f>HYPERLINK("https://files.afu.se/Downloads/Transcripts/0%20-%20Government/USA%20-%20NASA/2016 12 08 - NASA - NASA Modern Figure  Gilena Monroe_RHTAQG8xXz8 - transcript (automated).pdf","Transcript Link")</f>
        <v>Transcript Link</v>
      </c>
    </row>
    <row r="1347" ht="165" spans="1:13">
      <c r="A1347" s="1" t="s">
        <v>6363</v>
      </c>
      <c r="B1347" s="1" t="s">
        <v>13</v>
      </c>
      <c r="C1347" s="4" t="s">
        <v>6364</v>
      </c>
      <c r="D1347" s="1" t="s">
        <v>6365</v>
      </c>
      <c r="E1347" s="1" t="s">
        <v>6366</v>
      </c>
      <c r="F1347" s="4" t="s">
        <v>17</v>
      </c>
      <c r="G1347" s="1" t="s">
        <v>18</v>
      </c>
      <c r="H1347" s="1" t="s">
        <v>19</v>
      </c>
      <c r="I1347" s="1" t="s">
        <v>20</v>
      </c>
      <c r="J1347" s="1" t="s">
        <v>6367</v>
      </c>
      <c r="K1347" s="1" t="s">
        <v>22</v>
      </c>
      <c r="L1347" s="1" t="str">
        <f>HYPERLINK("https://files.afu.se/Downloads/Transcripts/0%20-%20Government/USA%20-%20NASA/2016 12 07 - NASA - Passengers to an Exoplanet_LVk_28d5Gb8 - transcript (automated).pdf","Transcript Link")</f>
        <v>Transcript Link</v>
      </c>
      <c r="M1347" s="2" t="str">
        <f>HYPERLINK("https://files.afu.se/Downloads/Transcripts/0%20-%20Government/USA%20-%20NASA/2016 12 07 - NASA - Passengers to an Exoplanet_LVk_28d5Gb8 - transcript (automated).pdf","Transcript Link")</f>
        <v>Transcript Link</v>
      </c>
    </row>
    <row r="1348" ht="165" spans="1:13">
      <c r="A1348" s="1" t="s">
        <v>6368</v>
      </c>
      <c r="B1348" s="1" t="s">
        <v>13</v>
      </c>
      <c r="C1348" s="4" t="s">
        <v>6369</v>
      </c>
      <c r="D1348" s="1" t="s">
        <v>6370</v>
      </c>
      <c r="E1348" s="1" t="s">
        <v>6371</v>
      </c>
      <c r="F1348" s="4" t="s">
        <v>17</v>
      </c>
      <c r="G1348" s="1" t="s">
        <v>18</v>
      </c>
      <c r="H1348" s="1" t="s">
        <v>19</v>
      </c>
      <c r="I1348" s="1" t="s">
        <v>20</v>
      </c>
      <c r="J1348" s="1" t="s">
        <v>6372</v>
      </c>
      <c r="K1348" s="1" t="s">
        <v>22</v>
      </c>
      <c r="L1348" s="1" t="str">
        <f>HYPERLINK("https://files.afu.se/Downloads/Transcripts/0%20-%20Government/USA%20-%20NASA/2016 12 06 - NASA - Space Station Crew Member Discusses Life in Space with French Officials_gBbpI9Qp2Jk - transcript (automated).pdf","Transcript Link")</f>
        <v>Transcript Link</v>
      </c>
      <c r="M1348" s="2" t="str">
        <f>HYPERLINK("https://files.afu.se/Downloads/Transcripts/0%20-%20Government/USA%20-%20NASA/2016 12 06 - NASA - Space Station Crew Member Discusses Life in Space with French Officials_gBbpI9Qp2Jk - transcript (automated).pdf","Transcript Link")</f>
        <v>Transcript Link</v>
      </c>
    </row>
    <row r="1349" ht="165" spans="1:13">
      <c r="A1349" s="1" t="s">
        <v>6373</v>
      </c>
      <c r="B1349" s="1" t="s">
        <v>13</v>
      </c>
      <c r="C1349" s="4" t="s">
        <v>6374</v>
      </c>
      <c r="D1349" s="1" t="s">
        <v>6375</v>
      </c>
      <c r="E1349" s="1" t="s">
        <v>6376</v>
      </c>
      <c r="F1349" s="4" t="s">
        <v>17</v>
      </c>
      <c r="G1349" s="1" t="s">
        <v>18</v>
      </c>
      <c r="H1349" s="1" t="s">
        <v>19</v>
      </c>
      <c r="I1349" s="1" t="s">
        <v>20</v>
      </c>
      <c r="J1349" s="1" t="s">
        <v>6377</v>
      </c>
      <c r="K1349" s="1" t="s">
        <v>22</v>
      </c>
      <c r="L1349" s="1" t="str">
        <f>HYPERLINK("https://files.afu.se/Downloads/Transcripts/0%20-%20Government/USA%20-%20NASA/2016 12 05 - NASA - Spinoff 2017_c_IBugQhvNU - transcript (automated).pdf","Transcript Link")</f>
        <v>Transcript Link</v>
      </c>
      <c r="M1349" s="2" t="str">
        <f>HYPERLINK("https://files.afu.se/Downloads/Transcripts/0%20-%20Government/USA%20-%20NASA/2016 12 05 - NASA - Spinoff 2017_c_IBugQhvNU - transcript (automated).pdf","Transcript Link")</f>
        <v>Transcript Link</v>
      </c>
    </row>
    <row r="1350" ht="360" spans="1:13">
      <c r="A1350" s="1" t="s">
        <v>6378</v>
      </c>
      <c r="B1350" s="1" t="s">
        <v>13</v>
      </c>
      <c r="C1350" s="4" t="s">
        <v>6379</v>
      </c>
      <c r="D1350" s="1" t="s">
        <v>6380</v>
      </c>
      <c r="E1350" s="1" t="s">
        <v>6381</v>
      </c>
      <c r="F1350" s="4" t="s">
        <v>17</v>
      </c>
      <c r="G1350" s="1" t="s">
        <v>18</v>
      </c>
      <c r="H1350" s="1" t="s">
        <v>19</v>
      </c>
      <c r="I1350" s="1" t="s">
        <v>20</v>
      </c>
      <c r="J1350" s="1" t="s">
        <v>6382</v>
      </c>
      <c r="K1350" s="1" t="s">
        <v>22</v>
      </c>
      <c r="L1350" s="1" t="str">
        <f>HYPERLINK("https://files.afu.se/Downloads/Transcripts/0%20-%20Government/USA%20-%20NASA/2016 12 02 - NASA - Langley Centennial Celebration Highlights Hidden Figures on This Week @NASA – December 2, 2016_n8IFx26R3VE - transcript (automated).pdf","Transcript Link")</f>
        <v>Transcript Link</v>
      </c>
      <c r="M1350" s="2" t="str">
        <f>HYPERLINK("https://files.afu.se/Downloads/Transcripts/0%20-%20Government/USA%20-%20NASA/2016 12 02 - NASA - Langley Centennial Celebration Highlights Hidden Figures on This Week @NASA – December 2, 2016_n8IFx26R3VE - transcript (automated).pdf","Transcript Link")</f>
        <v>Transcript Link</v>
      </c>
    </row>
    <row r="1351" ht="165" spans="1:13">
      <c r="A1351" s="1" t="s">
        <v>6378</v>
      </c>
      <c r="B1351" s="1" t="s">
        <v>13</v>
      </c>
      <c r="C1351" s="4" t="s">
        <v>6383</v>
      </c>
      <c r="D1351" s="1" t="s">
        <v>6384</v>
      </c>
      <c r="E1351" s="1" t="s">
        <v>6385</v>
      </c>
      <c r="F1351" s="4" t="s">
        <v>17</v>
      </c>
      <c r="G1351" s="1" t="s">
        <v>18</v>
      </c>
      <c r="H1351" s="1" t="s">
        <v>19</v>
      </c>
      <c r="I1351" s="1" t="s">
        <v>20</v>
      </c>
      <c r="J1351" s="1" t="s">
        <v>6386</v>
      </c>
      <c r="K1351" s="1" t="s">
        <v>22</v>
      </c>
      <c r="L1351" s="1" t="str">
        <f>HYPERLINK("https://files.afu.se/Downloads/Transcripts/0%20-%20Government/USA%20-%20NASA/2016 12 02 - NASA - Hidden Figures at NASA Langley Research Center_XauCMYOxtwk - transcript (automated).pdf","Transcript Link")</f>
        <v>Transcript Link</v>
      </c>
      <c r="M1351" s="2" t="str">
        <f>HYPERLINK("https://files.afu.se/Downloads/Transcripts/0%20-%20Government/USA%20-%20NASA/2016 12 02 - NASA - Hidden Figures at NASA Langley Research Center_XauCMYOxtwk - transcript (automated).pdf","Transcript Link")</f>
        <v>Transcript Link</v>
      </c>
    </row>
    <row r="1352" ht="210" spans="1:13">
      <c r="A1352" s="1" t="s">
        <v>6387</v>
      </c>
      <c r="B1352" s="1" t="s">
        <v>13</v>
      </c>
      <c r="C1352" s="4" t="s">
        <v>6388</v>
      </c>
      <c r="D1352" s="1" t="s">
        <v>6389</v>
      </c>
      <c r="E1352" s="1" t="s">
        <v>6390</v>
      </c>
      <c r="F1352" s="4" t="s">
        <v>17</v>
      </c>
      <c r="G1352" s="1" t="s">
        <v>18</v>
      </c>
      <c r="H1352" s="1" t="s">
        <v>19</v>
      </c>
      <c r="I1352" s="1" t="s">
        <v>20</v>
      </c>
      <c r="J1352" s="1" t="s">
        <v>6391</v>
      </c>
      <c r="K1352" s="1" t="s">
        <v>22</v>
      </c>
      <c r="L1352" s="1" t="str">
        <f>HYPERLINK("https://files.afu.se/Downloads/Transcripts/0%20-%20Government/USA%20-%20NASA/2016 12 01 - NASA - Real People Behind NASA’s Hidden Figures_S0STm4i5hIE - transcript (automated).pdf","Transcript Link")</f>
        <v>Transcript Link</v>
      </c>
      <c r="M1352" s="2" t="str">
        <f>HYPERLINK("https://files.afu.se/Downloads/Transcripts/0%20-%20Government/USA%20-%20NASA/2016 12 01 - NASA - Real People Behind NASA’s Hidden Figures_S0STm4i5hIE - transcript (automated).pdf","Transcript Link")</f>
        <v>Transcript Link</v>
      </c>
    </row>
    <row r="1353" ht="165" spans="1:13">
      <c r="A1353" s="1" t="s">
        <v>6387</v>
      </c>
      <c r="B1353" s="1" t="s">
        <v>13</v>
      </c>
      <c r="C1353" s="4" t="s">
        <v>6392</v>
      </c>
      <c r="D1353" s="1" t="s">
        <v>6393</v>
      </c>
      <c r="E1353" s="1" t="s">
        <v>6394</v>
      </c>
      <c r="F1353" s="4" t="s">
        <v>17</v>
      </c>
      <c r="G1353" s="1" t="s">
        <v>18</v>
      </c>
      <c r="H1353" s="1" t="s">
        <v>19</v>
      </c>
      <c r="I1353" s="1" t="s">
        <v>20</v>
      </c>
      <c r="J1353" s="1" t="s">
        <v>6395</v>
      </c>
      <c r="K1353" s="1" t="s">
        <v>22</v>
      </c>
      <c r="L1353" s="1" t="str">
        <f>HYPERLINK("https://files.afu.se/Downloads/Transcripts/0%20-%20Government/USA%20-%20NASA/2016 12 01 - NASA - NASA Modern Figure  Christina Diaz_DRyc7Ljf-2M - transcript (automated).pdf","Transcript Link")</f>
        <v>Transcript Link</v>
      </c>
      <c r="M1353" s="2" t="str">
        <f>HYPERLINK("https://files.afu.se/Downloads/Transcripts/0%20-%20Government/USA%20-%20NASA/2016 12 01 - NASA - NASA Modern Figure  Christina Diaz_DRyc7Ljf-2M - transcript (automated).pdf","Transcript Link")</f>
        <v>Transcript Link</v>
      </c>
    </row>
    <row r="1354" ht="165" spans="1:13">
      <c r="A1354" s="1" t="s">
        <v>6387</v>
      </c>
      <c r="B1354" s="1" t="s">
        <v>13</v>
      </c>
      <c r="C1354" s="4" t="s">
        <v>6396</v>
      </c>
      <c r="D1354" s="1" t="s">
        <v>6397</v>
      </c>
      <c r="E1354" s="1" t="s">
        <v>6398</v>
      </c>
      <c r="F1354" s="4" t="s">
        <v>17</v>
      </c>
      <c r="G1354" s="1" t="s">
        <v>18</v>
      </c>
      <c r="H1354" s="1" t="s">
        <v>19</v>
      </c>
      <c r="I1354" s="1" t="s">
        <v>20</v>
      </c>
      <c r="J1354" s="1" t="s">
        <v>6399</v>
      </c>
      <c r="K1354" s="1" t="s">
        <v>22</v>
      </c>
      <c r="L1354" s="1" t="str">
        <f>HYPERLINK("https://files.afu.se/Downloads/Transcripts/0%20-%20Government/USA%20-%20NASA/2016 12 01 - NASA - Welcome to NASA's Modern Figures_5E4Hy3PMizo - transcript (automated).pdf","Transcript Link")</f>
        <v>Transcript Link</v>
      </c>
      <c r="M1354" s="2" t="str">
        <f>HYPERLINK("https://files.afu.se/Downloads/Transcripts/0%20-%20Government/USA%20-%20NASA/2016 12 01 - NASA - Welcome to NASA's Modern Figures_5E4Hy3PMizo - transcript (automated).pdf","Transcript Link")</f>
        <v>Transcript Link</v>
      </c>
    </row>
    <row r="1355" ht="165" spans="1:13">
      <c r="A1355" s="1" t="s">
        <v>6387</v>
      </c>
      <c r="B1355" s="1" t="s">
        <v>13</v>
      </c>
      <c r="C1355" s="4" t="s">
        <v>6400</v>
      </c>
      <c r="D1355" s="1" t="s">
        <v>6401</v>
      </c>
      <c r="E1355" s="1" t="s">
        <v>6402</v>
      </c>
      <c r="F1355" s="4" t="s">
        <v>17</v>
      </c>
      <c r="G1355" s="1" t="s">
        <v>18</v>
      </c>
      <c r="H1355" s="1" t="s">
        <v>19</v>
      </c>
      <c r="I1355" s="1" t="s">
        <v>20</v>
      </c>
      <c r="J1355" s="1" t="s">
        <v>6403</v>
      </c>
      <c r="K1355" s="1" t="s">
        <v>22</v>
      </c>
      <c r="L1355" s="1" t="str">
        <f>HYPERLINK("https://files.afu.se/Downloads/Transcripts/0%20-%20Government/USA%20-%20NASA/2016 12 01 - NASA - NASA Modern Figure  Julie Williams-Byrd__qlI0w3NS-w - transcript (automated).pdf","Transcript Link")</f>
        <v>Transcript Link</v>
      </c>
      <c r="M1355" s="2" t="str">
        <f>HYPERLINK("https://files.afu.se/Downloads/Transcripts/0%20-%20Government/USA%20-%20NASA/2016 12 01 - NASA - NASA Modern Figure  Julie Williams-Byrd__qlI0w3NS-w - transcript (automated).pdf","Transcript Link")</f>
        <v>Transcript Link</v>
      </c>
    </row>
    <row r="1356" ht="165" spans="1:13">
      <c r="A1356" s="1" t="s">
        <v>6387</v>
      </c>
      <c r="B1356" s="1" t="s">
        <v>13</v>
      </c>
      <c r="C1356" s="4" t="s">
        <v>6404</v>
      </c>
      <c r="D1356" s="1" t="s">
        <v>6405</v>
      </c>
      <c r="E1356" s="1" t="s">
        <v>6406</v>
      </c>
      <c r="F1356" s="4" t="s">
        <v>17</v>
      </c>
      <c r="G1356" s="1" t="s">
        <v>18</v>
      </c>
      <c r="H1356" s="1" t="s">
        <v>19</v>
      </c>
      <c r="I1356" s="1" t="s">
        <v>20</v>
      </c>
      <c r="J1356" s="1" t="s">
        <v>6407</v>
      </c>
      <c r="K1356" s="1" t="s">
        <v>22</v>
      </c>
      <c r="L1356" s="1" t="str">
        <f>HYPERLINK("https://files.afu.se/Downloads/Transcripts/0%20-%20Government/USA%20-%20NASA/2016 12 01 - NASA - A Hidden Figure of History_hgEUMzTCaZA - transcript (automated).pdf","Transcript Link")</f>
        <v>Transcript Link</v>
      </c>
      <c r="M1356" s="2" t="str">
        <f>HYPERLINK("https://files.afu.se/Downloads/Transcripts/0%20-%20Government/USA%20-%20NASA/2016 12 01 - NASA - A Hidden Figure of History_hgEUMzTCaZA - transcript (automated).pdf","Transcript Link")</f>
        <v>Transcript Link</v>
      </c>
    </row>
    <row r="1357" ht="165" spans="1:13">
      <c r="A1357" s="1" t="s">
        <v>6387</v>
      </c>
      <c r="B1357" s="1" t="s">
        <v>13</v>
      </c>
      <c r="C1357" s="4" t="s">
        <v>6408</v>
      </c>
      <c r="D1357" s="1" t="s">
        <v>6409</v>
      </c>
      <c r="E1357" s="1" t="s">
        <v>6410</v>
      </c>
      <c r="F1357" s="4" t="s">
        <v>17</v>
      </c>
      <c r="G1357" s="1" t="s">
        <v>18</v>
      </c>
      <c r="H1357" s="1" t="s">
        <v>19</v>
      </c>
      <c r="I1357" s="1" t="s">
        <v>20</v>
      </c>
      <c r="J1357" s="1" t="s">
        <v>6411</v>
      </c>
      <c r="K1357" s="1" t="s">
        <v>22</v>
      </c>
      <c r="L1357" s="1" t="str">
        <f>HYPERLINK("https://files.afu.se/Downloads/Transcripts/0%20-%20Government/USA%20-%20NASA/2016 12 01 - NASA - Russian Cargo Ship Launched to the International Space Station_Qo8EEZwUFvc - transcript (automated).pdf","Transcript Link")</f>
        <v>Transcript Link</v>
      </c>
      <c r="M1357" s="2" t="str">
        <f>HYPERLINK("https://files.afu.se/Downloads/Transcripts/0%20-%20Government/USA%20-%20NASA/2016 12 01 - NASA - Russian Cargo Ship Launched to the International Space Station_Qo8EEZwUFvc - transcript (automated).pdf","Transcript Link")</f>
        <v>Transcript Link</v>
      </c>
    </row>
    <row r="1358" ht="270" spans="1:13">
      <c r="A1358" s="1" t="s">
        <v>6412</v>
      </c>
      <c r="B1358" s="1" t="s">
        <v>13</v>
      </c>
      <c r="C1358" s="4" t="s">
        <v>6413</v>
      </c>
      <c r="D1358" s="1" t="s">
        <v>5013</v>
      </c>
      <c r="E1358" s="1" t="s">
        <v>6414</v>
      </c>
      <c r="F1358" s="4" t="s">
        <v>17</v>
      </c>
      <c r="G1358" s="1" t="s">
        <v>18</v>
      </c>
      <c r="H1358" s="1" t="s">
        <v>19</v>
      </c>
      <c r="I1358" s="1" t="s">
        <v>20</v>
      </c>
      <c r="J1358" s="1" t="s">
        <v>6415</v>
      </c>
      <c r="K1358" s="1" t="s">
        <v>22</v>
      </c>
      <c r="L1358" s="1" t="str">
        <f>HYPERLINK("https://files.afu.se/Downloads/Transcripts/0%20-%20Government/USA%20-%20NASA/2016 11 30 - NASA - Next Space Station Crew Previews Mission_KEp2cctB_XI - transcript (automated).pdf","Transcript Link")</f>
        <v>Transcript Link</v>
      </c>
      <c r="M1358" s="2" t="str">
        <f>HYPERLINK("https://files.afu.se/Downloads/Transcripts/0%20-%20Government/USA%20-%20NASA/2016 11 30 - NASA - Next Space Station Crew Previews Mission_KEp2cctB_XI - transcript (automated).pdf","Transcript Link")</f>
        <v>Transcript Link</v>
      </c>
    </row>
    <row r="1359" ht="165" spans="1:13">
      <c r="A1359" s="1" t="s">
        <v>6412</v>
      </c>
      <c r="B1359" s="1" t="s">
        <v>13</v>
      </c>
      <c r="C1359" s="4" t="s">
        <v>6416</v>
      </c>
      <c r="D1359" s="1" t="s">
        <v>6417</v>
      </c>
      <c r="E1359" s="1" t="s">
        <v>6418</v>
      </c>
      <c r="F1359" s="4" t="s">
        <v>17</v>
      </c>
      <c r="G1359" s="1" t="s">
        <v>18</v>
      </c>
      <c r="H1359" s="1" t="s">
        <v>19</v>
      </c>
      <c r="I1359" s="1" t="s">
        <v>20</v>
      </c>
      <c r="J1359" s="1" t="s">
        <v>6419</v>
      </c>
      <c r="K1359" s="1" t="s">
        <v>22</v>
      </c>
      <c r="L1359" s="1" t="str">
        <f>HYPERLINK("https://files.afu.se/Downloads/Transcripts/0%20-%20Government/USA%20-%20NASA/2016 11 30 - NASA - Space Station Crew Member Discusses Life in Space with French TV Network_iBqdJXvTrp4 - transcript (automated).pdf","Transcript Link")</f>
        <v>Transcript Link</v>
      </c>
      <c r="M1359" s="2" t="str">
        <f>HYPERLINK("https://files.afu.se/Downloads/Transcripts/0%20-%20Government/USA%20-%20NASA/2016 11 30 - NASA - Space Station Crew Member Discusses Life in Space with French TV Network_iBqdJXvTrp4 - transcript (automated).pdf","Transcript Link")</f>
        <v>Transcript Link</v>
      </c>
    </row>
    <row r="1360" ht="165" spans="1:13">
      <c r="A1360" s="1" t="s">
        <v>6420</v>
      </c>
      <c r="B1360" s="1" t="s">
        <v>13</v>
      </c>
      <c r="C1360" s="4" t="s">
        <v>6421</v>
      </c>
      <c r="D1360" s="1" t="s">
        <v>6422</v>
      </c>
      <c r="E1360" s="1" t="s">
        <v>6423</v>
      </c>
      <c r="F1360" s="4" t="s">
        <v>17</v>
      </c>
      <c r="G1360" s="1" t="s">
        <v>18</v>
      </c>
      <c r="H1360" s="1" t="s">
        <v>19</v>
      </c>
      <c r="I1360" s="1" t="s">
        <v>20</v>
      </c>
      <c r="J1360" s="1" t="s">
        <v>6424</v>
      </c>
      <c r="K1360" s="1" t="s">
        <v>22</v>
      </c>
      <c r="L1360" s="1" t="str">
        <f>HYPERLINK("https://files.afu.se/Downloads/Transcripts/0%20-%20Government/USA%20-%20NASA/2016 11 29 - NASA - Space Station Commander Discusses Life in Space with Texas Radio Station_L4u-1EKsdbU - transcript (automated).pdf","Transcript Link")</f>
        <v>Transcript Link</v>
      </c>
      <c r="M1360" s="2" t="str">
        <f>HYPERLINK("https://files.afu.se/Downloads/Transcripts/0%20-%20Government/USA%20-%20NASA/2016 11 29 - NASA - Space Station Commander Discusses Life in Space with Texas Radio Station_L4u-1EKsdbU - transcript (automated).pdf","Transcript Link")</f>
        <v>Transcript Link</v>
      </c>
    </row>
    <row r="1361" ht="210" spans="1:13">
      <c r="A1361" s="1" t="s">
        <v>6425</v>
      </c>
      <c r="B1361" s="1" t="s">
        <v>13</v>
      </c>
      <c r="C1361" s="4" t="s">
        <v>6426</v>
      </c>
      <c r="D1361" s="1" t="s">
        <v>6427</v>
      </c>
      <c r="E1361" s="1" t="s">
        <v>6428</v>
      </c>
      <c r="F1361" s="4" t="s">
        <v>17</v>
      </c>
      <c r="G1361" s="1" t="s">
        <v>18</v>
      </c>
      <c r="H1361" s="1" t="s">
        <v>19</v>
      </c>
      <c r="I1361" s="1" t="s">
        <v>20</v>
      </c>
      <c r="J1361" s="1" t="s">
        <v>6429</v>
      </c>
      <c r="K1361" s="1" t="s">
        <v>22</v>
      </c>
      <c r="L1361" s="1" t="str">
        <f>HYPERLINK("https://files.afu.se/Downloads/Transcripts/0%20-%20Government/USA%20-%20NASA/2016 11 25 - NASA - Earth Expeditions  CORAL Probes the Great Barrier Reef_LFkFH2pphKM - transcript (automated).pdf","Transcript Link")</f>
        <v>Transcript Link</v>
      </c>
      <c r="M1361" s="2" t="str">
        <f>HYPERLINK("https://files.afu.se/Downloads/Transcripts/0%20-%20Government/USA%20-%20NASA/2016 11 25 - NASA - Earth Expeditions  CORAL Probes the Great Barrier Reef_LFkFH2pphKM - transcript (automated).pdf","Transcript Link")</f>
        <v>Transcript Link</v>
      </c>
    </row>
    <row r="1362" ht="165" spans="1:13">
      <c r="A1362" s="1" t="s">
        <v>6430</v>
      </c>
      <c r="B1362" s="1" t="s">
        <v>13</v>
      </c>
      <c r="C1362" s="4" t="s">
        <v>6431</v>
      </c>
      <c r="D1362" s="1" t="s">
        <v>3051</v>
      </c>
      <c r="E1362" s="1" t="s">
        <v>6432</v>
      </c>
      <c r="F1362" s="4" t="s">
        <v>17</v>
      </c>
      <c r="G1362" s="1" t="s">
        <v>18</v>
      </c>
      <c r="H1362" s="1" t="s">
        <v>19</v>
      </c>
      <c r="I1362" s="1" t="s">
        <v>20</v>
      </c>
      <c r="J1362" s="1" t="s">
        <v>6433</v>
      </c>
      <c r="K1362" s="1" t="s">
        <v>22</v>
      </c>
      <c r="L1362" s="1" t="str">
        <f>HYPERLINK("https://files.afu.se/Downloads/Transcripts/0%20-%20Government/USA%20-%20NASA/2016 11 23 - NASA - Happy Thanksgiving from NASA_5tcDB079_Ss - transcript (automated).pdf","Transcript Link")</f>
        <v>Transcript Link</v>
      </c>
      <c r="M1362" s="2" t="str">
        <f>HYPERLINK("https://files.afu.se/Downloads/Transcripts/0%20-%20Government/USA%20-%20NASA/2016 11 23 - NASA - Happy Thanksgiving from NASA_5tcDB079_Ss - transcript (automated).pdf","Transcript Link")</f>
        <v>Transcript Link</v>
      </c>
    </row>
    <row r="1363" ht="255" spans="1:13">
      <c r="A1363" s="1" t="s">
        <v>6430</v>
      </c>
      <c r="B1363" s="1" t="s">
        <v>13</v>
      </c>
      <c r="C1363" s="4" t="s">
        <v>6434</v>
      </c>
      <c r="D1363" s="1" t="s">
        <v>6435</v>
      </c>
      <c r="E1363" s="1" t="s">
        <v>6436</v>
      </c>
      <c r="F1363" s="4" t="s">
        <v>17</v>
      </c>
      <c r="G1363" s="1" t="s">
        <v>18</v>
      </c>
      <c r="H1363" s="1" t="s">
        <v>19</v>
      </c>
      <c r="I1363" s="1" t="s">
        <v>20</v>
      </c>
      <c r="J1363" s="1" t="s">
        <v>6437</v>
      </c>
      <c r="K1363" s="1" t="s">
        <v>22</v>
      </c>
      <c r="L1363" s="1" t="str">
        <f>HYPERLINK("https://files.afu.se/Downloads/Transcripts/0%20-%20Government/USA%20-%20NASA/2016 11 23 - NASA - Expedition 50-51 Arrives Safely at the Space Station on This Week @NASA – November 25, 2016_ZbT66uBUh-A - transcript (automated).pdf","Transcript Link")</f>
        <v>Transcript Link</v>
      </c>
      <c r="M1363" s="2" t="str">
        <f>HYPERLINK("https://files.afu.se/Downloads/Transcripts/0%20-%20Government/USA%20-%20NASA/2016 11 23 - NASA - Expedition 50-51 Arrives Safely at the Space Station on This Week @NASA – November 25, 2016_ZbT66uBUh-A - transcript (automated).pdf","Transcript Link")</f>
        <v>Transcript Link</v>
      </c>
    </row>
    <row r="1364" ht="165" spans="1:13">
      <c r="A1364" s="1" t="s">
        <v>6430</v>
      </c>
      <c r="B1364" s="1" t="s">
        <v>13</v>
      </c>
      <c r="C1364" s="4" t="s">
        <v>6438</v>
      </c>
      <c r="D1364" s="1" t="s">
        <v>6439</v>
      </c>
      <c r="E1364" s="1" t="s">
        <v>6440</v>
      </c>
      <c r="F1364" s="4" t="s">
        <v>17</v>
      </c>
      <c r="G1364" s="1" t="s">
        <v>18</v>
      </c>
      <c r="H1364" s="1" t="s">
        <v>19</v>
      </c>
      <c r="I1364" s="1" t="s">
        <v>20</v>
      </c>
      <c r="J1364" s="1" t="s">
        <v>6441</v>
      </c>
      <c r="K1364" s="1" t="s">
        <v>22</v>
      </c>
      <c r="L1364" s="1" t="str">
        <f>HYPERLINK("https://files.afu.se/Downloads/Transcripts/0%20-%20Government/USA%20-%20NASA/2016 11 23 - NASA - New Space Station Crew Member Discusses Life in Space with French Journalists_3gwEVH1haLs - transcript (automated).pdf","Transcript Link")</f>
        <v>Transcript Link</v>
      </c>
      <c r="M1364" s="2" t="str">
        <f>HYPERLINK("https://files.afu.se/Downloads/Transcripts/0%20-%20Government/USA%20-%20NASA/2016 11 23 - NASA - New Space Station Crew Member Discusses Life in Space with French Journalists_3gwEVH1haLs - transcript (automated).pdf","Transcript Link")</f>
        <v>Transcript Link</v>
      </c>
    </row>
    <row r="1365" ht="165" spans="1:13">
      <c r="A1365" s="1" t="s">
        <v>6442</v>
      </c>
      <c r="B1365" s="1" t="s">
        <v>13</v>
      </c>
      <c r="C1365" s="4" t="s">
        <v>6443</v>
      </c>
      <c r="D1365" s="1" t="s">
        <v>6444</v>
      </c>
      <c r="E1365" s="1" t="s">
        <v>6445</v>
      </c>
      <c r="F1365" s="4" t="s">
        <v>17</v>
      </c>
      <c r="G1365" s="1" t="s">
        <v>18</v>
      </c>
      <c r="H1365" s="1" t="s">
        <v>19</v>
      </c>
      <c r="I1365" s="1" t="s">
        <v>20</v>
      </c>
      <c r="J1365" s="1" t="s">
        <v>6446</v>
      </c>
      <c r="K1365" s="1" t="s">
        <v>22</v>
      </c>
      <c r="L1365" s="1" t="str">
        <f>HYPERLINK("https://files.afu.se/Downloads/Transcripts/0%20-%20Government/USA%20-%20NASA/2016 11 22 - NASA - NASA Celebrates Small Business Saturday_8F-IzDcSOJ0 - transcript (automated).pdf","Transcript Link")</f>
        <v>Transcript Link</v>
      </c>
      <c r="M1365" s="2" t="str">
        <f>HYPERLINK("https://files.afu.se/Downloads/Transcripts/0%20-%20Government/USA%20-%20NASA/2016 11 22 - NASA - NASA Celebrates Small Business Saturday_8F-IzDcSOJ0 - transcript (automated).pdf","Transcript Link")</f>
        <v>Transcript Link</v>
      </c>
    </row>
    <row r="1366" ht="165" spans="1:13">
      <c r="A1366" s="1" t="s">
        <v>6447</v>
      </c>
      <c r="B1366" s="1" t="s">
        <v>13</v>
      </c>
      <c r="C1366" s="4" t="s">
        <v>6448</v>
      </c>
      <c r="D1366" s="1" t="s">
        <v>6449</v>
      </c>
      <c r="E1366" s="1" t="s">
        <v>6450</v>
      </c>
      <c r="F1366" s="4" t="s">
        <v>17</v>
      </c>
      <c r="G1366" s="1" t="s">
        <v>18</v>
      </c>
      <c r="H1366" s="1" t="s">
        <v>19</v>
      </c>
      <c r="I1366" s="1" t="s">
        <v>20</v>
      </c>
      <c r="J1366" s="1" t="s">
        <v>6451</v>
      </c>
      <c r="K1366" s="1" t="s">
        <v>22</v>
      </c>
      <c r="L1366" s="1" t="str">
        <f>HYPERLINK("https://files.afu.se/Downloads/Transcripts/0%20-%20Government/USA%20-%20NASA/2016 11 21 - NASA - Space Station Commander Celebrates Thanksgiving in Orbit_q4BiDR4_H-Y - transcript (automated).pdf","Transcript Link")</f>
        <v>Transcript Link</v>
      </c>
      <c r="M1366" s="2" t="str">
        <f>HYPERLINK("https://files.afu.se/Downloads/Transcripts/0%20-%20Government/USA%20-%20NASA/2016 11 21 - NASA - Space Station Commander Celebrates Thanksgiving in Orbit_q4BiDR4_H-Y - transcript (automated).pdf","Transcript Link")</f>
        <v>Transcript Link</v>
      </c>
    </row>
    <row r="1367" ht="195" spans="1:13">
      <c r="A1367" s="1" t="s">
        <v>6447</v>
      </c>
      <c r="B1367" s="1" t="s">
        <v>13</v>
      </c>
      <c r="C1367" s="4" t="s">
        <v>6452</v>
      </c>
      <c r="D1367" s="1" t="s">
        <v>6453</v>
      </c>
      <c r="E1367" s="1" t="s">
        <v>6454</v>
      </c>
      <c r="F1367" s="4" t="s">
        <v>17</v>
      </c>
      <c r="G1367" s="1" t="s">
        <v>18</v>
      </c>
      <c r="H1367" s="1" t="s">
        <v>19</v>
      </c>
      <c r="I1367" s="1" t="s">
        <v>20</v>
      </c>
      <c r="J1367" s="1" t="s">
        <v>6455</v>
      </c>
      <c r="K1367" s="1" t="s">
        <v>22</v>
      </c>
      <c r="L1367" s="1" t="str">
        <f>HYPERLINK("https://files.afu.se/Downloads/Transcripts/0%20-%20Government/USA%20-%20NASA/2016 11 21 - NASA - U.S. Commercial Cargo Ship Departs the Space Station Headed for a Destructive Reentry_6GvM8LXVg_U - transcript (automated).pdf","Transcript Link")</f>
        <v>Transcript Link</v>
      </c>
      <c r="M1367" s="2" t="str">
        <f>HYPERLINK("https://files.afu.se/Downloads/Transcripts/0%20-%20Government/USA%20-%20NASA/2016 11 21 - NASA - U.S. Commercial Cargo Ship Departs the Space Station Headed for a Destructive Reentry_6GvM8LXVg_U - transcript (automated).pdf","Transcript Link")</f>
        <v>Transcript Link</v>
      </c>
    </row>
    <row r="1368" ht="165" spans="1:13">
      <c r="A1368" s="1" t="s">
        <v>6456</v>
      </c>
      <c r="B1368" s="1" t="s">
        <v>13</v>
      </c>
      <c r="C1368" s="4" t="s">
        <v>6457</v>
      </c>
      <c r="D1368" s="1" t="s">
        <v>6458</v>
      </c>
      <c r="E1368" s="1" t="s">
        <v>6459</v>
      </c>
      <c r="F1368" s="4" t="s">
        <v>17</v>
      </c>
      <c r="G1368" s="1" t="s">
        <v>18</v>
      </c>
      <c r="H1368" s="1" t="s">
        <v>19</v>
      </c>
      <c r="I1368" s="1" t="s">
        <v>20</v>
      </c>
      <c r="J1368" s="1" t="s">
        <v>6460</v>
      </c>
      <c r="K1368" s="1" t="s">
        <v>22</v>
      </c>
      <c r="L1368" s="1" t="str">
        <f>HYPERLINK("https://files.afu.se/Downloads/Transcripts/0%20-%20Government/USA%20-%20NASA/2016 11 20 - NASA - Advanced Weather Satellite Separates from Launch Vehicle_M_2ig1mXmY4 - transcript (automated).pdf","Transcript Link")</f>
        <v>Transcript Link</v>
      </c>
      <c r="M1368" s="2" t="str">
        <f>HYPERLINK("https://files.afu.se/Downloads/Transcripts/0%20-%20Government/USA%20-%20NASA/2016 11 20 - NASA - Advanced Weather Satellite Separates from Launch Vehicle_M_2ig1mXmY4 - transcript (automated).pdf","Transcript Link")</f>
        <v>Transcript Link</v>
      </c>
    </row>
    <row r="1369" ht="165" spans="1:13">
      <c r="A1369" s="1" t="s">
        <v>6456</v>
      </c>
      <c r="B1369" s="1" t="s">
        <v>13</v>
      </c>
      <c r="C1369" s="4" t="s">
        <v>6461</v>
      </c>
      <c r="D1369" s="1" t="s">
        <v>6462</v>
      </c>
      <c r="E1369" s="1" t="s">
        <v>6463</v>
      </c>
      <c r="F1369" s="4" t="s">
        <v>17</v>
      </c>
      <c r="G1369" s="1" t="s">
        <v>18</v>
      </c>
      <c r="H1369" s="1" t="s">
        <v>19</v>
      </c>
      <c r="I1369" s="1" t="s">
        <v>20</v>
      </c>
      <c r="J1369" s="1" t="s">
        <v>6464</v>
      </c>
      <c r="K1369" s="1" t="s">
        <v>22</v>
      </c>
      <c r="L1369" s="1" t="str">
        <f>HYPERLINK("https://files.afu.se/Downloads/Transcripts/0%20-%20Government/USA%20-%20NASA/2016 11 20 - NASA - Expedition 50-51 Welcomed Aboard the Space Station_z3B7cIbHA8I - transcript (automated).pdf","Transcript Link")</f>
        <v>Transcript Link</v>
      </c>
      <c r="M1369" s="2" t="str">
        <f>HYPERLINK("https://files.afu.se/Downloads/Transcripts/0%20-%20Government/USA%20-%20NASA/2016 11 20 - NASA - Expedition 50-51 Welcomed Aboard the Space Station_z3B7cIbHA8I - transcript (automated).pdf","Transcript Link")</f>
        <v>Transcript Link</v>
      </c>
    </row>
    <row r="1370" ht="165" spans="1:13">
      <c r="A1370" s="1" t="s">
        <v>6456</v>
      </c>
      <c r="B1370" s="1" t="s">
        <v>13</v>
      </c>
      <c r="C1370" s="4" t="s">
        <v>6465</v>
      </c>
      <c r="D1370" s="1" t="s">
        <v>6466</v>
      </c>
      <c r="E1370" s="1" t="s">
        <v>6467</v>
      </c>
      <c r="F1370" s="4" t="s">
        <v>17</v>
      </c>
      <c r="G1370" s="1" t="s">
        <v>18</v>
      </c>
      <c r="H1370" s="1" t="s">
        <v>19</v>
      </c>
      <c r="I1370" s="1" t="s">
        <v>20</v>
      </c>
      <c r="J1370" s="1" t="s">
        <v>6468</v>
      </c>
      <c r="K1370" s="1" t="s">
        <v>22</v>
      </c>
      <c r="L1370" s="1" t="str">
        <f>HYPERLINK("https://files.afu.se/Downloads/Transcripts/0%20-%20Government/USA%20-%20NASA/2016 11 20 - NASA - Expedition 50-51 Crew Docks to the Space Station_u7twZyc9U6M - transcript (automated).pdf","Transcript Link")</f>
        <v>Transcript Link</v>
      </c>
      <c r="M1370" s="2" t="str">
        <f>HYPERLINK("https://files.afu.se/Downloads/Transcripts/0%20-%20Government/USA%20-%20NASA/2016 11 20 - NASA - Expedition 50-51 Crew Docks to the Space Station_u7twZyc9U6M - transcript (automated).pdf","Transcript Link")</f>
        <v>Transcript Link</v>
      </c>
    </row>
    <row r="1371" ht="165" spans="1:13">
      <c r="A1371" s="1" t="s">
        <v>6456</v>
      </c>
      <c r="B1371" s="1" t="s">
        <v>13</v>
      </c>
      <c r="C1371" s="4" t="s">
        <v>6469</v>
      </c>
      <c r="D1371" s="1" t="s">
        <v>6470</v>
      </c>
      <c r="E1371" s="1" t="s">
        <v>6471</v>
      </c>
      <c r="F1371" s="4" t="s">
        <v>17</v>
      </c>
      <c r="G1371" s="1" t="s">
        <v>18</v>
      </c>
      <c r="H1371" s="1" t="s">
        <v>19</v>
      </c>
      <c r="I1371" s="1" t="s">
        <v>20</v>
      </c>
      <c r="J1371" s="1" t="s">
        <v>6472</v>
      </c>
      <c r="K1371" s="1" t="s">
        <v>22</v>
      </c>
      <c r="L1371" s="1" t="str">
        <f>HYPERLINK("https://files.afu.se/Downloads/Transcripts/0%20-%20Government/USA%20-%20NASA/2016 11 20 - NASA - Advanced Weather Satellite Launched into Orbit_alu8OtrNGTQ - transcript (automated).pdf","Transcript Link")</f>
        <v>Transcript Link</v>
      </c>
      <c r="M1371" s="2" t="str">
        <f>HYPERLINK("https://files.afu.se/Downloads/Transcripts/0%20-%20Government/USA%20-%20NASA/2016 11 20 - NASA - Advanced Weather Satellite Launched into Orbit_alu8OtrNGTQ - transcript (automated).pdf","Transcript Link")</f>
        <v>Transcript Link</v>
      </c>
    </row>
    <row r="1372" ht="165" spans="1:13">
      <c r="A1372" s="1" t="s">
        <v>6473</v>
      </c>
      <c r="B1372" s="1" t="s">
        <v>13</v>
      </c>
      <c r="C1372" s="4" t="s">
        <v>6474</v>
      </c>
      <c r="D1372" s="1" t="s">
        <v>6475</v>
      </c>
      <c r="E1372" s="1" t="s">
        <v>6476</v>
      </c>
      <c r="F1372" s="4" t="s">
        <v>17</v>
      </c>
      <c r="G1372" s="1" t="s">
        <v>18</v>
      </c>
      <c r="H1372" s="1" t="s">
        <v>19</v>
      </c>
      <c r="I1372" s="1" t="s">
        <v>20</v>
      </c>
      <c r="J1372" s="1" t="s">
        <v>6477</v>
      </c>
      <c r="K1372" s="1" t="s">
        <v>22</v>
      </c>
      <c r="L1372" s="1" t="str">
        <f>HYPERLINK("https://files.afu.se/Downloads/Transcripts/0%20-%20Government/USA%20-%20NASA/2016 11 18 - NASA - NASA Social Focuses on Advanced Weather Satellite Mission_zt9OZaY9T5M - transcript (automated).pdf","Transcript Link")</f>
        <v>Transcript Link</v>
      </c>
      <c r="M1372" s="2" t="str">
        <f>HYPERLINK("https://files.afu.se/Downloads/Transcripts/0%20-%20Government/USA%20-%20NASA/2016 11 18 - NASA - NASA Social Focuses on Advanced Weather Satellite Mission_zt9OZaY9T5M - transcript (automated).pdf","Transcript Link")</f>
        <v>Transcript Link</v>
      </c>
    </row>
    <row r="1373" ht="165" spans="1:13">
      <c r="A1373" s="1" t="s">
        <v>6473</v>
      </c>
      <c r="B1373" s="1" t="s">
        <v>13</v>
      </c>
      <c r="C1373" s="4" t="s">
        <v>6478</v>
      </c>
      <c r="D1373" s="1" t="s">
        <v>6479</v>
      </c>
      <c r="E1373" s="1" t="s">
        <v>6480</v>
      </c>
      <c r="F1373" s="4" t="s">
        <v>17</v>
      </c>
      <c r="G1373" s="1" t="s">
        <v>18</v>
      </c>
      <c r="H1373" s="1" t="s">
        <v>19</v>
      </c>
      <c r="I1373" s="1" t="s">
        <v>20</v>
      </c>
      <c r="J1373" s="1" t="s">
        <v>6481</v>
      </c>
      <c r="K1373" s="1" t="s">
        <v>22</v>
      </c>
      <c r="L1373" s="1" t="str">
        <f>HYPERLINK("https://files.afu.se/Downloads/Transcripts/0%20-%20Government/USA%20-%20NASA/2016 11 18 - NASA - Space Station Astronaut Discusses Life in Space with Colorado Students_PtucbM9kXRk - transcript (automated).pdf","Transcript Link")</f>
        <v>Transcript Link</v>
      </c>
      <c r="M1373" s="2" t="str">
        <f>HYPERLINK("https://files.afu.se/Downloads/Transcripts/0%20-%20Government/USA%20-%20NASA/2016 11 18 - NASA - Space Station Astronaut Discusses Life in Space with Colorado Students_PtucbM9kXRk - transcript (automated).pdf","Transcript Link")</f>
        <v>Transcript Link</v>
      </c>
    </row>
    <row r="1374" ht="240" spans="1:13">
      <c r="A1374" s="1" t="s">
        <v>6473</v>
      </c>
      <c r="B1374" s="1" t="s">
        <v>13</v>
      </c>
      <c r="C1374" s="4" t="s">
        <v>6482</v>
      </c>
      <c r="D1374" s="1" t="s">
        <v>6483</v>
      </c>
      <c r="E1374" s="1" t="s">
        <v>6484</v>
      </c>
      <c r="F1374" s="4" t="s">
        <v>17</v>
      </c>
      <c r="G1374" s="1" t="s">
        <v>18</v>
      </c>
      <c r="H1374" s="1" t="s">
        <v>19</v>
      </c>
      <c r="I1374" s="1" t="s">
        <v>20</v>
      </c>
      <c r="J1374" s="1" t="s">
        <v>6485</v>
      </c>
      <c r="K1374" s="1" t="s">
        <v>22</v>
      </c>
      <c r="L1374" s="1" t="str">
        <f>HYPERLINK("https://files.afu.se/Downloads/Transcripts/0%20-%20Government/USA%20-%20NASA/2016 11 18 - NASA - Expedition 50 51 Launches to Space Station on This Week @NASA – November 18, 2016_2O3qFdx7OXs - transcript (automated).pdf","Transcript Link")</f>
        <v>Transcript Link</v>
      </c>
      <c r="M1374" s="2" t="str">
        <f>HYPERLINK("https://files.afu.se/Downloads/Transcripts/0%20-%20Government/USA%20-%20NASA/2016 11 18 - NASA - Expedition 50 51 Launches to Space Station on This Week @NASA – November 18, 2016_2O3qFdx7OXs - transcript (automated).pdf","Transcript Link")</f>
        <v>Transcript Link</v>
      </c>
    </row>
    <row r="1375" ht="165" spans="1:13">
      <c r="A1375" s="1" t="s">
        <v>6473</v>
      </c>
      <c r="B1375" s="1" t="s">
        <v>13</v>
      </c>
      <c r="C1375" s="4" t="s">
        <v>6486</v>
      </c>
      <c r="D1375" s="1" t="s">
        <v>6487</v>
      </c>
      <c r="E1375" s="1" t="s">
        <v>6488</v>
      </c>
      <c r="F1375" s="4" t="s">
        <v>17</v>
      </c>
      <c r="G1375" s="1" t="s">
        <v>18</v>
      </c>
      <c r="H1375" s="1" t="s">
        <v>19</v>
      </c>
      <c r="I1375" s="1" t="s">
        <v>20</v>
      </c>
      <c r="J1375" s="1" t="s">
        <v>6489</v>
      </c>
      <c r="K1375" s="1" t="s">
        <v>22</v>
      </c>
      <c r="L1375" s="1" t="str">
        <f>HYPERLINK("https://files.afu.se/Downloads/Transcripts/0%20-%20Government/USA%20-%20NASA/2016 11 18 - NASA - Launch Day for New International Space Station Crew_vdrJMKLP960 - transcript (automated).pdf","Transcript Link")</f>
        <v>Transcript Link</v>
      </c>
      <c r="M1375" s="2" t="str">
        <f>HYPERLINK("https://files.afu.se/Downloads/Transcripts/0%20-%20Government/USA%20-%20NASA/2016 11 18 - NASA - Launch Day for New International Space Station Crew_vdrJMKLP960 - transcript (automated).pdf","Transcript Link")</f>
        <v>Transcript Link</v>
      </c>
    </row>
    <row r="1376" ht="225" spans="1:13">
      <c r="A1376" s="1" t="s">
        <v>6490</v>
      </c>
      <c r="B1376" s="1" t="s">
        <v>13</v>
      </c>
      <c r="C1376" s="4" t="s">
        <v>6491</v>
      </c>
      <c r="D1376" s="1" t="s">
        <v>6492</v>
      </c>
      <c r="E1376" s="1" t="s">
        <v>6493</v>
      </c>
      <c r="F1376" s="4" t="s">
        <v>17</v>
      </c>
      <c r="G1376" s="1" t="s">
        <v>18</v>
      </c>
      <c r="H1376" s="1" t="s">
        <v>19</v>
      </c>
      <c r="I1376" s="1" t="s">
        <v>20</v>
      </c>
      <c r="J1376" s="1" t="s">
        <v>6494</v>
      </c>
      <c r="K1376" s="1" t="s">
        <v>22</v>
      </c>
      <c r="L1376" s="1" t="str">
        <f>HYPERLINK("https://files.afu.se/Downloads/Transcripts/0%20-%20Government/USA%20-%20NASA/2016 11 17 - NASA - Officials Discuss Pre-launch Status of Next-Gen Weather Satellite_Xq4JQyF83rk - transcript (automated).pdf","Transcript Link")</f>
        <v>Transcript Link</v>
      </c>
      <c r="M1376" s="2" t="str">
        <f>HYPERLINK("https://files.afu.se/Downloads/Transcripts/0%20-%20Government/USA%20-%20NASA/2016 11 17 - NASA - Officials Discuss Pre-launch Status of Next-Gen Weather Satellite_Xq4JQyF83rk - transcript (automated).pdf","Transcript Link")</f>
        <v>Transcript Link</v>
      </c>
    </row>
    <row r="1377" ht="225" spans="1:13">
      <c r="A1377" s="1" t="s">
        <v>6490</v>
      </c>
      <c r="B1377" s="1" t="s">
        <v>13</v>
      </c>
      <c r="C1377" s="4" t="s">
        <v>6495</v>
      </c>
      <c r="D1377" s="1" t="s">
        <v>6496</v>
      </c>
      <c r="E1377" s="1" t="s">
        <v>6497</v>
      </c>
      <c r="F1377" s="4" t="s">
        <v>17</v>
      </c>
      <c r="G1377" s="1" t="s">
        <v>18</v>
      </c>
      <c r="H1377" s="1" t="s">
        <v>19</v>
      </c>
      <c r="I1377" s="1" t="s">
        <v>20</v>
      </c>
      <c r="J1377" s="1" t="s">
        <v>6498</v>
      </c>
      <c r="K1377" s="1" t="s">
        <v>22</v>
      </c>
      <c r="L1377" s="1" t="str">
        <f>HYPERLINK("https://files.afu.se/Downloads/Transcripts/0%20-%20Government/USA%20-%20NASA/2016 11 17 - NASA - Officials Brief Media on Mission of Next-Gen Weather Satellite_QCw2oYv1w5Y - transcript (automated).pdf","Transcript Link")</f>
        <v>Transcript Link</v>
      </c>
      <c r="M1377" s="2" t="str">
        <f>HYPERLINK("https://files.afu.se/Downloads/Transcripts/0%20-%20Government/USA%20-%20NASA/2016 11 17 - NASA - Officials Brief Media on Mission of Next-Gen Weather Satellite_QCw2oYv1w5Y - transcript (automated).pdf","Transcript Link")</f>
        <v>Transcript Link</v>
      </c>
    </row>
    <row r="1378" ht="165" spans="1:13">
      <c r="A1378" s="1" t="s">
        <v>6490</v>
      </c>
      <c r="B1378" s="1" t="s">
        <v>13</v>
      </c>
      <c r="C1378" s="4" t="s">
        <v>6499</v>
      </c>
      <c r="D1378" s="1" t="s">
        <v>6500</v>
      </c>
      <c r="E1378" s="1" t="s">
        <v>6501</v>
      </c>
      <c r="F1378" s="4" t="s">
        <v>17</v>
      </c>
      <c r="G1378" s="1" t="s">
        <v>18</v>
      </c>
      <c r="H1378" s="1" t="s">
        <v>19</v>
      </c>
      <c r="I1378" s="1" t="s">
        <v>20</v>
      </c>
      <c r="J1378" s="1" t="s">
        <v>6502</v>
      </c>
      <c r="K1378" s="1" t="s">
        <v>22</v>
      </c>
      <c r="L1378" s="1" t="str">
        <f>HYPERLINK("https://files.afu.se/Downloads/Transcripts/0%20-%20Government/USA%20-%20NASA/2016 11 17 - NASA - Expedition 50-51 Launches to International Space Station_7zmuuTiOQeY - transcript (automated).pdf","Transcript Link")</f>
        <v>Transcript Link</v>
      </c>
      <c r="M1378" s="2" t="str">
        <f>HYPERLINK("https://files.afu.se/Downloads/Transcripts/0%20-%20Government/USA%20-%20NASA/2016 11 17 - NASA - Expedition 50-51 Launches to International Space Station_7zmuuTiOQeY - transcript (automated).pdf","Transcript Link")</f>
        <v>Transcript Link</v>
      </c>
    </row>
    <row r="1379" ht="195" spans="1:13">
      <c r="A1379" s="1" t="s">
        <v>6503</v>
      </c>
      <c r="B1379" s="1" t="s">
        <v>13</v>
      </c>
      <c r="C1379" s="4" t="s">
        <v>6504</v>
      </c>
      <c r="D1379" s="1" t="s">
        <v>6505</v>
      </c>
      <c r="E1379" s="1" t="s">
        <v>6506</v>
      </c>
      <c r="F1379" s="4" t="s">
        <v>17</v>
      </c>
      <c r="G1379" s="1" t="s">
        <v>18</v>
      </c>
      <c r="H1379" s="1" t="s">
        <v>19</v>
      </c>
      <c r="I1379" s="1" t="s">
        <v>20</v>
      </c>
      <c r="J1379" s="1" t="s">
        <v>6507</v>
      </c>
      <c r="K1379" s="1" t="s">
        <v>22</v>
      </c>
      <c r="L1379" s="1" t="str">
        <f>HYPERLINK("https://files.afu.se/Downloads/Transcripts/0%20-%20Government/USA%20-%20NASA/2016 11 16 - NASA - Expedition 50-51 Crew Meets Officials, Reporters as Launch Approaches_MGTgWteQHsw - transcript (automated).pdf","Transcript Link")</f>
        <v>Transcript Link</v>
      </c>
      <c r="M1379" s="2" t="str">
        <f>HYPERLINK("https://files.afu.se/Downloads/Transcripts/0%20-%20Government/USA%20-%20NASA/2016 11 16 - NASA - Expedition 50-51 Crew Meets Officials, Reporters as Launch Approaches_MGTgWteQHsw - transcript (automated).pdf","Transcript Link")</f>
        <v>Transcript Link</v>
      </c>
    </row>
    <row r="1380" ht="165" spans="1:13">
      <c r="A1380" s="1" t="s">
        <v>6503</v>
      </c>
      <c r="B1380" s="1" t="s">
        <v>13</v>
      </c>
      <c r="C1380" s="4" t="s">
        <v>6508</v>
      </c>
      <c r="D1380" s="1" t="s">
        <v>6509</v>
      </c>
      <c r="E1380" s="1" t="s">
        <v>6510</v>
      </c>
      <c r="F1380" s="4" t="s">
        <v>17</v>
      </c>
      <c r="G1380" s="1" t="s">
        <v>18</v>
      </c>
      <c r="H1380" s="1" t="s">
        <v>19</v>
      </c>
      <c r="I1380" s="1" t="s">
        <v>20</v>
      </c>
      <c r="J1380" s="1" t="s">
        <v>6511</v>
      </c>
      <c r="K1380" s="1" t="s">
        <v>22</v>
      </c>
      <c r="L1380" s="1" t="str">
        <f>HYPERLINK("https://files.afu.se/Downloads/Transcripts/0%20-%20Government/USA%20-%20NASA/2016 11 16 - NASA - STEM in 30 - Science in Space_CS37I0SIEWs - transcript (automated).pdf","Transcript Link")</f>
        <v>Transcript Link</v>
      </c>
      <c r="M1380" s="2" t="str">
        <f>HYPERLINK("https://files.afu.se/Downloads/Transcripts/0%20-%20Government/USA%20-%20NASA/2016 11 16 - NASA - STEM in 30 - Science in Space_CS37I0SIEWs - transcript (automated).pdf","Transcript Link")</f>
        <v>Transcript Link</v>
      </c>
    </row>
    <row r="1381" ht="165" spans="1:13">
      <c r="A1381" s="1" t="s">
        <v>6512</v>
      </c>
      <c r="B1381" s="1" t="s">
        <v>13</v>
      </c>
      <c r="C1381" s="4" t="s">
        <v>6513</v>
      </c>
      <c r="D1381" s="1" t="s">
        <v>6514</v>
      </c>
      <c r="E1381" s="1" t="s">
        <v>6515</v>
      </c>
      <c r="F1381" s="4" t="s">
        <v>17</v>
      </c>
      <c r="G1381" s="1" t="s">
        <v>18</v>
      </c>
      <c r="H1381" s="1" t="s">
        <v>19</v>
      </c>
      <c r="I1381" s="1" t="s">
        <v>20</v>
      </c>
      <c r="J1381" s="1" t="s">
        <v>6516</v>
      </c>
      <c r="K1381" s="1" t="s">
        <v>22</v>
      </c>
      <c r="L1381" s="1" t="str">
        <f>HYPERLINK("https://files.afu.se/Downloads/Transcripts/0%20-%20Government/USA%20-%20NASA/2016 11 14 - NASA - Expedition 50-51 Soyuz Rocket Moves to Launch Pad_7okywRJrrBA - transcript (automated).pdf","Transcript Link")</f>
        <v>Transcript Link</v>
      </c>
      <c r="M1381" s="2" t="str">
        <f>HYPERLINK("https://files.afu.se/Downloads/Transcripts/0%20-%20Government/USA%20-%20NASA/2016 11 14 - NASA - Expedition 50-51 Soyuz Rocket Moves to Launch Pad_7okywRJrrBA - transcript (automated).pdf","Transcript Link")</f>
        <v>Transcript Link</v>
      </c>
    </row>
    <row r="1382" ht="255" spans="1:13">
      <c r="A1382" s="1" t="s">
        <v>6517</v>
      </c>
      <c r="B1382" s="1" t="s">
        <v>13</v>
      </c>
      <c r="C1382" s="4" t="s">
        <v>6518</v>
      </c>
      <c r="D1382" s="1" t="s">
        <v>6519</v>
      </c>
      <c r="E1382" s="1" t="s">
        <v>6520</v>
      </c>
      <c r="F1382" s="4" t="s">
        <v>17</v>
      </c>
      <c r="G1382" s="1" t="s">
        <v>18</v>
      </c>
      <c r="H1382" s="1" t="s">
        <v>19</v>
      </c>
      <c r="I1382" s="1" t="s">
        <v>20</v>
      </c>
      <c r="J1382" s="1" t="s">
        <v>6521</v>
      </c>
      <c r="K1382" s="1" t="s">
        <v>22</v>
      </c>
      <c r="L1382" s="1" t="str">
        <f>HYPERLINK("https://files.afu.se/Downloads/Transcripts/0%20-%20Government/USA%20-%20NASA/2016 11 11 - NASA - New Earth-Observing Small Satellite Missions on This Week @NASA – November 11, 2016_NO6Go3tMQwU - transcript (automated).pdf","Transcript Link")</f>
        <v>Transcript Link</v>
      </c>
      <c r="M1382" s="2" t="str">
        <f>HYPERLINK("https://files.afu.se/Downloads/Transcripts/0%20-%20Government/USA%20-%20NASA/2016 11 11 - NASA - New Earth-Observing Small Satellite Missions on This Week @NASA – November 11, 2016_NO6Go3tMQwU - transcript (automated).pdf","Transcript Link")</f>
        <v>Transcript Link</v>
      </c>
    </row>
    <row r="1383" ht="195" spans="1:13">
      <c r="A1383" s="1" t="s">
        <v>6517</v>
      </c>
      <c r="B1383" s="1" t="s">
        <v>13</v>
      </c>
      <c r="C1383" s="4" t="s">
        <v>6522</v>
      </c>
      <c r="D1383" s="1" t="s">
        <v>6523</v>
      </c>
      <c r="E1383" s="1" t="s">
        <v>6524</v>
      </c>
      <c r="F1383" s="4" t="s">
        <v>17</v>
      </c>
      <c r="G1383" s="1" t="s">
        <v>18</v>
      </c>
      <c r="H1383" s="1" t="s">
        <v>19</v>
      </c>
      <c r="I1383" s="1" t="s">
        <v>20</v>
      </c>
      <c r="J1383" s="1" t="s">
        <v>6525</v>
      </c>
      <c r="K1383" s="1" t="s">
        <v>22</v>
      </c>
      <c r="L1383" s="1" t="str">
        <f>HYPERLINK("https://files.afu.se/Downloads/Transcripts/0%20-%20Government/USA%20-%20NASA/2016 11 11 - NASA - Heroes &amp; Legends Grand Opening Ceremony_dKYemLYihWk - transcript (automated).pdf","Transcript Link")</f>
        <v>Transcript Link</v>
      </c>
      <c r="M1383" s="2" t="str">
        <f>HYPERLINK("https://files.afu.se/Downloads/Transcripts/0%20-%20Government/USA%20-%20NASA/2016 11 11 - NASA - Heroes &amp; Legends Grand Opening Ceremony_dKYemLYihWk - transcript (automated).pdf","Transcript Link")</f>
        <v>Transcript Link</v>
      </c>
    </row>
    <row r="1384" ht="165" spans="1:13">
      <c r="A1384" s="1" t="s">
        <v>6517</v>
      </c>
      <c r="B1384" s="1" t="s">
        <v>13</v>
      </c>
      <c r="C1384" s="4" t="s">
        <v>6526</v>
      </c>
      <c r="D1384" s="1" t="s">
        <v>6527</v>
      </c>
      <c r="E1384" s="1" t="s">
        <v>6528</v>
      </c>
      <c r="F1384" s="4" t="s">
        <v>17</v>
      </c>
      <c r="G1384" s="1" t="s">
        <v>18</v>
      </c>
      <c r="H1384" s="1" t="s">
        <v>19</v>
      </c>
      <c r="I1384" s="1" t="s">
        <v>20</v>
      </c>
      <c r="J1384" s="1" t="s">
        <v>6529</v>
      </c>
      <c r="K1384" s="1" t="s">
        <v>22</v>
      </c>
      <c r="L1384" s="1" t="str">
        <f>HYPERLINK("https://files.afu.se/Downloads/Transcripts/0%20-%20Government/USA%20-%20NASA/2016 11 11 - NASA - Launch Preparations Continue for Expedition 50-51 Crew in Kazakhstan_se-OHpOKkfw - transcript (automated).pdf","Transcript Link")</f>
        <v>Transcript Link</v>
      </c>
      <c r="M1384" s="2" t="str">
        <f>HYPERLINK("https://files.afu.se/Downloads/Transcripts/0%20-%20Government/USA%20-%20NASA/2016 11 11 - NASA - Launch Preparations Continue for Expedition 50-51 Crew in Kazakhstan_se-OHpOKkfw - transcript (automated).pdf","Transcript Link")</f>
        <v>Transcript Link</v>
      </c>
    </row>
    <row r="1385" ht="165" spans="1:13">
      <c r="A1385" s="1" t="s">
        <v>6530</v>
      </c>
      <c r="B1385" s="1" t="s">
        <v>13</v>
      </c>
      <c r="C1385" s="4" t="s">
        <v>6531</v>
      </c>
      <c r="D1385" s="1" t="s">
        <v>6532</v>
      </c>
      <c r="E1385" s="1" t="s">
        <v>6533</v>
      </c>
      <c r="F1385" s="4" t="s">
        <v>17</v>
      </c>
      <c r="G1385" s="1" t="s">
        <v>18</v>
      </c>
      <c r="H1385" s="1" t="s">
        <v>19</v>
      </c>
      <c r="I1385" s="1" t="s">
        <v>20</v>
      </c>
      <c r="J1385" s="1" t="s">
        <v>6534</v>
      </c>
      <c r="K1385" s="1" t="s">
        <v>22</v>
      </c>
      <c r="L1385" s="1" t="str">
        <f>HYPERLINK("https://files.afu.se/Downloads/Transcripts/0%20-%20Government/USA%20-%20NASA/2016 11 10 - NASA - NASA Honors Veterans Day_p3CTMi3LuFc - transcript (automated).pdf","Transcript Link")</f>
        <v>Transcript Link</v>
      </c>
      <c r="M1385" s="2" t="str">
        <f>HYPERLINK("https://files.afu.se/Downloads/Transcripts/0%20-%20Government/USA%20-%20NASA/2016 11 10 - NASA - NASA Honors Veterans Day_p3CTMi3LuFc - transcript (automated).pdf","Transcript Link")</f>
        <v>Transcript Link</v>
      </c>
    </row>
    <row r="1386" ht="210" spans="1:13">
      <c r="A1386" s="1" t="s">
        <v>6530</v>
      </c>
      <c r="B1386" s="1" t="s">
        <v>13</v>
      </c>
      <c r="C1386" s="4" t="s">
        <v>6535</v>
      </c>
      <c r="D1386" s="1" t="s">
        <v>6536</v>
      </c>
      <c r="E1386" s="1" t="s">
        <v>6537</v>
      </c>
      <c r="F1386" s="4" t="s">
        <v>17</v>
      </c>
      <c r="G1386" s="1" t="s">
        <v>18</v>
      </c>
      <c r="H1386" s="1" t="s">
        <v>19</v>
      </c>
      <c r="I1386" s="1" t="s">
        <v>20</v>
      </c>
      <c r="J1386" s="1" t="s">
        <v>6538</v>
      </c>
      <c r="K1386" s="1" t="s">
        <v>22</v>
      </c>
      <c r="L1386" s="1" t="str">
        <f>HYPERLINK("https://files.afu.se/Downloads/Transcripts/0%20-%20Government/USA%20-%20NASA/2016 11 10 - NASA - Media Briefed on New NASA Hurricane Mission_E6vO_LQt9JA - transcript (automated).pdf","Transcript Link")</f>
        <v>Transcript Link</v>
      </c>
      <c r="M1386" s="2" t="str">
        <f>HYPERLINK("https://files.afu.se/Downloads/Transcripts/0%20-%20Government/USA%20-%20NASA/2016 11 10 - NASA - Media Briefed on New NASA Hurricane Mission_E6vO_LQt9JA - transcript (automated).pdf","Transcript Link")</f>
        <v>Transcript Link</v>
      </c>
    </row>
    <row r="1387" ht="165" spans="1:13">
      <c r="A1387" s="1" t="s">
        <v>6530</v>
      </c>
      <c r="B1387" s="1" t="s">
        <v>13</v>
      </c>
      <c r="C1387" s="4" t="s">
        <v>6539</v>
      </c>
      <c r="D1387" s="1" t="s">
        <v>6540</v>
      </c>
      <c r="E1387" s="1" t="s">
        <v>6541</v>
      </c>
      <c r="F1387" s="4" t="s">
        <v>17</v>
      </c>
      <c r="G1387" s="1" t="s">
        <v>18</v>
      </c>
      <c r="H1387" s="1" t="s">
        <v>19</v>
      </c>
      <c r="I1387" s="1" t="s">
        <v>20</v>
      </c>
      <c r="J1387" s="1" t="s">
        <v>6542</v>
      </c>
      <c r="K1387" s="1" t="s">
        <v>22</v>
      </c>
      <c r="L1387" s="1" t="str">
        <f>HYPERLINK("https://files.afu.se/Downloads/Transcripts/0%20-%20Government/USA%20-%20NASA/2016 11 10 - NASA - Expedition 50-51 Crew Prepares for Launch in Kazakhstan_Mija9sKPBy8 - transcript (automated).pdf","Transcript Link")</f>
        <v>Transcript Link</v>
      </c>
      <c r="M1387" s="2" t="str">
        <f>HYPERLINK("https://files.afu.se/Downloads/Transcripts/0%20-%20Government/USA%20-%20NASA/2016 11 10 - NASA - Expedition 50-51 Crew Prepares for Launch in Kazakhstan_Mija9sKPBy8 - transcript (automated).pdf","Transcript Link")</f>
        <v>Transcript Link</v>
      </c>
    </row>
    <row r="1388" ht="165" spans="1:13">
      <c r="A1388" s="1" t="s">
        <v>6530</v>
      </c>
      <c r="B1388" s="1" t="s">
        <v>13</v>
      </c>
      <c r="C1388" s="4" t="s">
        <v>6543</v>
      </c>
      <c r="D1388" s="1" t="s">
        <v>6544</v>
      </c>
      <c r="E1388" s="1" t="s">
        <v>6545</v>
      </c>
      <c r="F1388" s="4" t="s">
        <v>17</v>
      </c>
      <c r="G1388" s="1" t="s">
        <v>18</v>
      </c>
      <c r="H1388" s="1" t="s">
        <v>19</v>
      </c>
      <c r="I1388" s="1" t="s">
        <v>20</v>
      </c>
      <c r="J1388" s="1" t="s">
        <v>6546</v>
      </c>
      <c r="K1388" s="1" t="s">
        <v>22</v>
      </c>
      <c r="L1388" s="1" t="str">
        <f>HYPERLINK("https://files.afu.se/Downloads/Transcripts/0%20-%20Government/USA%20-%20NASA/2016 11 10 - NASA - Space Station Commander Pays Tribute to the Nation's Veterans_ao0DKmU3g0w - transcript (automated).pdf","Transcript Link")</f>
        <v>Transcript Link</v>
      </c>
      <c r="M1388" s="2" t="str">
        <f>HYPERLINK("https://files.afu.se/Downloads/Transcripts/0%20-%20Government/USA%20-%20NASA/2016 11 10 - NASA - Space Station Commander Pays Tribute to the Nation's Veterans_ao0DKmU3g0w - transcript (automated).pdf","Transcript Link")</f>
        <v>Transcript Link</v>
      </c>
    </row>
    <row r="1389" ht="300" spans="1:13">
      <c r="A1389" s="1" t="s">
        <v>6547</v>
      </c>
      <c r="B1389" s="1" t="s">
        <v>13</v>
      </c>
      <c r="C1389" s="4" t="s">
        <v>6548</v>
      </c>
      <c r="D1389" s="1" t="s">
        <v>6549</v>
      </c>
      <c r="E1389" s="1" t="s">
        <v>6550</v>
      </c>
      <c r="F1389" s="4" t="s">
        <v>17</v>
      </c>
      <c r="G1389" s="1" t="s">
        <v>18</v>
      </c>
      <c r="H1389" s="1" t="s">
        <v>19</v>
      </c>
      <c r="I1389" s="1" t="s">
        <v>20</v>
      </c>
      <c r="J1389" s="1" t="s">
        <v>6551</v>
      </c>
      <c r="K1389" s="1" t="s">
        <v>22</v>
      </c>
      <c r="L1389" s="1" t="str">
        <f>HYPERLINK("https://files.afu.se/Downloads/Transcripts/0%20-%20Government/USA%20-%20NASA/2016 11 04 - NASA - Humanity’s Eye into the Universe on This Week @NASA – November 4, 2016_E0pzYtupOXY - transcript (automated).pdf","Transcript Link")</f>
        <v>Transcript Link</v>
      </c>
      <c r="M1389" s="2" t="str">
        <f>HYPERLINK("https://files.afu.se/Downloads/Transcripts/0%20-%20Government/USA%20-%20NASA/2016 11 04 - NASA - Humanity’s Eye into the Universe on This Week @NASA – November 4, 2016_E0pzYtupOXY - transcript (automated).pdf","Transcript Link")</f>
        <v>Transcript Link</v>
      </c>
    </row>
    <row r="1390" ht="195" spans="1:13">
      <c r="A1390" s="1" t="s">
        <v>6547</v>
      </c>
      <c r="B1390" s="1" t="s">
        <v>13</v>
      </c>
      <c r="C1390" s="4" t="s">
        <v>6552</v>
      </c>
      <c r="D1390" s="1" t="s">
        <v>6553</v>
      </c>
      <c r="E1390" s="1" t="s">
        <v>6554</v>
      </c>
      <c r="F1390" s="4" t="s">
        <v>17</v>
      </c>
      <c r="G1390" s="1" t="s">
        <v>18</v>
      </c>
      <c r="H1390" s="1" t="s">
        <v>19</v>
      </c>
      <c r="I1390" s="1" t="s">
        <v>20</v>
      </c>
      <c r="J1390" s="1" t="s">
        <v>6555</v>
      </c>
      <c r="K1390" s="1" t="s">
        <v>22</v>
      </c>
      <c r="L1390" s="1" t="str">
        <f>HYPERLINK("https://files.afu.se/Downloads/Transcripts/0%20-%20Government/USA%20-%20NASA/2016 11 04 - NASA - Women @NASA  Amy Mainzer_Y1tYRH72ETI - transcript (automated).pdf","Transcript Link")</f>
        <v>Transcript Link</v>
      </c>
      <c r="M1390" s="2" t="str">
        <f>HYPERLINK("https://files.afu.se/Downloads/Transcripts/0%20-%20Government/USA%20-%20NASA/2016 11 04 - NASA - Women @NASA  Amy Mainzer_Y1tYRH72ETI - transcript (automated).pdf","Transcript Link")</f>
        <v>Transcript Link</v>
      </c>
    </row>
    <row r="1391" ht="165" spans="1:13">
      <c r="A1391" s="1" t="s">
        <v>6547</v>
      </c>
      <c r="B1391" s="1" t="s">
        <v>13</v>
      </c>
      <c r="C1391" s="4" t="s">
        <v>6556</v>
      </c>
      <c r="D1391" s="1" t="s">
        <v>6557</v>
      </c>
      <c r="E1391" s="1" t="s">
        <v>6558</v>
      </c>
      <c r="F1391" s="4" t="s">
        <v>17</v>
      </c>
      <c r="G1391" s="1" t="s">
        <v>18</v>
      </c>
      <c r="H1391" s="1" t="s">
        <v>19</v>
      </c>
      <c r="I1391" s="1" t="s">
        <v>20</v>
      </c>
      <c r="J1391" s="1" t="s">
        <v>6559</v>
      </c>
      <c r="K1391" s="1" t="s">
        <v>22</v>
      </c>
      <c r="L1391" s="1" t="str">
        <f>HYPERLINK("https://files.afu.se/Downloads/Transcripts/0%20-%20Government/USA%20-%20NASA/2016 11 04 - NASA - Open Science  Gender_-ndzgZ6ECrw - transcript (automated).pdf","Transcript Link")</f>
        <v>Transcript Link</v>
      </c>
      <c r="M1391" s="2" t="str">
        <f>HYPERLINK("https://files.afu.se/Downloads/Transcripts/0%20-%20Government/USA%20-%20NASA/2016 11 04 - NASA - Open Science  Gender_-ndzgZ6ECrw - transcript (automated).pdf","Transcript Link")</f>
        <v>Transcript Link</v>
      </c>
    </row>
    <row r="1392" ht="165" spans="1:13">
      <c r="A1392" s="1" t="s">
        <v>6547</v>
      </c>
      <c r="B1392" s="1" t="s">
        <v>13</v>
      </c>
      <c r="C1392" s="4" t="s">
        <v>6560</v>
      </c>
      <c r="D1392" s="1" t="s">
        <v>6561</v>
      </c>
      <c r="E1392" s="1" t="s">
        <v>6562</v>
      </c>
      <c r="F1392" s="4" t="s">
        <v>17</v>
      </c>
      <c r="G1392" s="1" t="s">
        <v>18</v>
      </c>
      <c r="H1392" s="1" t="s">
        <v>19</v>
      </c>
      <c r="I1392" s="1" t="s">
        <v>20</v>
      </c>
      <c r="J1392" s="1" t="s">
        <v>6563</v>
      </c>
      <c r="K1392" s="1" t="s">
        <v>22</v>
      </c>
      <c r="L1392" s="1" t="str">
        <f>HYPERLINK("https://files.afu.se/Downloads/Transcripts/0%20-%20Government/USA%20-%20NASA/2016 11 04 - NASA - Women @NASA_5zR7jtW5vXU - transcript (automated).pdf","Transcript Link")</f>
        <v>Transcript Link</v>
      </c>
      <c r="M1392" s="2" t="str">
        <f>HYPERLINK("https://files.afu.se/Downloads/Transcripts/0%20-%20Government/USA%20-%20NASA/2016 11 04 - NASA - Women @NASA_5zR7jtW5vXU - transcript (automated).pdf","Transcript Link")</f>
        <v>Transcript Link</v>
      </c>
    </row>
    <row r="1393" ht="165" spans="1:13">
      <c r="A1393" s="1" t="s">
        <v>6564</v>
      </c>
      <c r="B1393" s="1" t="s">
        <v>13</v>
      </c>
      <c r="C1393" s="4" t="s">
        <v>6565</v>
      </c>
      <c r="D1393" s="1" t="s">
        <v>6566</v>
      </c>
      <c r="E1393" s="1" t="s">
        <v>6567</v>
      </c>
      <c r="F1393" s="4" t="s">
        <v>17</v>
      </c>
      <c r="G1393" s="1" t="s">
        <v>18</v>
      </c>
      <c r="H1393" s="1" t="s">
        <v>19</v>
      </c>
      <c r="I1393" s="1" t="s">
        <v>20</v>
      </c>
      <c r="J1393" s="1" t="s">
        <v>6568</v>
      </c>
      <c r="K1393" s="1" t="s">
        <v>22</v>
      </c>
      <c r="L1393" s="1" t="str">
        <f>HYPERLINK("https://files.afu.se/Downloads/Transcripts/0%20-%20Government/USA%20-%20NASA/2016 11 03 - NASA - Space Station Commander Discusses Life in Space with Washington Students_at35zNUoGU4 - transcript (automated).pdf","Transcript Link")</f>
        <v>Transcript Link</v>
      </c>
      <c r="M1393" s="2" t="str">
        <f>HYPERLINK("https://files.afu.se/Downloads/Transcripts/0%20-%20Government/USA%20-%20NASA/2016 11 03 - NASA - Space Station Commander Discusses Life in Space with Washington Students_at35zNUoGU4 - transcript (automated).pdf","Transcript Link")</f>
        <v>Transcript Link</v>
      </c>
    </row>
    <row r="1394" ht="180" spans="1:13">
      <c r="A1394" s="1" t="s">
        <v>6569</v>
      </c>
      <c r="B1394" s="1" t="s">
        <v>13</v>
      </c>
      <c r="C1394" s="4" t="s">
        <v>6570</v>
      </c>
      <c r="D1394" s="1" t="s">
        <v>6571</v>
      </c>
      <c r="E1394" s="1" t="s">
        <v>6572</v>
      </c>
      <c r="F1394" s="4" t="s">
        <v>17</v>
      </c>
      <c r="G1394" s="1" t="s">
        <v>18</v>
      </c>
      <c r="H1394" s="1" t="s">
        <v>19</v>
      </c>
      <c r="I1394" s="1" t="s">
        <v>20</v>
      </c>
      <c r="J1394" s="1" t="s">
        <v>6573</v>
      </c>
      <c r="K1394" s="1" t="s">
        <v>22</v>
      </c>
      <c r="L1394" s="1" t="str">
        <f>HYPERLINK("https://files.afu.se/Downloads/Transcripts/0%20-%20Government/USA%20-%20NASA/2016 11 02 - NASA - James Webb Space Telescope Update_VWeg88PTg4s - transcript (automated).pdf","Transcript Link")</f>
        <v>Transcript Link</v>
      </c>
      <c r="M1394" s="2" t="str">
        <f>HYPERLINK("https://files.afu.se/Downloads/Transcripts/0%20-%20Government/USA%20-%20NASA/2016 11 02 - NASA - James Webb Space Telescope Update_VWeg88PTg4s - transcript (automated).pdf","Transcript Link")</f>
        <v>Transcript Link</v>
      </c>
    </row>
    <row r="1395" ht="165" spans="1:13">
      <c r="A1395" s="1" t="s">
        <v>6574</v>
      </c>
      <c r="B1395" s="1" t="s">
        <v>13</v>
      </c>
      <c r="C1395" s="4" t="s">
        <v>6575</v>
      </c>
      <c r="D1395" s="1" t="s">
        <v>6576</v>
      </c>
      <c r="E1395" s="1" t="s">
        <v>6577</v>
      </c>
      <c r="F1395" s="4" t="s">
        <v>17</v>
      </c>
      <c r="G1395" s="1" t="s">
        <v>18</v>
      </c>
      <c r="H1395" s="1" t="s">
        <v>19</v>
      </c>
      <c r="I1395" s="1" t="s">
        <v>20</v>
      </c>
      <c r="J1395" s="1" t="s">
        <v>6578</v>
      </c>
      <c r="K1395" s="1" t="s">
        <v>22</v>
      </c>
      <c r="L1395" s="1" t="str">
        <f>HYPERLINK("https://files.afu.se/Downloads/Transcripts/0%20-%20Government/USA%20-%20NASA/2016 11 01 - NASA - NASA Agency Innovation Mission Day_ZvWc957a2To - transcript (automated).pdf","Transcript Link")</f>
        <v>Transcript Link</v>
      </c>
      <c r="M1395" s="2" t="str">
        <f>HYPERLINK("https://files.afu.se/Downloads/Transcripts/0%20-%20Government/USA%20-%20NASA/2016 11 01 - NASA - NASA Agency Innovation Mission Day_ZvWc957a2To - transcript (automated).pdf","Transcript Link")</f>
        <v>Transcript Link</v>
      </c>
    </row>
    <row r="1396" ht="180" spans="1:13">
      <c r="A1396" s="1" t="s">
        <v>6574</v>
      </c>
      <c r="B1396" s="1" t="s">
        <v>13</v>
      </c>
      <c r="C1396" s="4" t="s">
        <v>6579</v>
      </c>
      <c r="D1396" s="1" t="s">
        <v>6580</v>
      </c>
      <c r="E1396" s="1" t="s">
        <v>6581</v>
      </c>
      <c r="F1396" s="4" t="s">
        <v>17</v>
      </c>
      <c r="G1396" s="1" t="s">
        <v>18</v>
      </c>
      <c r="H1396" s="1" t="s">
        <v>19</v>
      </c>
      <c r="I1396" s="1" t="s">
        <v>20</v>
      </c>
      <c r="J1396" s="1" t="s">
        <v>6582</v>
      </c>
      <c r="K1396" s="1" t="s">
        <v>22</v>
      </c>
      <c r="L1396" s="1" t="str">
        <f>HYPERLINK("https://files.afu.se/Downloads/Transcripts/0%20-%20Government/USA%20-%20NASA/2016 11 01 - NASA - Expedition 50-51 Crew Departs for Kazakh Launch Site_TLl7grOPpAo - transcript (automated).pdf","Transcript Link")</f>
        <v>Transcript Link</v>
      </c>
      <c r="M1396" s="2" t="str">
        <f>HYPERLINK("https://files.afu.se/Downloads/Transcripts/0%20-%20Government/USA%20-%20NASA/2016 11 01 - NASA - Expedition 50-51 Crew Departs for Kazakh Launch Site_TLl7grOPpAo - transcript (automated).pdf","Transcript Link")</f>
        <v>Transcript Link</v>
      </c>
    </row>
    <row r="1397" ht="165" spans="1:13">
      <c r="A1397" s="1" t="s">
        <v>6583</v>
      </c>
      <c r="B1397" s="1" t="s">
        <v>13</v>
      </c>
      <c r="C1397" s="4" t="s">
        <v>6584</v>
      </c>
      <c r="D1397" s="1" t="s">
        <v>3119</v>
      </c>
      <c r="E1397" s="1" t="s">
        <v>6585</v>
      </c>
      <c r="F1397" s="4" t="s">
        <v>17</v>
      </c>
      <c r="G1397" s="1" t="s">
        <v>18</v>
      </c>
      <c r="H1397" s="1" t="s">
        <v>19</v>
      </c>
      <c r="I1397" s="1" t="s">
        <v>20</v>
      </c>
      <c r="J1397" s="1" t="s">
        <v>6586</v>
      </c>
      <c r="K1397" s="1" t="s">
        <v>22</v>
      </c>
      <c r="L1397" s="1" t="str">
        <f>HYPERLINK("https://files.afu.se/Downloads/Transcripts/0%20-%20Government/USA%20-%20NASA/2016 10 31 - NASA - Happy Halloween from NASA_wf6hcFn27zk - transcript (automated).pdf","Transcript Link")</f>
        <v>Transcript Link</v>
      </c>
      <c r="M1397" s="2" t="str">
        <f>HYPERLINK("https://files.afu.se/Downloads/Transcripts/0%20-%20Government/USA%20-%20NASA/2016 10 31 - NASA - Happy Halloween from NASA_wf6hcFn27zk - transcript (automated).pdf","Transcript Link")</f>
        <v>Transcript Link</v>
      </c>
    </row>
    <row r="1398" ht="165" spans="1:13">
      <c r="A1398" s="1" t="s">
        <v>6587</v>
      </c>
      <c r="B1398" s="1" t="s">
        <v>13</v>
      </c>
      <c r="C1398" s="4" t="s">
        <v>6588</v>
      </c>
      <c r="D1398" s="1" t="s">
        <v>6589</v>
      </c>
      <c r="E1398" s="1" t="s">
        <v>6590</v>
      </c>
      <c r="F1398" s="4" t="s">
        <v>17</v>
      </c>
      <c r="G1398" s="1" t="s">
        <v>18</v>
      </c>
      <c r="H1398" s="1" t="s">
        <v>19</v>
      </c>
      <c r="I1398" s="1" t="s">
        <v>20</v>
      </c>
      <c r="J1398" s="1" t="s">
        <v>6591</v>
      </c>
      <c r="K1398" s="1" t="s">
        <v>22</v>
      </c>
      <c r="L1398" s="1" t="str">
        <f>HYPERLINK("https://files.afu.se/Downloads/Transcripts/0%20-%20Government/USA%20-%20NASA/2016 10 30 - NASA - Expedition 49 Crew Receives a Warm Welcome in Kazakhstan and Russia_fzLSMuvxK28 - transcript (automated).pdf","Transcript Link")</f>
        <v>Transcript Link</v>
      </c>
      <c r="M1398" s="2" t="str">
        <f>HYPERLINK("https://files.afu.se/Downloads/Transcripts/0%20-%20Government/USA%20-%20NASA/2016 10 30 - NASA - Expedition 49 Crew Receives a Warm Welcome in Kazakhstan and Russia_fzLSMuvxK28 - transcript (automated).pdf","Transcript Link")</f>
        <v>Transcript Link</v>
      </c>
    </row>
    <row r="1399" ht="165" spans="1:13">
      <c r="A1399" s="1" t="s">
        <v>6587</v>
      </c>
      <c r="B1399" s="1" t="s">
        <v>13</v>
      </c>
      <c r="C1399" s="4" t="s">
        <v>6592</v>
      </c>
      <c r="D1399" s="1" t="s">
        <v>6593</v>
      </c>
      <c r="E1399" s="1" t="s">
        <v>6594</v>
      </c>
      <c r="F1399" s="4" t="s">
        <v>17</v>
      </c>
      <c r="G1399" s="1" t="s">
        <v>18</v>
      </c>
      <c r="H1399" s="1" t="s">
        <v>19</v>
      </c>
      <c r="I1399" s="1" t="s">
        <v>20</v>
      </c>
      <c r="J1399" s="1" t="s">
        <v>6595</v>
      </c>
      <c r="K1399" s="1" t="s">
        <v>22</v>
      </c>
      <c r="L1399" s="1" t="str">
        <f>HYPERLINK("https://files.afu.se/Downloads/Transcripts/0%20-%20Government/USA%20-%20NASA/2016 10 30 - NASA - Expedition 49 Crew Lands Safely in Kazakhstan_TrZ9hNB47Qs - transcript (automated).pdf","Transcript Link")</f>
        <v>Transcript Link</v>
      </c>
      <c r="M1399" s="2" t="str">
        <f>HYPERLINK("https://files.afu.se/Downloads/Transcripts/0%20-%20Government/USA%20-%20NASA/2016 10 30 - NASA - Expedition 49 Crew Lands Safely in Kazakhstan_TrZ9hNB47Qs - transcript (automated).pdf","Transcript Link")</f>
        <v>Transcript Link</v>
      </c>
    </row>
    <row r="1400" ht="165" spans="1:13">
      <c r="A1400" s="1" t="s">
        <v>6587</v>
      </c>
      <c r="B1400" s="1" t="s">
        <v>13</v>
      </c>
      <c r="C1400" s="4" t="s">
        <v>6596</v>
      </c>
      <c r="D1400" s="1" t="s">
        <v>6597</v>
      </c>
      <c r="E1400" s="1" t="s">
        <v>6598</v>
      </c>
      <c r="F1400" s="4" t="s">
        <v>17</v>
      </c>
      <c r="G1400" s="1" t="s">
        <v>18</v>
      </c>
      <c r="H1400" s="1" t="s">
        <v>19</v>
      </c>
      <c r="I1400" s="1" t="s">
        <v>20</v>
      </c>
      <c r="J1400" s="1" t="s">
        <v>6599</v>
      </c>
      <c r="K1400" s="1" t="s">
        <v>22</v>
      </c>
      <c r="L1400" s="1" t="str">
        <f>HYPERLINK("https://files.afu.se/Downloads/Transcripts/0%20-%20Government/USA%20-%20NASA/2016 10 30 - NASA - Expedition 49 Departs from the ISS_i8KfDyHtm44 - transcript (automated).pdf","Transcript Link")</f>
        <v>Transcript Link</v>
      </c>
      <c r="M1400" s="2" t="str">
        <f>HYPERLINK("https://files.afu.se/Downloads/Transcripts/0%20-%20Government/USA%20-%20NASA/2016 10 30 - NASA - Expedition 49 Departs from the ISS_i8KfDyHtm44 - transcript (automated).pdf","Transcript Link")</f>
        <v>Transcript Link</v>
      </c>
    </row>
    <row r="1401" ht="165" spans="1:13">
      <c r="A1401" s="1" t="s">
        <v>6600</v>
      </c>
      <c r="B1401" s="1" t="s">
        <v>13</v>
      </c>
      <c r="C1401" s="4" t="s">
        <v>6601</v>
      </c>
      <c r="D1401" s="1" t="s">
        <v>6602</v>
      </c>
      <c r="E1401" s="1" t="s">
        <v>6603</v>
      </c>
      <c r="F1401" s="4" t="s">
        <v>17</v>
      </c>
      <c r="G1401" s="1" t="s">
        <v>18</v>
      </c>
      <c r="H1401" s="1" t="s">
        <v>19</v>
      </c>
      <c r="I1401" s="1" t="s">
        <v>20</v>
      </c>
      <c r="J1401" s="1" t="s">
        <v>6604</v>
      </c>
      <c r="K1401" s="1" t="s">
        <v>22</v>
      </c>
      <c r="L1401" s="1" t="str">
        <f>HYPERLINK("https://files.afu.se/Downloads/Transcripts/0%20-%20Government/USA%20-%20NASA/2016 10 28 - NASA - Expedition 49 Crew Hands Over the Space Station to Expedition 50_ktfJVwkJG2g - transcript (automated).pdf","Transcript Link")</f>
        <v>Transcript Link</v>
      </c>
      <c r="M1401" s="2" t="str">
        <f>HYPERLINK("https://files.afu.se/Downloads/Transcripts/0%20-%20Government/USA%20-%20NASA/2016 10 28 - NASA - Expedition 49 Crew Hands Over the Space Station to Expedition 50_ktfJVwkJG2g - transcript (automated).pdf","Transcript Link")</f>
        <v>Transcript Link</v>
      </c>
    </row>
    <row r="1402" ht="165" spans="1:13">
      <c r="A1402" s="1" t="s">
        <v>6600</v>
      </c>
      <c r="B1402" s="1" t="s">
        <v>13</v>
      </c>
      <c r="C1402" s="4" t="s">
        <v>6605</v>
      </c>
      <c r="D1402" s="1" t="s">
        <v>6606</v>
      </c>
      <c r="E1402" s="1" t="s">
        <v>6607</v>
      </c>
      <c r="F1402" s="4" t="s">
        <v>17</v>
      </c>
      <c r="G1402" s="1" t="s">
        <v>18</v>
      </c>
      <c r="H1402" s="1" t="s">
        <v>19</v>
      </c>
      <c r="I1402" s="1" t="s">
        <v>20</v>
      </c>
      <c r="J1402" s="1" t="s">
        <v>6608</v>
      </c>
      <c r="K1402" s="1" t="s">
        <v>22</v>
      </c>
      <c r="L1402" s="1" t="str">
        <f>HYPERLINK("https://files.afu.se/Downloads/Transcripts/0%20-%20Government/USA%20-%20NASA/2016 10 28 - NASA - Cygnus Arrives Safely to ISS on This Week @NASA – October 28, 2016_v1_uVd1PwpA - transcript (automated).pdf","Transcript Link")</f>
        <v>Transcript Link</v>
      </c>
      <c r="M1402" s="2" t="str">
        <f>HYPERLINK("https://files.afu.se/Downloads/Transcripts/0%20-%20Government/USA%20-%20NASA/2016 10 28 - NASA - Cygnus Arrives Safely to ISS on This Week @NASA – October 28, 2016_v1_uVd1PwpA - transcript (automated).pdf","Transcript Link")</f>
        <v>Transcript Link</v>
      </c>
    </row>
    <row r="1403" ht="225" spans="1:13">
      <c r="A1403" s="1" t="s">
        <v>6609</v>
      </c>
      <c r="B1403" s="1" t="s">
        <v>13</v>
      </c>
      <c r="C1403" s="4" t="s">
        <v>6610</v>
      </c>
      <c r="D1403" s="1" t="s">
        <v>6611</v>
      </c>
      <c r="E1403" s="1" t="s">
        <v>6612</v>
      </c>
      <c r="F1403" s="4" t="s">
        <v>17</v>
      </c>
      <c r="G1403" s="1" t="s">
        <v>18</v>
      </c>
      <c r="H1403" s="1" t="s">
        <v>19</v>
      </c>
      <c r="I1403" s="1" t="s">
        <v>20</v>
      </c>
      <c r="J1403" s="1" t="s">
        <v>6613</v>
      </c>
      <c r="K1403" s="1" t="s">
        <v>22</v>
      </c>
      <c r="L1403" s="1" t="str">
        <f>HYPERLINK("https://files.afu.se/Downloads/Transcripts/0%20-%20Government/USA%20-%20NASA/2016 10 27 - NASA - Astronaut Peggy Whitson Talks about her Upcoming Mission to the International Space Station_Y_TRF-Wtcks - transcript (automated).pdf","Transcript Link")</f>
        <v>Transcript Link</v>
      </c>
      <c r="M1403" s="2" t="str">
        <f>HYPERLINK("https://files.afu.se/Downloads/Transcripts/0%20-%20Government/USA%20-%20NASA/2016 10 27 - NASA - Astronaut Peggy Whitson Talks about her Upcoming Mission to the International Space Station_Y_TRF-Wtcks - transcript (automated).pdf","Transcript Link")</f>
        <v>Transcript Link</v>
      </c>
    </row>
    <row r="1404" ht="165" spans="1:13">
      <c r="A1404" s="1" t="s">
        <v>6609</v>
      </c>
      <c r="B1404" s="1" t="s">
        <v>13</v>
      </c>
      <c r="C1404" s="4" t="s">
        <v>6614</v>
      </c>
      <c r="D1404" s="1" t="s">
        <v>6615</v>
      </c>
      <c r="E1404" s="1" t="s">
        <v>6616</v>
      </c>
      <c r="F1404" s="4" t="s">
        <v>17</v>
      </c>
      <c r="G1404" s="1" t="s">
        <v>18</v>
      </c>
      <c r="H1404" s="1" t="s">
        <v>19</v>
      </c>
      <c r="I1404" s="1" t="s">
        <v>20</v>
      </c>
      <c r="J1404" s="1" t="s">
        <v>6617</v>
      </c>
      <c r="K1404" s="1" t="s">
        <v>22</v>
      </c>
      <c r="L1404" s="1" t="str">
        <f>HYPERLINK("https://files.afu.se/Downloads/Transcripts/0%20-%20Government/USA%20-%20NASA/2016 10 27 - NASA - Space Station Fisheye Fly-Through 4K (Ultra HD)_DhmdyQdu96M - transcript (automated).pdf","Transcript Link")</f>
        <v>Transcript Link</v>
      </c>
      <c r="M1404" s="2" t="str">
        <f>HYPERLINK("https://files.afu.se/Downloads/Transcripts/0%20-%20Government/USA%20-%20NASA/2016 10 27 - NASA - Space Station Fisheye Fly-Through 4K (Ultra HD)_DhmdyQdu96M - transcript (automated).pdf","Transcript Link")</f>
        <v>Transcript Link</v>
      </c>
    </row>
    <row r="1405" ht="165" spans="1:13">
      <c r="A1405" s="1" t="s">
        <v>6618</v>
      </c>
      <c r="B1405" s="1" t="s">
        <v>13</v>
      </c>
      <c r="C1405" s="4" t="s">
        <v>6619</v>
      </c>
      <c r="D1405" s="1" t="s">
        <v>6620</v>
      </c>
      <c r="E1405" s="1" t="s">
        <v>6621</v>
      </c>
      <c r="F1405" s="4" t="s">
        <v>17</v>
      </c>
      <c r="G1405" s="1" t="s">
        <v>18</v>
      </c>
      <c r="H1405" s="1" t="s">
        <v>19</v>
      </c>
      <c r="I1405" s="1" t="s">
        <v>20</v>
      </c>
      <c r="J1405" s="1" t="s">
        <v>6622</v>
      </c>
      <c r="K1405" s="1" t="s">
        <v>22</v>
      </c>
      <c r="L1405" s="1" t="str">
        <f>HYPERLINK("https://files.afu.se/Downloads/Transcripts/0%20-%20Government/USA%20-%20NASA/2016 10 26 - NASA - International Space Station Expedition 50-51 Crew News Conference_Crqn0MV69sI - transcript (automated).pdf","Transcript Link")</f>
        <v>Transcript Link</v>
      </c>
      <c r="M1405" s="2" t="str">
        <f>HYPERLINK("https://files.afu.se/Downloads/Transcripts/0%20-%20Government/USA%20-%20NASA/2016 10 26 - NASA - International Space Station Expedition 50-51 Crew News Conference_Crqn0MV69sI - transcript (automated).pdf","Transcript Link")</f>
        <v>Transcript Link</v>
      </c>
    </row>
    <row r="1406" ht="195" spans="1:13">
      <c r="A1406" s="1" t="s">
        <v>6618</v>
      </c>
      <c r="B1406" s="1" t="s">
        <v>13</v>
      </c>
      <c r="C1406" s="4" t="s">
        <v>6623</v>
      </c>
      <c r="D1406" s="1" t="s">
        <v>6624</v>
      </c>
      <c r="E1406" s="1" t="s">
        <v>6625</v>
      </c>
      <c r="F1406" s="4" t="s">
        <v>17</v>
      </c>
      <c r="G1406" s="1" t="s">
        <v>18</v>
      </c>
      <c r="H1406" s="1" t="s">
        <v>19</v>
      </c>
      <c r="I1406" s="1" t="s">
        <v>20</v>
      </c>
      <c r="J1406" s="1" t="s">
        <v>6626</v>
      </c>
      <c r="K1406" s="1" t="s">
        <v>22</v>
      </c>
      <c r="L1406" s="1" t="str">
        <f>HYPERLINK("https://files.afu.se/Downloads/Transcripts/0%20-%20Government/USA%20-%20NASA/2016 10 26 - NASA - Expedition 50-51 Crew Conducts Ceremonies in Star City and Moscow, Russia_e50jYM0Wyx4 - transcript (automated).pdf","Transcript Link")</f>
        <v>Transcript Link</v>
      </c>
      <c r="M1406" s="2" t="str">
        <f>HYPERLINK("https://files.afu.se/Downloads/Transcripts/0%20-%20Government/USA%20-%20NASA/2016 10 26 - NASA - Expedition 50-51 Crew Conducts Ceremonies in Star City and Moscow, Russia_e50jYM0Wyx4 - transcript (automated).pdf","Transcript Link")</f>
        <v>Transcript Link</v>
      </c>
    </row>
    <row r="1407" ht="165" spans="1:13">
      <c r="A1407" s="1" t="s">
        <v>6618</v>
      </c>
      <c r="B1407" s="1" t="s">
        <v>13</v>
      </c>
      <c r="C1407" s="4" t="s">
        <v>6627</v>
      </c>
      <c r="D1407" s="1" t="s">
        <v>6628</v>
      </c>
      <c r="E1407" s="1" t="s">
        <v>6629</v>
      </c>
      <c r="F1407" s="4" t="s">
        <v>17</v>
      </c>
      <c r="G1407" s="1" t="s">
        <v>18</v>
      </c>
      <c r="H1407" s="1" t="s">
        <v>19</v>
      </c>
      <c r="I1407" s="1" t="s">
        <v>20</v>
      </c>
      <c r="J1407" s="1" t="s">
        <v>6630</v>
      </c>
      <c r="K1407" s="1" t="s">
        <v>22</v>
      </c>
      <c r="L1407" s="1" t="str">
        <f>HYPERLINK("https://files.afu.se/Downloads/Transcripts/0%20-%20Government/USA%20-%20NASA/2016 10 26 - NASA - STEM in 30 – Seven Minutes of Terror_uDLPD40QI_0 - transcript (automated).pdf","Transcript Link")</f>
        <v>Transcript Link</v>
      </c>
      <c r="M1407" s="2" t="str">
        <f>HYPERLINK("https://files.afu.se/Downloads/Transcripts/0%20-%20Government/USA%20-%20NASA/2016 10 26 - NASA - STEM in 30 – Seven Minutes of Terror_uDLPD40QI_0 - transcript (automated).pdf","Transcript Link")</f>
        <v>Transcript Link</v>
      </c>
    </row>
    <row r="1408" ht="165" spans="1:13">
      <c r="A1408" s="1" t="s">
        <v>6618</v>
      </c>
      <c r="B1408" s="1" t="s">
        <v>13</v>
      </c>
      <c r="C1408" s="4" t="s">
        <v>6631</v>
      </c>
      <c r="D1408" s="1" t="s">
        <v>6632</v>
      </c>
      <c r="E1408" s="1" t="s">
        <v>6633</v>
      </c>
      <c r="F1408" s="4" t="s">
        <v>17</v>
      </c>
      <c r="G1408" s="1" t="s">
        <v>18</v>
      </c>
      <c r="H1408" s="1" t="s">
        <v>19</v>
      </c>
      <c r="I1408" s="1" t="s">
        <v>20</v>
      </c>
      <c r="J1408" s="1" t="s">
        <v>6634</v>
      </c>
      <c r="K1408" s="1" t="s">
        <v>22</v>
      </c>
      <c r="L1408" s="1" t="str">
        <f>HYPERLINK("https://files.afu.se/Downloads/Transcripts/0%20-%20Government/USA%20-%20NASA/2016 10 26 - NASA - Space Station Crew Members Accept Congratulations from Japanese Prime Minister_pw7lpAFbCQk - transcript (automated).pdf","Transcript Link")</f>
        <v>Transcript Link</v>
      </c>
      <c r="M1408" s="2" t="str">
        <f>HYPERLINK("https://files.afu.se/Downloads/Transcripts/0%20-%20Government/USA%20-%20NASA/2016 10 26 - NASA - Space Station Crew Members Accept Congratulations from Japanese Prime Minister_pw7lpAFbCQk - transcript (automated).pdf","Transcript Link")</f>
        <v>Transcript Link</v>
      </c>
    </row>
    <row r="1409" ht="210" spans="1:13">
      <c r="A1409" s="1" t="s">
        <v>6635</v>
      </c>
      <c r="B1409" s="1" t="s">
        <v>13</v>
      </c>
      <c r="C1409" s="4" t="s">
        <v>6636</v>
      </c>
      <c r="D1409" s="1" t="s">
        <v>6637</v>
      </c>
      <c r="E1409" s="1" t="s">
        <v>6638</v>
      </c>
      <c r="F1409" s="4" t="s">
        <v>17</v>
      </c>
      <c r="G1409" s="1" t="s">
        <v>18</v>
      </c>
      <c r="H1409" s="1" t="s">
        <v>19</v>
      </c>
      <c r="I1409" s="1" t="s">
        <v>20</v>
      </c>
      <c r="J1409" s="1" t="s">
        <v>6639</v>
      </c>
      <c r="K1409" s="1" t="s">
        <v>22</v>
      </c>
      <c r="L1409" s="1" t="str">
        <f>HYPERLINK("https://files.afu.se/Downloads/Transcripts/0%20-%20Government/USA%20-%20NASA/2016 10 25 - NASA - What’s New in Aerospace   Solar Hazards in Exploration_IBpT1CIchNQ - transcript (automated).pdf","Transcript Link")</f>
        <v>Transcript Link</v>
      </c>
      <c r="M1409" s="2" t="str">
        <f>HYPERLINK("https://files.afu.se/Downloads/Transcripts/0%20-%20Government/USA%20-%20NASA/2016 10 25 - NASA - What’s New in Aerospace   Solar Hazards in Exploration_IBpT1CIchNQ - transcript (automated).pdf","Transcript Link")</f>
        <v>Transcript Link</v>
      </c>
    </row>
    <row r="1410" ht="165" spans="1:13">
      <c r="A1410" s="1" t="s">
        <v>6635</v>
      </c>
      <c r="B1410" s="1" t="s">
        <v>13</v>
      </c>
      <c r="C1410" s="4" t="s">
        <v>6640</v>
      </c>
      <c r="D1410" s="1" t="s">
        <v>6641</v>
      </c>
      <c r="E1410" s="1" t="s">
        <v>6642</v>
      </c>
      <c r="F1410" s="4" t="s">
        <v>17</v>
      </c>
      <c r="G1410" s="1" t="s">
        <v>18</v>
      </c>
      <c r="H1410" s="1" t="s">
        <v>19</v>
      </c>
      <c r="I1410" s="1" t="s">
        <v>20</v>
      </c>
      <c r="J1410" s="1" t="s">
        <v>6643</v>
      </c>
      <c r="K1410" s="1" t="s">
        <v>22</v>
      </c>
      <c r="L1410" s="1" t="str">
        <f>HYPERLINK("https://files.afu.se/Downloads/Transcripts/0%20-%20Government/USA%20-%20NASA/2016 10 25 - NASA - Kate Rubins and Simon Pegg Discuss the Final Frontier_QPRzaR03bM4 - transcript (automated).pdf","Transcript Link")</f>
        <v>Transcript Link</v>
      </c>
      <c r="M1410" s="2" t="str">
        <f>HYPERLINK("https://files.afu.se/Downloads/Transcripts/0%20-%20Government/USA%20-%20NASA/2016 10 25 - NASA - Kate Rubins and Simon Pegg Discuss the Final Frontier_QPRzaR03bM4 - transcript (automated).pdf","Transcript Link")</f>
        <v>Transcript Link</v>
      </c>
    </row>
    <row r="1411" ht="165" spans="1:13">
      <c r="A1411" s="1" t="s">
        <v>6635</v>
      </c>
      <c r="B1411" s="1" t="s">
        <v>13</v>
      </c>
      <c r="C1411" s="4" t="s">
        <v>6644</v>
      </c>
      <c r="D1411" s="1" t="s">
        <v>6645</v>
      </c>
      <c r="E1411" s="1" t="s">
        <v>6646</v>
      </c>
      <c r="F1411" s="4" t="s">
        <v>17</v>
      </c>
      <c r="G1411" s="1" t="s">
        <v>18</v>
      </c>
      <c r="H1411" s="1" t="s">
        <v>19</v>
      </c>
      <c r="I1411" s="1" t="s">
        <v>20</v>
      </c>
      <c r="J1411" s="1" t="s">
        <v>6647</v>
      </c>
      <c r="K1411" s="1" t="s">
        <v>22</v>
      </c>
      <c r="L1411" s="1" t="str">
        <f>HYPERLINK("https://files.afu.se/Downloads/Transcripts/0%20-%20Government/USA%20-%20NASA/2016 10 25 - NASA - Expedition 50-51 Crew Undergoes Final Training Outside Moscow_71rTmHwVur8 - transcript (automated).pdf","Transcript Link")</f>
        <v>Transcript Link</v>
      </c>
      <c r="M1411" s="2" t="str">
        <f>HYPERLINK("https://files.afu.se/Downloads/Transcripts/0%20-%20Government/USA%20-%20NASA/2016 10 25 - NASA - Expedition 50-51 Crew Undergoes Final Training Outside Moscow_71rTmHwVur8 - transcript (automated).pdf","Transcript Link")</f>
        <v>Transcript Link</v>
      </c>
    </row>
    <row r="1412" ht="165" spans="1:13">
      <c r="A1412" s="1" t="s">
        <v>6648</v>
      </c>
      <c r="B1412" s="1" t="s">
        <v>13</v>
      </c>
      <c r="C1412" s="4" t="s">
        <v>6649</v>
      </c>
      <c r="D1412" s="1" t="s">
        <v>5527</v>
      </c>
      <c r="E1412" s="1" t="s">
        <v>6650</v>
      </c>
      <c r="F1412" s="4" t="s">
        <v>17</v>
      </c>
      <c r="G1412" s="1" t="s">
        <v>18</v>
      </c>
      <c r="H1412" s="1" t="s">
        <v>19</v>
      </c>
      <c r="I1412" s="1" t="s">
        <v>20</v>
      </c>
      <c r="J1412" s="1" t="s">
        <v>6651</v>
      </c>
      <c r="K1412" s="1" t="s">
        <v>22</v>
      </c>
      <c r="L1412" s="1" t="str">
        <f>HYPERLINK("https://files.afu.se/Downloads/Transcripts/0%20-%20Government/USA%20-%20NASA/2016 10 23 - NASA - U.S. Commercial Cargo Ship Arrives at the Space Station_ETajMu36p_M - transcript (automated).pdf","Transcript Link")</f>
        <v>Transcript Link</v>
      </c>
      <c r="M1412" s="2" t="str">
        <f>HYPERLINK("https://files.afu.se/Downloads/Transcripts/0%20-%20Government/USA%20-%20NASA/2016 10 23 - NASA - U.S. Commercial Cargo Ship Arrives at the Space Station_ETajMu36p_M - transcript (automated).pdf","Transcript Link")</f>
        <v>Transcript Link</v>
      </c>
    </row>
    <row r="1413" ht="180" spans="1:13">
      <c r="A1413" s="1" t="s">
        <v>6652</v>
      </c>
      <c r="B1413" s="1" t="s">
        <v>13</v>
      </c>
      <c r="C1413" s="4" t="s">
        <v>6653</v>
      </c>
      <c r="D1413" s="1" t="s">
        <v>6654</v>
      </c>
      <c r="E1413" s="1" t="s">
        <v>6655</v>
      </c>
      <c r="F1413" s="4" t="s">
        <v>17</v>
      </c>
      <c r="G1413" s="1" t="s">
        <v>18</v>
      </c>
      <c r="H1413" s="1" t="s">
        <v>19</v>
      </c>
      <c r="I1413" s="1" t="s">
        <v>20</v>
      </c>
      <c r="J1413" s="1" t="s">
        <v>6656</v>
      </c>
      <c r="K1413" s="1" t="s">
        <v>22</v>
      </c>
      <c r="L1413" s="1" t="str">
        <f>HYPERLINK("https://files.afu.se/Downloads/Transcripts/0%20-%20Government/USA%20-%20NASA/2016 10 21 - NASA - New Crew Journeys to the Space Station on This Week @NASA – October 21, 2016_NgzoMmsPOUo - transcript (automated).pdf","Transcript Link")</f>
        <v>Transcript Link</v>
      </c>
      <c r="M1413" s="2" t="str">
        <f>HYPERLINK("https://files.afu.se/Downloads/Transcripts/0%20-%20Government/USA%20-%20NASA/2016 10 21 - NASA - New Crew Journeys to the Space Station on This Week @NASA – October 21, 2016_NgzoMmsPOUo - transcript (automated).pdf","Transcript Link")</f>
        <v>Transcript Link</v>
      </c>
    </row>
    <row r="1414" ht="165" spans="1:13">
      <c r="A1414" s="1" t="s">
        <v>6652</v>
      </c>
      <c r="B1414" s="1" t="s">
        <v>13</v>
      </c>
      <c r="C1414" s="4" t="s">
        <v>6657</v>
      </c>
      <c r="D1414" s="1" t="s">
        <v>6658</v>
      </c>
      <c r="E1414" s="1" t="s">
        <v>6659</v>
      </c>
      <c r="F1414" s="4" t="s">
        <v>17</v>
      </c>
      <c r="G1414" s="1" t="s">
        <v>18</v>
      </c>
      <c r="H1414" s="1" t="s">
        <v>19</v>
      </c>
      <c r="I1414" s="1" t="s">
        <v>20</v>
      </c>
      <c r="J1414" s="1" t="s">
        <v>6660</v>
      </c>
      <c r="K1414" s="1" t="s">
        <v>22</v>
      </c>
      <c r="L1414" s="1" t="str">
        <f>HYPERLINK("https://files.afu.se/Downloads/Transcripts/0%20-%20Government/USA%20-%20NASA/2016 10 21 - NASA - Expedition 49-50 Crew Welcomed Aboard the Space Station_fU0hqYYcTas - transcript (automated).pdf","Transcript Link")</f>
        <v>Transcript Link</v>
      </c>
      <c r="M1414" s="2" t="str">
        <f>HYPERLINK("https://files.afu.se/Downloads/Transcripts/0%20-%20Government/USA%20-%20NASA/2016 10 21 - NASA - Expedition 49-50 Crew Welcomed Aboard the Space Station_fU0hqYYcTas - transcript (automated).pdf","Transcript Link")</f>
        <v>Transcript Link</v>
      </c>
    </row>
    <row r="1415" ht="165" spans="1:13">
      <c r="A1415" s="1" t="s">
        <v>6652</v>
      </c>
      <c r="B1415" s="1" t="s">
        <v>13</v>
      </c>
      <c r="C1415" s="4" t="s">
        <v>6661</v>
      </c>
      <c r="D1415" s="1" t="s">
        <v>6662</v>
      </c>
      <c r="E1415" s="1" t="s">
        <v>6663</v>
      </c>
      <c r="F1415" s="4" t="s">
        <v>17</v>
      </c>
      <c r="G1415" s="1" t="s">
        <v>18</v>
      </c>
      <c r="H1415" s="1" t="s">
        <v>19</v>
      </c>
      <c r="I1415" s="1" t="s">
        <v>20</v>
      </c>
      <c r="J1415" s="1" t="s">
        <v>6664</v>
      </c>
      <c r="K1415" s="1" t="s">
        <v>22</v>
      </c>
      <c r="L1415" s="1" t="str">
        <f>HYPERLINK("https://files.afu.se/Downloads/Transcripts/0%20-%20Government/USA%20-%20NASA/2016 10 21 - NASA - Expedition 49-50 Crew Docks to the Space Station_81pp0lDaQMQ - transcript (automated).pdf","Transcript Link")</f>
        <v>Transcript Link</v>
      </c>
      <c r="M1415" s="2" t="str">
        <f>HYPERLINK("https://files.afu.se/Downloads/Transcripts/0%20-%20Government/USA%20-%20NASA/2016 10 21 - NASA - Expedition 49-50 Crew Docks to the Space Station_81pp0lDaQMQ - transcript (automated).pdf","Transcript Link")</f>
        <v>Transcript Link</v>
      </c>
    </row>
    <row r="1416" ht="165" spans="1:13">
      <c r="A1416" s="1" t="s">
        <v>6665</v>
      </c>
      <c r="B1416" s="1" t="s">
        <v>13</v>
      </c>
      <c r="C1416" s="4" t="s">
        <v>6666</v>
      </c>
      <c r="D1416" s="1" t="s">
        <v>6667</v>
      </c>
      <c r="E1416" s="1" t="s">
        <v>6668</v>
      </c>
      <c r="F1416" s="4" t="s">
        <v>17</v>
      </c>
      <c r="G1416" s="1" t="s">
        <v>18</v>
      </c>
      <c r="H1416" s="1" t="s">
        <v>19</v>
      </c>
      <c r="I1416" s="1" t="s">
        <v>20</v>
      </c>
      <c r="J1416" s="1" t="s">
        <v>6669</v>
      </c>
      <c r="K1416" s="1" t="s">
        <v>22</v>
      </c>
      <c r="L1416" s="1" t="str">
        <f>HYPERLINK("https://files.afu.se/Downloads/Transcripts/0%20-%20Government/USA%20-%20NASA/2016 10 20 - NASA - Earth Expeditions  Clouds, Corals and Glaciers_V6Y6IfA26Sg - transcript (automated).pdf","Transcript Link")</f>
        <v>Transcript Link</v>
      </c>
      <c r="M1416" s="2" t="str">
        <f>HYPERLINK("https://files.afu.se/Downloads/Transcripts/0%20-%20Government/USA%20-%20NASA/2016 10 20 - NASA - Earth Expeditions  Clouds, Corals and Glaciers_V6Y6IfA26Sg - transcript (automated).pdf","Transcript Link")</f>
        <v>Transcript Link</v>
      </c>
    </row>
    <row r="1417" ht="165" spans="1:13">
      <c r="A1417" s="1" t="s">
        <v>6665</v>
      </c>
      <c r="B1417" s="1" t="s">
        <v>13</v>
      </c>
      <c r="C1417" s="4" t="s">
        <v>6670</v>
      </c>
      <c r="D1417" s="1" t="s">
        <v>6671</v>
      </c>
      <c r="E1417" s="1" t="s">
        <v>6672</v>
      </c>
      <c r="F1417" s="4" t="s">
        <v>17</v>
      </c>
      <c r="G1417" s="1" t="s">
        <v>18</v>
      </c>
      <c r="H1417" s="1" t="s">
        <v>19</v>
      </c>
      <c r="I1417" s="1" t="s">
        <v>20</v>
      </c>
      <c r="J1417" s="1" t="s">
        <v>6673</v>
      </c>
      <c r="K1417" s="1" t="s">
        <v>22</v>
      </c>
      <c r="L1417" s="1" t="str">
        <f>HYPERLINK("https://files.afu.se/Downloads/Transcripts/0%20-%20Government/USA%20-%20NASA/2016 10 20 - NASA - Earth Expeditions  A Natural Cloud Climate Laboratory_fVpRUNIn_oI - transcript (automated).pdf","Transcript Link")</f>
        <v>Transcript Link</v>
      </c>
      <c r="M1417" s="2" t="str">
        <f>HYPERLINK("https://files.afu.se/Downloads/Transcripts/0%20-%20Government/USA%20-%20NASA/2016 10 20 - NASA - Earth Expeditions  A Natural Cloud Climate Laboratory_fVpRUNIn_oI - transcript (automated).pdf","Transcript Link")</f>
        <v>Transcript Link</v>
      </c>
    </row>
    <row r="1418" ht="165" spans="1:13">
      <c r="A1418" s="1" t="s">
        <v>6665</v>
      </c>
      <c r="B1418" s="1" t="s">
        <v>13</v>
      </c>
      <c r="C1418" s="4" t="s">
        <v>6674</v>
      </c>
      <c r="D1418" s="1" t="s">
        <v>6675</v>
      </c>
      <c r="E1418" s="1" t="s">
        <v>6676</v>
      </c>
      <c r="F1418" s="4" t="s">
        <v>17</v>
      </c>
      <c r="G1418" s="1" t="s">
        <v>18</v>
      </c>
      <c r="H1418" s="1" t="s">
        <v>19</v>
      </c>
      <c r="I1418" s="1" t="s">
        <v>20</v>
      </c>
      <c r="J1418" s="1" t="s">
        <v>6677</v>
      </c>
      <c r="K1418" s="1" t="s">
        <v>22</v>
      </c>
      <c r="L1418" s="1" t="str">
        <f>HYPERLINK("https://files.afu.se/Downloads/Transcripts/0%20-%20Government/USA%20-%20NASA/2016 10 20 - NASA - Earth Expeditions  Melting Greenland Glaciers_BE-qwR0jcN0 - transcript (automated).pdf","Transcript Link")</f>
        <v>Transcript Link</v>
      </c>
      <c r="M1418" s="2" t="str">
        <f>HYPERLINK("https://files.afu.se/Downloads/Transcripts/0%20-%20Government/USA%20-%20NASA/2016 10 20 - NASA - Earth Expeditions  Melting Greenland Glaciers_BE-qwR0jcN0 - transcript (automated).pdf","Transcript Link")</f>
        <v>Transcript Link</v>
      </c>
    </row>
    <row r="1419" ht="165" spans="1:13">
      <c r="A1419" s="1" t="s">
        <v>6678</v>
      </c>
      <c r="B1419" s="1" t="s">
        <v>13</v>
      </c>
      <c r="C1419" s="4" t="s">
        <v>6679</v>
      </c>
      <c r="D1419" s="1" t="s">
        <v>6680</v>
      </c>
      <c r="E1419" s="1" t="s">
        <v>6681</v>
      </c>
      <c r="F1419" s="4" t="s">
        <v>17</v>
      </c>
      <c r="G1419" s="1" t="s">
        <v>18</v>
      </c>
      <c r="H1419" s="1" t="s">
        <v>19</v>
      </c>
      <c r="I1419" s="1" t="s">
        <v>20</v>
      </c>
      <c r="J1419" s="1" t="s">
        <v>6682</v>
      </c>
      <c r="K1419" s="1" t="s">
        <v>22</v>
      </c>
      <c r="L1419" s="1" t="str">
        <f>HYPERLINK("https://files.afu.se/Downloads/Transcripts/0%20-%20Government/USA%20-%20NASA/2016 10 19 - NASA - NASA Updates Status of Mission to Jupiter_5ZkiglD2_Mw - transcript (automated).pdf","Transcript Link")</f>
        <v>Transcript Link</v>
      </c>
      <c r="M1419" s="2" t="str">
        <f>HYPERLINK("https://files.afu.se/Downloads/Transcripts/0%20-%20Government/USA%20-%20NASA/2016 10 19 - NASA - NASA Updates Status of Mission to Jupiter_5ZkiglD2_Mw - transcript (automated).pdf","Transcript Link")</f>
        <v>Transcript Link</v>
      </c>
    </row>
    <row r="1420" ht="165" spans="1:13">
      <c r="A1420" s="1" t="s">
        <v>6678</v>
      </c>
      <c r="B1420" s="1" t="s">
        <v>13</v>
      </c>
      <c r="C1420" s="4" t="s">
        <v>6683</v>
      </c>
      <c r="D1420" s="1" t="s">
        <v>6684</v>
      </c>
      <c r="E1420" s="1" t="s">
        <v>6685</v>
      </c>
      <c r="F1420" s="4" t="s">
        <v>17</v>
      </c>
      <c r="G1420" s="1" t="s">
        <v>18</v>
      </c>
      <c r="H1420" s="1" t="s">
        <v>19</v>
      </c>
      <c r="I1420" s="1" t="s">
        <v>20</v>
      </c>
      <c r="J1420" s="1" t="s">
        <v>6686</v>
      </c>
      <c r="K1420" s="1" t="s">
        <v>22</v>
      </c>
      <c r="L1420" s="1" t="str">
        <f>HYPERLINK("https://files.afu.se/Downloads/Transcripts/0%20-%20Government/USA%20-%20NASA/2016 10 19 - NASA - New Crew Launches to the ISS_--x3JvBx46c - transcript (automated).pdf","Transcript Link")</f>
        <v>Transcript Link</v>
      </c>
      <c r="M1420" s="2" t="str">
        <f>HYPERLINK("https://files.afu.se/Downloads/Transcripts/0%20-%20Government/USA%20-%20NASA/2016 10 19 - NASA - New Crew Launches to the ISS_--x3JvBx46c - transcript (automated).pdf","Transcript Link")</f>
        <v>Transcript Link</v>
      </c>
    </row>
    <row r="1421" ht="165" spans="1:13">
      <c r="A1421" s="1" t="s">
        <v>6687</v>
      </c>
      <c r="B1421" s="1" t="s">
        <v>13</v>
      </c>
      <c r="C1421" s="4" t="s">
        <v>6688</v>
      </c>
      <c r="D1421" s="1" t="s">
        <v>6689</v>
      </c>
      <c r="E1421" s="1" t="s">
        <v>6690</v>
      </c>
      <c r="F1421" s="4" t="s">
        <v>17</v>
      </c>
      <c r="G1421" s="1" t="s">
        <v>18</v>
      </c>
      <c r="H1421" s="1" t="s">
        <v>19</v>
      </c>
      <c r="I1421" s="1" t="s">
        <v>20</v>
      </c>
      <c r="J1421" s="1" t="s">
        <v>6691</v>
      </c>
      <c r="K1421" s="1" t="s">
        <v>22</v>
      </c>
      <c r="L1421" s="1" t="str">
        <f>HYPERLINK("https://files.afu.se/Downloads/Transcripts/0%20-%20Government/USA%20-%20NASA/2016 10 18 - NASA - Expedition 49-50 Crew Meets Officials and Reporters as Launch Approaches_1tl2EJj42bI - transcript (automated).pdf","Transcript Link")</f>
        <v>Transcript Link</v>
      </c>
      <c r="M1421" s="2" t="str">
        <f>HYPERLINK("https://files.afu.se/Downloads/Transcripts/0%20-%20Government/USA%20-%20NASA/2016 10 18 - NASA - Expedition 49-50 Crew Meets Officials and Reporters as Launch Approaches_1tl2EJj42bI - transcript (automated).pdf","Transcript Link")</f>
        <v>Transcript Link</v>
      </c>
    </row>
    <row r="1422" ht="165" spans="1:13">
      <c r="A1422" s="1" t="s">
        <v>6687</v>
      </c>
      <c r="B1422" s="1" t="s">
        <v>13</v>
      </c>
      <c r="C1422" s="4" t="s">
        <v>6692</v>
      </c>
      <c r="D1422" s="1" t="s">
        <v>6693</v>
      </c>
      <c r="E1422" s="1" t="s">
        <v>6694</v>
      </c>
      <c r="F1422" s="4" t="s">
        <v>17</v>
      </c>
      <c r="G1422" s="1" t="s">
        <v>18</v>
      </c>
      <c r="H1422" s="1" t="s">
        <v>19</v>
      </c>
      <c r="I1422" s="1" t="s">
        <v>20</v>
      </c>
      <c r="J1422" s="1" t="s">
        <v>6695</v>
      </c>
      <c r="K1422" s="1" t="s">
        <v>22</v>
      </c>
      <c r="L1422" s="1" t="str">
        <f>HYPERLINK("https://files.afu.se/Downloads/Transcripts/0%20-%20Government/USA%20-%20NASA/2016 10 18 - NASA - Space Station Crewmember Talks Science with NIH Director_QYaYMo2XrAY - transcript (automated).pdf","Transcript Link")</f>
        <v>Transcript Link</v>
      </c>
      <c r="M1422" s="2" t="str">
        <f>HYPERLINK("https://files.afu.se/Downloads/Transcripts/0%20-%20Government/USA%20-%20NASA/2016 10 18 - NASA - Space Station Crewmember Talks Science with NIH Director_QYaYMo2XrAY - transcript (automated).pdf","Transcript Link")</f>
        <v>Transcript Link</v>
      </c>
    </row>
    <row r="1423" ht="165" spans="1:13">
      <c r="A1423" s="1" t="s">
        <v>6687</v>
      </c>
      <c r="B1423" s="1" t="s">
        <v>13</v>
      </c>
      <c r="C1423" s="4" t="s">
        <v>6696</v>
      </c>
      <c r="D1423" s="1" t="s">
        <v>6697</v>
      </c>
      <c r="E1423" s="1" t="s">
        <v>6698</v>
      </c>
      <c r="F1423" s="4" t="s">
        <v>17</v>
      </c>
      <c r="G1423" s="1" t="s">
        <v>18</v>
      </c>
      <c r="H1423" s="1" t="s">
        <v>19</v>
      </c>
      <c r="I1423" s="1" t="s">
        <v>20</v>
      </c>
      <c r="J1423" s="1" t="s">
        <v>6699</v>
      </c>
      <c r="K1423" s="1" t="s">
        <v>22</v>
      </c>
      <c r="L1423" s="1" t="str">
        <f>HYPERLINK("https://files.afu.se/Downloads/Transcripts/0%20-%20Government/USA%20-%20NASA/2016 10 18 - NASA - Post-Launch Status of Orbital ATK’s Mission to the ISS_WoCMz-ee1Ho - transcript (automated).pdf","Transcript Link")</f>
        <v>Transcript Link</v>
      </c>
      <c r="M1423" s="2" t="str">
        <f>HYPERLINK("https://files.afu.se/Downloads/Transcripts/0%20-%20Government/USA%20-%20NASA/2016 10 18 - NASA - Post-Launch Status of Orbital ATK’s Mission to the ISS_WoCMz-ee1Ho - transcript (automated).pdf","Transcript Link")</f>
        <v>Transcript Link</v>
      </c>
    </row>
    <row r="1424" ht="165" spans="1:13">
      <c r="A1424" s="1" t="s">
        <v>6687</v>
      </c>
      <c r="B1424" s="1" t="s">
        <v>13</v>
      </c>
      <c r="C1424" s="4" t="s">
        <v>6700</v>
      </c>
      <c r="D1424" s="1" t="s">
        <v>6701</v>
      </c>
      <c r="E1424" s="1" t="s">
        <v>6702</v>
      </c>
      <c r="F1424" s="4" t="s">
        <v>17</v>
      </c>
      <c r="G1424" s="1" t="s">
        <v>18</v>
      </c>
      <c r="H1424" s="1" t="s">
        <v>19</v>
      </c>
      <c r="I1424" s="1" t="s">
        <v>20</v>
      </c>
      <c r="J1424" s="1" t="s">
        <v>6703</v>
      </c>
      <c r="K1424" s="1" t="s">
        <v>22</v>
      </c>
      <c r="L1424" s="1" t="str">
        <f>HYPERLINK("https://files.afu.se/Downloads/Transcripts/0%20-%20Government/USA%20-%20NASA/2016 10 18 - NASA - Orbital ATK Launches to ISS from NASA’s Wallops Flight Facility_NX31vCePp1o - transcript (automated).pdf","Transcript Link")</f>
        <v>Transcript Link</v>
      </c>
      <c r="M1424" s="2" t="str">
        <f>HYPERLINK("https://files.afu.se/Downloads/Transcripts/0%20-%20Government/USA%20-%20NASA/2016 10 18 - NASA - Orbital ATK Launches to ISS from NASA’s Wallops Flight Facility_NX31vCePp1o - transcript (automated).pdf","Transcript Link")</f>
        <v>Transcript Link</v>
      </c>
    </row>
    <row r="1425" ht="165" spans="1:13">
      <c r="A1425" s="1" t="s">
        <v>6704</v>
      </c>
      <c r="B1425" s="1" t="s">
        <v>13</v>
      </c>
      <c r="C1425" s="4" t="s">
        <v>6705</v>
      </c>
      <c r="D1425" s="1" t="s">
        <v>6706</v>
      </c>
      <c r="E1425" s="1" t="s">
        <v>6707</v>
      </c>
      <c r="F1425" s="4" t="s">
        <v>17</v>
      </c>
      <c r="G1425" s="1" t="s">
        <v>18</v>
      </c>
      <c r="H1425" s="1" t="s">
        <v>19</v>
      </c>
      <c r="I1425" s="1" t="s">
        <v>20</v>
      </c>
      <c r="J1425" s="1" t="s">
        <v>6708</v>
      </c>
      <c r="K1425" s="1" t="s">
        <v>22</v>
      </c>
      <c r="L1425" s="1" t="str">
        <f>HYPERLINK("https://files.afu.se/Downloads/Transcripts/0%20-%20Government/USA%20-%20NASA/2016 10 16 - NASA - Expedition 49-50 Crew Prepares for Launch in Kazakhstan_p7KhmQIYV8w - transcript (automated).pdf","Transcript Link")</f>
        <v>Transcript Link</v>
      </c>
      <c r="M1425" s="2" t="str">
        <f>HYPERLINK("https://files.afu.se/Downloads/Transcripts/0%20-%20Government/USA%20-%20NASA/2016 10 16 - NASA - Expedition 49-50 Crew Prepares for Launch in Kazakhstan_p7KhmQIYV8w - transcript (automated).pdf","Transcript Link")</f>
        <v>Transcript Link</v>
      </c>
    </row>
    <row r="1426" ht="165" spans="1:13">
      <c r="A1426" s="1" t="s">
        <v>6704</v>
      </c>
      <c r="B1426" s="1" t="s">
        <v>13</v>
      </c>
      <c r="C1426" s="4" t="s">
        <v>6709</v>
      </c>
      <c r="D1426" s="1" t="s">
        <v>6710</v>
      </c>
      <c r="E1426" s="1" t="s">
        <v>6711</v>
      </c>
      <c r="F1426" s="4" t="s">
        <v>17</v>
      </c>
      <c r="G1426" s="1" t="s">
        <v>18</v>
      </c>
      <c r="H1426" s="1" t="s">
        <v>19</v>
      </c>
      <c r="I1426" s="1" t="s">
        <v>20</v>
      </c>
      <c r="J1426" s="1" t="s">
        <v>6712</v>
      </c>
      <c r="K1426" s="1" t="s">
        <v>22</v>
      </c>
      <c r="L1426" s="1" t="str">
        <f>HYPERLINK("https://files.afu.se/Downloads/Transcripts/0%20-%20Government/USA%20-%20NASA/2016 10 16 - NASA - A Preview of Orbital ATK’s 6th Resupply Mission to Space Station__4UHQnB-naE - transcript (automated).pdf","Transcript Link")</f>
        <v>Transcript Link</v>
      </c>
      <c r="M1426" s="2" t="str">
        <f>HYPERLINK("https://files.afu.se/Downloads/Transcripts/0%20-%20Government/USA%20-%20NASA/2016 10 16 - NASA - A Preview of Orbital ATK’s 6th Resupply Mission to Space Station__4UHQnB-naE - transcript (automated).pdf","Transcript Link")</f>
        <v>Transcript Link</v>
      </c>
    </row>
    <row r="1427" ht="165" spans="1:13">
      <c r="A1427" s="1" t="s">
        <v>6713</v>
      </c>
      <c r="B1427" s="1" t="s">
        <v>13</v>
      </c>
      <c r="C1427" s="4" t="s">
        <v>6714</v>
      </c>
      <c r="D1427" s="1" t="s">
        <v>6715</v>
      </c>
      <c r="E1427" s="1" t="s">
        <v>6716</v>
      </c>
      <c r="F1427" s="4" t="s">
        <v>17</v>
      </c>
      <c r="G1427" s="1" t="s">
        <v>18</v>
      </c>
      <c r="H1427" s="1" t="s">
        <v>19</v>
      </c>
      <c r="I1427" s="1" t="s">
        <v>20</v>
      </c>
      <c r="J1427" s="1" t="s">
        <v>6717</v>
      </c>
      <c r="K1427" s="1" t="s">
        <v>22</v>
      </c>
      <c r="L1427" s="1" t="str">
        <f>HYPERLINK("https://files.afu.se/Downloads/Transcripts/0%20-%20Government/USA%20-%20NASA/2016 10 15 - NASA - The Science Onboard the Next ISS Supply Mission_fvIT10SLPQU - transcript (automated).pdf","Transcript Link")</f>
        <v>Transcript Link</v>
      </c>
      <c r="M1427" s="2" t="str">
        <f>HYPERLINK("https://files.afu.se/Downloads/Transcripts/0%20-%20Government/USA%20-%20NASA/2016 10 15 - NASA - The Science Onboard the Next ISS Supply Mission_fvIT10SLPQU - transcript (automated).pdf","Transcript Link")</f>
        <v>Transcript Link</v>
      </c>
    </row>
    <row r="1428" ht="390" spans="1:13">
      <c r="A1428" s="1" t="s">
        <v>6718</v>
      </c>
      <c r="B1428" s="1" t="s">
        <v>13</v>
      </c>
      <c r="C1428" s="4" t="s">
        <v>6719</v>
      </c>
      <c r="D1428" s="1" t="s">
        <v>6720</v>
      </c>
      <c r="E1428" s="1" t="s">
        <v>6721</v>
      </c>
      <c r="F1428" s="4" t="s">
        <v>17</v>
      </c>
      <c r="G1428" s="1" t="s">
        <v>18</v>
      </c>
      <c r="H1428" s="1" t="s">
        <v>19</v>
      </c>
      <c r="I1428" s="1" t="s">
        <v>20</v>
      </c>
      <c r="J1428" s="1" t="s">
        <v>6722</v>
      </c>
      <c r="K1428" s="1" t="s">
        <v>22</v>
      </c>
      <c r="L1428" s="1" t="str">
        <f>HYPERLINK("https://files.afu.se/Downloads/Transcripts/0%20-%20Government/USA%20-%20NASA/2016 10 14 - NASA - Making Human Settlement of Space a Reality on This Week @NASA – October 14, 2016_AZ6DSCAbLwA - transcript (automated).pdf","Transcript Link")</f>
        <v>Transcript Link</v>
      </c>
      <c r="M1428" s="2" t="str">
        <f>HYPERLINK("https://files.afu.se/Downloads/Transcripts/0%20-%20Government/USA%20-%20NASA/2016 10 14 - NASA - Making Human Settlement of Space a Reality on This Week @NASA – October 14, 2016_AZ6DSCAbLwA - transcript (automated).pdf","Transcript Link")</f>
        <v>Transcript Link</v>
      </c>
    </row>
    <row r="1429" ht="195" spans="1:13">
      <c r="A1429" s="1" t="s">
        <v>6723</v>
      </c>
      <c r="B1429" s="1" t="s">
        <v>13</v>
      </c>
      <c r="C1429" s="4" t="s">
        <v>6724</v>
      </c>
      <c r="D1429" s="1" t="s">
        <v>6706</v>
      </c>
      <c r="E1429" s="1" t="s">
        <v>6725</v>
      </c>
      <c r="F1429" s="4" t="s">
        <v>17</v>
      </c>
      <c r="G1429" s="1" t="s">
        <v>18</v>
      </c>
      <c r="H1429" s="1" t="s">
        <v>19</v>
      </c>
      <c r="I1429" s="1" t="s">
        <v>20</v>
      </c>
      <c r="J1429" s="1" t="s">
        <v>6726</v>
      </c>
      <c r="K1429" s="1" t="s">
        <v>22</v>
      </c>
      <c r="L1429" s="1" t="str">
        <f>HYPERLINK("https://files.afu.se/Downloads/Transcripts/0%20-%20Government/USA%20-%20NASA/2016 10 13 - NASA - Expedition 49-50 Crew Prepares for Launch in Kazakhstan_2cp3PKzShzw - transcript (automated).pdf","Transcript Link")</f>
        <v>Transcript Link</v>
      </c>
      <c r="M1429" s="2" t="str">
        <f>HYPERLINK("https://files.afu.se/Downloads/Transcripts/0%20-%20Government/USA%20-%20NASA/2016 10 13 - NASA - Expedition 49-50 Crew Prepares for Launch in Kazakhstan_2cp3PKzShzw - transcript (automated).pdf","Transcript Link")</f>
        <v>Transcript Link</v>
      </c>
    </row>
    <row r="1430" ht="165" spans="1:13">
      <c r="A1430" s="1" t="s">
        <v>6723</v>
      </c>
      <c r="B1430" s="1" t="s">
        <v>13</v>
      </c>
      <c r="C1430" s="4" t="s">
        <v>6727</v>
      </c>
      <c r="D1430" s="1" t="s">
        <v>6728</v>
      </c>
      <c r="E1430" s="1" t="s">
        <v>6729</v>
      </c>
      <c r="F1430" s="4" t="s">
        <v>17</v>
      </c>
      <c r="G1430" s="1" t="s">
        <v>18</v>
      </c>
      <c r="H1430" s="1" t="s">
        <v>19</v>
      </c>
      <c r="I1430" s="1" t="s">
        <v>20</v>
      </c>
      <c r="J1430" s="1" t="s">
        <v>6730</v>
      </c>
      <c r="K1430" s="1" t="s">
        <v>22</v>
      </c>
      <c r="L1430" s="1" t="str">
        <f>HYPERLINK("https://files.afu.se/Downloads/Transcripts/0%20-%20Government/USA%20-%20NASA/2016 10 13 - NASA - Space Station Cameras Capture New Views of Hurricane Nicole_KErMYvcPge4 - transcript (automated).pdf","Transcript Link")</f>
        <v>Transcript Link</v>
      </c>
      <c r="M1430" s="2" t="str">
        <f>HYPERLINK("https://files.afu.se/Downloads/Transcripts/0%20-%20Government/USA%20-%20NASA/2016 10 13 - NASA - Space Station Cameras Capture New Views of Hurricane Nicole_KErMYvcPge4 - transcript (automated).pdf","Transcript Link")</f>
        <v>Transcript Link</v>
      </c>
    </row>
    <row r="1431" ht="165" spans="1:13">
      <c r="A1431" s="1" t="s">
        <v>6731</v>
      </c>
      <c r="B1431" s="1" t="s">
        <v>13</v>
      </c>
      <c r="C1431" s="4" t="s">
        <v>6732</v>
      </c>
      <c r="D1431" s="1" t="s">
        <v>6733</v>
      </c>
      <c r="E1431" s="1" t="s">
        <v>6734</v>
      </c>
      <c r="F1431" s="4" t="s">
        <v>17</v>
      </c>
      <c r="G1431" s="1" t="s">
        <v>18</v>
      </c>
      <c r="H1431" s="1" t="s">
        <v>19</v>
      </c>
      <c r="I1431" s="1" t="s">
        <v>20</v>
      </c>
      <c r="J1431" s="1" t="s">
        <v>6735</v>
      </c>
      <c r="K1431" s="1" t="s">
        <v>22</v>
      </c>
      <c r="L1431" s="1" t="str">
        <f>HYPERLINK("https://files.afu.se/Downloads/Transcripts/0%20-%20Government/USA%20-%20NASA/2016 10 12 - NASA - Kennedy Hurricane Matthew Recovery Briefing_Wuzu3jhlBaE - transcript (automated).pdf","Transcript Link")</f>
        <v>Transcript Link</v>
      </c>
      <c r="M1431" s="2" t="str">
        <f>HYPERLINK("https://files.afu.se/Downloads/Transcripts/0%20-%20Government/USA%20-%20NASA/2016 10 12 - NASA - Kennedy Hurricane Matthew Recovery Briefing_Wuzu3jhlBaE - transcript (automated).pdf","Transcript Link")</f>
        <v>Transcript Link</v>
      </c>
    </row>
    <row r="1432" ht="165" spans="1:13">
      <c r="A1432" s="1" t="s">
        <v>6736</v>
      </c>
      <c r="B1432" s="1" t="s">
        <v>13</v>
      </c>
      <c r="C1432" s="4" t="s">
        <v>6737</v>
      </c>
      <c r="D1432" s="1" t="s">
        <v>6738</v>
      </c>
      <c r="E1432" s="1" t="s">
        <v>6739</v>
      </c>
      <c r="F1432" s="4" t="s">
        <v>17</v>
      </c>
      <c r="G1432" s="1" t="s">
        <v>18</v>
      </c>
      <c r="H1432" s="1" t="s">
        <v>19</v>
      </c>
      <c r="I1432" s="1" t="s">
        <v>20</v>
      </c>
      <c r="J1432" s="1" t="s">
        <v>6740</v>
      </c>
      <c r="K1432" s="1" t="s">
        <v>22</v>
      </c>
      <c r="L1432" s="1" t="str">
        <f>HYPERLINK("https://files.afu.se/Downloads/Transcripts/0%20-%20Government/USA%20-%20NASA/2016 10 11 - NASA - Open Science  Space Coffee Cup_Kr3OPNjsx_M - transcript (automated).pdf","Transcript Link")</f>
        <v>Transcript Link</v>
      </c>
      <c r="M1432" s="2" t="str">
        <f>HYPERLINK("https://files.afu.se/Downloads/Transcripts/0%20-%20Government/USA%20-%20NASA/2016 10 11 - NASA - Open Science  Space Coffee Cup_Kr3OPNjsx_M - transcript (automated).pdf","Transcript Link")</f>
        <v>Transcript Link</v>
      </c>
    </row>
    <row r="1433" ht="165" spans="1:13">
      <c r="A1433" s="1" t="s">
        <v>6736</v>
      </c>
      <c r="B1433" s="1" t="s">
        <v>13</v>
      </c>
      <c r="C1433" s="4" t="s">
        <v>6741</v>
      </c>
      <c r="D1433" s="1" t="s">
        <v>6742</v>
      </c>
      <c r="E1433" s="1" t="s">
        <v>6743</v>
      </c>
      <c r="F1433" s="4" t="s">
        <v>17</v>
      </c>
      <c r="G1433" s="1" t="s">
        <v>18</v>
      </c>
      <c r="H1433" s="1" t="s">
        <v>19</v>
      </c>
      <c r="I1433" s="1" t="s">
        <v>20</v>
      </c>
      <c r="J1433" s="1" t="s">
        <v>6744</v>
      </c>
      <c r="K1433" s="1" t="s">
        <v>22</v>
      </c>
      <c r="L1433" s="1" t="str">
        <f>HYPERLINK("https://files.afu.se/Downloads/Transcripts/0%20-%20Government/USA%20-%20NASA/2016 10 11 - NASA - NASA Hispanic Heritage Month Employee Profile - Tom Gutierrez - Stennis Space Center_AYiO6q8Rs7Q - transcript (automated).pdf","Transcript Link")</f>
        <v>Transcript Link</v>
      </c>
      <c r="M1433" s="2" t="str">
        <f>HYPERLINK("https://files.afu.se/Downloads/Transcripts/0%20-%20Government/USA%20-%20NASA/2016 10 11 - NASA - NASA Hispanic Heritage Month Employee Profile - Tom Gutierrez - Stennis Space Center_AYiO6q8Rs7Q - transcript (automated).pdf","Transcript Link")</f>
        <v>Transcript Link</v>
      </c>
    </row>
    <row r="1434" ht="165" spans="1:13">
      <c r="A1434" s="1" t="s">
        <v>6745</v>
      </c>
      <c r="B1434" s="1" t="s">
        <v>13</v>
      </c>
      <c r="C1434" s="4" t="s">
        <v>6746</v>
      </c>
      <c r="D1434" s="1" t="s">
        <v>6747</v>
      </c>
      <c r="E1434" s="1" t="s">
        <v>6748</v>
      </c>
      <c r="F1434" s="4" t="s">
        <v>17</v>
      </c>
      <c r="G1434" s="1" t="s">
        <v>18</v>
      </c>
      <c r="H1434" s="1" t="s">
        <v>19</v>
      </c>
      <c r="I1434" s="1" t="s">
        <v>20</v>
      </c>
      <c r="J1434" s="1" t="s">
        <v>6749</v>
      </c>
      <c r="K1434" s="1" t="s">
        <v>22</v>
      </c>
      <c r="L1434" s="1" t="str">
        <f>HYPERLINK("https://files.afu.se/Downloads/Transcripts/0%20-%20Government/USA%20-%20NASA/2016 10 07 - NASA - Space Station Cameras Document New Views of Hurricane Matthew_lFwiEJaEYck - transcript (automated).pdf","Transcript Link")</f>
        <v>Transcript Link</v>
      </c>
      <c r="M1434" s="2" t="str">
        <f>HYPERLINK("https://files.afu.se/Downloads/Transcripts/0%20-%20Government/USA%20-%20NASA/2016 10 07 - NASA - Space Station Cameras Document New Views of Hurricane Matthew_lFwiEJaEYck - transcript (automated).pdf","Transcript Link")</f>
        <v>Transcript Link</v>
      </c>
    </row>
    <row r="1435" ht="195" spans="1:13">
      <c r="A1435" s="1" t="s">
        <v>6745</v>
      </c>
      <c r="B1435" s="1" t="s">
        <v>13</v>
      </c>
      <c r="C1435" s="4" t="s">
        <v>6750</v>
      </c>
      <c r="D1435" s="1" t="s">
        <v>6751</v>
      </c>
      <c r="E1435" s="1" t="s">
        <v>6752</v>
      </c>
      <c r="F1435" s="4" t="s">
        <v>17</v>
      </c>
      <c r="G1435" s="1" t="s">
        <v>18</v>
      </c>
      <c r="H1435" s="1" t="s">
        <v>19</v>
      </c>
      <c r="I1435" s="1" t="s">
        <v>20</v>
      </c>
      <c r="J1435" s="1" t="s">
        <v>6753</v>
      </c>
      <c r="K1435" s="1" t="s">
        <v>22</v>
      </c>
      <c r="L1435" s="1" t="str">
        <f>HYPERLINK("https://files.afu.se/Downloads/Transcripts/0%20-%20Government/USA%20-%20NASA/2016 10 07 - NASA - Major Hurricane Matthew Seen from Space on This Week @NASA – October 7, 2016_9NuosO9PyVo - transcript (automated).pdf","Transcript Link")</f>
        <v>Transcript Link</v>
      </c>
      <c r="M1435" s="2" t="str">
        <f>HYPERLINK("https://files.afu.se/Downloads/Transcripts/0%20-%20Government/USA%20-%20NASA/2016 10 07 - NASA - Major Hurricane Matthew Seen from Space on This Week @NASA – October 7, 2016_9NuosO9PyVo - transcript (automated).pdf","Transcript Link")</f>
        <v>Transcript Link</v>
      </c>
    </row>
    <row r="1436" ht="165" spans="1:13">
      <c r="A1436" s="1" t="s">
        <v>6745</v>
      </c>
      <c r="B1436" s="1" t="s">
        <v>13</v>
      </c>
      <c r="C1436" s="4" t="s">
        <v>6754</v>
      </c>
      <c r="D1436" s="1" t="s">
        <v>6755</v>
      </c>
      <c r="E1436" s="1" t="s">
        <v>6756</v>
      </c>
      <c r="F1436" s="4" t="s">
        <v>17</v>
      </c>
      <c r="G1436" s="1" t="s">
        <v>18</v>
      </c>
      <c r="H1436" s="1" t="s">
        <v>19</v>
      </c>
      <c r="I1436" s="1" t="s">
        <v>20</v>
      </c>
      <c r="J1436" s="1" t="s">
        <v>6757</v>
      </c>
      <c r="K1436" s="1" t="s">
        <v>22</v>
      </c>
      <c r="L1436" s="1" t="str">
        <f>HYPERLINK("https://files.afu.se/Downloads/Transcripts/0%20-%20Government/USA%20-%20NASA/2016 10 07 - NASA - Aspira con NASA Aspire with NASA_bpkEOCEgNtg - transcript (automated).pdf","Transcript Link")</f>
        <v>Transcript Link</v>
      </c>
      <c r="M1436" s="2" t="str">
        <f>HYPERLINK("https://files.afu.se/Downloads/Transcripts/0%20-%20Government/USA%20-%20NASA/2016 10 07 - NASA - Aspira con NASA Aspire with NASA_bpkEOCEgNtg - transcript (automated).pdf","Transcript Link")</f>
        <v>Transcript Link</v>
      </c>
    </row>
    <row r="1437" ht="165" spans="1:13">
      <c r="A1437" s="1" t="s">
        <v>6745</v>
      </c>
      <c r="B1437" s="1" t="s">
        <v>13</v>
      </c>
      <c r="C1437" s="4" t="s">
        <v>6758</v>
      </c>
      <c r="D1437" s="1" t="s">
        <v>6759</v>
      </c>
      <c r="E1437" s="1" t="s">
        <v>6760</v>
      </c>
      <c r="F1437" s="4" t="s">
        <v>17</v>
      </c>
      <c r="G1437" s="1" t="s">
        <v>18</v>
      </c>
      <c r="H1437" s="1" t="s">
        <v>19</v>
      </c>
      <c r="I1437" s="1" t="s">
        <v>20</v>
      </c>
      <c r="J1437" s="1" t="s">
        <v>6761</v>
      </c>
      <c r="K1437" s="1" t="s">
        <v>22</v>
      </c>
      <c r="L1437" s="1" t="str">
        <f>HYPERLINK("https://files.afu.se/Downloads/Transcripts/0%20-%20Government/USA%20-%20NASA/2016 10 07 - NASA - Space Station Crewmember Discusses Life in Space with Japanese Media_7zY5RVAe7mQ - transcript (automated).pdf","Transcript Link")</f>
        <v>Transcript Link</v>
      </c>
      <c r="M1437" s="2" t="str">
        <f>HYPERLINK("https://files.afu.se/Downloads/Transcripts/0%20-%20Government/USA%20-%20NASA/2016 10 07 - NASA - Space Station Crewmember Discusses Life in Space with Japanese Media_7zY5RVAe7mQ - transcript (automated).pdf","Transcript Link")</f>
        <v>Transcript Link</v>
      </c>
    </row>
    <row r="1438" ht="165" spans="1:13">
      <c r="A1438" s="1" t="s">
        <v>6762</v>
      </c>
      <c r="B1438" s="1" t="s">
        <v>13</v>
      </c>
      <c r="C1438" s="4" t="s">
        <v>6763</v>
      </c>
      <c r="D1438" s="1" t="s">
        <v>6764</v>
      </c>
      <c r="E1438" s="1" t="s">
        <v>6765</v>
      </c>
      <c r="F1438" s="4" t="s">
        <v>17</v>
      </c>
      <c r="G1438" s="1" t="s">
        <v>18</v>
      </c>
      <c r="H1438" s="1" t="s">
        <v>19</v>
      </c>
      <c r="I1438" s="1" t="s">
        <v>20</v>
      </c>
      <c r="J1438" s="1" t="s">
        <v>6766</v>
      </c>
      <c r="K1438" s="1" t="s">
        <v>22</v>
      </c>
      <c r="L1438" s="1" t="str">
        <f>HYPERLINK("https://files.afu.se/Downloads/Transcripts/0%20-%20Government/USA%20-%20NASA/2016 10 06 - NASA - Space Station Cameras Capture New Views of Hurricane Matthew_nB3XTRwZ--k - transcript (automated).pdf","Transcript Link")</f>
        <v>Transcript Link</v>
      </c>
      <c r="M1438" s="2" t="str">
        <f>HYPERLINK("https://files.afu.se/Downloads/Transcripts/0%20-%20Government/USA%20-%20NASA/2016 10 06 - NASA - Space Station Cameras Capture New Views of Hurricane Matthew_nB3XTRwZ--k - transcript (automated).pdf","Transcript Link")</f>
        <v>Transcript Link</v>
      </c>
    </row>
    <row r="1439" ht="165" spans="1:13">
      <c r="A1439" s="1" t="s">
        <v>6767</v>
      </c>
      <c r="B1439" s="1" t="s">
        <v>13</v>
      </c>
      <c r="C1439" s="4" t="s">
        <v>6768</v>
      </c>
      <c r="D1439" s="1" t="s">
        <v>6769</v>
      </c>
      <c r="E1439" s="1" t="s">
        <v>6770</v>
      </c>
      <c r="F1439" s="4" t="s">
        <v>17</v>
      </c>
      <c r="G1439" s="1" t="s">
        <v>18</v>
      </c>
      <c r="H1439" s="1" t="s">
        <v>19</v>
      </c>
      <c r="I1439" s="1" t="s">
        <v>20</v>
      </c>
      <c r="J1439" s="1" t="s">
        <v>6771</v>
      </c>
      <c r="K1439" s="1" t="s">
        <v>22</v>
      </c>
      <c r="L1439" s="1" t="str">
        <f>HYPERLINK("https://files.afu.se/Downloads/Transcripts/0%20-%20Government/USA%20-%20NASA/2016 10 05 - NASA - Space Station Cameras Capture Menacing Hurricane Matthew_S3BZ7eWqk80 - transcript (automated).pdf","Transcript Link")</f>
        <v>Transcript Link</v>
      </c>
      <c r="M1439" s="2" t="str">
        <f>HYPERLINK("https://files.afu.se/Downloads/Transcripts/0%20-%20Government/USA%20-%20NASA/2016 10 05 - NASA - Space Station Cameras Capture Menacing Hurricane Matthew_S3BZ7eWqk80 - transcript (automated).pdf","Transcript Link")</f>
        <v>Transcript Link</v>
      </c>
    </row>
    <row r="1440" ht="165" spans="1:13">
      <c r="A1440" s="1" t="s">
        <v>6767</v>
      </c>
      <c r="B1440" s="1" t="s">
        <v>13</v>
      </c>
      <c r="C1440" s="4" t="s">
        <v>6772</v>
      </c>
      <c r="D1440" s="1" t="s">
        <v>6773</v>
      </c>
      <c r="E1440" s="1" t="s">
        <v>6774</v>
      </c>
      <c r="F1440" s="4" t="s">
        <v>17</v>
      </c>
      <c r="G1440" s="1" t="s">
        <v>18</v>
      </c>
      <c r="H1440" s="1" t="s">
        <v>19</v>
      </c>
      <c r="I1440" s="1" t="s">
        <v>20</v>
      </c>
      <c r="J1440" s="1" t="s">
        <v>6775</v>
      </c>
      <c r="K1440" s="1" t="s">
        <v>22</v>
      </c>
      <c r="L1440" s="1" t="str">
        <f>HYPERLINK("https://files.afu.se/Downloads/Transcripts/0%20-%20Government/USA%20-%20NASA/2016 10 05 - NASA - STEM in 30 – A Sky Full of Color_NETm7i1XgCE - transcript (automated).pdf","Transcript Link")</f>
        <v>Transcript Link</v>
      </c>
      <c r="M1440" s="2" t="str">
        <f>HYPERLINK("https://files.afu.se/Downloads/Transcripts/0%20-%20Government/USA%20-%20NASA/2016 10 05 - NASA - STEM in 30 – A Sky Full of Color_NETm7i1XgCE - transcript (automated).pdf","Transcript Link")</f>
        <v>Transcript Link</v>
      </c>
    </row>
    <row r="1441" ht="165" spans="1:13">
      <c r="A1441" s="1" t="s">
        <v>6776</v>
      </c>
      <c r="B1441" s="1" t="s">
        <v>13</v>
      </c>
      <c r="C1441" s="4" t="s">
        <v>6777</v>
      </c>
      <c r="D1441" s="1" t="s">
        <v>6778</v>
      </c>
      <c r="E1441" s="1" t="s">
        <v>6779</v>
      </c>
      <c r="F1441" s="4" t="s">
        <v>17</v>
      </c>
      <c r="G1441" s="1" t="s">
        <v>18</v>
      </c>
      <c r="H1441" s="1" t="s">
        <v>19</v>
      </c>
      <c r="I1441" s="1" t="s">
        <v>20</v>
      </c>
      <c r="J1441" s="1" t="s">
        <v>6780</v>
      </c>
      <c r="K1441" s="1" t="s">
        <v>22</v>
      </c>
      <c r="L1441" s="1" t="str">
        <f>HYPERLINK("https://files.afu.se/Downloads/Transcripts/0%20-%20Government/USA%20-%20NASA/2016 10 04 - NASA - Space Station Cameras Peer down on Major Hurricane Matthew_tPS3aiyV5Ys - transcript (automated).pdf","Transcript Link")</f>
        <v>Transcript Link</v>
      </c>
      <c r="M1441" s="2" t="str">
        <f>HYPERLINK("https://files.afu.se/Downloads/Transcripts/0%20-%20Government/USA%20-%20NASA/2016 10 04 - NASA - Space Station Cameras Peer down on Major Hurricane Matthew_tPS3aiyV5Ys - transcript (automated).pdf","Transcript Link")</f>
        <v>Transcript Link</v>
      </c>
    </row>
    <row r="1442" ht="165" spans="1:13">
      <c r="A1442" s="1" t="s">
        <v>6776</v>
      </c>
      <c r="B1442" s="1" t="s">
        <v>13</v>
      </c>
      <c r="C1442" s="4" t="s">
        <v>6781</v>
      </c>
      <c r="D1442" s="1" t="s">
        <v>6782</v>
      </c>
      <c r="E1442" s="1" t="s">
        <v>6783</v>
      </c>
      <c r="F1442" s="4" t="s">
        <v>17</v>
      </c>
      <c r="G1442" s="1" t="s">
        <v>18</v>
      </c>
      <c r="H1442" s="1" t="s">
        <v>19</v>
      </c>
      <c r="I1442" s="1" t="s">
        <v>20</v>
      </c>
      <c r="J1442" s="1" t="s">
        <v>6784</v>
      </c>
      <c r="K1442" s="1" t="s">
        <v>22</v>
      </c>
      <c r="L1442" s="1" t="str">
        <f>HYPERLINK("https://files.afu.se/Downloads/Transcripts/0%20-%20Government/USA%20-%20NASA/2016 10 04 - NASA - Station Crew Member Discusses Life in Space with Radio Reporters_FMc7CK5jAYk - transcript (automated).pdf","Transcript Link")</f>
        <v>Transcript Link</v>
      </c>
      <c r="M1442" s="2" t="str">
        <f>HYPERLINK("https://files.afu.se/Downloads/Transcripts/0%20-%20Government/USA%20-%20NASA/2016 10 04 - NASA - Station Crew Member Discusses Life in Space with Radio Reporters_FMc7CK5jAYk - transcript (automated).pdf","Transcript Link")</f>
        <v>Transcript Link</v>
      </c>
    </row>
    <row r="1443" ht="165" spans="1:13">
      <c r="A1443" s="1" t="s">
        <v>6785</v>
      </c>
      <c r="B1443" s="1" t="s">
        <v>13</v>
      </c>
      <c r="C1443" s="4" t="s">
        <v>6786</v>
      </c>
      <c r="D1443" s="1" t="s">
        <v>6787</v>
      </c>
      <c r="E1443" s="1" t="s">
        <v>6788</v>
      </c>
      <c r="F1443" s="4" t="s">
        <v>17</v>
      </c>
      <c r="G1443" s="1" t="s">
        <v>18</v>
      </c>
      <c r="H1443" s="1" t="s">
        <v>19</v>
      </c>
      <c r="I1443" s="1" t="s">
        <v>20</v>
      </c>
      <c r="J1443" s="1" t="s">
        <v>6789</v>
      </c>
      <c r="K1443" s="1" t="s">
        <v>22</v>
      </c>
      <c r="L1443" s="1" t="str">
        <f>HYPERLINK("https://files.afu.se/Downloads/Transcripts/0%20-%20Government/USA%20-%20NASA/2016 10 03 - NASA - Space Station Cameras Captures Dramatic Views of Hurricane Matthew_VPy9aGCCv8U - transcript (automated).pdf","Transcript Link")</f>
        <v>Transcript Link</v>
      </c>
      <c r="M1443" s="2" t="str">
        <f>HYPERLINK("https://files.afu.se/Downloads/Transcripts/0%20-%20Government/USA%20-%20NASA/2016 10 03 - NASA - Space Station Cameras Captures Dramatic Views of Hurricane Matthew_VPy9aGCCv8U - transcript (automated).pdf","Transcript Link")</f>
        <v>Transcript Link</v>
      </c>
    </row>
    <row r="1444" ht="375" spans="1:13">
      <c r="A1444" s="1" t="s">
        <v>6790</v>
      </c>
      <c r="B1444" s="1" t="s">
        <v>13</v>
      </c>
      <c r="C1444" s="4" t="s">
        <v>6791</v>
      </c>
      <c r="D1444" s="1" t="s">
        <v>6792</v>
      </c>
      <c r="E1444" s="1" t="s">
        <v>6793</v>
      </c>
      <c r="F1444" s="4" t="s">
        <v>17</v>
      </c>
      <c r="G1444" s="1" t="s">
        <v>18</v>
      </c>
      <c r="H1444" s="1" t="s">
        <v>19</v>
      </c>
      <c r="I1444" s="1" t="s">
        <v>20</v>
      </c>
      <c r="J1444" s="1" t="s">
        <v>6794</v>
      </c>
      <c r="K1444" s="1" t="s">
        <v>22</v>
      </c>
      <c r="L1444" s="1" t="str">
        <f>HYPERLINK("https://files.afu.se/Downloads/Transcripts/0%20-%20Government/USA%20-%20NASA/2016 09 30 - NASA - NASA Hispanic Heritage Month Employee Profile - Abigail Rodriguez - Glenn Research Center_tNB0CUvInU0 - transcript (automated).pdf","Transcript Link")</f>
        <v>Transcript Link</v>
      </c>
      <c r="M1444" s="2" t="str">
        <f>HYPERLINK("https://files.afu.se/Downloads/Transcripts/0%20-%20Government/USA%20-%20NASA/2016 09 30 - NASA - NASA Hispanic Heritage Month Employee Profile - Abigail Rodriguez - Glenn Research Center_tNB0CUvInU0 - transcript (automated).pdf","Transcript Link")</f>
        <v>Transcript Link</v>
      </c>
    </row>
    <row r="1445" ht="360" spans="1:13">
      <c r="A1445" s="1" t="s">
        <v>6790</v>
      </c>
      <c r="B1445" s="1" t="s">
        <v>13</v>
      </c>
      <c r="C1445" s="4" t="s">
        <v>6795</v>
      </c>
      <c r="D1445" s="1" t="s">
        <v>6796</v>
      </c>
      <c r="E1445" s="1" t="s">
        <v>6797</v>
      </c>
      <c r="F1445" s="4" t="s">
        <v>17</v>
      </c>
      <c r="G1445" s="1" t="s">
        <v>18</v>
      </c>
      <c r="H1445" s="1" t="s">
        <v>19</v>
      </c>
      <c r="I1445" s="1" t="s">
        <v>20</v>
      </c>
      <c r="J1445" s="1" t="s">
        <v>6798</v>
      </c>
      <c r="K1445" s="1" t="s">
        <v>22</v>
      </c>
      <c r="L1445" s="1" t="str">
        <f>HYPERLINK("https://files.afu.se/Downloads/Transcripts/0%20-%20Government/USA%20-%20NASA/2016 09 30 - NASA - Journey to Mars Update on This Week @NASA – September 30, 2016_5rsyyWQcGMg - transcript (automated).pdf","Transcript Link")</f>
        <v>Transcript Link</v>
      </c>
      <c r="M1445" s="2" t="str">
        <f>HYPERLINK("https://files.afu.se/Downloads/Transcripts/0%20-%20Government/USA%20-%20NASA/2016 09 30 - NASA - Journey to Mars Update on This Week @NASA – September 30, 2016_5rsyyWQcGMg - transcript (automated).pdf","Transcript Link")</f>
        <v>Transcript Link</v>
      </c>
    </row>
    <row r="1446" ht="165" spans="1:13">
      <c r="A1446" s="1" t="s">
        <v>6799</v>
      </c>
      <c r="B1446" s="1" t="s">
        <v>13</v>
      </c>
      <c r="C1446" s="4" t="s">
        <v>6800</v>
      </c>
      <c r="D1446" s="1" t="s">
        <v>6801</v>
      </c>
      <c r="E1446" s="1" t="s">
        <v>6802</v>
      </c>
      <c r="F1446" s="4" t="s">
        <v>17</v>
      </c>
      <c r="G1446" s="1" t="s">
        <v>18</v>
      </c>
      <c r="H1446" s="1" t="s">
        <v>19</v>
      </c>
      <c r="I1446" s="1" t="s">
        <v>20</v>
      </c>
      <c r="J1446" s="1" t="s">
        <v>6803</v>
      </c>
      <c r="K1446" s="1" t="s">
        <v>22</v>
      </c>
      <c r="L1446" s="1" t="str">
        <f>HYPERLINK("https://files.afu.se/Downloads/Transcripts/0%20-%20Government/USA%20-%20NASA/2016 09 29 - NASA - Space Station Crew Member Discusses Life and Work in Space with Cosmopolitan Magazine_kxDUcgzvHEI - transcript (automated).pdf","Transcript Link")</f>
        <v>Transcript Link</v>
      </c>
      <c r="M1446" s="2" t="str">
        <f>HYPERLINK("https://files.afu.se/Downloads/Transcripts/0%20-%20Government/USA%20-%20NASA/2016 09 29 - NASA - Space Station Crew Member Discusses Life and Work in Space with Cosmopolitan Magazine_kxDUcgzvHEI - transcript (automated).pdf","Transcript Link")</f>
        <v>Transcript Link</v>
      </c>
    </row>
    <row r="1447" ht="165" spans="1:13">
      <c r="A1447" s="1" t="s">
        <v>6804</v>
      </c>
      <c r="B1447" s="1" t="s">
        <v>13</v>
      </c>
      <c r="C1447" s="4" t="s">
        <v>6805</v>
      </c>
      <c r="D1447" s="1" t="s">
        <v>6806</v>
      </c>
      <c r="E1447" s="1" t="s">
        <v>6807</v>
      </c>
      <c r="F1447" s="4" t="s">
        <v>17</v>
      </c>
      <c r="G1447" s="1" t="s">
        <v>18</v>
      </c>
      <c r="H1447" s="1" t="s">
        <v>19</v>
      </c>
      <c r="I1447" s="1" t="s">
        <v>20</v>
      </c>
      <c r="J1447" s="1" t="s">
        <v>6808</v>
      </c>
      <c r="K1447" s="1" t="s">
        <v>22</v>
      </c>
      <c r="L1447" s="1" t="str">
        <f>HYPERLINK("https://files.afu.se/Downloads/Transcripts/0%20-%20Government/USA%20-%20NASA/2016 09 28 - NASA - Space Station Crew Member Discusses Life in Space with NBC's  Meet the Press _5cin6vw-kn0 - transcript (automated).pdf","Transcript Link")</f>
        <v>Transcript Link</v>
      </c>
      <c r="M1447" s="2" t="str">
        <f>HYPERLINK("https://files.afu.se/Downloads/Transcripts/0%20-%20Government/USA%20-%20NASA/2016 09 28 - NASA - Space Station Crew Member Discusses Life in Space with NBC's  Meet the Press _5cin6vw-kn0 - transcript (automated).pdf","Transcript Link")</f>
        <v>Transcript Link</v>
      </c>
    </row>
    <row r="1448" ht="165" spans="1:13">
      <c r="A1448" s="1" t="s">
        <v>6809</v>
      </c>
      <c r="B1448" s="1" t="s">
        <v>13</v>
      </c>
      <c r="C1448" s="4" t="s">
        <v>6810</v>
      </c>
      <c r="D1448" s="1" t="s">
        <v>6811</v>
      </c>
      <c r="E1448" s="1" t="s">
        <v>6812</v>
      </c>
      <c r="F1448" s="4" t="s">
        <v>17</v>
      </c>
      <c r="G1448" s="1" t="s">
        <v>18</v>
      </c>
      <c r="H1448" s="1" t="s">
        <v>19</v>
      </c>
      <c r="I1448" s="1" t="s">
        <v>20</v>
      </c>
      <c r="J1448" s="1" t="s">
        <v>6813</v>
      </c>
      <c r="K1448" s="1" t="s">
        <v>22</v>
      </c>
      <c r="L1448" s="1" t="str">
        <f>HYPERLINK("https://files.afu.se/Downloads/Transcripts/0%20-%20Government/USA%20-%20NASA/2016 09 23 - NASA - Dedicated to History_izMKh_UC7rU - transcript (automated).pdf","Transcript Link")</f>
        <v>Transcript Link</v>
      </c>
      <c r="M1448" s="2" t="str">
        <f>HYPERLINK("https://files.afu.se/Downloads/Transcripts/0%20-%20Government/USA%20-%20NASA/2016 09 23 - NASA - Dedicated to History_izMKh_UC7rU - transcript (automated).pdf","Transcript Link")</f>
        <v>Transcript Link</v>
      </c>
    </row>
    <row r="1449" ht="165" spans="1:13">
      <c r="A1449" s="1" t="s">
        <v>6809</v>
      </c>
      <c r="B1449" s="1" t="s">
        <v>13</v>
      </c>
      <c r="C1449" s="4" t="s">
        <v>6814</v>
      </c>
      <c r="D1449" s="1" t="s">
        <v>6815</v>
      </c>
      <c r="E1449" s="1" t="s">
        <v>6816</v>
      </c>
      <c r="F1449" s="4" t="s">
        <v>17</v>
      </c>
      <c r="G1449" s="1" t="s">
        <v>18</v>
      </c>
      <c r="H1449" s="1" t="s">
        <v>19</v>
      </c>
      <c r="I1449" s="1" t="s">
        <v>20</v>
      </c>
      <c r="J1449" s="1" t="s">
        <v>6817</v>
      </c>
      <c r="K1449" s="1" t="s">
        <v>22</v>
      </c>
      <c r="L1449" s="1" t="str">
        <f>HYPERLINK("https://files.afu.se/Downloads/Transcripts/0%20-%20Government/USA%20-%20NASA/2016 09 23 - NASA - Advice to Students_DzgosNgn8-Q - transcript (automated).pdf","Transcript Link")</f>
        <v>Transcript Link</v>
      </c>
      <c r="M1449" s="2" t="str">
        <f>HYPERLINK("https://files.afu.se/Downloads/Transcripts/0%20-%20Government/USA%20-%20NASA/2016 09 23 - NASA - Advice to Students_DzgosNgn8-Q - transcript (automated).pdf","Transcript Link")</f>
        <v>Transcript Link</v>
      </c>
    </row>
    <row r="1450" ht="165" spans="1:13">
      <c r="A1450" s="1" t="s">
        <v>6809</v>
      </c>
      <c r="B1450" s="1" t="s">
        <v>13</v>
      </c>
      <c r="C1450" s="4" t="s">
        <v>6818</v>
      </c>
      <c r="D1450" s="1" t="s">
        <v>6819</v>
      </c>
      <c r="E1450" s="1" t="s">
        <v>6820</v>
      </c>
      <c r="F1450" s="4" t="s">
        <v>17</v>
      </c>
      <c r="G1450" s="1" t="s">
        <v>18</v>
      </c>
      <c r="H1450" s="1" t="s">
        <v>19</v>
      </c>
      <c r="I1450" s="1" t="s">
        <v>20</v>
      </c>
      <c r="J1450" s="1" t="s">
        <v>6821</v>
      </c>
      <c r="K1450" s="1" t="s">
        <v>22</v>
      </c>
      <c r="L1450" s="1" t="str">
        <f>HYPERLINK("https://files.afu.se/Downloads/Transcripts/0%20-%20Government/USA%20-%20NASA/2016 09 23 - NASA - An Unimaginable Journey_d3JW5ONf4aQ - transcript (automated).pdf","Transcript Link")</f>
        <v>Transcript Link</v>
      </c>
      <c r="M1450" s="2" t="str">
        <f>HYPERLINK("https://files.afu.se/Downloads/Transcripts/0%20-%20Government/USA%20-%20NASA/2016 09 23 - NASA - An Unimaginable Journey_d3JW5ONf4aQ - transcript (automated).pdf","Transcript Link")</f>
        <v>Transcript Link</v>
      </c>
    </row>
    <row r="1451" ht="165" spans="1:13">
      <c r="A1451" s="1" t="s">
        <v>6809</v>
      </c>
      <c r="B1451" s="1" t="s">
        <v>13</v>
      </c>
      <c r="C1451" s="4" t="s">
        <v>6822</v>
      </c>
      <c r="D1451" s="1" t="s">
        <v>6823</v>
      </c>
      <c r="E1451" s="1" t="s">
        <v>6824</v>
      </c>
      <c r="F1451" s="4" t="s">
        <v>17</v>
      </c>
      <c r="G1451" s="1" t="s">
        <v>18</v>
      </c>
      <c r="H1451" s="1" t="s">
        <v>19</v>
      </c>
      <c r="I1451" s="1" t="s">
        <v>20</v>
      </c>
      <c r="J1451" s="1" t="s">
        <v>6825</v>
      </c>
      <c r="K1451" s="1" t="s">
        <v>22</v>
      </c>
      <c r="L1451" s="1" t="str">
        <f>HYPERLINK("https://files.afu.se/Downloads/Transcripts/0%20-%20Government/USA%20-%20NASA/2016 09 23 - NASA - NASA Hispanic Heritage Month Employee Profile -  Claudia Herrera - Armstrong Flight Research Center_MUa2E_M-b1A - transcript (automated).pdf","Transcript Link")</f>
        <v>Transcript Link</v>
      </c>
      <c r="M1451" s="2" t="str">
        <f>HYPERLINK("https://files.afu.se/Downloads/Transcripts/0%20-%20Government/USA%20-%20NASA/2016 09 23 - NASA - NASA Hispanic Heritage Month Employee Profile -  Claudia Herrera - Armstrong Flight Research Center_MUa2E_M-b1A - transcript (automated).pdf","Transcript Link")</f>
        <v>Transcript Link</v>
      </c>
    </row>
    <row r="1452" ht="225" spans="1:13">
      <c r="A1452" s="1" t="s">
        <v>6809</v>
      </c>
      <c r="B1452" s="1" t="s">
        <v>13</v>
      </c>
      <c r="C1452" s="4" t="s">
        <v>6826</v>
      </c>
      <c r="D1452" s="1" t="s">
        <v>6827</v>
      </c>
      <c r="E1452" s="1" t="s">
        <v>6828</v>
      </c>
      <c r="F1452" s="4" t="s">
        <v>17</v>
      </c>
      <c r="G1452" s="1" t="s">
        <v>18</v>
      </c>
      <c r="H1452" s="1" t="s">
        <v>19</v>
      </c>
      <c r="I1452" s="1" t="s">
        <v>20</v>
      </c>
      <c r="J1452" s="1" t="s">
        <v>6829</v>
      </c>
      <c r="K1452" s="1" t="s">
        <v>22</v>
      </c>
      <c r="L1452" s="1" t="str">
        <f>HYPERLINK("https://files.afu.se/Downloads/Transcripts/0%20-%20Government/USA%20-%20NASA/2016 09 23 - NASA - Closest Multi-Spacecraft Flying Formation on This Week @NASA – September 23, 2016_11HfW94CBpI - transcript (automated).pdf","Transcript Link")</f>
        <v>Transcript Link</v>
      </c>
      <c r="M1452" s="2" t="str">
        <f>HYPERLINK("https://files.afu.se/Downloads/Transcripts/0%20-%20Government/USA%20-%20NASA/2016 09 23 - NASA - Closest Multi-Spacecraft Flying Formation on This Week @NASA – September 23, 2016_11HfW94CBpI - transcript (automated).pdf","Transcript Link")</f>
        <v>Transcript Link</v>
      </c>
    </row>
    <row r="1453" ht="165" spans="1:13">
      <c r="A1453" s="1" t="s">
        <v>6830</v>
      </c>
      <c r="B1453" s="1" t="s">
        <v>13</v>
      </c>
      <c r="C1453" s="4" t="s">
        <v>6831</v>
      </c>
      <c r="D1453" s="1" t="s">
        <v>6832</v>
      </c>
      <c r="E1453" s="1" t="s">
        <v>6833</v>
      </c>
      <c r="F1453" s="4" t="s">
        <v>17</v>
      </c>
      <c r="G1453" s="1" t="s">
        <v>18</v>
      </c>
      <c r="H1453" s="1" t="s">
        <v>19</v>
      </c>
      <c r="I1453" s="1" t="s">
        <v>20</v>
      </c>
      <c r="J1453" s="1" t="s">
        <v>6834</v>
      </c>
      <c r="K1453" s="1" t="s">
        <v>22</v>
      </c>
      <c r="L1453" s="1" t="str">
        <f>HYPERLINK("https://files.afu.se/Downloads/Transcripts/0%20-%20Government/USA%20-%20NASA/2016 09 22 - NASA - Space Station Crew Member Discusses Work in Space with the Media_P03vvRW5EIg - transcript (automated).pdf","Transcript Link")</f>
        <v>Transcript Link</v>
      </c>
      <c r="M1453" s="2" t="str">
        <f>HYPERLINK("https://files.afu.se/Downloads/Transcripts/0%20-%20Government/USA%20-%20NASA/2016 09 22 - NASA - Space Station Crew Member Discusses Work in Space with the Media_P03vvRW5EIg - transcript (automated).pdf","Transcript Link")</f>
        <v>Transcript Link</v>
      </c>
    </row>
    <row r="1454" ht="165" spans="1:13">
      <c r="A1454" s="1" t="s">
        <v>6835</v>
      </c>
      <c r="B1454" s="1" t="s">
        <v>13</v>
      </c>
      <c r="C1454" s="4" t="s">
        <v>6836</v>
      </c>
      <c r="D1454" s="1" t="s">
        <v>6837</v>
      </c>
      <c r="E1454" s="1" t="s">
        <v>6838</v>
      </c>
      <c r="F1454" s="4" t="s">
        <v>17</v>
      </c>
      <c r="G1454" s="1" t="s">
        <v>18</v>
      </c>
      <c r="H1454" s="1" t="s">
        <v>19</v>
      </c>
      <c r="I1454" s="1" t="s">
        <v>20</v>
      </c>
      <c r="J1454" s="1" t="s">
        <v>6839</v>
      </c>
      <c r="K1454" s="1" t="s">
        <v>22</v>
      </c>
      <c r="L1454" s="1" t="str">
        <f>HYPERLINK("https://files.afu.se/Downloads/Transcripts/0%20-%20Government/USA%20-%20NASA/2016 09 20 - NASA - Space Station Crew Member Discusses Life in Space with Japanese Students_kJ1bdzkexrM - transcript (automated).pdf","Transcript Link")</f>
        <v>Transcript Link</v>
      </c>
      <c r="M1454" s="2" t="str">
        <f>HYPERLINK("https://files.afu.se/Downloads/Transcripts/0%20-%20Government/USA%20-%20NASA/2016 09 20 - NASA - Space Station Crew Member Discusses Life in Space with Japanese Students_kJ1bdzkexrM - transcript (automated).pdf","Transcript Link")</f>
        <v>Transcript Link</v>
      </c>
    </row>
    <row r="1455" ht="270" spans="1:13">
      <c r="A1455" s="1" t="s">
        <v>6840</v>
      </c>
      <c r="B1455" s="1" t="s">
        <v>13</v>
      </c>
      <c r="C1455" s="4" t="s">
        <v>6841</v>
      </c>
      <c r="D1455" s="1" t="s">
        <v>6842</v>
      </c>
      <c r="E1455" s="1" t="s">
        <v>6843</v>
      </c>
      <c r="F1455" s="4" t="s">
        <v>17</v>
      </c>
      <c r="G1455" s="1" t="s">
        <v>18</v>
      </c>
      <c r="H1455" s="1" t="s">
        <v>19</v>
      </c>
      <c r="I1455" s="1" t="s">
        <v>20</v>
      </c>
      <c r="J1455" s="1" t="s">
        <v>6844</v>
      </c>
      <c r="K1455" s="1" t="s">
        <v>22</v>
      </c>
      <c r="L1455" s="1" t="str">
        <f>HYPERLINK("https://files.afu.se/Downloads/Transcripts/0%20-%20Government/USA%20-%20NASA/2016 09 19 - NASA - Asteroid Redirect Mission Briefing on This Week @NASA – September 19, 2016_2kpVRBbLu_0 - transcript (automated).pdf","Transcript Link")</f>
        <v>Transcript Link</v>
      </c>
      <c r="M1455" s="2" t="str">
        <f>HYPERLINK("https://files.afu.se/Downloads/Transcripts/0%20-%20Government/USA%20-%20NASA/2016 09 19 - NASA - Asteroid Redirect Mission Briefing on This Week @NASA – September 19, 2016_2kpVRBbLu_0 - transcript (automated).pdf","Transcript Link")</f>
        <v>Transcript Link</v>
      </c>
    </row>
    <row r="1456" ht="165" spans="1:13">
      <c r="A1456" s="1" t="s">
        <v>6845</v>
      </c>
      <c r="B1456" s="1" t="s">
        <v>13</v>
      </c>
      <c r="C1456" s="4" t="s">
        <v>6846</v>
      </c>
      <c r="D1456" s="1" t="s">
        <v>6847</v>
      </c>
      <c r="E1456" s="1" t="s">
        <v>6848</v>
      </c>
      <c r="F1456" s="4" t="s">
        <v>17</v>
      </c>
      <c r="G1456" s="1" t="s">
        <v>18</v>
      </c>
      <c r="H1456" s="1" t="s">
        <v>19</v>
      </c>
      <c r="I1456" s="1" t="s">
        <v>20</v>
      </c>
      <c r="J1456" s="1" t="s">
        <v>6849</v>
      </c>
      <c r="K1456" s="1" t="s">
        <v>22</v>
      </c>
      <c r="L1456" s="1" t="str">
        <f>HYPERLINK("https://files.afu.se/Downloads/Transcripts/0%20-%20Government/USA%20-%20NASA/2016 09 17 - NASA - NASA Astronaut Talks with Cancer Patients about Cancer Research on the International Space Station_gEUrPrDUMK0 - transcript (automated).pdf","Transcript Link")</f>
        <v>Transcript Link</v>
      </c>
      <c r="M1456" s="2" t="str">
        <f>HYPERLINK("https://files.afu.se/Downloads/Transcripts/0%20-%20Government/USA%20-%20NASA/2016 09 17 - NASA - NASA Astronaut Talks with Cancer Patients about Cancer Research on the International Space Station_gEUrPrDUMK0 - transcript (automated).pdf","Transcript Link")</f>
        <v>Transcript Link</v>
      </c>
    </row>
    <row r="1457" ht="255" spans="1:13">
      <c r="A1457" s="1" t="s">
        <v>6850</v>
      </c>
      <c r="B1457" s="1" t="s">
        <v>13</v>
      </c>
      <c r="C1457" s="4" t="s">
        <v>6851</v>
      </c>
      <c r="D1457" s="1" t="s">
        <v>6852</v>
      </c>
      <c r="E1457" s="1" t="s">
        <v>6853</v>
      </c>
      <c r="F1457" s="4" t="s">
        <v>17</v>
      </c>
      <c r="G1457" s="1" t="s">
        <v>18</v>
      </c>
      <c r="H1457" s="1" t="s">
        <v>19</v>
      </c>
      <c r="I1457" s="1" t="s">
        <v>20</v>
      </c>
      <c r="J1457" s="1" t="s">
        <v>6854</v>
      </c>
      <c r="K1457" s="1" t="s">
        <v>22</v>
      </c>
      <c r="L1457" s="1" t="str">
        <f>HYPERLINK("https://files.afu.se/Downloads/Transcripts/0%20-%20Government/USA%20-%20NASA/2016 09 16 - NASA - NASA Hispanic Heritage Month Employee Profile - Scarlin Hernandez - JWST Spacecraft Engineer (STScI)_8sRvS262x0Q - transcript (automated).pdf","Transcript Link")</f>
        <v>Transcript Link</v>
      </c>
      <c r="M1457" s="2" t="str">
        <f>HYPERLINK("https://files.afu.se/Downloads/Transcripts/0%20-%20Government/USA%20-%20NASA/2016 09 16 - NASA - NASA Hispanic Heritage Month Employee Profile - Scarlin Hernandez - JWST Spacecraft Engineer (STScI)_8sRvS262x0Q - transcript (automated).pdf","Transcript Link")</f>
        <v>Transcript Link</v>
      </c>
    </row>
    <row r="1458" ht="210" spans="1:13">
      <c r="A1458" s="1" t="s">
        <v>6850</v>
      </c>
      <c r="B1458" s="1" t="s">
        <v>13</v>
      </c>
      <c r="C1458" s="4" t="s">
        <v>6855</v>
      </c>
      <c r="D1458" s="1" t="s">
        <v>6706</v>
      </c>
      <c r="E1458" s="1" t="s">
        <v>6856</v>
      </c>
      <c r="F1458" s="4" t="s">
        <v>17</v>
      </c>
      <c r="G1458" s="1" t="s">
        <v>18</v>
      </c>
      <c r="H1458" s="1" t="s">
        <v>19</v>
      </c>
      <c r="I1458" s="1" t="s">
        <v>20</v>
      </c>
      <c r="J1458" s="1" t="s">
        <v>6857</v>
      </c>
      <c r="K1458" s="1" t="s">
        <v>22</v>
      </c>
      <c r="L1458" s="1" t="str">
        <f>HYPERLINK("https://files.afu.se/Downloads/Transcripts/0%20-%20Government/USA%20-%20NASA/2016 09 16 - NASA - Expedition 49-50 Crew Prepares for Launch in Kazakhstan_QTKGEFtD5-Y - transcript (automated).pdf","Transcript Link")</f>
        <v>Transcript Link</v>
      </c>
      <c r="M1458" s="2" t="str">
        <f>HYPERLINK("https://files.afu.se/Downloads/Transcripts/0%20-%20Government/USA%20-%20NASA/2016 09 16 - NASA - Expedition 49-50 Crew Prepares for Launch in Kazakhstan_QTKGEFtD5-Y - transcript (automated).pdf","Transcript Link")</f>
        <v>Transcript Link</v>
      </c>
    </row>
    <row r="1459" ht="165" spans="1:13">
      <c r="A1459" s="1" t="s">
        <v>6858</v>
      </c>
      <c r="B1459" s="1" t="s">
        <v>13</v>
      </c>
      <c r="C1459" s="4" t="s">
        <v>6859</v>
      </c>
      <c r="D1459" s="1" t="s">
        <v>6860</v>
      </c>
      <c r="E1459" s="1" t="s">
        <v>6861</v>
      </c>
      <c r="F1459" s="4" t="s">
        <v>17</v>
      </c>
      <c r="G1459" s="1" t="s">
        <v>18</v>
      </c>
      <c r="H1459" s="1" t="s">
        <v>19</v>
      </c>
      <c r="I1459" s="1" t="s">
        <v>20</v>
      </c>
      <c r="J1459" s="1" t="s">
        <v>6862</v>
      </c>
      <c r="K1459" s="1" t="s">
        <v>22</v>
      </c>
      <c r="L1459" s="1" t="str">
        <f>HYPERLINK("https://files.afu.se/Downloads/Transcripts/0%20-%20Government/USA%20-%20NASA/2016 09 15 - NASA - Film, Television and Video History of NASA_UC5k7xbSQ7c - transcript (automated).pdf","Transcript Link")</f>
        <v>Transcript Link</v>
      </c>
      <c r="M1459" s="2" t="str">
        <f>HYPERLINK("https://files.afu.se/Downloads/Transcripts/0%20-%20Government/USA%20-%20NASA/2016 09 15 - NASA - Film, Television and Video History of NASA_UC5k7xbSQ7c - transcript (automated).pdf","Transcript Link")</f>
        <v>Transcript Link</v>
      </c>
    </row>
    <row r="1460" ht="300" spans="1:13">
      <c r="A1460" s="1" t="s">
        <v>6863</v>
      </c>
      <c r="B1460" s="1" t="s">
        <v>13</v>
      </c>
      <c r="C1460" s="4" t="s">
        <v>6864</v>
      </c>
      <c r="D1460" s="1" t="s">
        <v>6865</v>
      </c>
      <c r="E1460" s="1" t="s">
        <v>6866</v>
      </c>
      <c r="F1460" s="4" t="s">
        <v>17</v>
      </c>
      <c r="G1460" s="1" t="s">
        <v>18</v>
      </c>
      <c r="H1460" s="1" t="s">
        <v>19</v>
      </c>
      <c r="I1460" s="1" t="s">
        <v>20</v>
      </c>
      <c r="J1460" s="1" t="s">
        <v>6867</v>
      </c>
      <c r="K1460" s="1" t="s">
        <v>22</v>
      </c>
      <c r="L1460" s="1" t="str">
        <f>HYPERLINK("https://files.afu.se/Downloads/Transcripts/0%20-%20Government/USA%20-%20NASA/2016 09 14 - NASA - Record Breaking NASA Astronaut Discusses His Recent Mission_GP_ZrENMTuo - transcript (automated).pdf","Transcript Link")</f>
        <v>Transcript Link</v>
      </c>
      <c r="M1460" s="2" t="str">
        <f>HYPERLINK("https://files.afu.se/Downloads/Transcripts/0%20-%20Government/USA%20-%20NASA/2016 09 14 - NASA - Record Breaking NASA Astronaut Discusses His Recent Mission_GP_ZrENMTuo - transcript (automated).pdf","Transcript Link")</f>
        <v>Transcript Link</v>
      </c>
    </row>
    <row r="1461" ht="165" spans="1:13">
      <c r="A1461" s="1" t="s">
        <v>6863</v>
      </c>
      <c r="B1461" s="1" t="s">
        <v>13</v>
      </c>
      <c r="C1461" s="4" t="s">
        <v>6868</v>
      </c>
      <c r="D1461" s="1" t="s">
        <v>6869</v>
      </c>
      <c r="E1461" s="1" t="s">
        <v>6870</v>
      </c>
      <c r="F1461" s="4" t="s">
        <v>17</v>
      </c>
      <c r="G1461" s="1" t="s">
        <v>18</v>
      </c>
      <c r="H1461" s="1" t="s">
        <v>19</v>
      </c>
      <c r="I1461" s="1" t="s">
        <v>20</v>
      </c>
      <c r="J1461" s="1" t="s">
        <v>6871</v>
      </c>
      <c r="K1461" s="1" t="s">
        <v>22</v>
      </c>
      <c r="L1461" s="1" t="str">
        <f>HYPERLINK("https://files.afu.se/Downloads/Transcripts/0%20-%20Government/USA%20-%20NASA/2016 09 14 - NASA - NASA Astronaut Talks to Students about Life Aboard the Space Station_V1O7XfcXGTI - transcript (automated).pdf","Transcript Link")</f>
        <v>Transcript Link</v>
      </c>
      <c r="M1461" s="2" t="str">
        <f>HYPERLINK("https://files.afu.se/Downloads/Transcripts/0%20-%20Government/USA%20-%20NASA/2016 09 14 - NASA - NASA Astronaut Talks to Students about Life Aboard the Space Station_V1O7XfcXGTI - transcript (automated).pdf","Transcript Link")</f>
        <v>Transcript Link</v>
      </c>
    </row>
    <row r="1462" ht="165" spans="1:13">
      <c r="A1462" s="1" t="s">
        <v>6863</v>
      </c>
      <c r="B1462" s="1" t="s">
        <v>13</v>
      </c>
      <c r="C1462" s="4" t="s">
        <v>6872</v>
      </c>
      <c r="D1462" s="1" t="s">
        <v>6873</v>
      </c>
      <c r="E1462" s="1" t="s">
        <v>6874</v>
      </c>
      <c r="F1462" s="4" t="s">
        <v>17</v>
      </c>
      <c r="G1462" s="1" t="s">
        <v>18</v>
      </c>
      <c r="H1462" s="1" t="s">
        <v>19</v>
      </c>
      <c r="I1462" s="1" t="s">
        <v>20</v>
      </c>
      <c r="J1462" s="1" t="s">
        <v>6875</v>
      </c>
      <c r="K1462" s="1" t="s">
        <v>22</v>
      </c>
      <c r="L1462" s="1" t="str">
        <f>HYPERLINK("https://files.afu.se/Downloads/Transcripts/0%20-%20Government/USA%20-%20NASA/2016 09 14 - NASA - STEM in 30 – Star Trek at 50  Science Fiction to Science Fact_YqwO8lEQOUA - transcript (automated).pdf","Transcript Link")</f>
        <v>Transcript Link</v>
      </c>
      <c r="M1462" s="2" t="str">
        <f>HYPERLINK("https://files.afu.se/Downloads/Transcripts/0%20-%20Government/USA%20-%20NASA/2016 09 14 - NASA - STEM in 30 – Star Trek at 50  Science Fiction to Science Fact_YqwO8lEQOUA - transcript (automated).pdf","Transcript Link")</f>
        <v>Transcript Link</v>
      </c>
    </row>
    <row r="1463" ht="165" spans="1:13">
      <c r="A1463" s="1" t="s">
        <v>6863</v>
      </c>
      <c r="B1463" s="1" t="s">
        <v>13</v>
      </c>
      <c r="C1463" s="4" t="s">
        <v>6876</v>
      </c>
      <c r="D1463" s="1" t="s">
        <v>6877</v>
      </c>
      <c r="E1463" s="1" t="s">
        <v>6878</v>
      </c>
      <c r="F1463" s="4" t="s">
        <v>17</v>
      </c>
      <c r="G1463" s="1" t="s">
        <v>18</v>
      </c>
      <c r="H1463" s="1" t="s">
        <v>19</v>
      </c>
      <c r="I1463" s="1" t="s">
        <v>20</v>
      </c>
      <c r="J1463" s="1" t="s">
        <v>6879</v>
      </c>
      <c r="K1463" s="1" t="s">
        <v>22</v>
      </c>
      <c r="L1463" s="1" t="str">
        <f>HYPERLINK("https://files.afu.se/Downloads/Transcripts/0%20-%20Government/USA%20-%20NASA/2016 09 14 - NASA - White House, NASA Discuss Asteroid Redirect Mission_6Ogty1C6LYw - transcript (automated).pdf","Transcript Link")</f>
        <v>Transcript Link</v>
      </c>
      <c r="M1463" s="2" t="str">
        <f>HYPERLINK("https://files.afu.se/Downloads/Transcripts/0%20-%20Government/USA%20-%20NASA/2016 09 14 - NASA - White House, NASA Discuss Asteroid Redirect Mission_6Ogty1C6LYw - transcript (automated).pdf","Transcript Link")</f>
        <v>Transcript Link</v>
      </c>
    </row>
    <row r="1464" ht="210" spans="1:13">
      <c r="A1464" s="1" t="s">
        <v>6880</v>
      </c>
      <c r="B1464" s="1" t="s">
        <v>13</v>
      </c>
      <c r="C1464" s="4" t="s">
        <v>6881</v>
      </c>
      <c r="D1464" s="1" t="s">
        <v>6882</v>
      </c>
      <c r="E1464" s="1" t="s">
        <v>6883</v>
      </c>
      <c r="F1464" s="4" t="s">
        <v>17</v>
      </c>
      <c r="G1464" s="1" t="s">
        <v>18</v>
      </c>
      <c r="H1464" s="1" t="s">
        <v>19</v>
      </c>
      <c r="I1464" s="1" t="s">
        <v>20</v>
      </c>
      <c r="J1464" s="1" t="s">
        <v>6884</v>
      </c>
      <c r="K1464" s="1" t="s">
        <v>22</v>
      </c>
      <c r="L1464" s="1" t="str">
        <f>HYPERLINK("https://files.afu.se/Downloads/Transcripts/0%20-%20Government/USA%20-%20NASA/2016 09 09 - NASA - Asteroid Sample Return Mission Launches on This Week @NASA – September 9, 2016_94egWBr6OtA - transcript (automated).pdf","Transcript Link")</f>
        <v>Transcript Link</v>
      </c>
      <c r="M1464" s="2" t="str">
        <f>HYPERLINK("https://files.afu.se/Downloads/Transcripts/0%20-%20Government/USA%20-%20NASA/2016 09 09 - NASA - Asteroid Sample Return Mission Launches on This Week @NASA – September 9, 2016_94egWBr6OtA - transcript (automated).pdf","Transcript Link")</f>
        <v>Transcript Link</v>
      </c>
    </row>
    <row r="1465" ht="195" spans="1:13">
      <c r="A1465" s="1" t="s">
        <v>6880</v>
      </c>
      <c r="B1465" s="1" t="s">
        <v>13</v>
      </c>
      <c r="C1465" s="4" t="s">
        <v>6885</v>
      </c>
      <c r="D1465" s="1" t="s">
        <v>6886</v>
      </c>
      <c r="E1465" s="1" t="s">
        <v>6887</v>
      </c>
      <c r="F1465" s="4" t="s">
        <v>17</v>
      </c>
      <c r="G1465" s="1" t="s">
        <v>18</v>
      </c>
      <c r="H1465" s="1" t="s">
        <v>19</v>
      </c>
      <c r="I1465" s="1" t="s">
        <v>20</v>
      </c>
      <c r="J1465" s="1" t="s">
        <v>6888</v>
      </c>
      <c r="K1465" s="1" t="s">
        <v>22</v>
      </c>
      <c r="L1465" s="1" t="str">
        <f>HYPERLINK("https://files.afu.se/Downloads/Transcripts/0%20-%20Government/USA%20-%20NASA/2016 09 09 - NASA - Post Launch Status of Asteroid Sample Return Mission_z8bKd0JjdGo - transcript (automated).pdf","Transcript Link")</f>
        <v>Transcript Link</v>
      </c>
      <c r="M1465" s="2" t="str">
        <f>HYPERLINK("https://files.afu.se/Downloads/Transcripts/0%20-%20Government/USA%20-%20NASA/2016 09 09 - NASA - Post Launch Status of Asteroid Sample Return Mission_z8bKd0JjdGo - transcript (automated).pdf","Transcript Link")</f>
        <v>Transcript Link</v>
      </c>
    </row>
    <row r="1466" ht="165" spans="1:13">
      <c r="A1466" s="1" t="s">
        <v>6880</v>
      </c>
      <c r="B1466" s="1" t="s">
        <v>13</v>
      </c>
      <c r="C1466" s="4" t="s">
        <v>6889</v>
      </c>
      <c r="D1466" s="1" t="s">
        <v>6890</v>
      </c>
      <c r="E1466" s="1" t="s">
        <v>6891</v>
      </c>
      <c r="F1466" s="4" t="s">
        <v>17</v>
      </c>
      <c r="G1466" s="1" t="s">
        <v>18</v>
      </c>
      <c r="H1466" s="1" t="s">
        <v>19</v>
      </c>
      <c r="I1466" s="1" t="s">
        <v>20</v>
      </c>
      <c r="J1466" s="1" t="s">
        <v>6892</v>
      </c>
      <c r="K1466" s="1" t="s">
        <v>22</v>
      </c>
      <c r="L1466" s="1" t="str">
        <f>HYPERLINK("https://files.afu.se/Downloads/Transcripts/0%20-%20Government/USA%20-%20NASA/2016 09 09 - NASA - First U.S. Sample Return Mission to an Asteroid Launches_eILL1cRnG1o - transcript (automated).pdf","Transcript Link")</f>
        <v>Transcript Link</v>
      </c>
      <c r="M1466" s="2" t="str">
        <f>HYPERLINK("https://files.afu.se/Downloads/Transcripts/0%20-%20Government/USA%20-%20NASA/2016 09 09 - NASA - First U.S. Sample Return Mission to an Asteroid Launches_eILL1cRnG1o - transcript (automated).pdf","Transcript Link")</f>
        <v>Transcript Link</v>
      </c>
    </row>
    <row r="1467" ht="180" spans="1:13">
      <c r="A1467" s="1" t="s">
        <v>6893</v>
      </c>
      <c r="B1467" s="1" t="s">
        <v>13</v>
      </c>
      <c r="C1467" s="4" t="s">
        <v>6894</v>
      </c>
      <c r="D1467" s="1" t="s">
        <v>6895</v>
      </c>
      <c r="E1467" s="1" t="s">
        <v>6896</v>
      </c>
      <c r="F1467" s="4" t="s">
        <v>17</v>
      </c>
      <c r="G1467" s="1" t="s">
        <v>18</v>
      </c>
      <c r="H1467" s="1" t="s">
        <v>19</v>
      </c>
      <c r="I1467" s="1" t="s">
        <v>20</v>
      </c>
      <c r="J1467" s="1" t="s">
        <v>6897</v>
      </c>
      <c r="K1467" s="1" t="s">
        <v>22</v>
      </c>
      <c r="L1467" s="1" t="str">
        <f>HYPERLINK("https://files.afu.se/Downloads/Transcripts/0%20-%20Government/USA%20-%20NASA/2016 09 08 - NASA - Expedition 49-50 Crew Departs for Kazakh Launch Site_mfYgqxf8RNs - transcript (automated).pdf","Transcript Link")</f>
        <v>Transcript Link</v>
      </c>
      <c r="M1467" s="2" t="str">
        <f>HYPERLINK("https://files.afu.se/Downloads/Transcripts/0%20-%20Government/USA%20-%20NASA/2016 09 08 - NASA - Expedition 49-50 Crew Departs for Kazakh Launch Site_mfYgqxf8RNs - transcript (automated).pdf","Transcript Link")</f>
        <v>Transcript Link</v>
      </c>
    </row>
    <row r="1468" ht="165" spans="1:13">
      <c r="A1468" s="1" t="s">
        <v>6893</v>
      </c>
      <c r="B1468" s="1" t="s">
        <v>13</v>
      </c>
      <c r="C1468" s="4" t="s">
        <v>6898</v>
      </c>
      <c r="D1468" s="1" t="s">
        <v>6899</v>
      </c>
      <c r="E1468" s="1" t="s">
        <v>6900</v>
      </c>
      <c r="F1468" s="4" t="s">
        <v>17</v>
      </c>
      <c r="G1468" s="1" t="s">
        <v>18</v>
      </c>
      <c r="H1468" s="1" t="s">
        <v>19</v>
      </c>
      <c r="I1468" s="1" t="s">
        <v>20</v>
      </c>
      <c r="J1468" s="1" t="s">
        <v>6901</v>
      </c>
      <c r="K1468" s="1" t="s">
        <v>22</v>
      </c>
      <c r="L1468" s="1" t="str">
        <f>HYPERLINK("https://files.afu.se/Downloads/Transcripts/0%20-%20Government/USA%20-%20NASA/2016 09 08 - NASA - A Trek Towards Diversity_FticpVEmE1s - transcript (automated).pdf","Transcript Link")</f>
        <v>Transcript Link</v>
      </c>
      <c r="M1468" s="2" t="str">
        <f>HYPERLINK("https://files.afu.se/Downloads/Transcripts/0%20-%20Government/USA%20-%20NASA/2016 09 08 - NASA - A Trek Towards Diversity_FticpVEmE1s - transcript (automated).pdf","Transcript Link")</f>
        <v>Transcript Link</v>
      </c>
    </row>
    <row r="1469" ht="165" spans="1:13">
      <c r="A1469" s="1" t="s">
        <v>6893</v>
      </c>
      <c r="B1469" s="1" t="s">
        <v>13</v>
      </c>
      <c r="C1469" s="4" t="s">
        <v>6902</v>
      </c>
      <c r="D1469" s="1" t="s">
        <v>6903</v>
      </c>
      <c r="E1469" s="1" t="s">
        <v>6904</v>
      </c>
      <c r="F1469" s="4" t="s">
        <v>17</v>
      </c>
      <c r="G1469" s="1" t="s">
        <v>18</v>
      </c>
      <c r="H1469" s="1" t="s">
        <v>19</v>
      </c>
      <c r="I1469" s="1" t="s">
        <v>20</v>
      </c>
      <c r="J1469" s="1" t="s">
        <v>6905</v>
      </c>
      <c r="K1469" s="1" t="s">
        <v>22</v>
      </c>
      <c r="L1469" s="1" t="str">
        <f>HYPERLINK("https://files.afu.se/Downloads/Transcripts/0%20-%20Government/USA%20-%20NASA/2016 09 08 - NASA - NASA Continues to Boldy Go!_1dJzX4GmFT8 - transcript (automated).pdf","Transcript Link")</f>
        <v>Transcript Link</v>
      </c>
      <c r="M1469" s="2" t="str">
        <f>HYPERLINK("https://files.afu.se/Downloads/Transcripts/0%20-%20Government/USA%20-%20NASA/2016 09 08 - NASA - NASA Continues to Boldy Go!_1dJzX4GmFT8 - transcript (automated).pdf","Transcript Link")</f>
        <v>Transcript Link</v>
      </c>
    </row>
    <row r="1470" ht="210" spans="1:13">
      <c r="A1470" s="1" t="s">
        <v>6906</v>
      </c>
      <c r="B1470" s="1" t="s">
        <v>13</v>
      </c>
      <c r="C1470" s="4" t="s">
        <v>6907</v>
      </c>
      <c r="D1470" s="1" t="s">
        <v>6908</v>
      </c>
      <c r="E1470" s="1" t="s">
        <v>6909</v>
      </c>
      <c r="F1470" s="4" t="s">
        <v>17</v>
      </c>
      <c r="G1470" s="1" t="s">
        <v>18</v>
      </c>
      <c r="H1470" s="1" t="s">
        <v>19</v>
      </c>
      <c r="I1470" s="1" t="s">
        <v>20</v>
      </c>
      <c r="J1470" s="1" t="s">
        <v>6910</v>
      </c>
      <c r="K1470" s="1" t="s">
        <v>22</v>
      </c>
      <c r="L1470" s="1" t="str">
        <f>HYPERLINK("https://files.afu.se/Downloads/Transcripts/0%20-%20Government/USA%20-%20NASA/2016 09 07 - NASA - NASA Uncovering the Secrets of Asteroids_3x5VCvuoCy0 - transcript (automated).pdf","Transcript Link")</f>
        <v>Transcript Link</v>
      </c>
      <c r="M1470" s="2" t="str">
        <f>HYPERLINK("https://files.afu.se/Downloads/Transcripts/0%20-%20Government/USA%20-%20NASA/2016 09 07 - NASA - NASA Uncovering the Secrets of Asteroids_3x5VCvuoCy0 - transcript (automated).pdf","Transcript Link")</f>
        <v>Transcript Link</v>
      </c>
    </row>
    <row r="1471" ht="195" spans="1:13">
      <c r="A1471" s="1" t="s">
        <v>6906</v>
      </c>
      <c r="B1471" s="1" t="s">
        <v>13</v>
      </c>
      <c r="C1471" s="4" t="s">
        <v>6911</v>
      </c>
      <c r="D1471" s="1" t="s">
        <v>6912</v>
      </c>
      <c r="E1471" s="1" t="s">
        <v>6913</v>
      </c>
      <c r="F1471" s="4" t="s">
        <v>17</v>
      </c>
      <c r="G1471" s="1" t="s">
        <v>18</v>
      </c>
      <c r="H1471" s="1" t="s">
        <v>19</v>
      </c>
      <c r="I1471" s="1" t="s">
        <v>20</v>
      </c>
      <c r="J1471" s="1" t="s">
        <v>6914</v>
      </c>
      <c r="K1471" s="1" t="s">
        <v>22</v>
      </c>
      <c r="L1471" s="1" t="str">
        <f>HYPERLINK("https://files.afu.se/Downloads/Transcripts/0%20-%20Government/USA%20-%20NASA/2016 09 07 - NASA - An OSIRIS-REx Talk_GoxRNewsMGI - transcript (automated).pdf","Transcript Link")</f>
        <v>Transcript Link</v>
      </c>
      <c r="M1471" s="2" t="str">
        <f>HYPERLINK("https://files.afu.se/Downloads/Transcripts/0%20-%20Government/USA%20-%20NASA/2016 09 07 - NASA - An OSIRIS-REx Talk_GoxRNewsMGI - transcript (automated).pdf","Transcript Link")</f>
        <v>Transcript Link</v>
      </c>
    </row>
    <row r="1472" ht="165" spans="1:13">
      <c r="A1472" s="1" t="s">
        <v>6906</v>
      </c>
      <c r="B1472" s="1" t="s">
        <v>13</v>
      </c>
      <c r="C1472" s="4" t="s">
        <v>6915</v>
      </c>
      <c r="D1472" s="1" t="s">
        <v>6916</v>
      </c>
      <c r="E1472" s="1" t="s">
        <v>6917</v>
      </c>
      <c r="F1472" s="4" t="s">
        <v>17</v>
      </c>
      <c r="G1472" s="1" t="s">
        <v>18</v>
      </c>
      <c r="H1472" s="1" t="s">
        <v>19</v>
      </c>
      <c r="I1472" s="1" t="s">
        <v>20</v>
      </c>
      <c r="J1472" s="1" t="s">
        <v>6918</v>
      </c>
      <c r="K1472" s="1" t="s">
        <v>22</v>
      </c>
      <c r="L1472" s="1" t="str">
        <f>HYPERLINK("https://files.afu.se/Downloads/Transcripts/0%20-%20Government/USA%20-%20NASA/2016 09 07 - NASA - Expedition 48 Crew Receives a Warm Welcome in Kazakhstan_lAZfx7FQ0F8 - transcript (automated).pdf","Transcript Link")</f>
        <v>Transcript Link</v>
      </c>
      <c r="M1472" s="2" t="str">
        <f>HYPERLINK("https://files.afu.se/Downloads/Transcripts/0%20-%20Government/USA%20-%20NASA/2016 09 07 - NASA - Expedition 48 Crew Receives a Warm Welcome in Kazakhstan_lAZfx7FQ0F8 - transcript (automated).pdf","Transcript Link")</f>
        <v>Transcript Link</v>
      </c>
    </row>
    <row r="1473" ht="165" spans="1:13">
      <c r="A1473" s="1" t="s">
        <v>6906</v>
      </c>
      <c r="B1473" s="1" t="s">
        <v>13</v>
      </c>
      <c r="C1473" s="4" t="s">
        <v>6919</v>
      </c>
      <c r="D1473" s="1" t="s">
        <v>6920</v>
      </c>
      <c r="E1473" s="1" t="s">
        <v>6921</v>
      </c>
      <c r="F1473" s="4" t="s">
        <v>17</v>
      </c>
      <c r="G1473" s="1" t="s">
        <v>18</v>
      </c>
      <c r="H1473" s="1" t="s">
        <v>19</v>
      </c>
      <c r="I1473" s="1" t="s">
        <v>20</v>
      </c>
      <c r="J1473" s="1" t="s">
        <v>6922</v>
      </c>
      <c r="K1473" s="1" t="s">
        <v>22</v>
      </c>
      <c r="L1473" s="1" t="str">
        <f>HYPERLINK("https://files.afu.se/Downloads/Transcripts/0%20-%20Government/USA%20-%20NASA/2016 09 07 - NASA - NASA VR 360 Astronaut Training  Space Walk_lil_I_-7aOM - transcript (automated).pdf","Transcript Link")</f>
        <v>Transcript Link</v>
      </c>
      <c r="M1473" s="2" t="str">
        <f>HYPERLINK("https://files.afu.se/Downloads/Transcripts/0%20-%20Government/USA%20-%20NASA/2016 09 07 - NASA - NASA VR 360 Astronaut Training  Space Walk_lil_I_-7aOM - transcript (automated).pdf","Transcript Link")</f>
        <v>Transcript Link</v>
      </c>
    </row>
    <row r="1474" ht="165" spans="1:13">
      <c r="A1474" s="1" t="s">
        <v>6906</v>
      </c>
      <c r="B1474" s="1" t="s">
        <v>13</v>
      </c>
      <c r="C1474" s="4" t="s">
        <v>6923</v>
      </c>
      <c r="D1474" s="1" t="s">
        <v>6924</v>
      </c>
      <c r="E1474" s="1" t="s">
        <v>6925</v>
      </c>
      <c r="F1474" s="4" t="s">
        <v>17</v>
      </c>
      <c r="G1474" s="1" t="s">
        <v>18</v>
      </c>
      <c r="H1474" s="1" t="s">
        <v>19</v>
      </c>
      <c r="I1474" s="1" t="s">
        <v>20</v>
      </c>
      <c r="J1474" s="1" t="s">
        <v>6926</v>
      </c>
      <c r="K1474" s="1" t="s">
        <v>22</v>
      </c>
      <c r="L1474" s="1" t="str">
        <f>HYPERLINK("https://files.afu.se/Downloads/Transcripts/0%20-%20Government/USA%20-%20NASA/2016 09 07 - NASA - Expedition 48 Crew Lands Safely in Kazakhstan_j2j0U8amSZA - transcript (automated).pdf","Transcript Link")</f>
        <v>Transcript Link</v>
      </c>
      <c r="M1474" s="2" t="str">
        <f>HYPERLINK("https://files.afu.se/Downloads/Transcripts/0%20-%20Government/USA%20-%20NASA/2016 09 07 - NASA - Expedition 48 Crew Lands Safely in Kazakhstan_j2j0U8amSZA - transcript (automated).pdf","Transcript Link")</f>
        <v>Transcript Link</v>
      </c>
    </row>
    <row r="1475" ht="165" spans="1:13">
      <c r="A1475" s="1" t="s">
        <v>6927</v>
      </c>
      <c r="B1475" s="1" t="s">
        <v>13</v>
      </c>
      <c r="C1475" s="4" t="s">
        <v>6928</v>
      </c>
      <c r="D1475" s="1" t="s">
        <v>6929</v>
      </c>
      <c r="E1475" s="1" t="s">
        <v>6930</v>
      </c>
      <c r="F1475" s="4" t="s">
        <v>17</v>
      </c>
      <c r="G1475" s="1" t="s">
        <v>18</v>
      </c>
      <c r="H1475" s="1" t="s">
        <v>19</v>
      </c>
      <c r="I1475" s="1" t="s">
        <v>20</v>
      </c>
      <c r="J1475" s="1" t="s">
        <v>6931</v>
      </c>
      <c r="K1475" s="1" t="s">
        <v>22</v>
      </c>
      <c r="L1475" s="1" t="str">
        <f>HYPERLINK("https://files.afu.se/Downloads/Transcripts/0%20-%20Government/USA%20-%20NASA/2016 09 06 - NASA - Expedition 48 Crew Undocks from ISS for Return Trip to Earth_Ob_lXMLRSkg - transcript (automated).pdf","Transcript Link")</f>
        <v>Transcript Link</v>
      </c>
      <c r="M1475" s="2" t="str">
        <f>HYPERLINK("https://files.afu.se/Downloads/Transcripts/0%20-%20Government/USA%20-%20NASA/2016 09 06 - NASA - Expedition 48 Crew Undocks from ISS for Return Trip to Earth_Ob_lXMLRSkg - transcript (automated).pdf","Transcript Link")</f>
        <v>Transcript Link</v>
      </c>
    </row>
    <row r="1476" ht="165" spans="1:13">
      <c r="A1476" s="1" t="s">
        <v>6927</v>
      </c>
      <c r="B1476" s="1" t="s">
        <v>13</v>
      </c>
      <c r="C1476" s="4" t="s">
        <v>6932</v>
      </c>
      <c r="D1476" s="1" t="s">
        <v>6933</v>
      </c>
      <c r="E1476" s="1" t="s">
        <v>6934</v>
      </c>
      <c r="F1476" s="4" t="s">
        <v>17</v>
      </c>
      <c r="G1476" s="1" t="s">
        <v>18</v>
      </c>
      <c r="H1476" s="1" t="s">
        <v>19</v>
      </c>
      <c r="I1476" s="1" t="s">
        <v>20</v>
      </c>
      <c r="J1476" s="1" t="s">
        <v>6935</v>
      </c>
      <c r="K1476" s="1" t="s">
        <v>22</v>
      </c>
      <c r="L1476" s="1" t="str">
        <f>HYPERLINK("https://files.afu.se/Downloads/Transcripts/0%20-%20Government/USA%20-%20NASA/2016 09 06 - NASA - Expedition 48 Crew Prepares to Leave the ISS_RICr24MoVoE - transcript (automated).pdf","Transcript Link")</f>
        <v>Transcript Link</v>
      </c>
      <c r="M1476" s="2" t="str">
        <f>HYPERLINK("https://files.afu.se/Downloads/Transcripts/0%20-%20Government/USA%20-%20NASA/2016 09 06 - NASA - Expedition 48 Crew Prepares to Leave the ISS_RICr24MoVoE - transcript (automated).pdf","Transcript Link")</f>
        <v>Transcript Link</v>
      </c>
    </row>
    <row r="1477" ht="165" spans="1:13">
      <c r="A1477" s="1" t="s">
        <v>6927</v>
      </c>
      <c r="B1477" s="1" t="s">
        <v>13</v>
      </c>
      <c r="C1477" s="4" t="s">
        <v>6936</v>
      </c>
      <c r="D1477" s="1" t="s">
        <v>6937</v>
      </c>
      <c r="E1477" s="1" t="s">
        <v>6938</v>
      </c>
      <c r="F1477" s="4" t="s">
        <v>17</v>
      </c>
      <c r="G1477" s="1" t="s">
        <v>18</v>
      </c>
      <c r="H1477" s="1" t="s">
        <v>19</v>
      </c>
      <c r="I1477" s="1" t="s">
        <v>20</v>
      </c>
      <c r="J1477" s="1" t="s">
        <v>6939</v>
      </c>
      <c r="K1477" s="1" t="s">
        <v>22</v>
      </c>
      <c r="L1477" s="1" t="str">
        <f>HYPERLINK("https://files.afu.se/Downloads/Transcripts/0%20-%20Government/USA%20-%20NASA/2016 09 06 - NASA - The Science of OSIRIS-REx_Fu2Z5ZC1HBo - transcript (automated).pdf","Transcript Link")</f>
        <v>Transcript Link</v>
      </c>
      <c r="M1477" s="2" t="str">
        <f>HYPERLINK("https://files.afu.se/Downloads/Transcripts/0%20-%20Government/USA%20-%20NASA/2016 09 06 - NASA - The Science of OSIRIS-REx_Fu2Z5ZC1HBo - transcript (automated).pdf","Transcript Link")</f>
        <v>Transcript Link</v>
      </c>
    </row>
    <row r="1478" ht="180" spans="1:13">
      <c r="A1478" s="1" t="s">
        <v>6927</v>
      </c>
      <c r="B1478" s="1" t="s">
        <v>13</v>
      </c>
      <c r="C1478" s="4" t="s">
        <v>6940</v>
      </c>
      <c r="D1478" s="1" t="s">
        <v>6941</v>
      </c>
      <c r="E1478" s="1" t="s">
        <v>6942</v>
      </c>
      <c r="F1478" s="4" t="s">
        <v>17</v>
      </c>
      <c r="G1478" s="1" t="s">
        <v>18</v>
      </c>
      <c r="H1478" s="1" t="s">
        <v>19</v>
      </c>
      <c r="I1478" s="1" t="s">
        <v>20</v>
      </c>
      <c r="J1478" s="1" t="s">
        <v>6943</v>
      </c>
      <c r="K1478" s="1" t="s">
        <v>22</v>
      </c>
      <c r="L1478" s="1" t="str">
        <f>HYPERLINK("https://files.afu.se/Downloads/Transcripts/0%20-%20Government/USA%20-%20NASA/2016 09 06 - NASA - First U.S. Sample Return Mission to an Asteroid Previewed_zl_iZbQbfTY - transcript (automated).pdf","Transcript Link")</f>
        <v>Transcript Link</v>
      </c>
      <c r="M1478" s="2" t="str">
        <f>HYPERLINK("https://files.afu.se/Downloads/Transcripts/0%20-%20Government/USA%20-%20NASA/2016 09 06 - NASA - First U.S. Sample Return Mission to an Asteroid Previewed_zl_iZbQbfTY - transcript (automated).pdf","Transcript Link")</f>
        <v>Transcript Link</v>
      </c>
    </row>
    <row r="1479" ht="165" spans="1:13">
      <c r="A1479" s="1" t="s">
        <v>6927</v>
      </c>
      <c r="B1479" s="1" t="s">
        <v>13</v>
      </c>
      <c r="C1479" s="4" t="s">
        <v>6944</v>
      </c>
      <c r="D1479" s="1" t="s">
        <v>6945</v>
      </c>
      <c r="E1479" s="1" t="s">
        <v>6946</v>
      </c>
      <c r="F1479" s="4" t="s">
        <v>17</v>
      </c>
      <c r="G1479" s="1" t="s">
        <v>18</v>
      </c>
      <c r="H1479" s="1" t="s">
        <v>19</v>
      </c>
      <c r="I1479" s="1" t="s">
        <v>20</v>
      </c>
      <c r="J1479" s="1" t="s">
        <v>6947</v>
      </c>
      <c r="K1479" s="1" t="s">
        <v>22</v>
      </c>
      <c r="L1479" s="1" t="str">
        <f>HYPERLINK("https://files.afu.se/Downloads/Transcripts/0%20-%20Government/USA%20-%20NASA/2016 09 06 - NASA - NASA Shares Science Fact with Science Fiction Fans_uXXvpwCeEiw - transcript (automated).pdf","Transcript Link")</f>
        <v>Transcript Link</v>
      </c>
      <c r="M1479" s="2" t="str">
        <f>HYPERLINK("https://files.afu.se/Downloads/Transcripts/0%20-%20Government/USA%20-%20NASA/2016 09 06 - NASA - NASA Shares Science Fact with Science Fiction Fans_uXXvpwCeEiw - transcript (automated).pdf","Transcript Link")</f>
        <v>Transcript Link</v>
      </c>
    </row>
    <row r="1480" ht="165" spans="1:13">
      <c r="A1480" s="1" t="s">
        <v>6927</v>
      </c>
      <c r="B1480" s="1" t="s">
        <v>13</v>
      </c>
      <c r="C1480" s="4" t="s">
        <v>6948</v>
      </c>
      <c r="D1480" s="1" t="s">
        <v>6949</v>
      </c>
      <c r="E1480" s="1" t="s">
        <v>6950</v>
      </c>
      <c r="F1480" s="4" t="s">
        <v>17</v>
      </c>
      <c r="G1480" s="1" t="s">
        <v>18</v>
      </c>
      <c r="H1480" s="1" t="s">
        <v>19</v>
      </c>
      <c r="I1480" s="1" t="s">
        <v>20</v>
      </c>
      <c r="J1480" s="1" t="s">
        <v>6951</v>
      </c>
      <c r="K1480" s="1" t="s">
        <v>22</v>
      </c>
      <c r="L1480" s="1" t="str">
        <f>HYPERLINK("https://files.afu.se/Downloads/Transcripts/0%20-%20Government/USA%20-%20NASA/2016 09 06 - NASA - Expedition 48 Crew Hands Over the Space Station to Expedition 49_za9Drj6rmz8 - transcript (automated).pdf","Transcript Link")</f>
        <v>Transcript Link</v>
      </c>
      <c r="M1480" s="2" t="str">
        <f>HYPERLINK("https://files.afu.se/Downloads/Transcripts/0%20-%20Government/USA%20-%20NASA/2016 09 06 - NASA - Expedition 48 Crew Hands Over the Space Station to Expedition 49_za9Drj6rmz8 - transcript (automated).pdf","Transcript Link")</f>
        <v>Transcript Link</v>
      </c>
    </row>
    <row r="1481" ht="165" spans="1:13">
      <c r="A1481" s="1" t="s">
        <v>6952</v>
      </c>
      <c r="B1481" s="1" t="s">
        <v>13</v>
      </c>
      <c r="C1481" s="4" t="s">
        <v>6953</v>
      </c>
      <c r="D1481" s="1" t="s">
        <v>6954</v>
      </c>
      <c r="E1481" s="1" t="s">
        <v>6955</v>
      </c>
      <c r="F1481" s="4" t="s">
        <v>17</v>
      </c>
      <c r="G1481" s="1" t="s">
        <v>18</v>
      </c>
      <c r="H1481" s="1" t="s">
        <v>19</v>
      </c>
      <c r="I1481" s="1" t="s">
        <v>20</v>
      </c>
      <c r="J1481" s="1" t="s">
        <v>6956</v>
      </c>
      <c r="K1481" s="1" t="s">
        <v>22</v>
      </c>
      <c r="L1481" s="1" t="str">
        <f>HYPERLINK("https://files.afu.se/Downloads/Transcripts/0%20-%20Government/USA%20-%20NASA/2016 09 02 - NASA - Satellite Tracks Tropical Storm Hermine over Southeastern U.S._8GONAiytTGM - transcript (automated).pdf","Transcript Link")</f>
        <v>Transcript Link</v>
      </c>
      <c r="M1481" s="2" t="str">
        <f>HYPERLINK("https://files.afu.se/Downloads/Transcripts/0%20-%20Government/USA%20-%20NASA/2016 09 02 - NASA - Satellite Tracks Tropical Storm Hermine over Southeastern U.S._8GONAiytTGM - transcript (automated).pdf","Transcript Link")</f>
        <v>Transcript Link</v>
      </c>
    </row>
    <row r="1482" ht="165" spans="1:13">
      <c r="A1482" s="1" t="s">
        <v>6952</v>
      </c>
      <c r="B1482" s="1" t="s">
        <v>13</v>
      </c>
      <c r="C1482" s="4" t="s">
        <v>6957</v>
      </c>
      <c r="D1482" s="1" t="s">
        <v>6958</v>
      </c>
      <c r="E1482" s="1" t="s">
        <v>6959</v>
      </c>
      <c r="F1482" s="4" t="s">
        <v>17</v>
      </c>
      <c r="G1482" s="1" t="s">
        <v>18</v>
      </c>
      <c r="H1482" s="1" t="s">
        <v>19</v>
      </c>
      <c r="I1482" s="1" t="s">
        <v>20</v>
      </c>
      <c r="J1482" s="1" t="s">
        <v>6960</v>
      </c>
      <c r="K1482" s="1" t="s">
        <v>22</v>
      </c>
      <c r="L1482" s="1" t="str">
        <f>HYPERLINK("https://files.afu.se/Downloads/Transcripts/0%20-%20Government/USA%20-%20NASA/2016 09 02 - NASA - Satellite Tracks Tropical Storm Madeline and Hurricane Lester_wpgNlkqEPfE - transcript (automated).pdf","Transcript Link")</f>
        <v>Transcript Link</v>
      </c>
      <c r="M1482" s="2" t="str">
        <f>HYPERLINK("https://files.afu.se/Downloads/Transcripts/0%20-%20Government/USA%20-%20NASA/2016 09 02 - NASA - Satellite Tracks Tropical Storm Madeline and Hurricane Lester_wpgNlkqEPfE - transcript (automated).pdf","Transcript Link")</f>
        <v>Transcript Link</v>
      </c>
    </row>
    <row r="1483" ht="165" spans="1:13">
      <c r="A1483" s="1" t="s">
        <v>6952</v>
      </c>
      <c r="B1483" s="1" t="s">
        <v>13</v>
      </c>
      <c r="C1483" s="4" t="s">
        <v>6961</v>
      </c>
      <c r="D1483" s="1" t="s">
        <v>6962</v>
      </c>
      <c r="E1483" s="1" t="s">
        <v>6963</v>
      </c>
      <c r="F1483" s="4" t="s">
        <v>17</v>
      </c>
      <c r="G1483" s="1" t="s">
        <v>18</v>
      </c>
      <c r="H1483" s="1" t="s">
        <v>19</v>
      </c>
      <c r="I1483" s="1" t="s">
        <v>20</v>
      </c>
      <c r="J1483" s="1" t="s">
        <v>6964</v>
      </c>
      <c r="K1483" s="1" t="s">
        <v>22</v>
      </c>
      <c r="L1483" s="1" t="str">
        <f>HYPERLINK("https://files.afu.se/Downloads/Transcripts/0%20-%20Government/USA%20-%20NASA/2016 09 02 - NASA - Next Space Station Crew Previews Upcoming Mission_dt1IDQF8d_4 - transcript (automated).pdf","Transcript Link")</f>
        <v>Transcript Link</v>
      </c>
      <c r="M1483" s="2" t="str">
        <f>HYPERLINK("https://files.afu.se/Downloads/Transcripts/0%20-%20Government/USA%20-%20NASA/2016 09 02 - NASA - Next Space Station Crew Previews Upcoming Mission_dt1IDQF8d_4 - transcript (automated).pdf","Transcript Link")</f>
        <v>Transcript Link</v>
      </c>
    </row>
    <row r="1484" ht="210" spans="1:13">
      <c r="A1484" s="1" t="s">
        <v>6952</v>
      </c>
      <c r="B1484" s="1" t="s">
        <v>13</v>
      </c>
      <c r="C1484" s="4" t="s">
        <v>6965</v>
      </c>
      <c r="D1484" s="1" t="s">
        <v>6966</v>
      </c>
      <c r="E1484" s="1" t="s">
        <v>6967</v>
      </c>
      <c r="F1484" s="4" t="s">
        <v>17</v>
      </c>
      <c r="G1484" s="1" t="s">
        <v>18</v>
      </c>
      <c r="H1484" s="1" t="s">
        <v>19</v>
      </c>
      <c r="I1484" s="1" t="s">
        <v>20</v>
      </c>
      <c r="J1484" s="1" t="s">
        <v>6968</v>
      </c>
      <c r="K1484" s="1" t="s">
        <v>22</v>
      </c>
      <c r="L1484" s="1" t="str">
        <f>HYPERLINK("https://files.afu.se/Downloads/Transcripts/0%20-%20Government/USA%20-%20NASA/2016 09 02 - NASA - Second ISS Spacewalk in Two Weeks on This Week @NASA – September 2, 2016_6Lr3-BkkhkQ - transcript (automated).pdf","Transcript Link")</f>
        <v>Transcript Link</v>
      </c>
      <c r="M1484" s="2" t="str">
        <f>HYPERLINK("https://files.afu.se/Downloads/Transcripts/0%20-%20Government/USA%20-%20NASA/2016 09 02 - NASA - Second ISS Spacewalk in Two Weeks on This Week @NASA – September 2, 2016_6Lr3-BkkhkQ - transcript (automated).pdf","Transcript Link")</f>
        <v>Transcript Link</v>
      </c>
    </row>
    <row r="1485" ht="165" spans="1:13">
      <c r="A1485" s="1" t="s">
        <v>6952</v>
      </c>
      <c r="B1485" s="1" t="s">
        <v>13</v>
      </c>
      <c r="C1485" s="4" t="s">
        <v>6969</v>
      </c>
      <c r="D1485" s="1" t="s">
        <v>6970</v>
      </c>
      <c r="E1485" s="1" t="s">
        <v>6971</v>
      </c>
      <c r="F1485" s="4" t="s">
        <v>17</v>
      </c>
      <c r="G1485" s="1" t="s">
        <v>18</v>
      </c>
      <c r="H1485" s="1" t="s">
        <v>19</v>
      </c>
      <c r="I1485" s="1" t="s">
        <v>20</v>
      </c>
      <c r="J1485" s="1" t="s">
        <v>6972</v>
      </c>
      <c r="K1485" s="1" t="s">
        <v>22</v>
      </c>
      <c r="L1485" s="1" t="str">
        <f>HYPERLINK("https://files.afu.se/Downloads/Transcripts/0%20-%20Government/USA%20-%20NASA/2016 09 02 - NASA - Happy 50th Anniversary Star Trek_bJYzUimSaDA - transcript (automated).pdf","Transcript Link")</f>
        <v>Transcript Link</v>
      </c>
      <c r="M1485" s="2" t="str">
        <f>HYPERLINK("https://files.afu.se/Downloads/Transcripts/0%20-%20Government/USA%20-%20NASA/2016 09 02 - NASA - Happy 50th Anniversary Star Trek_bJYzUimSaDA - transcript (automated).pdf","Transcript Link")</f>
        <v>Transcript Link</v>
      </c>
    </row>
    <row r="1486" ht="180" spans="1:13">
      <c r="A1486" s="1" t="s">
        <v>6973</v>
      </c>
      <c r="B1486" s="1" t="s">
        <v>13</v>
      </c>
      <c r="C1486" s="4" t="s">
        <v>6974</v>
      </c>
      <c r="D1486" s="1" t="s">
        <v>6975</v>
      </c>
      <c r="E1486" s="1" t="s">
        <v>6976</v>
      </c>
      <c r="F1486" s="4" t="s">
        <v>17</v>
      </c>
      <c r="G1486" s="1" t="s">
        <v>18</v>
      </c>
      <c r="H1486" s="1" t="s">
        <v>19</v>
      </c>
      <c r="I1486" s="1" t="s">
        <v>20</v>
      </c>
      <c r="J1486" s="1" t="s">
        <v>6977</v>
      </c>
      <c r="K1486" s="1" t="s">
        <v>22</v>
      </c>
      <c r="L1486" s="1" t="str">
        <f>HYPERLINK("https://files.afu.se/Downloads/Transcripts/0%20-%20Government/USA%20-%20NASA/2016 09 01 - NASA - NASA Astronauts Conduct Second Spacewalk in Two Weeks Outside the Space Station_cyNbyiglDRg - transcript (automated).pdf","Transcript Link")</f>
        <v>Transcript Link</v>
      </c>
      <c r="M1486" s="2" t="str">
        <f>HYPERLINK("https://files.afu.se/Downloads/Transcripts/0%20-%20Government/USA%20-%20NASA/2016 09 01 - NASA - NASA Astronauts Conduct Second Spacewalk in Two Weeks Outside the Space Station_cyNbyiglDRg - transcript (automated).pdf","Transcript Link")</f>
        <v>Transcript Link</v>
      </c>
    </row>
    <row r="1487" ht="165" spans="1:13">
      <c r="A1487" s="1" t="s">
        <v>6973</v>
      </c>
      <c r="B1487" s="1" t="s">
        <v>13</v>
      </c>
      <c r="C1487" s="4" t="s">
        <v>6978</v>
      </c>
      <c r="D1487" s="1" t="s">
        <v>6979</v>
      </c>
      <c r="E1487" s="1" t="s">
        <v>6980</v>
      </c>
      <c r="F1487" s="4" t="s">
        <v>17</v>
      </c>
      <c r="G1487" s="1" t="s">
        <v>18</v>
      </c>
      <c r="H1487" s="1" t="s">
        <v>19</v>
      </c>
      <c r="I1487" s="1" t="s">
        <v>20</v>
      </c>
      <c r="J1487" s="1" t="s">
        <v>6981</v>
      </c>
      <c r="K1487" s="1" t="s">
        <v>22</v>
      </c>
      <c r="L1487" s="1" t="str">
        <f>HYPERLINK("https://files.afu.se/Downloads/Transcripts/0%20-%20Government/USA%20-%20NASA/2016 09 01 - NASA - Satellite Tracks Trio of Tropical Systems in Atlantic_Pf0VMSpZ1qI - transcript (automated).pdf","Transcript Link")</f>
        <v>Transcript Link</v>
      </c>
      <c r="M1487" s="2" t="str">
        <f>HYPERLINK("https://files.afu.se/Downloads/Transcripts/0%20-%20Government/USA%20-%20NASA/2016 09 01 - NASA - Satellite Tracks Trio of Tropical Systems in Atlantic_Pf0VMSpZ1qI - transcript (automated).pdf","Transcript Link")</f>
        <v>Transcript Link</v>
      </c>
    </row>
    <row r="1488" ht="165" spans="1:13">
      <c r="A1488" s="1" t="s">
        <v>6973</v>
      </c>
      <c r="B1488" s="1" t="s">
        <v>13</v>
      </c>
      <c r="C1488" s="4" t="s">
        <v>6982</v>
      </c>
      <c r="D1488" s="1" t="s">
        <v>6958</v>
      </c>
      <c r="E1488" s="1" t="s">
        <v>6983</v>
      </c>
      <c r="F1488" s="4" t="s">
        <v>17</v>
      </c>
      <c r="G1488" s="1" t="s">
        <v>18</v>
      </c>
      <c r="H1488" s="1" t="s">
        <v>19</v>
      </c>
      <c r="I1488" s="1" t="s">
        <v>20</v>
      </c>
      <c r="J1488" s="1" t="s">
        <v>6984</v>
      </c>
      <c r="K1488" s="1" t="s">
        <v>22</v>
      </c>
      <c r="L1488" s="1" t="str">
        <f>HYPERLINK("https://files.afu.se/Downloads/Transcripts/0%20-%20Government/USA%20-%20NASA/2016 09 01 - NASA - Satellite Tracks Tropical Storm Madeline and Hurricane Lester_ElaaF2nFKGo - transcript (automated).pdf","Transcript Link")</f>
        <v>Transcript Link</v>
      </c>
      <c r="M1488" s="2" t="str">
        <f>HYPERLINK("https://files.afu.se/Downloads/Transcripts/0%20-%20Government/USA%20-%20NASA/2016 09 01 - NASA - Satellite Tracks Tropical Storm Madeline and Hurricane Lester_ElaaF2nFKGo - transcript (automated).pdf","Transcript Link")</f>
        <v>Transcript Link</v>
      </c>
    </row>
    <row r="1489" ht="195" spans="1:13">
      <c r="A1489" s="1" t="s">
        <v>6985</v>
      </c>
      <c r="B1489" s="1" t="s">
        <v>13</v>
      </c>
      <c r="C1489" s="4" t="s">
        <v>6986</v>
      </c>
      <c r="D1489" s="1" t="s">
        <v>6987</v>
      </c>
      <c r="E1489" s="1" t="s">
        <v>6988</v>
      </c>
      <c r="F1489" s="4" t="s">
        <v>17</v>
      </c>
      <c r="G1489" s="1" t="s">
        <v>18</v>
      </c>
      <c r="H1489" s="1" t="s">
        <v>19</v>
      </c>
      <c r="I1489" s="1" t="s">
        <v>20</v>
      </c>
      <c r="J1489" s="1" t="s">
        <v>6989</v>
      </c>
      <c r="K1489" s="1" t="s">
        <v>22</v>
      </c>
      <c r="L1489" s="1" t="str">
        <f>HYPERLINK("https://files.afu.se/Downloads/Transcripts/0%20-%20Government/USA%20-%20NASA/2016 08 31 - NASA - Space Station Crew Talks with Kentucky Students, Officials_0NYoJp-AQ-8 - transcript (automated).pdf","Transcript Link")</f>
        <v>Transcript Link</v>
      </c>
      <c r="M1489" s="2" t="str">
        <f>HYPERLINK("https://files.afu.se/Downloads/Transcripts/0%20-%20Government/USA%20-%20NASA/2016 08 31 - NASA - Space Station Crew Talks with Kentucky Students, Officials_0NYoJp-AQ-8 - transcript (automated).pdf","Transcript Link")</f>
        <v>Transcript Link</v>
      </c>
    </row>
    <row r="1490" ht="225" spans="1:13">
      <c r="A1490" s="1" t="s">
        <v>6985</v>
      </c>
      <c r="B1490" s="1" t="s">
        <v>13</v>
      </c>
      <c r="C1490" s="4" t="s">
        <v>6990</v>
      </c>
      <c r="D1490" s="1" t="s">
        <v>6991</v>
      </c>
      <c r="E1490" s="1" t="s">
        <v>6992</v>
      </c>
      <c r="F1490" s="4" t="s">
        <v>17</v>
      </c>
      <c r="G1490" s="1" t="s">
        <v>18</v>
      </c>
      <c r="H1490" s="1" t="s">
        <v>19</v>
      </c>
      <c r="I1490" s="1" t="s">
        <v>20</v>
      </c>
      <c r="J1490" s="1" t="s">
        <v>6993</v>
      </c>
      <c r="K1490" s="1" t="s">
        <v>22</v>
      </c>
      <c r="L1490" s="1" t="str">
        <f>HYPERLINK("https://files.afu.se/Downloads/Transcripts/0%20-%20Government/USA%20-%20NASA/2016 08 31 - NASA - Next ISS Crew Trains for Upcoming Launch to the Station_sV0pkbG_7Zo - transcript (automated).pdf","Transcript Link")</f>
        <v>Transcript Link</v>
      </c>
      <c r="M1490" s="2" t="str">
        <f>HYPERLINK("https://files.afu.se/Downloads/Transcripts/0%20-%20Government/USA%20-%20NASA/2016 08 31 - NASA - Next ISS Crew Trains for Upcoming Launch to the Station_sV0pkbG_7Zo - transcript (automated).pdf","Transcript Link")</f>
        <v>Transcript Link</v>
      </c>
    </row>
    <row r="1491" ht="165" spans="1:13">
      <c r="A1491" s="1" t="s">
        <v>6994</v>
      </c>
      <c r="B1491" s="1" t="s">
        <v>13</v>
      </c>
      <c r="C1491" s="4" t="s">
        <v>6995</v>
      </c>
      <c r="D1491" s="1" t="s">
        <v>6996</v>
      </c>
      <c r="E1491" s="1" t="s">
        <v>6997</v>
      </c>
      <c r="F1491" s="4" t="s">
        <v>17</v>
      </c>
      <c r="G1491" s="1" t="s">
        <v>18</v>
      </c>
      <c r="H1491" s="1" t="s">
        <v>19</v>
      </c>
      <c r="I1491" s="1" t="s">
        <v>20</v>
      </c>
      <c r="J1491" s="1" t="s">
        <v>6998</v>
      </c>
      <c r="K1491" s="1" t="s">
        <v>22</v>
      </c>
      <c r="L1491" s="1" t="str">
        <f>HYPERLINK("https://files.afu.se/Downloads/Transcripts/0%20-%20Government/USA%20-%20NASA/2016 08 30 - NASA - Future Space Station Crew Prepares for Mission_tBAR1Ok_Zoc - transcript (automated).pdf","Transcript Link")</f>
        <v>Transcript Link</v>
      </c>
      <c r="M1491" s="2" t="str">
        <f>HYPERLINK("https://files.afu.se/Downloads/Transcripts/0%20-%20Government/USA%20-%20NASA/2016 08 30 - NASA - Future Space Station Crew Prepares for Mission_tBAR1Ok_Zoc - transcript (automated).pdf","Transcript Link")</f>
        <v>Transcript Link</v>
      </c>
    </row>
    <row r="1492" ht="165" spans="1:13">
      <c r="A1492" s="1" t="s">
        <v>6994</v>
      </c>
      <c r="B1492" s="1" t="s">
        <v>13</v>
      </c>
      <c r="C1492" s="4" t="s">
        <v>6999</v>
      </c>
      <c r="D1492" s="1" t="s">
        <v>6837</v>
      </c>
      <c r="E1492" s="1" t="s">
        <v>7000</v>
      </c>
      <c r="F1492" s="4" t="s">
        <v>17</v>
      </c>
      <c r="G1492" s="1" t="s">
        <v>18</v>
      </c>
      <c r="H1492" s="1" t="s">
        <v>19</v>
      </c>
      <c r="I1492" s="1" t="s">
        <v>20</v>
      </c>
      <c r="J1492" s="1" t="s">
        <v>7001</v>
      </c>
      <c r="K1492" s="1" t="s">
        <v>22</v>
      </c>
      <c r="L1492" s="1" t="str">
        <f>HYPERLINK("https://files.afu.se/Downloads/Transcripts/0%20-%20Government/USA%20-%20NASA/2016 08 30 - NASA - Space Station Crew Member Discusses Life in Space with Japanese Students_-QzicRTR5SI - transcript (automated).pdf","Transcript Link")</f>
        <v>Transcript Link</v>
      </c>
      <c r="M1492" s="2" t="str">
        <f>HYPERLINK("https://files.afu.se/Downloads/Transcripts/0%20-%20Government/USA%20-%20NASA/2016 08 30 - NASA - Space Station Crew Member Discusses Life in Space with Japanese Students_-QzicRTR5SI - transcript (automated).pdf","Transcript Link")</f>
        <v>Transcript Link</v>
      </c>
    </row>
    <row r="1493" ht="210" spans="1:13">
      <c r="A1493" s="1" t="s">
        <v>7002</v>
      </c>
      <c r="B1493" s="1" t="s">
        <v>13</v>
      </c>
      <c r="C1493" s="4" t="s">
        <v>7003</v>
      </c>
      <c r="D1493" s="1" t="s">
        <v>7004</v>
      </c>
      <c r="E1493" s="1" t="s">
        <v>7005</v>
      </c>
      <c r="F1493" s="4" t="s">
        <v>17</v>
      </c>
      <c r="G1493" s="1" t="s">
        <v>18</v>
      </c>
      <c r="H1493" s="1" t="s">
        <v>19</v>
      </c>
      <c r="I1493" s="1" t="s">
        <v>20</v>
      </c>
      <c r="J1493" s="1" t="s">
        <v>7006</v>
      </c>
      <c r="K1493" s="1" t="s">
        <v>22</v>
      </c>
      <c r="L1493" s="1" t="str">
        <f>HYPERLINK("https://files.afu.se/Downloads/Transcripts/0%20-%20Government/USA%20-%20NASA/2016 08 26 - NASA - Dragon Cargo Spacecraft Departs the ISS on This Week @NASA – August 26, 2016_1MfFCxVpR3k - transcript (automated).pdf","Transcript Link")</f>
        <v>Transcript Link</v>
      </c>
      <c r="M1493" s="2" t="str">
        <f>HYPERLINK("https://files.afu.se/Downloads/Transcripts/0%20-%20Government/USA%20-%20NASA/2016 08 26 - NASA - Dragon Cargo Spacecraft Departs the ISS on This Week @NASA – August 26, 2016_1MfFCxVpR3k - transcript (automated).pdf","Transcript Link")</f>
        <v>Transcript Link</v>
      </c>
    </row>
    <row r="1494" ht="180" spans="1:13">
      <c r="A1494" s="1" t="s">
        <v>7002</v>
      </c>
      <c r="B1494" s="1" t="s">
        <v>13</v>
      </c>
      <c r="C1494" s="4" t="s">
        <v>7007</v>
      </c>
      <c r="D1494" s="1" t="s">
        <v>7008</v>
      </c>
      <c r="E1494" s="1" t="s">
        <v>7009</v>
      </c>
      <c r="F1494" s="4" t="s">
        <v>17</v>
      </c>
      <c r="G1494" s="1" t="s">
        <v>18</v>
      </c>
      <c r="H1494" s="1" t="s">
        <v>19</v>
      </c>
      <c r="I1494" s="1" t="s">
        <v>20</v>
      </c>
      <c r="J1494" s="1" t="s">
        <v>7010</v>
      </c>
      <c r="K1494" s="1" t="s">
        <v>22</v>
      </c>
      <c r="L1494" s="1" t="str">
        <f>HYPERLINK("https://files.afu.se/Downloads/Transcripts/0%20-%20Government/USA%20-%20NASA/2016 08 26 - NASA - U.S. Interior Secretary Shares a View of the World with the Space Station Crew_cmDj_MB82OQ - transcript (automated).pdf","Transcript Link")</f>
        <v>Transcript Link</v>
      </c>
      <c r="M1494" s="2" t="str">
        <f>HYPERLINK("https://files.afu.se/Downloads/Transcripts/0%20-%20Government/USA%20-%20NASA/2016 08 26 - NASA - U.S. Interior Secretary Shares a View of the World with the Space Station Crew_cmDj_MB82OQ - transcript (automated).pdf","Transcript Link")</f>
        <v>Transcript Link</v>
      </c>
    </row>
    <row r="1495" ht="255" spans="1:13">
      <c r="A1495" s="1" t="s">
        <v>7002</v>
      </c>
      <c r="B1495" s="1" t="s">
        <v>13</v>
      </c>
      <c r="C1495" s="4" t="s">
        <v>7011</v>
      </c>
      <c r="D1495" s="1" t="s">
        <v>7012</v>
      </c>
      <c r="E1495" s="1" t="s">
        <v>7013</v>
      </c>
      <c r="F1495" s="4" t="s">
        <v>17</v>
      </c>
      <c r="G1495" s="1" t="s">
        <v>18</v>
      </c>
      <c r="H1495" s="1" t="s">
        <v>19</v>
      </c>
      <c r="I1495" s="1" t="s">
        <v>20</v>
      </c>
      <c r="J1495" s="1" t="s">
        <v>7014</v>
      </c>
      <c r="K1495" s="1" t="s">
        <v>22</v>
      </c>
      <c r="L1495" s="1" t="str">
        <f>HYPERLINK("https://files.afu.se/Downloads/Transcripts/0%20-%20Government/USA%20-%20NASA/2016 08 26 - NASA - U.S. Commercial Cargo Craft Departs the International Space Station_mPpdlVKN3Ug - transcript (automated).pdf","Transcript Link")</f>
        <v>Transcript Link</v>
      </c>
      <c r="M1495" s="2" t="str">
        <f>HYPERLINK("https://files.afu.se/Downloads/Transcripts/0%20-%20Government/USA%20-%20NASA/2016 08 26 - NASA - U.S. Commercial Cargo Craft Departs the International Space Station_mPpdlVKN3Ug - transcript (automated).pdf","Transcript Link")</f>
        <v>Transcript Link</v>
      </c>
    </row>
    <row r="1496" ht="195" spans="1:13">
      <c r="A1496" s="1" t="s">
        <v>7015</v>
      </c>
      <c r="B1496" s="1" t="s">
        <v>13</v>
      </c>
      <c r="C1496" s="4" t="s">
        <v>7016</v>
      </c>
      <c r="D1496" s="1" t="s">
        <v>7017</v>
      </c>
      <c r="E1496" s="1" t="s">
        <v>7018</v>
      </c>
      <c r="F1496" s="4" t="s">
        <v>17</v>
      </c>
      <c r="G1496" s="1" t="s">
        <v>18</v>
      </c>
      <c r="H1496" s="1" t="s">
        <v>19</v>
      </c>
      <c r="I1496" s="1" t="s">
        <v>20</v>
      </c>
      <c r="J1496" s="1" t="s">
        <v>7019</v>
      </c>
      <c r="K1496" s="1" t="s">
        <v>22</v>
      </c>
      <c r="L1496" s="1" t="str">
        <f>HYPERLINK("https://files.afu.se/Downloads/Transcripts/0%20-%20Government/USA%20-%20NASA/2016 08 24 - NASA - NASA Previews Next U.S. Spacewalk_AvXV0m3IBi8 - transcript (automated).pdf","Transcript Link")</f>
        <v>Transcript Link</v>
      </c>
      <c r="M1496" s="2" t="str">
        <f>HYPERLINK("https://files.afu.se/Downloads/Transcripts/0%20-%20Government/USA%20-%20NASA/2016 08 24 - NASA - NASA Previews Next U.S. Spacewalk_AvXV0m3IBi8 - transcript (automated).pdf","Transcript Link")</f>
        <v>Transcript Link</v>
      </c>
    </row>
    <row r="1497" ht="165" spans="1:13">
      <c r="A1497" s="1" t="s">
        <v>7015</v>
      </c>
      <c r="B1497" s="1" t="s">
        <v>13</v>
      </c>
      <c r="C1497" s="4" t="s">
        <v>7020</v>
      </c>
      <c r="D1497" s="1" t="s">
        <v>7021</v>
      </c>
      <c r="E1497" s="1" t="s">
        <v>7022</v>
      </c>
      <c r="F1497" s="4" t="s">
        <v>17</v>
      </c>
      <c r="G1497" s="1" t="s">
        <v>18</v>
      </c>
      <c r="H1497" s="1" t="s">
        <v>19</v>
      </c>
      <c r="I1497" s="1" t="s">
        <v>20</v>
      </c>
      <c r="J1497" s="1" t="s">
        <v>7023</v>
      </c>
      <c r="K1497" s="1" t="s">
        <v>22</v>
      </c>
      <c r="L1497" s="1" t="str">
        <f>HYPERLINK("https://files.afu.se/Downloads/Transcripts/0%20-%20Government/USA%20-%20NASA/2016 08 24 - NASA - Earth Expeditions  ABoVE, ATom &amp; ACT-America_ZrfYcs_t93c - transcript (automated).pdf","Transcript Link")</f>
        <v>Transcript Link</v>
      </c>
      <c r="M1497" s="2" t="str">
        <f>HYPERLINK("https://files.afu.se/Downloads/Transcripts/0%20-%20Government/USA%20-%20NASA/2016 08 24 - NASA - Earth Expeditions  ABoVE, ATom &amp; ACT-America_ZrfYcs_t93c - transcript (automated).pdf","Transcript Link")</f>
        <v>Transcript Link</v>
      </c>
    </row>
    <row r="1498" ht="165" spans="1:13">
      <c r="A1498" s="1" t="s">
        <v>7015</v>
      </c>
      <c r="B1498" s="1" t="s">
        <v>13</v>
      </c>
      <c r="C1498" s="4" t="s">
        <v>7024</v>
      </c>
      <c r="D1498" s="1" t="s">
        <v>7025</v>
      </c>
      <c r="E1498" s="1" t="s">
        <v>7026</v>
      </c>
      <c r="F1498" s="4" t="s">
        <v>17</v>
      </c>
      <c r="G1498" s="1" t="s">
        <v>18</v>
      </c>
      <c r="H1498" s="1" t="s">
        <v>19</v>
      </c>
      <c r="I1498" s="1" t="s">
        <v>20</v>
      </c>
      <c r="J1498" s="1" t="s">
        <v>7027</v>
      </c>
      <c r="K1498" s="1" t="s">
        <v>22</v>
      </c>
      <c r="L1498" s="1" t="str">
        <f>HYPERLINK("https://files.afu.se/Downloads/Transcripts/0%20-%20Government/USA%20-%20NASA/2016 08 24 - NASA - NASA Earth Expeditions is going ABoVE_n9-R9P2cKA0 - transcript (automated).pdf","Transcript Link")</f>
        <v>Transcript Link</v>
      </c>
      <c r="M1498" s="2" t="str">
        <f>HYPERLINK("https://files.afu.se/Downloads/Transcripts/0%20-%20Government/USA%20-%20NASA/2016 08 24 - NASA - NASA Earth Expeditions is going ABoVE_n9-R9P2cKA0 - transcript (automated).pdf","Transcript Link")</f>
        <v>Transcript Link</v>
      </c>
    </row>
    <row r="1499" ht="165" spans="1:13">
      <c r="A1499" s="1" t="s">
        <v>7028</v>
      </c>
      <c r="B1499" s="1" t="s">
        <v>13</v>
      </c>
      <c r="C1499" s="4" t="s">
        <v>7029</v>
      </c>
      <c r="D1499" s="1" t="s">
        <v>7030</v>
      </c>
      <c r="E1499" s="1" t="s">
        <v>7031</v>
      </c>
      <c r="F1499" s="4" t="s">
        <v>17</v>
      </c>
      <c r="G1499" s="1" t="s">
        <v>18</v>
      </c>
      <c r="H1499" s="1" t="s">
        <v>19</v>
      </c>
      <c r="I1499" s="1" t="s">
        <v>20</v>
      </c>
      <c r="J1499" s="1" t="s">
        <v>7032</v>
      </c>
      <c r="K1499" s="1" t="s">
        <v>22</v>
      </c>
      <c r="L1499" s="1" t="str">
        <f>HYPERLINK("https://files.afu.se/Downloads/Transcripts/0%20-%20Government/USA%20-%20NASA/2016 08 23 - NASA - Space Station Crew Discusses Life in Space and Research with ABC News_85JT3yIVXwc - transcript (automated).pdf","Transcript Link")</f>
        <v>Transcript Link</v>
      </c>
      <c r="M1499" s="2" t="str">
        <f>HYPERLINK("https://files.afu.se/Downloads/Transcripts/0%20-%20Government/USA%20-%20NASA/2016 08 23 - NASA - Space Station Crew Discusses Life in Space and Research with ABC News_85JT3yIVXwc - transcript (automated).pdf","Transcript Link")</f>
        <v>Transcript Link</v>
      </c>
    </row>
    <row r="1500" ht="225" spans="1:13">
      <c r="A1500" s="1" t="s">
        <v>7033</v>
      </c>
      <c r="B1500" s="1" t="s">
        <v>13</v>
      </c>
      <c r="C1500" s="4" t="s">
        <v>7034</v>
      </c>
      <c r="D1500" s="1" t="s">
        <v>7035</v>
      </c>
      <c r="E1500" s="1" t="s">
        <v>7036</v>
      </c>
      <c r="F1500" s="4" t="s">
        <v>17</v>
      </c>
      <c r="G1500" s="1" t="s">
        <v>18</v>
      </c>
      <c r="H1500" s="1" t="s">
        <v>19</v>
      </c>
      <c r="I1500" s="1" t="s">
        <v>20</v>
      </c>
      <c r="J1500" s="1" t="s">
        <v>7037</v>
      </c>
      <c r="K1500" s="1" t="s">
        <v>22</v>
      </c>
      <c r="L1500" s="1" t="str">
        <f>HYPERLINK("https://files.afu.se/Downloads/Transcripts/0%20-%20Government/USA%20-%20NASA/2016 08 19 - NASA - New Gateway Installed onto Space Station on This Week @NASA – August 19, 2016_HFGHwO75aSs - transcript (automated).pdf","Transcript Link")</f>
        <v>Transcript Link</v>
      </c>
      <c r="M1500" s="2" t="str">
        <f>HYPERLINK("https://files.afu.se/Downloads/Transcripts/0%20-%20Government/USA%20-%20NASA/2016 08 19 - NASA - New Gateway Installed onto Space Station on This Week @NASA – August 19, 2016_HFGHwO75aSs - transcript (automated).pdf","Transcript Link")</f>
        <v>Transcript Link</v>
      </c>
    </row>
    <row r="1501" ht="270" spans="1:13">
      <c r="A1501" s="1" t="s">
        <v>7033</v>
      </c>
      <c r="B1501" s="1" t="s">
        <v>13</v>
      </c>
      <c r="C1501" s="4" t="s">
        <v>7038</v>
      </c>
      <c r="D1501" s="1" t="s">
        <v>7039</v>
      </c>
      <c r="E1501" s="1" t="s">
        <v>7040</v>
      </c>
      <c r="F1501" s="4" t="s">
        <v>17</v>
      </c>
      <c r="G1501" s="1" t="s">
        <v>18</v>
      </c>
      <c r="H1501" s="1" t="s">
        <v>19</v>
      </c>
      <c r="I1501" s="1" t="s">
        <v>20</v>
      </c>
      <c r="J1501" s="1" t="s">
        <v>7041</v>
      </c>
      <c r="K1501" s="1" t="s">
        <v>22</v>
      </c>
      <c r="L1501" s="1" t="str">
        <f>HYPERLINK("https://files.afu.se/Downloads/Transcripts/0%20-%20Government/USA%20-%20NASA/2016 08 19 - NASA - American Astronauts Install New Docking Port for U S  Commercial Crew Vehicles__SS3UsMDdik - transcript (automated).pdf","Transcript Link")</f>
        <v>Transcript Link</v>
      </c>
      <c r="M1501" s="2" t="str">
        <f>HYPERLINK("https://files.afu.se/Downloads/Transcripts/0%20-%20Government/USA%20-%20NASA/2016 08 19 - NASA - American Astronauts Install New Docking Port for U S  Commercial Crew Vehicles__SS3UsMDdik - transcript (automated).pdf","Transcript Link")</f>
        <v>Transcript Link</v>
      </c>
    </row>
    <row r="1502" ht="165" spans="1:13">
      <c r="A1502" s="1" t="s">
        <v>7042</v>
      </c>
      <c r="B1502" s="1" t="s">
        <v>13</v>
      </c>
      <c r="C1502" s="4" t="s">
        <v>7043</v>
      </c>
      <c r="D1502" s="1" t="s">
        <v>7044</v>
      </c>
      <c r="E1502" s="1" t="s">
        <v>7045</v>
      </c>
      <c r="F1502" s="4" t="s">
        <v>17</v>
      </c>
      <c r="G1502" s="1" t="s">
        <v>18</v>
      </c>
      <c r="H1502" s="1" t="s">
        <v>19</v>
      </c>
      <c r="I1502" s="1" t="s">
        <v>20</v>
      </c>
      <c r="J1502" s="1" t="s">
        <v>7046</v>
      </c>
      <c r="K1502" s="1" t="s">
        <v>22</v>
      </c>
      <c r="L1502" s="1" t="str">
        <f>HYPERLINK("https://files.afu.se/Downloads/Transcripts/0%20-%20Government/USA%20-%20NASA/2016 08 18 - NASA - RS-25 Rocket Engine Test Firing_bJgsdnpjyes - transcript (automated).pdf","Transcript Link")</f>
        <v>Transcript Link</v>
      </c>
      <c r="M1502" s="2" t="str">
        <f>HYPERLINK("https://files.afu.se/Downloads/Transcripts/0%20-%20Government/USA%20-%20NASA/2016 08 18 - NASA - RS-25 Rocket Engine Test Firing_bJgsdnpjyes - transcript (automated).pdf","Transcript Link")</f>
        <v>Transcript Link</v>
      </c>
    </row>
    <row r="1503" ht="180" spans="1:13">
      <c r="A1503" s="1" t="s">
        <v>7042</v>
      </c>
      <c r="B1503" s="1" t="s">
        <v>13</v>
      </c>
      <c r="C1503" s="4" t="s">
        <v>7047</v>
      </c>
      <c r="D1503" s="1" t="s">
        <v>7048</v>
      </c>
      <c r="E1503" s="1" t="s">
        <v>7049</v>
      </c>
      <c r="F1503" s="4" t="s">
        <v>17</v>
      </c>
      <c r="G1503" s="1" t="s">
        <v>18</v>
      </c>
      <c r="H1503" s="1" t="s">
        <v>19</v>
      </c>
      <c r="I1503" s="1" t="s">
        <v>20</v>
      </c>
      <c r="J1503" s="1" t="s">
        <v>7050</v>
      </c>
      <c r="K1503" s="1" t="s">
        <v>22</v>
      </c>
      <c r="L1503" s="1" t="str">
        <f>HYPERLINK("https://files.afu.se/Downloads/Transcripts/0%20-%20Government/USA%20-%20NASA/2016 08 18 - NASA - NASA Social Goes Behind the Scenes of our Journey to Mars_cCxjSjoJw9I - transcript (automated).pdf","Transcript Link")</f>
        <v>Transcript Link</v>
      </c>
      <c r="M1503" s="2" t="str">
        <f>HYPERLINK("https://files.afu.se/Downloads/Transcripts/0%20-%20Government/USA%20-%20NASA/2016 08 18 - NASA - NASA Social Goes Behind the Scenes of our Journey to Mars_cCxjSjoJw9I - transcript (automated).pdf","Transcript Link")</f>
        <v>Transcript Link</v>
      </c>
    </row>
    <row r="1504" ht="180" spans="1:13">
      <c r="A1504" s="1" t="s">
        <v>7051</v>
      </c>
      <c r="B1504" s="1" t="s">
        <v>13</v>
      </c>
      <c r="C1504" s="4" t="s">
        <v>7052</v>
      </c>
      <c r="D1504" s="1" t="s">
        <v>7053</v>
      </c>
      <c r="E1504" s="1" t="s">
        <v>7054</v>
      </c>
      <c r="F1504" s="4" t="s">
        <v>17</v>
      </c>
      <c r="G1504" s="1" t="s">
        <v>18</v>
      </c>
      <c r="H1504" s="1" t="s">
        <v>19</v>
      </c>
      <c r="I1504" s="1" t="s">
        <v>20</v>
      </c>
      <c r="J1504" s="1" t="s">
        <v>7055</v>
      </c>
      <c r="K1504" s="1" t="s">
        <v>22</v>
      </c>
      <c r="L1504" s="1" t="str">
        <f>HYPERLINK("https://files.afu.se/Downloads/Transcripts/0%20-%20Government/USA%20-%20NASA/2016 08 17 - NASA - NASA TV Briefing Previews Launch of Asteroid Bound Spacecraft_oeXlI5ndaCk - transcript (automated).pdf","Transcript Link")</f>
        <v>Transcript Link</v>
      </c>
      <c r="M1504" s="2" t="str">
        <f>HYPERLINK("https://files.afu.se/Downloads/Transcripts/0%20-%20Government/USA%20-%20NASA/2016 08 17 - NASA - NASA TV Briefing Previews Launch of Asteroid Bound Spacecraft_oeXlI5ndaCk - transcript (automated).pdf","Transcript Link")</f>
        <v>Transcript Link</v>
      </c>
    </row>
    <row r="1505" ht="165" spans="1:13">
      <c r="A1505" s="1" t="s">
        <v>7056</v>
      </c>
      <c r="B1505" s="1" t="s">
        <v>13</v>
      </c>
      <c r="C1505" s="4" t="s">
        <v>7057</v>
      </c>
      <c r="D1505" s="1" t="s">
        <v>7058</v>
      </c>
      <c r="E1505" s="1" t="s">
        <v>7059</v>
      </c>
      <c r="F1505" s="4" t="s">
        <v>17</v>
      </c>
      <c r="G1505" s="1" t="s">
        <v>18</v>
      </c>
      <c r="H1505" s="1" t="s">
        <v>19</v>
      </c>
      <c r="I1505" s="1" t="s">
        <v>20</v>
      </c>
      <c r="J1505" s="1" t="s">
        <v>7060</v>
      </c>
      <c r="K1505" s="1" t="s">
        <v>22</v>
      </c>
      <c r="L1505" s="1" t="str">
        <f>HYPERLINK("https://files.afu.se/Downloads/Transcripts/0%20-%20Government/USA%20-%20NASA/2016 08 16 - NASA - Space Station Crewmember Discusses Life in Space with Japanese Students_RDyshMX_BQw - transcript (automated).pdf","Transcript Link")</f>
        <v>Transcript Link</v>
      </c>
      <c r="M1505" s="2" t="str">
        <f>HYPERLINK("https://files.afu.se/Downloads/Transcripts/0%20-%20Government/USA%20-%20NASA/2016 08 16 - NASA - Space Station Crewmember Discusses Life in Space with Japanese Students_RDyshMX_BQw - transcript (automated).pdf","Transcript Link")</f>
        <v>Transcript Link</v>
      </c>
    </row>
    <row r="1506" ht="225" spans="1:13">
      <c r="A1506" s="1" t="s">
        <v>7061</v>
      </c>
      <c r="B1506" s="1" t="s">
        <v>13</v>
      </c>
      <c r="C1506" s="4" t="s">
        <v>7062</v>
      </c>
      <c r="D1506" s="1" t="s">
        <v>7063</v>
      </c>
      <c r="E1506" s="1" t="s">
        <v>7064</v>
      </c>
      <c r="F1506" s="4" t="s">
        <v>17</v>
      </c>
      <c r="G1506" s="1" t="s">
        <v>18</v>
      </c>
      <c r="H1506" s="1" t="s">
        <v>19</v>
      </c>
      <c r="I1506" s="1" t="s">
        <v>20</v>
      </c>
      <c r="J1506" s="1" t="s">
        <v>7065</v>
      </c>
      <c r="K1506" s="1" t="s">
        <v>22</v>
      </c>
      <c r="L1506" s="1" t="str">
        <f>HYPERLINK("https://files.afu.se/Downloads/Transcripts/0%20-%20Government/USA%20-%20NASA/2016 08 15 - NASA - NASA TV Briefing Previews Upcoming U S  Spacewalk to Install Space Station Docking Port_rf52LSg4AsA - transcript (automated).pdf","Transcript Link")</f>
        <v>Transcript Link</v>
      </c>
      <c r="M1506" s="2" t="str">
        <f>HYPERLINK("https://files.afu.se/Downloads/Transcripts/0%20-%20Government/USA%20-%20NASA/2016 08 15 - NASA - NASA TV Briefing Previews Upcoming U S  Spacewalk to Install Space Station Docking Port_rf52LSg4AsA - transcript (automated).pdf","Transcript Link")</f>
        <v>Transcript Link</v>
      </c>
    </row>
    <row r="1507" ht="225" spans="1:13">
      <c r="A1507" s="1" t="s">
        <v>7066</v>
      </c>
      <c r="B1507" s="1" t="s">
        <v>13</v>
      </c>
      <c r="C1507" s="4" t="s">
        <v>7067</v>
      </c>
      <c r="D1507" s="1" t="s">
        <v>7068</v>
      </c>
      <c r="E1507" s="1" t="s">
        <v>7069</v>
      </c>
      <c r="F1507" s="4" t="s">
        <v>17</v>
      </c>
      <c r="G1507" s="1" t="s">
        <v>18</v>
      </c>
      <c r="H1507" s="1" t="s">
        <v>19</v>
      </c>
      <c r="I1507" s="1" t="s">
        <v>20</v>
      </c>
      <c r="J1507" s="1" t="s">
        <v>7070</v>
      </c>
      <c r="K1507" s="1" t="s">
        <v>22</v>
      </c>
      <c r="L1507" s="1" t="str">
        <f>HYPERLINK("https://files.afu.se/Downloads/Transcripts/0%20-%20Government/USA%20-%20NASA/2016 08 12 - NASA - Commercial Crew Astronauts Visit Kennedy on This Week @NASA – August 12, 2016_6WSQ5Ga9awI - transcript (automated).pdf","Transcript Link")</f>
        <v>Transcript Link</v>
      </c>
      <c r="M1507" s="2" t="str">
        <f>HYPERLINK("https://files.afu.se/Downloads/Transcripts/0%20-%20Government/USA%20-%20NASA/2016 08 12 - NASA - Commercial Crew Astronauts Visit Kennedy on This Week @NASA – August 12, 2016_6WSQ5Ga9awI - transcript (automated).pdf","Transcript Link")</f>
        <v>Transcript Link</v>
      </c>
    </row>
    <row r="1508" ht="195" spans="1:13">
      <c r="A1508" s="1" t="s">
        <v>7071</v>
      </c>
      <c r="B1508" s="1" t="s">
        <v>13</v>
      </c>
      <c r="C1508" s="4" t="s">
        <v>7072</v>
      </c>
      <c r="D1508" s="1" t="s">
        <v>7073</v>
      </c>
      <c r="E1508" s="1" t="s">
        <v>7074</v>
      </c>
      <c r="F1508" s="4" t="s">
        <v>17</v>
      </c>
      <c r="G1508" s="1" t="s">
        <v>18</v>
      </c>
      <c r="H1508" s="1" t="s">
        <v>19</v>
      </c>
      <c r="I1508" s="1" t="s">
        <v>20</v>
      </c>
      <c r="J1508" s="1" t="s">
        <v>7075</v>
      </c>
      <c r="K1508" s="1" t="s">
        <v>22</v>
      </c>
      <c r="L1508" s="1" t="str">
        <f>HYPERLINK("https://files.afu.se/Downloads/Transcripts/0%20-%20Government/USA%20-%20NASA/2016 08 10 - NASA - Space Station Crew Discusses Upcoming Spacewalk and Research in Orbit_6dTjPIwCyNc - transcript (automated).pdf","Transcript Link")</f>
        <v>Transcript Link</v>
      </c>
      <c r="M1508" s="2" t="str">
        <f>HYPERLINK("https://files.afu.se/Downloads/Transcripts/0%20-%20Government/USA%20-%20NASA/2016 08 10 - NASA - Space Station Crew Discusses Upcoming Spacewalk and Research in Orbit_6dTjPIwCyNc - transcript (automated).pdf","Transcript Link")</f>
        <v>Transcript Link</v>
      </c>
    </row>
    <row r="1509" ht="165" spans="1:13">
      <c r="A1509" s="1" t="s">
        <v>7076</v>
      </c>
      <c r="B1509" s="1" t="s">
        <v>13</v>
      </c>
      <c r="C1509" s="4" t="s">
        <v>7077</v>
      </c>
      <c r="D1509" s="1" t="s">
        <v>7078</v>
      </c>
      <c r="E1509" s="1" t="s">
        <v>7079</v>
      </c>
      <c r="F1509" s="4" t="s">
        <v>17</v>
      </c>
      <c r="G1509" s="1" t="s">
        <v>18</v>
      </c>
      <c r="H1509" s="1" t="s">
        <v>19</v>
      </c>
      <c r="I1509" s="1" t="s">
        <v>20</v>
      </c>
      <c r="J1509" s="1" t="s">
        <v>7080</v>
      </c>
      <c r="K1509" s="1" t="s">
        <v>22</v>
      </c>
      <c r="L1509" s="1" t="str">
        <f>HYPERLINK("https://files.afu.se/Downloads/Transcripts/0%20-%20Government/USA%20-%20NASA/2016 08 09 - NASA - Space Station Crew Member Discusses Life and Work Aboard the Outpost__eDAb9TVzn0 - transcript (automated).pdf","Transcript Link")</f>
        <v>Transcript Link</v>
      </c>
      <c r="M1509" s="2" t="str">
        <f>HYPERLINK("https://files.afu.se/Downloads/Transcripts/0%20-%20Government/USA%20-%20NASA/2016 08 09 - NASA - Space Station Crew Member Discusses Life and Work Aboard the Outpost__eDAb9TVzn0 - transcript (automated).pdf","Transcript Link")</f>
        <v>Transcript Link</v>
      </c>
    </row>
    <row r="1510" ht="180" spans="1:13">
      <c r="A1510" s="1" t="s">
        <v>7076</v>
      </c>
      <c r="B1510" s="1" t="s">
        <v>13</v>
      </c>
      <c r="C1510" s="4" t="s">
        <v>7081</v>
      </c>
      <c r="D1510" s="1" t="s">
        <v>7082</v>
      </c>
      <c r="E1510" s="1" t="s">
        <v>7083</v>
      </c>
      <c r="F1510" s="4" t="s">
        <v>17</v>
      </c>
      <c r="G1510" s="1" t="s">
        <v>18</v>
      </c>
      <c r="H1510" s="1" t="s">
        <v>19</v>
      </c>
      <c r="I1510" s="1" t="s">
        <v>20</v>
      </c>
      <c r="J1510" s="1" t="s">
        <v>7084</v>
      </c>
      <c r="K1510" s="1" t="s">
        <v>22</v>
      </c>
      <c r="L1510" s="1" t="str">
        <f>HYPERLINK("https://files.afu.se/Downloads/Transcripts/0%20-%20Government/USA%20-%20NASA/2016 08 09 - NASA - MissionSTEM Summit 2016 - Opening Session and Keynote Address_aJDXGHphm5A - transcript (automated).pdf","Transcript Link")</f>
        <v>Transcript Link</v>
      </c>
      <c r="M1510" s="2" t="str">
        <f>HYPERLINK("https://files.afu.se/Downloads/Transcripts/0%20-%20Government/USA%20-%20NASA/2016 08 09 - NASA - MissionSTEM Summit 2016 - Opening Session and Keynote Address_aJDXGHphm5A - transcript (automated).pdf","Transcript Link")</f>
        <v>Transcript Link</v>
      </c>
    </row>
    <row r="1511" ht="180" spans="1:13">
      <c r="A1511" s="1" t="s">
        <v>7085</v>
      </c>
      <c r="B1511" s="1" t="s">
        <v>13</v>
      </c>
      <c r="C1511" s="4" t="s">
        <v>7086</v>
      </c>
      <c r="D1511" s="1" t="s">
        <v>7087</v>
      </c>
      <c r="E1511" s="1" t="s">
        <v>7088</v>
      </c>
      <c r="F1511" s="4" t="s">
        <v>17</v>
      </c>
      <c r="G1511" s="1" t="s">
        <v>18</v>
      </c>
      <c r="H1511" s="1" t="s">
        <v>19</v>
      </c>
      <c r="I1511" s="1" t="s">
        <v>20</v>
      </c>
      <c r="J1511" s="1" t="s">
        <v>7089</v>
      </c>
      <c r="K1511" s="1" t="s">
        <v>22</v>
      </c>
      <c r="L1511" s="1" t="str">
        <f>HYPERLINK("https://files.afu.se/Downloads/Transcripts/0%20-%20Government/USA%20-%20NASA/2016 08 05 - NASA - Comic-Con 2016 Panel   Star Trek &amp; NASA Boldly Go _15BRKTsPbR4 - transcript (automated).pdf","Transcript Link")</f>
        <v>Transcript Link</v>
      </c>
      <c r="M1511" s="2" t="str">
        <f>HYPERLINK("https://files.afu.se/Downloads/Transcripts/0%20-%20Government/USA%20-%20NASA/2016 08 05 - NASA - Comic-Con 2016 Panel   Star Trek &amp; NASA Boldly Go _15BRKTsPbR4 - transcript (automated).pdf","Transcript Link")</f>
        <v>Transcript Link</v>
      </c>
    </row>
    <row r="1512" ht="210" spans="1:13">
      <c r="A1512" s="1" t="s">
        <v>7085</v>
      </c>
      <c r="B1512" s="1" t="s">
        <v>13</v>
      </c>
      <c r="C1512" s="4" t="s">
        <v>7090</v>
      </c>
      <c r="D1512" s="1" t="s">
        <v>7091</v>
      </c>
      <c r="E1512" s="1" t="s">
        <v>7092</v>
      </c>
      <c r="F1512" s="4" t="s">
        <v>17</v>
      </c>
      <c r="G1512" s="1" t="s">
        <v>18</v>
      </c>
      <c r="H1512" s="1" t="s">
        <v>19</v>
      </c>
      <c r="I1512" s="1" t="s">
        <v>20</v>
      </c>
      <c r="J1512" s="1" t="s">
        <v>7093</v>
      </c>
      <c r="K1512" s="1" t="s">
        <v>22</v>
      </c>
      <c r="L1512" s="1" t="str">
        <f>HYPERLINK("https://files.afu.se/Downloads/Transcripts/0%20-%20Government/USA%20-%20NASA/2016 08 05 - NASA - Drone Technology and Future Aviation on This Week @NASA – August 5, 2016_nKI2InhHDcM - transcript (automated).pdf","Transcript Link")</f>
        <v>Transcript Link</v>
      </c>
      <c r="M1512" s="2" t="str">
        <f>HYPERLINK("https://files.afu.se/Downloads/Transcripts/0%20-%20Government/USA%20-%20NASA/2016 08 05 - NASA - Drone Technology and Future Aviation on This Week @NASA – August 5, 2016_nKI2InhHDcM - transcript (automated).pdf","Transcript Link")</f>
        <v>Transcript Link</v>
      </c>
    </row>
    <row r="1513" ht="165" spans="1:13">
      <c r="A1513" s="1" t="s">
        <v>7094</v>
      </c>
      <c r="B1513" s="1" t="s">
        <v>13</v>
      </c>
      <c r="C1513" s="4" t="s">
        <v>7095</v>
      </c>
      <c r="D1513" s="1" t="s">
        <v>7096</v>
      </c>
      <c r="E1513" s="1" t="s">
        <v>7097</v>
      </c>
      <c r="F1513" s="4" t="s">
        <v>17</v>
      </c>
      <c r="G1513" s="1" t="s">
        <v>18</v>
      </c>
      <c r="H1513" s="1" t="s">
        <v>19</v>
      </c>
      <c r="I1513" s="1" t="s">
        <v>20</v>
      </c>
      <c r="J1513" s="1" t="s">
        <v>7098</v>
      </c>
      <c r="K1513" s="1" t="s">
        <v>22</v>
      </c>
      <c r="L1513" s="1" t="str">
        <f>HYPERLINK("https://files.afu.se/Downloads/Transcripts/0%20-%20Government/USA%20-%20NASA/2016 08 04 - NASA - Space Station Crewmembers Discuss Life in Space with the Media_kUXhHgnU2xg - transcript (automated).pdf","Transcript Link")</f>
        <v>Transcript Link</v>
      </c>
      <c r="M1513" s="2" t="str">
        <f>HYPERLINK("https://files.afu.se/Downloads/Transcripts/0%20-%20Government/USA%20-%20NASA/2016 08 04 - NASA - Space Station Crewmembers Discuss Life in Space with the Media_kUXhHgnU2xg - transcript (automated).pdf","Transcript Link")</f>
        <v>Transcript Link</v>
      </c>
    </row>
    <row r="1514" ht="165" spans="1:13">
      <c r="A1514" s="1" t="s">
        <v>7099</v>
      </c>
      <c r="B1514" s="1" t="s">
        <v>13</v>
      </c>
      <c r="C1514" s="4" t="s">
        <v>7100</v>
      </c>
      <c r="D1514" s="1" t="s">
        <v>7096</v>
      </c>
      <c r="E1514" s="1" t="s">
        <v>7101</v>
      </c>
      <c r="F1514" s="4" t="s">
        <v>17</v>
      </c>
      <c r="G1514" s="1" t="s">
        <v>18</v>
      </c>
      <c r="H1514" s="1" t="s">
        <v>19</v>
      </c>
      <c r="I1514" s="1" t="s">
        <v>20</v>
      </c>
      <c r="J1514" s="1" t="s">
        <v>7102</v>
      </c>
      <c r="K1514" s="1" t="s">
        <v>22</v>
      </c>
      <c r="L1514" s="1" t="str">
        <f>HYPERLINK("https://files.afu.se/Downloads/Transcripts/0%20-%20Government/USA%20-%20NASA/2016 08 03 - NASA - Space Station Crewmembers Discuss Life in Space with the Media_E-S4NxNYnoU - transcript (automated).pdf","Transcript Link")</f>
        <v>Transcript Link</v>
      </c>
      <c r="M1514" s="2" t="str">
        <f>HYPERLINK("https://files.afu.se/Downloads/Transcripts/0%20-%20Government/USA%20-%20NASA/2016 08 03 - NASA - Space Station Crewmembers Discuss Life in Space with the Media_E-S4NxNYnoU - transcript (automated).pdf","Transcript Link")</f>
        <v>Transcript Link</v>
      </c>
    </row>
    <row r="1515" ht="165" spans="1:13">
      <c r="A1515" s="1" t="s">
        <v>7103</v>
      </c>
      <c r="B1515" s="1" t="s">
        <v>13</v>
      </c>
      <c r="C1515" s="4" t="s">
        <v>7104</v>
      </c>
      <c r="D1515" s="1" t="s">
        <v>7105</v>
      </c>
      <c r="E1515" s="1" t="s">
        <v>7106</v>
      </c>
      <c r="F1515" s="4" t="s">
        <v>17</v>
      </c>
      <c r="G1515" s="1" t="s">
        <v>18</v>
      </c>
      <c r="H1515" s="1" t="s">
        <v>19</v>
      </c>
      <c r="I1515" s="1" t="s">
        <v>20</v>
      </c>
      <c r="J1515" s="1" t="s">
        <v>7107</v>
      </c>
      <c r="K1515" s="1" t="s">
        <v>22</v>
      </c>
      <c r="L1515" s="1" t="str">
        <f>HYPERLINK("https://files.afu.se/Downloads/Transcripts/0%20-%20Government/USA%20-%20NASA/2016 07 29 - NASA - What’s New in Aerospace - Milestones  Inside Stories_Ateh4P39aBI - transcript (automated).pdf","Transcript Link")</f>
        <v>Transcript Link</v>
      </c>
      <c r="M1515" s="2" t="str">
        <f>HYPERLINK("https://files.afu.se/Downloads/Transcripts/0%20-%20Government/USA%20-%20NASA/2016 07 29 - NASA - What’s New in Aerospace - Milestones  Inside Stories_Ateh4P39aBI - transcript (automated).pdf","Transcript Link")</f>
        <v>Transcript Link</v>
      </c>
    </row>
    <row r="1516" ht="270" spans="1:13">
      <c r="A1516" s="1" t="s">
        <v>7103</v>
      </c>
      <c r="B1516" s="1" t="s">
        <v>13</v>
      </c>
      <c r="C1516" s="4" t="s">
        <v>7108</v>
      </c>
      <c r="D1516" s="1" t="s">
        <v>7109</v>
      </c>
      <c r="E1516" s="1" t="s">
        <v>7110</v>
      </c>
      <c r="F1516" s="4" t="s">
        <v>17</v>
      </c>
      <c r="G1516" s="1" t="s">
        <v>18</v>
      </c>
      <c r="H1516" s="1" t="s">
        <v>19</v>
      </c>
      <c r="I1516" s="1" t="s">
        <v>20</v>
      </c>
      <c r="J1516" s="1" t="s">
        <v>7111</v>
      </c>
      <c r="K1516" s="1" t="s">
        <v>22</v>
      </c>
      <c r="L1516" s="1" t="str">
        <f>HYPERLINK("https://files.afu.se/Downloads/Transcripts/0%20-%20Government/USA%20-%20NASA/2016 07 29 - NASA - Extreme Underwater Mission on This Week @NASA – July 29, 2016_NYod7EUKKss - transcript (automated).pdf","Transcript Link")</f>
        <v>Transcript Link</v>
      </c>
      <c r="M1516" s="2" t="str">
        <f>HYPERLINK("https://files.afu.se/Downloads/Transcripts/0%20-%20Government/USA%20-%20NASA/2016 07 29 - NASA - Extreme Underwater Mission on This Week @NASA – July 29, 2016_NYod7EUKKss - transcript (automated).pdf","Transcript Link")</f>
        <v>Transcript Link</v>
      </c>
    </row>
    <row r="1517" ht="165" spans="1:13">
      <c r="A1517" s="1" t="s">
        <v>7112</v>
      </c>
      <c r="B1517" s="1" t="s">
        <v>13</v>
      </c>
      <c r="C1517" s="4" t="s">
        <v>7113</v>
      </c>
      <c r="D1517" s="1" t="s">
        <v>7114</v>
      </c>
      <c r="E1517" s="1" t="s">
        <v>7115</v>
      </c>
      <c r="F1517" s="4" t="s">
        <v>17</v>
      </c>
      <c r="G1517" s="1" t="s">
        <v>18</v>
      </c>
      <c r="H1517" s="1" t="s">
        <v>19</v>
      </c>
      <c r="I1517" s="1" t="s">
        <v>20</v>
      </c>
      <c r="J1517" s="1" t="s">
        <v>7116</v>
      </c>
      <c r="K1517" s="1" t="s">
        <v>22</v>
      </c>
      <c r="L1517" s="1" t="str">
        <f>HYPERLINK("https://files.afu.se/Downloads/Transcripts/0%20-%20Government/USA%20-%20NASA/2016 07 24 - NASA - NASA Experts Discuss Exploration at Comic-Con_1F2nlndFNSA - transcript (automated).pdf","Transcript Link")</f>
        <v>Transcript Link</v>
      </c>
      <c r="M1517" s="2" t="str">
        <f>HYPERLINK("https://files.afu.se/Downloads/Transcripts/0%20-%20Government/USA%20-%20NASA/2016 07 24 - NASA - NASA Experts Discuss Exploration at Comic-Con_1F2nlndFNSA - transcript (automated).pdf","Transcript Link")</f>
        <v>Transcript Link</v>
      </c>
    </row>
    <row r="1518" ht="165" spans="1:13">
      <c r="A1518" s="1" t="s">
        <v>7112</v>
      </c>
      <c r="B1518" s="1" t="s">
        <v>13</v>
      </c>
      <c r="C1518" s="4" t="s">
        <v>7117</v>
      </c>
      <c r="D1518" s="1" t="s">
        <v>7118</v>
      </c>
      <c r="E1518" s="1" t="s">
        <v>7119</v>
      </c>
      <c r="F1518" s="4" t="s">
        <v>17</v>
      </c>
      <c r="G1518" s="1" t="s">
        <v>18</v>
      </c>
      <c r="H1518" s="1" t="s">
        <v>19</v>
      </c>
      <c r="I1518" s="1" t="s">
        <v>20</v>
      </c>
      <c r="J1518" s="1" t="s">
        <v>7120</v>
      </c>
      <c r="K1518" s="1" t="s">
        <v>22</v>
      </c>
      <c r="L1518" s="1" t="str">
        <f>HYPERLINK("https://files.afu.se/Downloads/Transcripts/0%20-%20Government/USA%20-%20NASA/2016 07 24 - NASA - A Message from the Captain  Science Fact &amp; Science Fiction_ls_9R5q6cKg - transcript (automated).pdf","Transcript Link")</f>
        <v>Transcript Link</v>
      </c>
      <c r="M1518" s="2" t="str">
        <f>HYPERLINK("https://files.afu.se/Downloads/Transcripts/0%20-%20Government/USA%20-%20NASA/2016 07 24 - NASA - A Message from the Captain  Science Fact &amp; Science Fiction_ls_9R5q6cKg - transcript (automated).pdf","Transcript Link")</f>
        <v>Transcript Link</v>
      </c>
    </row>
    <row r="1519" ht="315" spans="1:13">
      <c r="A1519" s="1" t="s">
        <v>7121</v>
      </c>
      <c r="B1519" s="1" t="s">
        <v>13</v>
      </c>
      <c r="C1519" s="4" t="s">
        <v>7122</v>
      </c>
      <c r="D1519" s="1" t="s">
        <v>7123</v>
      </c>
      <c r="E1519" s="1" t="s">
        <v>7124</v>
      </c>
      <c r="F1519" s="4" t="s">
        <v>17</v>
      </c>
      <c r="G1519" s="1" t="s">
        <v>18</v>
      </c>
      <c r="H1519" s="1" t="s">
        <v>19</v>
      </c>
      <c r="I1519" s="1" t="s">
        <v>20</v>
      </c>
      <c r="J1519" s="1" t="s">
        <v>7125</v>
      </c>
      <c r="K1519" s="1" t="s">
        <v>22</v>
      </c>
      <c r="L1519" s="1" t="str">
        <f>HYPERLINK("https://files.afu.se/Downloads/Transcripts/0%20-%20Government/USA%20-%20NASA/2016 07 22 - NASA - Celebrating Viking at 40 on This Week @NASA – July 22, 2016_6USNuCCbS9o - transcript (automated).pdf","Transcript Link")</f>
        <v>Transcript Link</v>
      </c>
      <c r="M1519" s="2" t="str">
        <f>HYPERLINK("https://files.afu.se/Downloads/Transcripts/0%20-%20Government/USA%20-%20NASA/2016 07 22 - NASA - Celebrating Viking at 40 on This Week @NASA – July 22, 2016_6USNuCCbS9o - transcript (automated).pdf","Transcript Link")</f>
        <v>Transcript Link</v>
      </c>
    </row>
    <row r="1520" ht="165" spans="1:13">
      <c r="A1520" s="1" t="s">
        <v>7126</v>
      </c>
      <c r="B1520" s="1" t="s">
        <v>13</v>
      </c>
      <c r="C1520" s="4" t="s">
        <v>7127</v>
      </c>
      <c r="D1520" s="1" t="s">
        <v>7128</v>
      </c>
      <c r="E1520" s="1" t="s">
        <v>7129</v>
      </c>
      <c r="F1520" s="4" t="s">
        <v>17</v>
      </c>
      <c r="G1520" s="1" t="s">
        <v>18</v>
      </c>
      <c r="H1520" s="1" t="s">
        <v>19</v>
      </c>
      <c r="I1520" s="1" t="s">
        <v>20</v>
      </c>
      <c r="J1520" s="1" t="s">
        <v>7130</v>
      </c>
      <c r="K1520" s="1" t="s">
        <v>22</v>
      </c>
      <c r="L1520" s="1" t="str">
        <f>HYPERLINK("https://files.afu.se/Downloads/Transcripts/0%20-%20Government/USA%20-%20NASA/2016 07 21 - NASA - NASA Q&amp;A With the Stars of STAR TREK  BEYOND_dKLOnS7uEYo - transcript (automated).pdf","Transcript Link")</f>
        <v>Transcript Link</v>
      </c>
      <c r="M1520" s="2" t="str">
        <f>HYPERLINK("https://files.afu.se/Downloads/Transcripts/0%20-%20Government/USA%20-%20NASA/2016 07 21 - NASA - NASA Q&amp;A With the Stars of STAR TREK  BEYOND_dKLOnS7uEYo - transcript (automated).pdf","Transcript Link")</f>
        <v>Transcript Link</v>
      </c>
    </row>
    <row r="1521" ht="180" spans="1:13">
      <c r="A1521" s="1" t="s">
        <v>7126</v>
      </c>
      <c r="B1521" s="1" t="s">
        <v>13</v>
      </c>
      <c r="C1521" s="4" t="s">
        <v>7131</v>
      </c>
      <c r="D1521" s="1" t="s">
        <v>7132</v>
      </c>
      <c r="E1521" s="1" t="s">
        <v>7133</v>
      </c>
      <c r="F1521" s="4" t="s">
        <v>17</v>
      </c>
      <c r="G1521" s="1" t="s">
        <v>18</v>
      </c>
      <c r="H1521" s="1" t="s">
        <v>19</v>
      </c>
      <c r="I1521" s="1" t="s">
        <v>20</v>
      </c>
      <c r="J1521" s="1" t="s">
        <v>7134</v>
      </c>
      <c r="K1521" s="1" t="s">
        <v>22</v>
      </c>
      <c r="L1521" s="1" t="str">
        <f>HYPERLINK("https://files.afu.se/Downloads/Transcripts/0%20-%20Government/USA%20-%20NASA/2016 07 21 - NASA - Viking at 40  Future of Mars Exploration Panel_v3twhoxbr9M - transcript (automated).pdf","Transcript Link")</f>
        <v>Transcript Link</v>
      </c>
      <c r="M1521" s="2" t="str">
        <f>HYPERLINK("https://files.afu.se/Downloads/Transcripts/0%20-%20Government/USA%20-%20NASA/2016 07 21 - NASA - Viking at 40  Future of Mars Exploration Panel_v3twhoxbr9M - transcript (automated).pdf","Transcript Link")</f>
        <v>Transcript Link</v>
      </c>
    </row>
    <row r="1522" ht="165" spans="1:13">
      <c r="A1522" s="1" t="s">
        <v>7135</v>
      </c>
      <c r="B1522" s="1" t="s">
        <v>13</v>
      </c>
      <c r="C1522" s="4" t="s">
        <v>7136</v>
      </c>
      <c r="D1522" s="1" t="s">
        <v>7137</v>
      </c>
      <c r="E1522" s="1" t="s">
        <v>7138</v>
      </c>
      <c r="F1522" s="4" t="s">
        <v>17</v>
      </c>
      <c r="G1522" s="1" t="s">
        <v>18</v>
      </c>
      <c r="H1522" s="1" t="s">
        <v>19</v>
      </c>
      <c r="I1522" s="1" t="s">
        <v>20</v>
      </c>
      <c r="J1522" s="1" t="s">
        <v>7139</v>
      </c>
      <c r="K1522" s="1" t="s">
        <v>22</v>
      </c>
      <c r="L1522" s="1" t="str">
        <f>HYPERLINK("https://files.afu.se/Downloads/Transcripts/0%20-%20Government/USA%20-%20NASA/2016 07 20 - NASA - SpaceX Dragon Attached to the Space Station_qrd-ndjoL-k - transcript (automated).pdf","Transcript Link")</f>
        <v>Transcript Link</v>
      </c>
      <c r="M1522" s="2" t="str">
        <f>HYPERLINK("https://files.afu.se/Downloads/Transcripts/0%20-%20Government/USA%20-%20NASA/2016 07 20 - NASA - SpaceX Dragon Attached to the Space Station_qrd-ndjoL-k - transcript (automated).pdf","Transcript Link")</f>
        <v>Transcript Link</v>
      </c>
    </row>
    <row r="1523" ht="165" spans="1:13">
      <c r="A1523" s="1" t="s">
        <v>7135</v>
      </c>
      <c r="B1523" s="1" t="s">
        <v>13</v>
      </c>
      <c r="C1523" s="4" t="s">
        <v>7140</v>
      </c>
      <c r="D1523" s="1" t="s">
        <v>7141</v>
      </c>
      <c r="E1523" s="1" t="s">
        <v>7142</v>
      </c>
      <c r="F1523" s="4" t="s">
        <v>17</v>
      </c>
      <c r="G1523" s="1" t="s">
        <v>18</v>
      </c>
      <c r="H1523" s="1" t="s">
        <v>19</v>
      </c>
      <c r="I1523" s="1" t="s">
        <v>20</v>
      </c>
      <c r="J1523" s="1" t="s">
        <v>7143</v>
      </c>
      <c r="K1523" s="1" t="s">
        <v>22</v>
      </c>
      <c r="L1523" s="1" t="str">
        <f>HYPERLINK("https://files.afu.se/Downloads/Transcripts/0%20-%20Government/USA%20-%20NASA/2016 07 20 - NASA - Viking at 40  Exploration of Mars w Ellen Stofan_Yr7tMMevqlw - transcript (automated).pdf","Transcript Link")</f>
        <v>Transcript Link</v>
      </c>
      <c r="M1523" s="2" t="str">
        <f>HYPERLINK("https://files.afu.se/Downloads/Transcripts/0%20-%20Government/USA%20-%20NASA/2016 07 20 - NASA - Viking at 40  Exploration of Mars w Ellen Stofan_Yr7tMMevqlw - transcript (automated).pdf","Transcript Link")</f>
        <v>Transcript Link</v>
      </c>
    </row>
    <row r="1524" ht="225" spans="1:13">
      <c r="A1524" s="1" t="s">
        <v>7135</v>
      </c>
      <c r="B1524" s="1" t="s">
        <v>13</v>
      </c>
      <c r="C1524" s="4" t="s">
        <v>7144</v>
      </c>
      <c r="D1524" s="1" t="s">
        <v>7145</v>
      </c>
      <c r="E1524" s="1" t="s">
        <v>7146</v>
      </c>
      <c r="F1524" s="4" t="s">
        <v>17</v>
      </c>
      <c r="G1524" s="1" t="s">
        <v>18</v>
      </c>
      <c r="H1524" s="1" t="s">
        <v>19</v>
      </c>
      <c r="I1524" s="1" t="s">
        <v>20</v>
      </c>
      <c r="J1524" s="1" t="s">
        <v>7147</v>
      </c>
      <c r="K1524" s="1" t="s">
        <v>22</v>
      </c>
      <c r="L1524" s="1" t="str">
        <f>HYPERLINK("https://files.afu.se/Downloads/Transcripts/0%20-%20Government/USA%20-%20NASA/2016 07 20 - NASA - SpaceX Dragon Arrives at the Space Station_Fd4I7qqZJYk - transcript (automated).pdf","Transcript Link")</f>
        <v>Transcript Link</v>
      </c>
      <c r="M1524" s="2" t="str">
        <f>HYPERLINK("https://files.afu.se/Downloads/Transcripts/0%20-%20Government/USA%20-%20NASA/2016 07 20 - NASA - SpaceX Dragon Arrives at the Space Station_Fd4I7qqZJYk - transcript (automated).pdf","Transcript Link")</f>
        <v>Transcript Link</v>
      </c>
    </row>
    <row r="1525" ht="165" spans="1:13">
      <c r="A1525" s="1" t="s">
        <v>7148</v>
      </c>
      <c r="B1525" s="1" t="s">
        <v>13</v>
      </c>
      <c r="C1525" s="4" t="s">
        <v>7149</v>
      </c>
      <c r="D1525" s="1" t="s">
        <v>7150</v>
      </c>
      <c r="E1525" s="1" t="s">
        <v>7151</v>
      </c>
      <c r="F1525" s="4" t="s">
        <v>17</v>
      </c>
      <c r="G1525" s="1" t="s">
        <v>18</v>
      </c>
      <c r="H1525" s="1" t="s">
        <v>19</v>
      </c>
      <c r="I1525" s="1" t="s">
        <v>20</v>
      </c>
      <c r="J1525" s="1" t="s">
        <v>7152</v>
      </c>
      <c r="K1525" s="1" t="s">
        <v>22</v>
      </c>
      <c r="L1525" s="1" t="str">
        <f>HYPERLINK("https://files.afu.se/Downloads/Transcripts/0%20-%20Government/USA%20-%20NASA/2016 07 19 - NASA - Viking at 40  History Panel_yYjoiMq6UuM - transcript (automated).pdf","Transcript Link")</f>
        <v>Transcript Link</v>
      </c>
      <c r="M1525" s="2" t="str">
        <f>HYPERLINK("https://files.afu.se/Downloads/Transcripts/0%20-%20Government/USA%20-%20NASA/2016 07 19 - NASA - Viking at 40  History Panel_yYjoiMq6UuM - transcript (automated).pdf","Transcript Link")</f>
        <v>Transcript Link</v>
      </c>
    </row>
    <row r="1526" ht="375" spans="1:13">
      <c r="A1526" s="1" t="s">
        <v>7148</v>
      </c>
      <c r="B1526" s="1" t="s">
        <v>13</v>
      </c>
      <c r="C1526" s="4" t="s">
        <v>7153</v>
      </c>
      <c r="D1526" s="1" t="s">
        <v>7154</v>
      </c>
      <c r="E1526" s="1" t="s">
        <v>7155</v>
      </c>
      <c r="F1526" s="4" t="s">
        <v>17</v>
      </c>
      <c r="G1526" s="1" t="s">
        <v>18</v>
      </c>
      <c r="H1526" s="1" t="s">
        <v>19</v>
      </c>
      <c r="I1526" s="1" t="s">
        <v>20</v>
      </c>
      <c r="J1526" s="1" t="s">
        <v>7156</v>
      </c>
      <c r="K1526" s="1" t="s">
        <v>22</v>
      </c>
      <c r="L1526" s="1" t="str">
        <f>HYPERLINK("https://files.afu.se/Downloads/Transcripts/0%20-%20Government/USA%20-%20NASA/2016 07 19 - NASA - Viking 40th Anniversary_uhpQ670XGaM - transcript (automated).pdf","Transcript Link")</f>
        <v>Transcript Link</v>
      </c>
      <c r="M1526" s="2" t="str">
        <f>HYPERLINK("https://files.afu.se/Downloads/Transcripts/0%20-%20Government/USA%20-%20NASA/2016 07 19 - NASA - Viking 40th Anniversary_uhpQ670XGaM - transcript (automated).pdf","Transcript Link")</f>
        <v>Transcript Link</v>
      </c>
    </row>
    <row r="1527" ht="165" spans="1:13">
      <c r="A1527" s="1" t="s">
        <v>7148</v>
      </c>
      <c r="B1527" s="1" t="s">
        <v>13</v>
      </c>
      <c r="C1527" s="4" t="s">
        <v>7157</v>
      </c>
      <c r="D1527" s="1" t="s">
        <v>7158</v>
      </c>
      <c r="E1527" s="1" t="s">
        <v>7159</v>
      </c>
      <c r="F1527" s="4" t="s">
        <v>17</v>
      </c>
      <c r="G1527" s="1" t="s">
        <v>18</v>
      </c>
      <c r="H1527" s="1" t="s">
        <v>19</v>
      </c>
      <c r="I1527" s="1" t="s">
        <v>20</v>
      </c>
      <c r="J1527" s="1" t="s">
        <v>7160</v>
      </c>
      <c r="K1527" s="1" t="s">
        <v>22</v>
      </c>
      <c r="L1527" s="1" t="str">
        <f>HYPERLINK("https://files.afu.se/Downloads/Transcripts/0%20-%20Government/USA%20-%20NASA/2016 07 19 - NASA - Space Station Astronaut Shares Thoughts on Life in Orbit with Japanese Media_tRmK03-ycJU - transcript (automated).pdf","Transcript Link")</f>
        <v>Transcript Link</v>
      </c>
      <c r="M1527" s="2" t="str">
        <f>HYPERLINK("https://files.afu.se/Downloads/Transcripts/0%20-%20Government/USA%20-%20NASA/2016 07 19 - NASA - Space Station Astronaut Shares Thoughts on Life in Orbit with Japanese Media_tRmK03-ycJU - transcript (automated).pdf","Transcript Link")</f>
        <v>Transcript Link</v>
      </c>
    </row>
    <row r="1528" ht="165" spans="1:13">
      <c r="A1528" s="1" t="s">
        <v>7148</v>
      </c>
      <c r="B1528" s="1" t="s">
        <v>13</v>
      </c>
      <c r="C1528" s="4" t="s">
        <v>7161</v>
      </c>
      <c r="D1528" s="1" t="s">
        <v>7162</v>
      </c>
      <c r="E1528" s="1" t="s">
        <v>7163</v>
      </c>
      <c r="F1528" s="4" t="s">
        <v>17</v>
      </c>
      <c r="G1528" s="1" t="s">
        <v>18</v>
      </c>
      <c r="H1528" s="1" t="s">
        <v>19</v>
      </c>
      <c r="I1528" s="1" t="s">
        <v>20</v>
      </c>
      <c r="J1528" s="1" t="s">
        <v>7164</v>
      </c>
      <c r="K1528" s="1" t="s">
        <v>22</v>
      </c>
      <c r="L1528" s="1" t="str">
        <f>HYPERLINK("https://files.afu.se/Downloads/Transcripts/0%20-%20Government/USA%20-%20NASA/2016 07 19 - NASA - Russian Resupply Ship Arrives at Space Station_KjlUL2sbSSc - transcript (automated).pdf","Transcript Link")</f>
        <v>Transcript Link</v>
      </c>
      <c r="M1528" s="2" t="str">
        <f>HYPERLINK("https://files.afu.se/Downloads/Transcripts/0%20-%20Government/USA%20-%20NASA/2016 07 19 - NASA - Russian Resupply Ship Arrives at Space Station_KjlUL2sbSSc - transcript (automated).pdf","Transcript Link")</f>
        <v>Transcript Link</v>
      </c>
    </row>
    <row r="1529" ht="165" spans="1:13">
      <c r="A1529" s="1" t="s">
        <v>7165</v>
      </c>
      <c r="B1529" s="1" t="s">
        <v>13</v>
      </c>
      <c r="C1529" s="4" t="s">
        <v>7166</v>
      </c>
      <c r="D1529" s="1" t="s">
        <v>7167</v>
      </c>
      <c r="E1529" s="1" t="s">
        <v>7168</v>
      </c>
      <c r="F1529" s="4" t="s">
        <v>17</v>
      </c>
      <c r="G1529" s="1" t="s">
        <v>18</v>
      </c>
      <c r="H1529" s="1" t="s">
        <v>19</v>
      </c>
      <c r="I1529" s="1" t="s">
        <v>20</v>
      </c>
      <c r="J1529" s="1" t="s">
        <v>7169</v>
      </c>
      <c r="K1529" s="1" t="s">
        <v>22</v>
      </c>
      <c r="L1529" s="1" t="str">
        <f>HYPERLINK("https://files.afu.se/Downloads/Transcripts/0%20-%20Government/USA%20-%20NASA/2016 07 18 - NASA - NASA's Office of Planetary Protection_fnX_FGKENx8 - transcript (automated).pdf","Transcript Link")</f>
        <v>Transcript Link</v>
      </c>
      <c r="M1529" s="2" t="str">
        <f>HYPERLINK("https://files.afu.se/Downloads/Transcripts/0%20-%20Government/USA%20-%20NASA/2016 07 18 - NASA - NASA's Office of Planetary Protection_fnX_FGKENx8 - transcript (automated).pdf","Transcript Link")</f>
        <v>Transcript Link</v>
      </c>
    </row>
    <row r="1530" ht="165" spans="1:13">
      <c r="A1530" s="1" t="s">
        <v>7165</v>
      </c>
      <c r="B1530" s="1" t="s">
        <v>13</v>
      </c>
      <c r="C1530" s="4" t="s">
        <v>7170</v>
      </c>
      <c r="D1530" s="1" t="s">
        <v>7171</v>
      </c>
      <c r="E1530" s="1" t="s">
        <v>7172</v>
      </c>
      <c r="F1530" s="4" t="s">
        <v>17</v>
      </c>
      <c r="G1530" s="1" t="s">
        <v>18</v>
      </c>
      <c r="H1530" s="1" t="s">
        <v>19</v>
      </c>
      <c r="I1530" s="1" t="s">
        <v>20</v>
      </c>
      <c r="J1530" s="1" t="s">
        <v>7173</v>
      </c>
      <c r="K1530" s="1" t="s">
        <v>22</v>
      </c>
      <c r="L1530" s="1" t="str">
        <f>HYPERLINK("https://files.afu.se/Downloads/Transcripts/0%20-%20Government/USA%20-%20NASA/2016 07 18 - NASA - Post-Launch Status of SpaceX Resupply Mission to the ISS_I0jTQQGU7ic - transcript (automated).pdf","Transcript Link")</f>
        <v>Transcript Link</v>
      </c>
      <c r="M1530" s="2" t="str">
        <f>HYPERLINK("https://files.afu.se/Downloads/Transcripts/0%20-%20Government/USA%20-%20NASA/2016 07 18 - NASA - Post-Launch Status of SpaceX Resupply Mission to the ISS_I0jTQQGU7ic - transcript (automated).pdf","Transcript Link")</f>
        <v>Transcript Link</v>
      </c>
    </row>
    <row r="1531" ht="165" spans="1:13">
      <c r="A1531" s="1" t="s">
        <v>7165</v>
      </c>
      <c r="B1531" s="1" t="s">
        <v>13</v>
      </c>
      <c r="C1531" s="4" t="s">
        <v>7174</v>
      </c>
      <c r="D1531" s="1" t="s">
        <v>7175</v>
      </c>
      <c r="E1531" s="1" t="s">
        <v>7176</v>
      </c>
      <c r="F1531" s="4" t="s">
        <v>17</v>
      </c>
      <c r="G1531" s="1" t="s">
        <v>18</v>
      </c>
      <c r="H1531" s="1" t="s">
        <v>19</v>
      </c>
      <c r="I1531" s="1" t="s">
        <v>20</v>
      </c>
      <c r="J1531" s="1" t="s">
        <v>7177</v>
      </c>
      <c r="K1531" s="1" t="s">
        <v>22</v>
      </c>
      <c r="L1531" s="1" t="str">
        <f>HYPERLINK("https://files.afu.se/Downloads/Transcripts/0%20-%20Government/USA%20-%20NASA/2016 07 18 - NASA - SpaceX Launches Resupply Mission to the ISS_wsBy_UeYM3E - transcript (automated).pdf","Transcript Link")</f>
        <v>Transcript Link</v>
      </c>
      <c r="M1531" s="2" t="str">
        <f>HYPERLINK("https://files.afu.se/Downloads/Transcripts/0%20-%20Government/USA%20-%20NASA/2016 07 18 - NASA - SpaceX Launches Resupply Mission to the ISS_wsBy_UeYM3E - transcript (automated).pdf","Transcript Link")</f>
        <v>Transcript Link</v>
      </c>
    </row>
    <row r="1532" ht="165" spans="1:13">
      <c r="A1532" s="1" t="s">
        <v>7178</v>
      </c>
      <c r="B1532" s="1" t="s">
        <v>13</v>
      </c>
      <c r="C1532" s="4" t="s">
        <v>7179</v>
      </c>
      <c r="D1532" s="1" t="s">
        <v>7180</v>
      </c>
      <c r="E1532" s="1" t="s">
        <v>7181</v>
      </c>
      <c r="F1532" s="4" t="s">
        <v>17</v>
      </c>
      <c r="G1532" s="1" t="s">
        <v>18</v>
      </c>
      <c r="H1532" s="1" t="s">
        <v>19</v>
      </c>
      <c r="I1532" s="1" t="s">
        <v>20</v>
      </c>
      <c r="J1532" s="1" t="s">
        <v>7182</v>
      </c>
      <c r="K1532" s="1" t="s">
        <v>22</v>
      </c>
      <c r="L1532" s="1" t="str">
        <f>HYPERLINK("https://files.afu.se/Downloads/Transcripts/0%20-%20Government/USA%20-%20NASA/2016 07 17 - NASA - What’s on Board the SpaceX Dragon _EEJ7U6eWKcs - transcript (automated).pdf","Transcript Link")</f>
        <v>Transcript Link</v>
      </c>
      <c r="M1532" s="2" t="str">
        <f>HYPERLINK("https://files.afu.se/Downloads/Transcripts/0%20-%20Government/USA%20-%20NASA/2016 07 17 - NASA - What’s on Board the SpaceX Dragon _EEJ7U6eWKcs - transcript (automated).pdf","Transcript Link")</f>
        <v>Transcript Link</v>
      </c>
    </row>
    <row r="1533" ht="165" spans="1:13">
      <c r="A1533" s="1" t="s">
        <v>7183</v>
      </c>
      <c r="B1533" s="1" t="s">
        <v>13</v>
      </c>
      <c r="C1533" s="4" t="s">
        <v>7184</v>
      </c>
      <c r="D1533" s="1" t="s">
        <v>7185</v>
      </c>
      <c r="E1533" s="1" t="s">
        <v>7186</v>
      </c>
      <c r="F1533" s="4" t="s">
        <v>17</v>
      </c>
      <c r="G1533" s="1" t="s">
        <v>18</v>
      </c>
      <c r="H1533" s="1" t="s">
        <v>19</v>
      </c>
      <c r="I1533" s="1" t="s">
        <v>20</v>
      </c>
      <c r="J1533" s="1" t="s">
        <v>7187</v>
      </c>
      <c r="K1533" s="1" t="s">
        <v>22</v>
      </c>
      <c r="L1533" s="1" t="str">
        <f>HYPERLINK("https://files.afu.se/Downloads/Transcripts/0%20-%20Government/USA%20-%20NASA/2016 07 16 - NASA - Russian Cargo Ship Launches to the Space Station_NDtbfCt2Gcw - transcript (automated).pdf","Transcript Link")</f>
        <v>Transcript Link</v>
      </c>
      <c r="M1533" s="2" t="str">
        <f>HYPERLINK("https://files.afu.se/Downloads/Transcripts/0%20-%20Government/USA%20-%20NASA/2016 07 16 - NASA - Russian Cargo Ship Launches to the Space Station_NDtbfCt2Gcw - transcript (automated).pdf","Transcript Link")</f>
        <v>Transcript Link</v>
      </c>
    </row>
    <row r="1534" ht="165" spans="1:13">
      <c r="A1534" s="1" t="s">
        <v>7183</v>
      </c>
      <c r="B1534" s="1" t="s">
        <v>13</v>
      </c>
      <c r="C1534" s="4" t="s">
        <v>7188</v>
      </c>
      <c r="D1534" s="1" t="s">
        <v>7189</v>
      </c>
      <c r="E1534" s="1" t="s">
        <v>7190</v>
      </c>
      <c r="F1534" s="4" t="s">
        <v>17</v>
      </c>
      <c r="G1534" s="1" t="s">
        <v>18</v>
      </c>
      <c r="H1534" s="1" t="s">
        <v>19</v>
      </c>
      <c r="I1534" s="1" t="s">
        <v>20</v>
      </c>
      <c r="J1534" s="1" t="s">
        <v>7191</v>
      </c>
      <c r="K1534" s="1" t="s">
        <v>22</v>
      </c>
      <c r="L1534" s="1" t="str">
        <f>HYPERLINK("https://files.afu.se/Downloads/Transcripts/0%20-%20Government/USA%20-%20NASA/2016 07 16 - NASA - Pre-Launch Status of Next SpaceX Mission to the ISS_G3uY3ml0uks - transcript (automated).pdf","Transcript Link")</f>
        <v>Transcript Link</v>
      </c>
      <c r="M1534" s="2" t="str">
        <f>HYPERLINK("https://files.afu.se/Downloads/Transcripts/0%20-%20Government/USA%20-%20NASA/2016 07 16 - NASA - Pre-Launch Status of Next SpaceX Mission to the ISS_G3uY3ml0uks - transcript (automated).pdf","Transcript Link")</f>
        <v>Transcript Link</v>
      </c>
    </row>
    <row r="1535" ht="255" spans="1:13">
      <c r="A1535" s="1" t="s">
        <v>7192</v>
      </c>
      <c r="B1535" s="1" t="s">
        <v>13</v>
      </c>
      <c r="C1535" s="4" t="s">
        <v>7193</v>
      </c>
      <c r="D1535" s="1" t="s">
        <v>7194</v>
      </c>
      <c r="E1535" s="1" t="s">
        <v>7195</v>
      </c>
      <c r="F1535" s="4" t="s">
        <v>17</v>
      </c>
      <c r="G1535" s="1" t="s">
        <v>18</v>
      </c>
      <c r="H1535" s="1" t="s">
        <v>19</v>
      </c>
      <c r="I1535" s="1" t="s">
        <v>20</v>
      </c>
      <c r="J1535" s="1" t="s">
        <v>7196</v>
      </c>
      <c r="K1535" s="1" t="s">
        <v>22</v>
      </c>
      <c r="L1535" s="1" t="str">
        <f>HYPERLINK("https://files.afu.se/Downloads/Transcripts/0%20-%20Government/USA%20-%20NASA/2016 07 15 - NASA - New Crew Arrives Safely to ISS on This Week @NASA – July 15, 2016_My8vWpgOTog - transcript (automated).pdf","Transcript Link")</f>
        <v>Transcript Link</v>
      </c>
      <c r="M1535" s="2" t="str">
        <f>HYPERLINK("https://files.afu.se/Downloads/Transcripts/0%20-%20Government/USA%20-%20NASA/2016 07 15 - NASA - New Crew Arrives Safely to ISS on This Week @NASA – July 15, 2016_My8vWpgOTog - transcript (automated).pdf","Transcript Link")</f>
        <v>Transcript Link</v>
      </c>
    </row>
    <row r="1536" ht="165" spans="1:13">
      <c r="A1536" s="1" t="s">
        <v>7192</v>
      </c>
      <c r="B1536" s="1" t="s">
        <v>13</v>
      </c>
      <c r="C1536" s="4" t="s">
        <v>7197</v>
      </c>
      <c r="D1536" s="1" t="s">
        <v>7198</v>
      </c>
      <c r="E1536" s="1" t="s">
        <v>7199</v>
      </c>
      <c r="F1536" s="4" t="s">
        <v>17</v>
      </c>
      <c r="G1536" s="1" t="s">
        <v>18</v>
      </c>
      <c r="H1536" s="1" t="s">
        <v>19</v>
      </c>
      <c r="I1536" s="1" t="s">
        <v>20</v>
      </c>
      <c r="J1536" s="1" t="s">
        <v>7200</v>
      </c>
      <c r="K1536" s="1" t="s">
        <v>22</v>
      </c>
      <c r="L1536" s="1" t="str">
        <f>HYPERLINK("https://files.afu.se/Downloads/Transcripts/0%20-%20Government/USA%20-%20NASA/2016 07 15 - NASA - NASA Does Facebook Live Update on the Next Mars Rover_jN9gGW3ovkU - transcript (automated).pdf","Transcript Link")</f>
        <v>Transcript Link</v>
      </c>
      <c r="M1536" s="2" t="str">
        <f>HYPERLINK("https://files.afu.se/Downloads/Transcripts/0%20-%20Government/USA%20-%20NASA/2016 07 15 - NASA - NASA Does Facebook Live Update on the Next Mars Rover_jN9gGW3ovkU - transcript (automated).pdf","Transcript Link")</f>
        <v>Transcript Link</v>
      </c>
    </row>
    <row r="1537" ht="165" spans="1:13">
      <c r="A1537" s="1" t="s">
        <v>7201</v>
      </c>
      <c r="B1537" s="1" t="s">
        <v>13</v>
      </c>
      <c r="C1537" s="4" t="s">
        <v>7202</v>
      </c>
      <c r="D1537" s="1" t="s">
        <v>7203</v>
      </c>
      <c r="E1537" s="1" t="s">
        <v>7204</v>
      </c>
      <c r="F1537" s="4" t="s">
        <v>17</v>
      </c>
      <c r="G1537" s="1" t="s">
        <v>18</v>
      </c>
      <c r="H1537" s="1" t="s">
        <v>19</v>
      </c>
      <c r="I1537" s="1" t="s">
        <v>20</v>
      </c>
      <c r="J1537" s="1" t="s">
        <v>7205</v>
      </c>
      <c r="K1537" s="1" t="s">
        <v>22</v>
      </c>
      <c r="L1537" s="1" t="str">
        <f>HYPERLINK("https://files.afu.se/Downloads/Transcripts/0%20-%20Government/USA%20-%20NASA/2016 07 14 - NASA - The Benefits of Space Station Research_EYxvPIBmtiQ - transcript (automated).pdf","Transcript Link")</f>
        <v>Transcript Link</v>
      </c>
      <c r="M1537" s="2" t="str">
        <f>HYPERLINK("https://files.afu.se/Downloads/Transcripts/0%20-%20Government/USA%20-%20NASA/2016 07 14 - NASA - The Benefits of Space Station Research_EYxvPIBmtiQ - transcript (automated).pdf","Transcript Link")</f>
        <v>Transcript Link</v>
      </c>
    </row>
    <row r="1538" ht="375" spans="1:13">
      <c r="A1538" s="1" t="s">
        <v>7206</v>
      </c>
      <c r="B1538" s="1" t="s">
        <v>13</v>
      </c>
      <c r="C1538" s="4" t="s">
        <v>7207</v>
      </c>
      <c r="D1538" s="1" t="s">
        <v>7208</v>
      </c>
      <c r="E1538" s="1" t="s">
        <v>7209</v>
      </c>
      <c r="F1538" s="4" t="s">
        <v>17</v>
      </c>
      <c r="G1538" s="1" t="s">
        <v>18</v>
      </c>
      <c r="H1538" s="1" t="s">
        <v>19</v>
      </c>
      <c r="I1538" s="1" t="s">
        <v>20</v>
      </c>
      <c r="J1538" s="1" t="s">
        <v>7210</v>
      </c>
      <c r="K1538" s="1" t="s">
        <v>22</v>
      </c>
      <c r="L1538" s="1" t="str">
        <f>HYPERLINK("https://files.afu.se/Downloads/Transcripts/0%20-%20Government/USA%20-%20NASA/2016 07 13 - NASA - Earth Expeditions  Coral Reefs, Student Research &amp; Polar Ice_ISSaGdg-LEQ - transcript (automated).pdf","Transcript Link")</f>
        <v>Transcript Link</v>
      </c>
      <c r="M1538" s="2" t="str">
        <f>HYPERLINK("https://files.afu.se/Downloads/Transcripts/0%20-%20Government/USA%20-%20NASA/2016 07 13 - NASA - Earth Expeditions  Coral Reefs, Student Research &amp; Polar Ice_ISSaGdg-LEQ - transcript (automated).pdf","Transcript Link")</f>
        <v>Transcript Link</v>
      </c>
    </row>
    <row r="1539" ht="165" spans="1:13">
      <c r="A1539" s="1" t="s">
        <v>7206</v>
      </c>
      <c r="B1539" s="1" t="s">
        <v>13</v>
      </c>
      <c r="C1539" s="4" t="s">
        <v>7211</v>
      </c>
      <c r="D1539" s="1" t="s">
        <v>7212</v>
      </c>
      <c r="E1539" s="1" t="s">
        <v>7213</v>
      </c>
      <c r="F1539" s="4" t="s">
        <v>17</v>
      </c>
      <c r="G1539" s="1" t="s">
        <v>18</v>
      </c>
      <c r="H1539" s="1" t="s">
        <v>19</v>
      </c>
      <c r="I1539" s="1" t="s">
        <v>20</v>
      </c>
      <c r="J1539" s="1" t="s">
        <v>7214</v>
      </c>
      <c r="K1539" s="1" t="s">
        <v>22</v>
      </c>
      <c r="L1539" s="1" t="str">
        <f>HYPERLINK("https://files.afu.se/Downloads/Transcripts/0%20-%20Government/USA%20-%20NASA/2016 07 13 - NASA - Earth Expeditions  CORAL (Excerpt)_DHapy1OySxA - transcript (automated).pdf","Transcript Link")</f>
        <v>Transcript Link</v>
      </c>
      <c r="M1539" s="2" t="str">
        <f>HYPERLINK("https://files.afu.se/Downloads/Transcripts/0%20-%20Government/USA%20-%20NASA/2016 07 13 - NASA - Earth Expeditions  CORAL (Excerpt)_DHapy1OySxA - transcript (automated).pdf","Transcript Link")</f>
        <v>Transcript Link</v>
      </c>
    </row>
    <row r="1540" ht="165" spans="1:13">
      <c r="A1540" s="1" t="s">
        <v>7206</v>
      </c>
      <c r="B1540" s="1" t="s">
        <v>13</v>
      </c>
      <c r="C1540" s="4" t="s">
        <v>7215</v>
      </c>
      <c r="D1540" s="1" t="s">
        <v>7216</v>
      </c>
      <c r="E1540" s="1" t="s">
        <v>7217</v>
      </c>
      <c r="F1540" s="4" t="s">
        <v>17</v>
      </c>
      <c r="G1540" s="1" t="s">
        <v>18</v>
      </c>
      <c r="H1540" s="1" t="s">
        <v>19</v>
      </c>
      <c r="I1540" s="1" t="s">
        <v>20</v>
      </c>
      <c r="J1540" s="1" t="s">
        <v>7218</v>
      </c>
      <c r="K1540" s="1" t="s">
        <v>22</v>
      </c>
      <c r="L1540" s="1" t="str">
        <f>HYPERLINK("https://files.afu.se/Downloads/Transcripts/0%20-%20Government/USA%20-%20NASA/2016 07 13 - NASA - Astronauts Talk about Research on the ISS_nNsaQPy4bBY - transcript (automated).pdf","Transcript Link")</f>
        <v>Transcript Link</v>
      </c>
      <c r="M1540" s="2" t="str">
        <f>HYPERLINK("https://files.afu.se/Downloads/Transcripts/0%20-%20Government/USA%20-%20NASA/2016 07 13 - NASA - Astronauts Talk about Research on the ISS_nNsaQPy4bBY - transcript (automated).pdf","Transcript Link")</f>
        <v>Transcript Link</v>
      </c>
    </row>
    <row r="1541" ht="180" spans="1:13">
      <c r="A1541" s="1" t="s">
        <v>7219</v>
      </c>
      <c r="B1541" s="1" t="s">
        <v>13</v>
      </c>
      <c r="C1541" s="4" t="s">
        <v>7220</v>
      </c>
      <c r="D1541" s="1" t="s">
        <v>7221</v>
      </c>
      <c r="E1541" s="1" t="s">
        <v>7222</v>
      </c>
      <c r="F1541" s="4" t="s">
        <v>17</v>
      </c>
      <c r="G1541" s="1" t="s">
        <v>18</v>
      </c>
      <c r="H1541" s="1" t="s">
        <v>19</v>
      </c>
      <c r="I1541" s="1" t="s">
        <v>20</v>
      </c>
      <c r="J1541" s="1" t="s">
        <v>7223</v>
      </c>
      <c r="K1541" s="1" t="s">
        <v>22</v>
      </c>
      <c r="L1541" s="1" t="str">
        <f>HYPERLINK("https://files.afu.se/Downloads/Transcripts/0%20-%20Government/USA%20-%20NASA/2016 07 09 - NASA - Expedition 48 49 Crew Welcomed to the Space Station_ExGvJOzcxJo - transcript (automated).pdf","Transcript Link")</f>
        <v>Transcript Link</v>
      </c>
      <c r="M1541" s="2" t="str">
        <f>HYPERLINK("https://files.afu.se/Downloads/Transcripts/0%20-%20Government/USA%20-%20NASA/2016 07 09 - NASA - Expedition 48 49 Crew Welcomed to the Space Station_ExGvJOzcxJo - transcript (automated).pdf","Transcript Link")</f>
        <v>Transcript Link</v>
      </c>
    </row>
    <row r="1542" ht="165" spans="1:13">
      <c r="A1542" s="1" t="s">
        <v>7219</v>
      </c>
      <c r="B1542" s="1" t="s">
        <v>13</v>
      </c>
      <c r="C1542" s="4" t="s">
        <v>7224</v>
      </c>
      <c r="D1542" s="1" t="s">
        <v>7225</v>
      </c>
      <c r="E1542" s="1" t="s">
        <v>7226</v>
      </c>
      <c r="F1542" s="4" t="s">
        <v>17</v>
      </c>
      <c r="G1542" s="1" t="s">
        <v>18</v>
      </c>
      <c r="H1542" s="1" t="s">
        <v>19</v>
      </c>
      <c r="I1542" s="1" t="s">
        <v>20</v>
      </c>
      <c r="J1542" s="1" t="s">
        <v>7227</v>
      </c>
      <c r="K1542" s="1" t="s">
        <v>22</v>
      </c>
      <c r="L1542" s="1" t="str">
        <f>HYPERLINK("https://files.afu.se/Downloads/Transcripts/0%20-%20Government/USA%20-%20NASA/2016 07 09 - NASA - Expedition 48 49 Crew Docks to the Space Station_SXmiMPmkjX4 - transcript (automated).pdf","Transcript Link")</f>
        <v>Transcript Link</v>
      </c>
      <c r="M1542" s="2" t="str">
        <f>HYPERLINK("https://files.afu.se/Downloads/Transcripts/0%20-%20Government/USA%20-%20NASA/2016 07 09 - NASA - Expedition 48 49 Crew Docks to the Space Station_SXmiMPmkjX4 - transcript (automated).pdf","Transcript Link")</f>
        <v>Transcript Link</v>
      </c>
    </row>
    <row r="1543" ht="240" spans="1:13">
      <c r="A1543" s="1" t="s">
        <v>7228</v>
      </c>
      <c r="B1543" s="1" t="s">
        <v>13</v>
      </c>
      <c r="C1543" s="4" t="s">
        <v>7229</v>
      </c>
      <c r="D1543" s="1" t="s">
        <v>7230</v>
      </c>
      <c r="E1543" s="1" t="s">
        <v>7231</v>
      </c>
      <c r="F1543" s="4" t="s">
        <v>17</v>
      </c>
      <c r="G1543" s="1" t="s">
        <v>18</v>
      </c>
      <c r="H1543" s="1" t="s">
        <v>19</v>
      </c>
      <c r="I1543" s="1" t="s">
        <v>20</v>
      </c>
      <c r="J1543" s="1" t="s">
        <v>7232</v>
      </c>
      <c r="K1543" s="1" t="s">
        <v>22</v>
      </c>
      <c r="L1543" s="1" t="str">
        <f>HYPERLINK("https://files.afu.se/Downloads/Transcripts/0%20-%20Government/USA%20-%20NASA/2016 07 08 - NASA - Juno Enters Jupiter’s Orbit on This Week @NASA – July 8, 2016_WDmjdc9H56M - transcript (automated).pdf","Transcript Link")</f>
        <v>Transcript Link</v>
      </c>
      <c r="M1543" s="2" t="str">
        <f>HYPERLINK("https://files.afu.se/Downloads/Transcripts/0%20-%20Government/USA%20-%20NASA/2016 07 08 - NASA - Juno Enters Jupiter’s Orbit on This Week @NASA – July 8, 2016_WDmjdc9H56M - transcript (automated).pdf","Transcript Link")</f>
        <v>Transcript Link</v>
      </c>
    </row>
    <row r="1544" ht="165" spans="1:13">
      <c r="A1544" s="1" t="s">
        <v>7233</v>
      </c>
      <c r="B1544" s="1" t="s">
        <v>13</v>
      </c>
      <c r="C1544" s="4" t="s">
        <v>7234</v>
      </c>
      <c r="D1544" s="1" t="s">
        <v>7235</v>
      </c>
      <c r="E1544" s="1" t="s">
        <v>7236</v>
      </c>
      <c r="F1544" s="4" t="s">
        <v>17</v>
      </c>
      <c r="G1544" s="1" t="s">
        <v>18</v>
      </c>
      <c r="H1544" s="1" t="s">
        <v>19</v>
      </c>
      <c r="I1544" s="1" t="s">
        <v>20</v>
      </c>
      <c r="J1544" s="1" t="s">
        <v>7237</v>
      </c>
      <c r="K1544" s="1" t="s">
        <v>22</v>
      </c>
      <c r="L1544" s="1" t="str">
        <f>HYPERLINK("https://files.afu.se/Downloads/Transcripts/0%20-%20Government/USA%20-%20NASA/2016 07 07 - NASA - ISS Expedition 49-50 Crew Previews Mission_q1RH39iAG1w - transcript (automated).pdf","Transcript Link")</f>
        <v>Transcript Link</v>
      </c>
      <c r="M1544" s="2" t="str">
        <f>HYPERLINK("https://files.afu.se/Downloads/Transcripts/0%20-%20Government/USA%20-%20NASA/2016 07 07 - NASA - ISS Expedition 49-50 Crew Previews Mission_q1RH39iAG1w - transcript (automated).pdf","Transcript Link")</f>
        <v>Transcript Link</v>
      </c>
    </row>
    <row r="1545" ht="165" spans="1:13">
      <c r="A1545" s="1" t="s">
        <v>7233</v>
      </c>
      <c r="B1545" s="1" t="s">
        <v>13</v>
      </c>
      <c r="C1545" s="4" t="s">
        <v>7238</v>
      </c>
      <c r="D1545" s="1" t="s">
        <v>7239</v>
      </c>
      <c r="E1545" s="1" t="s">
        <v>7240</v>
      </c>
      <c r="F1545" s="4" t="s">
        <v>17</v>
      </c>
      <c r="G1545" s="1" t="s">
        <v>18</v>
      </c>
      <c r="H1545" s="1" t="s">
        <v>19</v>
      </c>
      <c r="I1545" s="1" t="s">
        <v>20</v>
      </c>
      <c r="J1545" s="1" t="s">
        <v>7241</v>
      </c>
      <c r="K1545" s="1" t="s">
        <v>22</v>
      </c>
      <c r="L1545" s="1" t="str">
        <f>HYPERLINK("https://files.afu.se/Downloads/Transcripts/0%20-%20Government/USA%20-%20NASA/2016 07 07 - NASA - ISS Expedition 49-50 Crew Training_IvTo4-Ukadw - transcript (automated).pdf","Transcript Link")</f>
        <v>Transcript Link</v>
      </c>
      <c r="M1545" s="2" t="str">
        <f>HYPERLINK("https://files.afu.se/Downloads/Transcripts/0%20-%20Government/USA%20-%20NASA/2016 07 07 - NASA - ISS Expedition 49-50 Crew Training_IvTo4-Ukadw - transcript (automated).pdf","Transcript Link")</f>
        <v>Transcript Link</v>
      </c>
    </row>
    <row r="1546" ht="165" spans="1:13">
      <c r="A1546" s="1" t="s">
        <v>7233</v>
      </c>
      <c r="B1546" s="1" t="s">
        <v>13</v>
      </c>
      <c r="C1546" s="4" t="s">
        <v>7242</v>
      </c>
      <c r="D1546" s="1" t="s">
        <v>7243</v>
      </c>
      <c r="E1546" s="1" t="s">
        <v>7244</v>
      </c>
      <c r="F1546" s="4" t="s">
        <v>17</v>
      </c>
      <c r="G1546" s="1" t="s">
        <v>18</v>
      </c>
      <c r="H1546" s="1" t="s">
        <v>19</v>
      </c>
      <c r="I1546" s="1" t="s">
        <v>20</v>
      </c>
      <c r="J1546" s="1" t="s">
        <v>7245</v>
      </c>
      <c r="K1546" s="1" t="s">
        <v>22</v>
      </c>
      <c r="L1546" s="1" t="str">
        <f>HYPERLINK("https://files.afu.se/Downloads/Transcripts/0%20-%20Government/USA%20-%20NASA/2016 07 07 - NASA - New Crew Launches to the International Space Station_Q_8VF7knp8E - transcript (automated).pdf","Transcript Link")</f>
        <v>Transcript Link</v>
      </c>
      <c r="M1546" s="2" t="str">
        <f>HYPERLINK("https://files.afu.se/Downloads/Transcripts/0%20-%20Government/USA%20-%20NASA/2016 07 07 - NASA - New Crew Launches to the International Space Station_Q_8VF7knp8E - transcript (automated).pdf","Transcript Link")</f>
        <v>Transcript Link</v>
      </c>
    </row>
    <row r="1547" ht="195" spans="1:13">
      <c r="A1547" s="1" t="s">
        <v>7246</v>
      </c>
      <c r="B1547" s="1" t="s">
        <v>13</v>
      </c>
      <c r="C1547" s="4" t="s">
        <v>7247</v>
      </c>
      <c r="D1547" s="1" t="s">
        <v>7248</v>
      </c>
      <c r="E1547" s="1" t="s">
        <v>7249</v>
      </c>
      <c r="F1547" s="4" t="s">
        <v>17</v>
      </c>
      <c r="G1547" s="1" t="s">
        <v>18</v>
      </c>
      <c r="H1547" s="1" t="s">
        <v>19</v>
      </c>
      <c r="I1547" s="1" t="s">
        <v>20</v>
      </c>
      <c r="J1547" s="1" t="s">
        <v>7250</v>
      </c>
      <c r="K1547" s="1" t="s">
        <v>22</v>
      </c>
      <c r="L1547" s="1" t="str">
        <f>HYPERLINK("https://files.afu.se/Downloads/Transcripts/0%20-%20Government/USA%20-%20NASA/2016 07 06 - NASA - Expedition 48-49 Crew Meets Officials and Reporters as Launch Approaches_Sm17LtoXYP8 - transcript (automated).pdf","Transcript Link")</f>
        <v>Transcript Link</v>
      </c>
      <c r="M1547" s="2" t="str">
        <f>HYPERLINK("https://files.afu.se/Downloads/Transcripts/0%20-%20Government/USA%20-%20NASA/2016 07 06 - NASA - Expedition 48-49 Crew Meets Officials and Reporters as Launch Approaches_Sm17LtoXYP8 - transcript (automated).pdf","Transcript Link")</f>
        <v>Transcript Link</v>
      </c>
    </row>
    <row r="1548" ht="165" spans="1:13">
      <c r="A1548" s="1" t="s">
        <v>7246</v>
      </c>
      <c r="B1548" s="1" t="s">
        <v>13</v>
      </c>
      <c r="C1548" s="4" t="s">
        <v>7251</v>
      </c>
      <c r="D1548" s="1" t="s">
        <v>7252</v>
      </c>
      <c r="E1548" s="1" t="s">
        <v>7253</v>
      </c>
      <c r="F1548" s="4" t="s">
        <v>17</v>
      </c>
      <c r="G1548" s="1" t="s">
        <v>18</v>
      </c>
      <c r="H1548" s="1" t="s">
        <v>19</v>
      </c>
      <c r="I1548" s="1" t="s">
        <v>20</v>
      </c>
      <c r="J1548" s="1" t="s">
        <v>7254</v>
      </c>
      <c r="K1548" s="1" t="s">
        <v>22</v>
      </c>
      <c r="L1548" s="1" t="str">
        <f>HYPERLINK("https://files.afu.se/Downloads/Transcripts/0%20-%20Government/USA%20-%20NASA/2016 07 06 - NASA - Queen Latifah Highlights Juno_io9qgUsXJHM - transcript (automated).pdf","Transcript Link")</f>
        <v>Transcript Link</v>
      </c>
      <c r="M1548" s="2" t="str">
        <f>HYPERLINK("https://files.afu.se/Downloads/Transcripts/0%20-%20Government/USA%20-%20NASA/2016 07 06 - NASA - Queen Latifah Highlights Juno_io9qgUsXJHM - transcript (automated).pdf","Transcript Link")</f>
        <v>Transcript Link</v>
      </c>
    </row>
    <row r="1549" ht="165" spans="1:13">
      <c r="A1549" s="1" t="s">
        <v>7255</v>
      </c>
      <c r="B1549" s="1" t="s">
        <v>13</v>
      </c>
      <c r="C1549" s="4" t="s">
        <v>7256</v>
      </c>
      <c r="D1549" s="1" t="s">
        <v>7257</v>
      </c>
      <c r="E1549" s="1" t="s">
        <v>7258</v>
      </c>
      <c r="F1549" s="4" t="s">
        <v>17</v>
      </c>
      <c r="G1549" s="1" t="s">
        <v>18</v>
      </c>
      <c r="H1549" s="1" t="s">
        <v>19</v>
      </c>
      <c r="I1549" s="1" t="s">
        <v>20</v>
      </c>
      <c r="J1549" s="1" t="s">
        <v>7259</v>
      </c>
      <c r="K1549" s="1" t="s">
        <v>22</v>
      </c>
      <c r="L1549" s="1" t="str">
        <f>HYPERLINK("https://files.afu.se/Downloads/Transcripts/0%20-%20Government/USA%20-%20NASA/2016 07 05 - NASA - Hello Jupiter!_zfIqnpqPFbI - transcript (automated).pdf","Transcript Link")</f>
        <v>Transcript Link</v>
      </c>
      <c r="M1549" s="2" t="str">
        <f>HYPERLINK("https://files.afu.se/Downloads/Transcripts/0%20-%20Government/USA%20-%20NASA/2016 07 05 - NASA - Hello Jupiter!_zfIqnpqPFbI - transcript (automated).pdf","Transcript Link")</f>
        <v>Transcript Link</v>
      </c>
    </row>
    <row r="1550" ht="165" spans="1:13">
      <c r="A1550" s="1" t="s">
        <v>7255</v>
      </c>
      <c r="B1550" s="1" t="s">
        <v>13</v>
      </c>
      <c r="C1550" s="4" t="s">
        <v>7260</v>
      </c>
      <c r="D1550" s="1" t="s">
        <v>7261</v>
      </c>
      <c r="E1550" s="1" t="s">
        <v>7262</v>
      </c>
      <c r="F1550" s="4" t="s">
        <v>17</v>
      </c>
      <c r="G1550" s="1" t="s">
        <v>18</v>
      </c>
      <c r="H1550" s="1" t="s">
        <v>19</v>
      </c>
      <c r="I1550" s="1" t="s">
        <v>20</v>
      </c>
      <c r="J1550" s="1" t="s">
        <v>7263</v>
      </c>
      <c r="K1550" s="1" t="s">
        <v>22</v>
      </c>
      <c r="L1550" s="1" t="str">
        <f>HYPERLINK("https://files.afu.se/Downloads/Transcripts/0%20-%20Government/USA%20-%20NASA/2016 07 05 - NASA - Juno’s Status at Jupiter_LH_uPWU5V3o - transcript (automated).pdf","Transcript Link")</f>
        <v>Transcript Link</v>
      </c>
      <c r="M1550" s="2" t="str">
        <f>HYPERLINK("https://files.afu.se/Downloads/Transcripts/0%20-%20Government/USA%20-%20NASA/2016 07 05 - NASA - Juno’s Status at Jupiter_LH_uPWU5V3o - transcript (automated).pdf","Transcript Link")</f>
        <v>Transcript Link</v>
      </c>
    </row>
    <row r="1551" ht="165" spans="1:13">
      <c r="A1551" s="1" t="s">
        <v>7264</v>
      </c>
      <c r="B1551" s="1" t="s">
        <v>13</v>
      </c>
      <c r="C1551" s="4" t="s">
        <v>7265</v>
      </c>
      <c r="D1551" s="1" t="s">
        <v>7266</v>
      </c>
      <c r="E1551" s="1" t="s">
        <v>7267</v>
      </c>
      <c r="F1551" s="4" t="s">
        <v>17</v>
      </c>
      <c r="G1551" s="1" t="s">
        <v>18</v>
      </c>
      <c r="H1551" s="1" t="s">
        <v>19</v>
      </c>
      <c r="I1551" s="1" t="s">
        <v>20</v>
      </c>
      <c r="J1551" s="1" t="s">
        <v>7268</v>
      </c>
      <c r="K1551" s="1" t="s">
        <v>22</v>
      </c>
      <c r="L1551" s="1" t="str">
        <f>HYPERLINK("https://files.afu.se/Downloads/Transcripts/0%20-%20Government/USA%20-%20NASA/2016 07 04 - NASA - Juno Preparing for Encounter with Jupiter_I6uUEYOzipw - transcript (automated).pdf","Transcript Link")</f>
        <v>Transcript Link</v>
      </c>
      <c r="M1551" s="2" t="str">
        <f>HYPERLINK("https://files.afu.se/Downloads/Transcripts/0%20-%20Government/USA%20-%20NASA/2016 07 04 - NASA - Juno Preparing for Encounter with Jupiter_I6uUEYOzipw - transcript (automated).pdf","Transcript Link")</f>
        <v>Transcript Link</v>
      </c>
    </row>
    <row r="1552" ht="165" spans="1:13">
      <c r="A1552" s="1" t="s">
        <v>7264</v>
      </c>
      <c r="B1552" s="1" t="s">
        <v>13</v>
      </c>
      <c r="C1552" s="4" t="s">
        <v>7269</v>
      </c>
      <c r="D1552" s="1" t="s">
        <v>7270</v>
      </c>
      <c r="E1552" s="1" t="s">
        <v>7271</v>
      </c>
      <c r="F1552" s="4" t="s">
        <v>17</v>
      </c>
      <c r="G1552" s="1" t="s">
        <v>18</v>
      </c>
      <c r="H1552" s="1" t="s">
        <v>19</v>
      </c>
      <c r="I1552" s="1" t="s">
        <v>20</v>
      </c>
      <c r="J1552" s="1" t="s">
        <v>7272</v>
      </c>
      <c r="K1552" s="1" t="s">
        <v>22</v>
      </c>
      <c r="L1552" s="1" t="str">
        <f>HYPERLINK("https://files.afu.se/Downloads/Transcripts/0%20-%20Government/USA%20-%20NASA/2016 07 04 - NASA - Expedition 48-49 Soyuz Rocket Comes Together and Rolls to Its Launch Pad_14ebd3wJauU - transcript (automated).pdf","Transcript Link")</f>
        <v>Transcript Link</v>
      </c>
      <c r="M1552" s="2" t="str">
        <f>HYPERLINK("https://files.afu.se/Downloads/Transcripts/0%20-%20Government/USA%20-%20NASA/2016 07 04 - NASA - Expedition 48-49 Soyuz Rocket Comes Together and Rolls to Its Launch Pad_14ebd3wJauU - transcript (automated).pdf","Transcript Link")</f>
        <v>Transcript Link</v>
      </c>
    </row>
    <row r="1553" ht="165" spans="1:13">
      <c r="A1553" s="1" t="s">
        <v>7273</v>
      </c>
      <c r="B1553" s="1" t="s">
        <v>13</v>
      </c>
      <c r="C1553" s="4" t="s">
        <v>7274</v>
      </c>
      <c r="D1553" s="1" t="s">
        <v>5428</v>
      </c>
      <c r="E1553" s="1" t="s">
        <v>7275</v>
      </c>
      <c r="F1553" s="4" t="s">
        <v>17</v>
      </c>
      <c r="G1553" s="1" t="s">
        <v>18</v>
      </c>
      <c r="H1553" s="1" t="s">
        <v>19</v>
      </c>
      <c r="I1553" s="1" t="s">
        <v>20</v>
      </c>
      <c r="J1553" s="1" t="s">
        <v>7276</v>
      </c>
      <c r="K1553" s="1" t="s">
        <v>22</v>
      </c>
      <c r="L1553" s="1" t="str">
        <f>HYPERLINK("https://files.afu.se/Downloads/Transcripts/0%20-%20Government/USA%20-%20NASA/2016 07 02 - NASA - Happy 4th of July, from NASA_XyxCA6tTGQ0 - transcript (automated).pdf","Transcript Link")</f>
        <v>Transcript Link</v>
      </c>
      <c r="M1553" s="2" t="str">
        <f>HYPERLINK("https://files.afu.se/Downloads/Transcripts/0%20-%20Government/USA%20-%20NASA/2016 07 02 - NASA - Happy 4th of July, from NASA_XyxCA6tTGQ0 - transcript (automated).pdf","Transcript Link")</f>
        <v>Transcript Link</v>
      </c>
    </row>
    <row r="1554" ht="180" spans="1:13">
      <c r="A1554" s="1" t="s">
        <v>7273</v>
      </c>
      <c r="B1554" s="1" t="s">
        <v>13</v>
      </c>
      <c r="C1554" s="4" t="s">
        <v>7277</v>
      </c>
      <c r="D1554" s="1" t="s">
        <v>7278</v>
      </c>
      <c r="E1554" s="1" t="s">
        <v>7279</v>
      </c>
      <c r="F1554" s="4" t="s">
        <v>17</v>
      </c>
      <c r="G1554" s="1" t="s">
        <v>18</v>
      </c>
      <c r="H1554" s="1" t="s">
        <v>19</v>
      </c>
      <c r="I1554" s="1" t="s">
        <v>20</v>
      </c>
      <c r="J1554" s="1" t="s">
        <v>7280</v>
      </c>
      <c r="K1554" s="1" t="s">
        <v>22</v>
      </c>
      <c r="L1554" s="1" t="str">
        <f>HYPERLINK("https://files.afu.se/Downloads/Transcripts/0%20-%20Government/USA%20-%20NASA/2016 07 02 - NASA - Expedition 48-49 Crew Final Launch Preparations in Kazakhstan_XGZy6IzsKOg - transcript (automated).pdf","Transcript Link")</f>
        <v>Transcript Link</v>
      </c>
      <c r="M1554" s="2" t="str">
        <f>HYPERLINK("https://files.afu.se/Downloads/Transcripts/0%20-%20Government/USA%20-%20NASA/2016 07 02 - NASA - Expedition 48-49 Crew Final Launch Preparations in Kazakhstan_XGZy6IzsKOg - transcript (automated).pdf","Transcript Link")</f>
        <v>Transcript Link</v>
      </c>
    </row>
    <row r="1555" ht="210" spans="1:13">
      <c r="A1555" s="1" t="s">
        <v>7281</v>
      </c>
      <c r="B1555" s="1" t="s">
        <v>13</v>
      </c>
      <c r="C1555" s="4" t="s">
        <v>7282</v>
      </c>
      <c r="D1555" s="1" t="s">
        <v>7283</v>
      </c>
      <c r="E1555" s="1" t="s">
        <v>7284</v>
      </c>
      <c r="F1555" s="4" t="s">
        <v>17</v>
      </c>
      <c r="G1555" s="1" t="s">
        <v>18</v>
      </c>
      <c r="H1555" s="1" t="s">
        <v>19</v>
      </c>
      <c r="I1555" s="1" t="s">
        <v>20</v>
      </c>
      <c r="J1555" s="1" t="s">
        <v>7285</v>
      </c>
      <c r="K1555" s="1" t="s">
        <v>22</v>
      </c>
      <c r="L1555" s="1" t="str">
        <f>HYPERLINK("https://files.afu.se/Downloads/Transcripts/0%20-%20Government/USA%20-%20NASA/2016 07 01 - NASA - Space Launch System Booster Test Fired on This Week @NASA  - July 1, 2016_MW0pwiaH3XM - transcript (automated).pdf","Transcript Link")</f>
        <v>Transcript Link</v>
      </c>
      <c r="M1555" s="2" t="str">
        <f>HYPERLINK("https://files.afu.se/Downloads/Transcripts/0%20-%20Government/USA%20-%20NASA/2016 07 01 - NASA - Space Launch System Booster Test Fired on This Week @NASA  - July 1, 2016_MW0pwiaH3XM - transcript (automated).pdf","Transcript Link")</f>
        <v>Transcript Link</v>
      </c>
    </row>
    <row r="1556" ht="165" spans="1:13">
      <c r="A1556" s="1" t="s">
        <v>7281</v>
      </c>
      <c r="B1556" s="1" t="s">
        <v>13</v>
      </c>
      <c r="C1556" s="4" t="s">
        <v>7286</v>
      </c>
      <c r="D1556" s="1" t="s">
        <v>7287</v>
      </c>
      <c r="E1556" s="1" t="s">
        <v>7288</v>
      </c>
      <c r="F1556" s="4" t="s">
        <v>17</v>
      </c>
      <c r="G1556" s="1" t="s">
        <v>18</v>
      </c>
      <c r="H1556" s="1" t="s">
        <v>19</v>
      </c>
      <c r="I1556" s="1" t="s">
        <v>20</v>
      </c>
      <c r="J1556" s="1" t="s">
        <v>7289</v>
      </c>
      <c r="K1556" s="1" t="s">
        <v>22</v>
      </c>
      <c r="L1556" s="1" t="str">
        <f>HYPERLINK("https://files.afu.se/Downloads/Transcripts/0%20-%20Government/USA%20-%20NASA/2016 07 01 - NASA - Russian Docking System Tested Aboard the ISS_qMjLYra-Kak - transcript (automated).pdf","Transcript Link")</f>
        <v>Transcript Link</v>
      </c>
      <c r="M1556" s="2" t="str">
        <f>HYPERLINK("https://files.afu.se/Downloads/Transcripts/0%20-%20Government/USA%20-%20NASA/2016 07 01 - NASA - Russian Docking System Tested Aboard the ISS_qMjLYra-Kak - transcript (automated).pdf","Transcript Link")</f>
        <v>Transcript Link</v>
      </c>
    </row>
    <row r="1557" ht="165" spans="1:13">
      <c r="A1557" s="1" t="s">
        <v>7290</v>
      </c>
      <c r="B1557" s="1" t="s">
        <v>13</v>
      </c>
      <c r="C1557" s="4" t="s">
        <v>7291</v>
      </c>
      <c r="D1557" s="1" t="s">
        <v>7292</v>
      </c>
      <c r="E1557" s="1" t="s">
        <v>7293</v>
      </c>
      <c r="F1557" s="4" t="s">
        <v>17</v>
      </c>
      <c r="G1557" s="1" t="s">
        <v>18</v>
      </c>
      <c r="H1557" s="1" t="s">
        <v>19</v>
      </c>
      <c r="I1557" s="1" t="s">
        <v>20</v>
      </c>
      <c r="J1557" s="1" t="s">
        <v>7294</v>
      </c>
      <c r="K1557" s="1" t="s">
        <v>22</v>
      </c>
      <c r="L1557" s="1" t="str">
        <f>HYPERLINK("https://files.afu.se/Downloads/Transcripts/0%20-%20Government/USA%20-%20NASA/2016 06 30 - NASA - Pre-Launch Activities Continue for Next ISS Crew_ANc3qDTL0TA - transcript (automated).pdf","Transcript Link")</f>
        <v>Transcript Link</v>
      </c>
      <c r="M1557" s="2" t="str">
        <f>HYPERLINK("https://files.afu.se/Downloads/Transcripts/0%20-%20Government/USA%20-%20NASA/2016 06 30 - NASA - Pre-Launch Activities Continue for Next ISS Crew_ANc3qDTL0TA - transcript (automated).pdf","Transcript Link")</f>
        <v>Transcript Link</v>
      </c>
    </row>
    <row r="1558" ht="180" spans="1:13">
      <c r="A1558" s="1" t="s">
        <v>7290</v>
      </c>
      <c r="B1558" s="1" t="s">
        <v>13</v>
      </c>
      <c r="C1558" s="4" t="s">
        <v>7295</v>
      </c>
      <c r="D1558" s="1" t="s">
        <v>7296</v>
      </c>
      <c r="E1558" s="1" t="s">
        <v>7297</v>
      </c>
      <c r="F1558" s="4" t="s">
        <v>17</v>
      </c>
      <c r="G1558" s="1" t="s">
        <v>18</v>
      </c>
      <c r="H1558" s="1" t="s">
        <v>19</v>
      </c>
      <c r="I1558" s="1" t="s">
        <v>20</v>
      </c>
      <c r="J1558" s="1" t="s">
        <v>7298</v>
      </c>
      <c r="K1558" s="1" t="s">
        <v>22</v>
      </c>
      <c r="L1558" s="1" t="str">
        <f>HYPERLINK("https://files.afu.se/Downloads/Transcripts/0%20-%20Government/USA%20-%20NASA/2016 06 30 - NASA - The Science of Juno ‘s Mission to Jupiter_kMdcTRE8uR8 - transcript (automated).pdf","Transcript Link")</f>
        <v>Transcript Link</v>
      </c>
      <c r="M1558" s="2" t="str">
        <f>HYPERLINK("https://files.afu.se/Downloads/Transcripts/0%20-%20Government/USA%20-%20NASA/2016 06 30 - NASA - The Science of Juno ‘s Mission to Jupiter_kMdcTRE8uR8 - transcript (automated).pdf","Transcript Link")</f>
        <v>Transcript Link</v>
      </c>
    </row>
    <row r="1559" ht="165" spans="1:13">
      <c r="A1559" s="1" t="s">
        <v>7290</v>
      </c>
      <c r="B1559" s="1" t="s">
        <v>13</v>
      </c>
      <c r="C1559" s="4" t="s">
        <v>7299</v>
      </c>
      <c r="D1559" s="1" t="s">
        <v>7300</v>
      </c>
      <c r="E1559" s="1" t="s">
        <v>7301</v>
      </c>
      <c r="F1559" s="4" t="s">
        <v>17</v>
      </c>
      <c r="G1559" s="1" t="s">
        <v>18</v>
      </c>
      <c r="H1559" s="1" t="s">
        <v>19</v>
      </c>
      <c r="I1559" s="1" t="s">
        <v>20</v>
      </c>
      <c r="J1559" s="1" t="s">
        <v>7302</v>
      </c>
      <c r="K1559" s="1" t="s">
        <v>22</v>
      </c>
      <c r="L1559" s="1" t="str">
        <f>HYPERLINK("https://files.afu.se/Downloads/Transcripts/0%20-%20Government/USA%20-%20NASA/2016 06 30 - NASA - Space Station Commander Educates Students about Life on the ISS_-dvo9usx6bg - transcript (automated).pdf","Transcript Link")</f>
        <v>Transcript Link</v>
      </c>
      <c r="M1559" s="2" t="str">
        <f>HYPERLINK("https://files.afu.se/Downloads/Transcripts/0%20-%20Government/USA%20-%20NASA/2016 06 30 - NASA - Space Station Commander Educates Students about Life on the ISS_-dvo9usx6bg - transcript (automated).pdf","Transcript Link")</f>
        <v>Transcript Link</v>
      </c>
    </row>
    <row r="1560" ht="165" spans="1:13">
      <c r="A1560" s="1" t="s">
        <v>7303</v>
      </c>
      <c r="B1560" s="1" t="s">
        <v>13</v>
      </c>
      <c r="C1560" s="4" t="s">
        <v>7304</v>
      </c>
      <c r="D1560" s="1" t="s">
        <v>7305</v>
      </c>
      <c r="E1560" s="1" t="s">
        <v>7306</v>
      </c>
      <c r="F1560" s="4" t="s">
        <v>17</v>
      </c>
      <c r="G1560" s="1" t="s">
        <v>18</v>
      </c>
      <c r="H1560" s="1" t="s">
        <v>19</v>
      </c>
      <c r="I1560" s="1" t="s">
        <v>20</v>
      </c>
      <c r="J1560" s="1" t="s">
        <v>7307</v>
      </c>
      <c r="K1560" s="1" t="s">
        <v>22</v>
      </c>
      <c r="L1560" s="1" t="str">
        <f>HYPERLINK("https://files.afu.se/Downloads/Transcripts/0%20-%20Government/USA%20-%20NASA/2016 06 28 - NASA - NASA Agency Awards Recognize Outstanding Employee Contributions_ayYLiSNoiFE - transcript (automated).pdf","Transcript Link")</f>
        <v>Transcript Link</v>
      </c>
      <c r="M1560" s="2" t="str">
        <f>HYPERLINK("https://files.afu.se/Downloads/Transcripts/0%20-%20Government/USA%20-%20NASA/2016 06 28 - NASA - NASA Agency Awards Recognize Outstanding Employee Contributions_ayYLiSNoiFE - transcript (automated).pdf","Transcript Link")</f>
        <v>Transcript Link</v>
      </c>
    </row>
    <row r="1561" ht="225" spans="1:13">
      <c r="A1561" s="1" t="s">
        <v>7303</v>
      </c>
      <c r="B1561" s="1" t="s">
        <v>13</v>
      </c>
      <c r="C1561" s="4" t="s">
        <v>7308</v>
      </c>
      <c r="D1561" s="1" t="s">
        <v>7309</v>
      </c>
      <c r="E1561" s="1" t="s">
        <v>7310</v>
      </c>
      <c r="F1561" s="4" t="s">
        <v>17</v>
      </c>
      <c r="G1561" s="1" t="s">
        <v>18</v>
      </c>
      <c r="H1561" s="1" t="s">
        <v>19</v>
      </c>
      <c r="I1561" s="1" t="s">
        <v>20</v>
      </c>
      <c r="J1561" s="1" t="s">
        <v>7311</v>
      </c>
      <c r="K1561" s="1" t="s">
        <v>22</v>
      </c>
      <c r="L1561" s="1" t="str">
        <f>HYPERLINK("https://files.afu.se/Downloads/Transcripts/0%20-%20Government/USA%20-%20NASA/2016 06 28 - NASA - Big Test to Qualify Most Powerful Rocket Booster for Flight_vOs8giC8hGk - transcript (automated).pdf","Transcript Link")</f>
        <v>Transcript Link</v>
      </c>
      <c r="M1561" s="2" t="str">
        <f>HYPERLINK("https://files.afu.se/Downloads/Transcripts/0%20-%20Government/USA%20-%20NASA/2016 06 28 - NASA - Big Test to Qualify Most Powerful Rocket Booster for Flight_vOs8giC8hGk - transcript (automated).pdf","Transcript Link")</f>
        <v>Transcript Link</v>
      </c>
    </row>
    <row r="1562" ht="195" spans="1:13">
      <c r="A1562" s="1" t="s">
        <v>7312</v>
      </c>
      <c r="B1562" s="1" t="s">
        <v>13</v>
      </c>
      <c r="C1562" s="4" t="s">
        <v>7313</v>
      </c>
      <c r="D1562" s="1" t="s">
        <v>7314</v>
      </c>
      <c r="E1562" s="1" t="s">
        <v>7315</v>
      </c>
      <c r="F1562" s="4" t="s">
        <v>17</v>
      </c>
      <c r="G1562" s="1" t="s">
        <v>18</v>
      </c>
      <c r="H1562" s="1" t="s">
        <v>19</v>
      </c>
      <c r="I1562" s="1" t="s">
        <v>20</v>
      </c>
      <c r="J1562" s="1" t="s">
        <v>7316</v>
      </c>
      <c r="K1562" s="1" t="s">
        <v>22</v>
      </c>
      <c r="L1562" s="1" t="str">
        <f>HYPERLINK("https://files.afu.se/Downloads/Transcripts/0%20-%20Government/USA%20-%20NASA/2016 06 24 - NASA - Kepler Finds Newborn Exoplanet on This Week @NASA  - June 24, 2016_XEzgqA0NOvc - transcript (automated).pdf","Transcript Link")</f>
        <v>Transcript Link</v>
      </c>
      <c r="M1562" s="2" t="str">
        <f>HYPERLINK("https://files.afu.se/Downloads/Transcripts/0%20-%20Government/USA%20-%20NASA/2016 06 24 - NASA - Kepler Finds Newborn Exoplanet on This Week @NASA  - June 24, 2016_XEzgqA0NOvc - transcript (automated).pdf","Transcript Link")</f>
        <v>Transcript Link</v>
      </c>
    </row>
    <row r="1563" ht="180" spans="1:13">
      <c r="A1563" s="1" t="s">
        <v>7312</v>
      </c>
      <c r="B1563" s="1" t="s">
        <v>13</v>
      </c>
      <c r="C1563" s="4" t="s">
        <v>7317</v>
      </c>
      <c r="D1563" s="1" t="s">
        <v>7318</v>
      </c>
      <c r="E1563" s="1" t="s">
        <v>7319</v>
      </c>
      <c r="F1563" s="4" t="s">
        <v>17</v>
      </c>
      <c r="G1563" s="1" t="s">
        <v>18</v>
      </c>
      <c r="H1563" s="1" t="s">
        <v>19</v>
      </c>
      <c r="I1563" s="1" t="s">
        <v>20</v>
      </c>
      <c r="J1563" s="1" t="s">
        <v>7320</v>
      </c>
      <c r="K1563" s="1" t="s">
        <v>22</v>
      </c>
      <c r="L1563" s="1" t="str">
        <f>HYPERLINK("https://files.afu.se/Downloads/Transcripts/0%20-%20Government/USA%20-%20NASA/2016 06 24 - NASA - Expedition 47-48 Crew Departs for Launch Site_ONbUSTc9VQQ - transcript (automated).pdf","Transcript Link")</f>
        <v>Transcript Link</v>
      </c>
      <c r="M1563" s="2" t="str">
        <f>HYPERLINK("https://files.afu.se/Downloads/Transcripts/0%20-%20Government/USA%20-%20NASA/2016 06 24 - NASA - Expedition 47-48 Crew Departs for Launch Site_ONbUSTc9VQQ - transcript (automated).pdf","Transcript Link")</f>
        <v>Transcript Link</v>
      </c>
    </row>
    <row r="1564" ht="195" spans="1:13">
      <c r="A1564" s="1" t="s">
        <v>7312</v>
      </c>
      <c r="B1564" s="1" t="s">
        <v>13</v>
      </c>
      <c r="C1564" s="4" t="s">
        <v>7321</v>
      </c>
      <c r="D1564" s="1" t="s">
        <v>7322</v>
      </c>
      <c r="E1564" s="1" t="s">
        <v>7323</v>
      </c>
      <c r="F1564" s="4" t="s">
        <v>17</v>
      </c>
      <c r="G1564" s="1" t="s">
        <v>18</v>
      </c>
      <c r="H1564" s="1" t="s">
        <v>19</v>
      </c>
      <c r="I1564" s="1" t="s">
        <v>20</v>
      </c>
      <c r="J1564" s="1" t="s">
        <v>7324</v>
      </c>
      <c r="K1564" s="1" t="s">
        <v>22</v>
      </c>
      <c r="L1564" s="1" t="str">
        <f>HYPERLINK("https://files.afu.se/Downloads/Transcripts/0%20-%20Government/USA%20-%20NASA/2016 06 24 - NASA - New Space Station Commander Discusses Life in Space with the Media_SlO6wT3FXv0 - transcript (automated).pdf","Transcript Link")</f>
        <v>Transcript Link</v>
      </c>
      <c r="M1564" s="2" t="str">
        <f>HYPERLINK("https://files.afu.se/Downloads/Transcripts/0%20-%20Government/USA%20-%20NASA/2016 06 24 - NASA - New Space Station Commander Discusses Life in Space with the Media_SlO6wT3FXv0 - transcript (automated).pdf","Transcript Link")</f>
        <v>Transcript Link</v>
      </c>
    </row>
    <row r="1565" ht="300" spans="1:13">
      <c r="A1565" s="1" t="s">
        <v>7325</v>
      </c>
      <c r="B1565" s="1" t="s">
        <v>13</v>
      </c>
      <c r="C1565" s="4" t="s">
        <v>7326</v>
      </c>
      <c r="D1565" s="1" t="s">
        <v>7327</v>
      </c>
      <c r="E1565" s="1" t="s">
        <v>7328</v>
      </c>
      <c r="F1565" s="4" t="s">
        <v>17</v>
      </c>
      <c r="G1565" s="1" t="s">
        <v>18</v>
      </c>
      <c r="H1565" s="1" t="s">
        <v>19</v>
      </c>
      <c r="I1565" s="1" t="s">
        <v>20</v>
      </c>
      <c r="J1565" s="1" t="s">
        <v>7329</v>
      </c>
      <c r="K1565" s="1" t="s">
        <v>22</v>
      </c>
      <c r="L1565" s="1" t="str">
        <f>HYPERLINK("https://files.afu.se/Downloads/Transcripts/0%20-%20Government/USA%20-%20NASA/2016 06 23 - NASA - NASA Celebrates Makers_MfMOTf0giqM - transcript (automated).pdf","Transcript Link")</f>
        <v>Transcript Link</v>
      </c>
      <c r="M1565" s="2" t="str">
        <f>HYPERLINK("https://files.afu.se/Downloads/Transcripts/0%20-%20Government/USA%20-%20NASA/2016 06 23 - NASA - NASA Celebrates Makers_MfMOTf0giqM - transcript (automated).pdf","Transcript Link")</f>
        <v>Transcript Link</v>
      </c>
    </row>
    <row r="1566" ht="165" spans="1:13">
      <c r="A1566" s="1" t="s">
        <v>7330</v>
      </c>
      <c r="B1566" s="1" t="s">
        <v>13</v>
      </c>
      <c r="C1566" s="4" t="s">
        <v>7331</v>
      </c>
      <c r="D1566" s="1" t="s">
        <v>7332</v>
      </c>
      <c r="E1566" s="1" t="s">
        <v>7333</v>
      </c>
      <c r="F1566" s="4" t="s">
        <v>17</v>
      </c>
      <c r="G1566" s="1" t="s">
        <v>18</v>
      </c>
      <c r="H1566" s="1" t="s">
        <v>19</v>
      </c>
      <c r="I1566" s="1" t="s">
        <v>20</v>
      </c>
      <c r="J1566" s="1" t="s">
        <v>7334</v>
      </c>
      <c r="K1566" s="1" t="s">
        <v>22</v>
      </c>
      <c r="L1566" s="1" t="str">
        <f>HYPERLINK("https://files.afu.se/Downloads/Transcripts/0%20-%20Government/USA%20-%20NASA/2016 06 18 - NASA - Welcome Back to Earth_srUu8batsmc - transcript (automated).pdf","Transcript Link")</f>
        <v>Transcript Link</v>
      </c>
      <c r="M1566" s="2" t="str">
        <f>HYPERLINK("https://files.afu.se/Downloads/Transcripts/0%20-%20Government/USA%20-%20NASA/2016 06 18 - NASA - Welcome Back to Earth_srUu8batsmc - transcript (automated).pdf","Transcript Link")</f>
        <v>Transcript Link</v>
      </c>
    </row>
    <row r="1567" ht="165" spans="1:13">
      <c r="A1567" s="1" t="s">
        <v>7330</v>
      </c>
      <c r="B1567" s="1" t="s">
        <v>13</v>
      </c>
      <c r="C1567" s="4" t="s">
        <v>7335</v>
      </c>
      <c r="D1567" s="1" t="s">
        <v>7336</v>
      </c>
      <c r="E1567" s="1" t="s">
        <v>7337</v>
      </c>
      <c r="F1567" s="4" t="s">
        <v>17</v>
      </c>
      <c r="G1567" s="1" t="s">
        <v>18</v>
      </c>
      <c r="H1567" s="1" t="s">
        <v>19</v>
      </c>
      <c r="I1567" s="1" t="s">
        <v>20</v>
      </c>
      <c r="J1567" s="1" t="s">
        <v>7338</v>
      </c>
      <c r="K1567" s="1" t="s">
        <v>22</v>
      </c>
      <c r="L1567" s="1" t="str">
        <f>HYPERLINK("https://files.afu.se/Downloads/Transcripts/0%20-%20Government/USA%20-%20NASA/2016 06 18 - NASA - Expedition 47 Crew Lands Safely in Kazakhstan_uvv2qYS6-5Q - transcript (automated).pdf","Transcript Link")</f>
        <v>Transcript Link</v>
      </c>
      <c r="M1567" s="2" t="str">
        <f>HYPERLINK("https://files.afu.se/Downloads/Transcripts/0%20-%20Government/USA%20-%20NASA/2016 06 18 - NASA - Expedition 47 Crew Lands Safely in Kazakhstan_uvv2qYS6-5Q - transcript (automated).pdf","Transcript Link")</f>
        <v>Transcript Link</v>
      </c>
    </row>
    <row r="1568" ht="165" spans="1:13">
      <c r="A1568" s="1" t="s">
        <v>7330</v>
      </c>
      <c r="B1568" s="1" t="s">
        <v>13</v>
      </c>
      <c r="C1568" s="4" t="s">
        <v>7339</v>
      </c>
      <c r="D1568" s="1" t="s">
        <v>7340</v>
      </c>
      <c r="E1568" s="1" t="s">
        <v>7341</v>
      </c>
      <c r="F1568" s="4" t="s">
        <v>17</v>
      </c>
      <c r="G1568" s="1" t="s">
        <v>18</v>
      </c>
      <c r="H1568" s="1" t="s">
        <v>19</v>
      </c>
      <c r="I1568" s="1" t="s">
        <v>20</v>
      </c>
      <c r="J1568" s="1" t="s">
        <v>7342</v>
      </c>
      <c r="K1568" s="1" t="s">
        <v>22</v>
      </c>
      <c r="L1568" s="1" t="str">
        <f>HYPERLINK("https://files.afu.se/Downloads/Transcripts/0%20-%20Government/USA%20-%20NASA/2016 06 18 - NASA - Expedition 47 Crew Leaves the Space Station_SLEZHUH44A8 - transcript (automated).pdf","Transcript Link")</f>
        <v>Transcript Link</v>
      </c>
      <c r="M1568" s="2" t="str">
        <f>HYPERLINK("https://files.afu.se/Downloads/Transcripts/0%20-%20Government/USA%20-%20NASA/2016 06 18 - NASA - Expedition 47 Crew Leaves the Space Station_SLEZHUH44A8 - transcript (automated).pdf","Transcript Link")</f>
        <v>Transcript Link</v>
      </c>
    </row>
    <row r="1569" ht="165" spans="1:13">
      <c r="A1569" s="1" t="s">
        <v>7330</v>
      </c>
      <c r="B1569" s="1" t="s">
        <v>13</v>
      </c>
      <c r="C1569" s="4" t="s">
        <v>7343</v>
      </c>
      <c r="D1569" s="1" t="s">
        <v>7344</v>
      </c>
      <c r="E1569" s="1" t="s">
        <v>7345</v>
      </c>
      <c r="F1569" s="4" t="s">
        <v>17</v>
      </c>
      <c r="G1569" s="1" t="s">
        <v>18</v>
      </c>
      <c r="H1569" s="1" t="s">
        <v>19</v>
      </c>
      <c r="I1569" s="1" t="s">
        <v>20</v>
      </c>
      <c r="J1569" s="1" t="s">
        <v>7346</v>
      </c>
      <c r="K1569" s="1" t="s">
        <v>22</v>
      </c>
      <c r="L1569" s="1" t="str">
        <f>HYPERLINK("https://files.afu.se/Downloads/Transcripts/0%20-%20Government/USA%20-%20NASA/2016 06 18 - NASA - Coming Home from the Space Station_kUoW7ISFsOI - transcript (automated).pdf","Transcript Link")</f>
        <v>Transcript Link</v>
      </c>
      <c r="M1569" s="2" t="str">
        <f>HYPERLINK("https://files.afu.se/Downloads/Transcripts/0%20-%20Government/USA%20-%20NASA/2016 06 18 - NASA - Coming Home from the Space Station_kUoW7ISFsOI - transcript (automated).pdf","Transcript Link")</f>
        <v>Transcript Link</v>
      </c>
    </row>
    <row r="1570" ht="315" spans="1:13">
      <c r="A1570" s="1" t="s">
        <v>7347</v>
      </c>
      <c r="B1570" s="1" t="s">
        <v>13</v>
      </c>
      <c r="C1570" s="4" t="s">
        <v>7348</v>
      </c>
      <c r="D1570" s="1" t="s">
        <v>7349</v>
      </c>
      <c r="E1570" s="1" t="s">
        <v>7350</v>
      </c>
      <c r="F1570" s="4" t="s">
        <v>17</v>
      </c>
      <c r="G1570" s="1" t="s">
        <v>18</v>
      </c>
      <c r="H1570" s="1" t="s">
        <v>19</v>
      </c>
      <c r="I1570" s="1" t="s">
        <v>20</v>
      </c>
      <c r="J1570" s="1" t="s">
        <v>7351</v>
      </c>
      <c r="K1570" s="1" t="s">
        <v>22</v>
      </c>
      <c r="L1570" s="1" t="str">
        <f>HYPERLINK("https://files.afu.se/Downloads/Transcripts/0%20-%20Government/USA%20-%20NASA/2016 06 17 - NASA - Our Journey to Transforming Aviation on This Week @NASA - June 17, 2016_o4GnRKTw2zc - transcript (automated).pdf","Transcript Link")</f>
        <v>Transcript Link</v>
      </c>
      <c r="M1570" s="2" t="str">
        <f>HYPERLINK("https://files.afu.se/Downloads/Transcripts/0%20-%20Government/USA%20-%20NASA/2016 06 17 - NASA - Our Journey to Transforming Aviation on This Week @NASA - June 17, 2016_o4GnRKTw2zc - transcript (automated).pdf","Transcript Link")</f>
        <v>Transcript Link</v>
      </c>
    </row>
    <row r="1571" ht="165" spans="1:13">
      <c r="A1571" s="1" t="s">
        <v>7347</v>
      </c>
      <c r="B1571" s="1" t="s">
        <v>13</v>
      </c>
      <c r="C1571" s="4" t="s">
        <v>7352</v>
      </c>
      <c r="D1571" s="1" t="s">
        <v>7353</v>
      </c>
      <c r="E1571" s="1" t="s">
        <v>7354</v>
      </c>
      <c r="F1571" s="4" t="s">
        <v>17</v>
      </c>
      <c r="G1571" s="1" t="s">
        <v>18</v>
      </c>
      <c r="H1571" s="1" t="s">
        <v>19</v>
      </c>
      <c r="I1571" s="1" t="s">
        <v>20</v>
      </c>
      <c r="J1571" s="1" t="s">
        <v>7355</v>
      </c>
      <c r="K1571" s="1" t="s">
        <v>22</v>
      </c>
      <c r="L1571" s="1" t="str">
        <f>HYPERLINK("https://files.afu.se/Downloads/Transcripts/0%20-%20Government/USA%20-%20NASA/2016 06 17 - NASA - New Commander Aboard the Space Station_xxiC1i6UJD0 - transcript (automated).pdf","Transcript Link")</f>
        <v>Transcript Link</v>
      </c>
      <c r="M1571" s="2" t="str">
        <f>HYPERLINK("https://files.afu.se/Downloads/Transcripts/0%20-%20Government/USA%20-%20NASA/2016 06 17 - NASA - New Commander Aboard the Space Station_xxiC1i6UJD0 - transcript (automated).pdf","Transcript Link")</f>
        <v>Transcript Link</v>
      </c>
    </row>
    <row r="1572" ht="165" spans="1:13">
      <c r="A1572" s="1" t="s">
        <v>7356</v>
      </c>
      <c r="B1572" s="1" t="s">
        <v>13</v>
      </c>
      <c r="C1572" s="4" t="s">
        <v>7357</v>
      </c>
      <c r="D1572" s="1" t="s">
        <v>7358</v>
      </c>
      <c r="E1572" s="1" t="s">
        <v>7359</v>
      </c>
      <c r="F1572" s="4" t="s">
        <v>17</v>
      </c>
      <c r="G1572" s="1" t="s">
        <v>18</v>
      </c>
      <c r="H1572" s="1" t="s">
        <v>19</v>
      </c>
      <c r="I1572" s="1" t="s">
        <v>20</v>
      </c>
      <c r="J1572" s="1" t="s">
        <v>7360</v>
      </c>
      <c r="K1572" s="1" t="s">
        <v>22</v>
      </c>
      <c r="L1572" s="1" t="str">
        <f>HYPERLINK("https://files.afu.se/Downloads/Transcripts/0%20-%20Government/USA%20-%20NASA/2016 06 16 - NASA - Closing in on Jupiter_nfhwgYHGeAE - transcript (automated).pdf","Transcript Link")</f>
        <v>Transcript Link</v>
      </c>
      <c r="M1572" s="2" t="str">
        <f>HYPERLINK("https://files.afu.se/Downloads/Transcripts/0%20-%20Government/USA%20-%20NASA/2016 06 16 - NASA - Closing in on Jupiter_nfhwgYHGeAE - transcript (automated).pdf","Transcript Link")</f>
        <v>Transcript Link</v>
      </c>
    </row>
    <row r="1573" ht="165" spans="1:13">
      <c r="A1573" s="1" t="s">
        <v>7361</v>
      </c>
      <c r="B1573" s="1" t="s">
        <v>13</v>
      </c>
      <c r="C1573" s="4" t="s">
        <v>7362</v>
      </c>
      <c r="D1573" s="1" t="s">
        <v>7363</v>
      </c>
      <c r="E1573" s="1" t="s">
        <v>7364</v>
      </c>
      <c r="F1573" s="4" t="s">
        <v>17</v>
      </c>
      <c r="G1573" s="1" t="s">
        <v>18</v>
      </c>
      <c r="H1573" s="1" t="s">
        <v>19</v>
      </c>
      <c r="I1573" s="1" t="s">
        <v>20</v>
      </c>
      <c r="J1573" s="1" t="s">
        <v>7365</v>
      </c>
      <c r="K1573" s="1" t="s">
        <v>22</v>
      </c>
      <c r="L1573" s="1" t="str">
        <f>HYPERLINK("https://files.afu.se/Downloads/Transcripts/0%20-%20Government/USA%20-%20NASA/2016 06 15 - NASA - Enhancing the United State of Women Through Data Science_wzIcKOL1pVc - transcript (automated).pdf","Transcript Link")</f>
        <v>Transcript Link</v>
      </c>
      <c r="M1573" s="2" t="str">
        <f>HYPERLINK("https://files.afu.se/Downloads/Transcripts/0%20-%20Government/USA%20-%20NASA/2016 06 15 - NASA - Enhancing the United State of Women Through Data Science_wzIcKOL1pVc - transcript (automated).pdf","Transcript Link")</f>
        <v>Transcript Link</v>
      </c>
    </row>
    <row r="1574" ht="255" spans="1:13">
      <c r="A1574" s="1" t="s">
        <v>7361</v>
      </c>
      <c r="B1574" s="1" t="s">
        <v>13</v>
      </c>
      <c r="C1574" s="4" t="s">
        <v>7366</v>
      </c>
      <c r="D1574" s="1" t="s">
        <v>7367</v>
      </c>
      <c r="E1574" s="1" t="s">
        <v>7368</v>
      </c>
      <c r="F1574" s="4" t="s">
        <v>17</v>
      </c>
      <c r="G1574" s="1" t="s">
        <v>18</v>
      </c>
      <c r="H1574" s="1" t="s">
        <v>19</v>
      </c>
      <c r="I1574" s="1" t="s">
        <v>20</v>
      </c>
      <c r="J1574" s="1" t="s">
        <v>7369</v>
      </c>
      <c r="K1574" s="1" t="s">
        <v>22</v>
      </c>
      <c r="L1574" s="1" t="str">
        <f>HYPERLINK("https://files.afu.se/Downloads/Transcripts/0%20-%20Government/USA%20-%20NASA/2016 06 15 - NASA - Space Station Crew Talks to Student Designer of 3-D Tool_nOBng-0dEZw - transcript (automated).pdf","Transcript Link")</f>
        <v>Transcript Link</v>
      </c>
      <c r="M1574" s="2" t="str">
        <f>HYPERLINK("https://files.afu.se/Downloads/Transcripts/0%20-%20Government/USA%20-%20NASA/2016 06 15 - NASA - Space Station Crew Talks to Student Designer of 3-D Tool_nOBng-0dEZw - transcript (automated).pdf","Transcript Link")</f>
        <v>Transcript Link</v>
      </c>
    </row>
    <row r="1575" ht="165" spans="1:13">
      <c r="A1575" s="1" t="s">
        <v>7361</v>
      </c>
      <c r="B1575" s="1" t="s">
        <v>13</v>
      </c>
      <c r="C1575" s="4" t="s">
        <v>7370</v>
      </c>
      <c r="D1575" s="1" t="s">
        <v>7371</v>
      </c>
      <c r="E1575" s="1" t="s">
        <v>7372</v>
      </c>
      <c r="F1575" s="4" t="s">
        <v>17</v>
      </c>
      <c r="G1575" s="1" t="s">
        <v>18</v>
      </c>
      <c r="H1575" s="1" t="s">
        <v>19</v>
      </c>
      <c r="I1575" s="1" t="s">
        <v>20</v>
      </c>
      <c r="J1575" s="1" t="s">
        <v>7373</v>
      </c>
      <c r="K1575" s="1" t="s">
        <v>22</v>
      </c>
      <c r="L1575" s="1" t="str">
        <f>HYPERLINK("https://files.afu.se/Downloads/Transcripts/0%20-%20Government/USA%20-%20NASA/2016 06 15 - NASA - Spaceflight Then, Now, and Next_ex-ui7ldnD0 - transcript (automated).pdf","Transcript Link")</f>
        <v>Transcript Link</v>
      </c>
      <c r="M1575" s="2" t="str">
        <f>HYPERLINK("https://files.afu.se/Downloads/Transcripts/0%20-%20Government/USA%20-%20NASA/2016 06 15 - NASA - Spaceflight Then, Now, and Next_ex-ui7ldnD0 - transcript (automated).pdf","Transcript Link")</f>
        <v>Transcript Link</v>
      </c>
    </row>
    <row r="1576" ht="255" spans="1:13">
      <c r="A1576" s="1" t="s">
        <v>7374</v>
      </c>
      <c r="B1576" s="1" t="s">
        <v>13</v>
      </c>
      <c r="C1576" s="4" t="s">
        <v>7375</v>
      </c>
      <c r="D1576" s="1" t="s">
        <v>7376</v>
      </c>
      <c r="E1576" s="1" t="s">
        <v>7377</v>
      </c>
      <c r="F1576" s="4" t="s">
        <v>17</v>
      </c>
      <c r="G1576" s="1" t="s">
        <v>18</v>
      </c>
      <c r="H1576" s="1" t="s">
        <v>19</v>
      </c>
      <c r="I1576" s="1" t="s">
        <v>20</v>
      </c>
      <c r="J1576" s="1" t="s">
        <v>7378</v>
      </c>
      <c r="K1576" s="1" t="s">
        <v>22</v>
      </c>
      <c r="L1576" s="1" t="str">
        <f>HYPERLINK("https://files.afu.se/Downloads/Transcripts/0%20-%20Government/USA%20-%20NASA/2016 06 14 - NASA - U.S. Cargo Ship Leaves Space Station_XJabriUtjl8 - transcript (automated).pdf","Transcript Link")</f>
        <v>Transcript Link</v>
      </c>
      <c r="M1576" s="2" t="str">
        <f>HYPERLINK("https://files.afu.se/Downloads/Transcripts/0%20-%20Government/USA%20-%20NASA/2016 06 14 - NASA - U.S. Cargo Ship Leaves Space Station_XJabriUtjl8 - transcript (automated).pdf","Transcript Link")</f>
        <v>Transcript Link</v>
      </c>
    </row>
    <row r="1577" ht="180" spans="1:13">
      <c r="A1577" s="1" t="s">
        <v>7379</v>
      </c>
      <c r="B1577" s="1" t="s">
        <v>13</v>
      </c>
      <c r="C1577" s="4" t="s">
        <v>7380</v>
      </c>
      <c r="D1577" s="1" t="s">
        <v>7381</v>
      </c>
      <c r="E1577" s="1" t="s">
        <v>7382</v>
      </c>
      <c r="F1577" s="4" t="s">
        <v>17</v>
      </c>
      <c r="G1577" s="1" t="s">
        <v>18</v>
      </c>
      <c r="H1577" s="1" t="s">
        <v>19</v>
      </c>
      <c r="I1577" s="1" t="s">
        <v>20</v>
      </c>
      <c r="J1577" s="1" t="s">
        <v>7383</v>
      </c>
      <c r="K1577" s="1" t="s">
        <v>22</v>
      </c>
      <c r="L1577" s="1" t="str">
        <f>HYPERLINK("https://files.afu.se/Downloads/Transcripts/0%20-%20Government/USA%20-%20NASA/2016 06 10 - NASA - Cygnus Packed for Space Station Mission on This Week @NASA – June 10, 2016_p_snvjghMJg - transcript (automated).pdf","Transcript Link")</f>
        <v>Transcript Link</v>
      </c>
      <c r="M1577" s="2" t="str">
        <f>HYPERLINK("https://files.afu.se/Downloads/Transcripts/0%20-%20Government/USA%20-%20NASA/2016 06 10 - NASA - Cygnus Packed for Space Station Mission on This Week @NASA – June 10, 2016_p_snvjghMJg - transcript (automated).pdf","Transcript Link")</f>
        <v>Transcript Link</v>
      </c>
    </row>
    <row r="1578" ht="195" spans="1:13">
      <c r="A1578" s="1" t="s">
        <v>7384</v>
      </c>
      <c r="B1578" s="1" t="s">
        <v>13</v>
      </c>
      <c r="C1578" s="4" t="s">
        <v>7385</v>
      </c>
      <c r="D1578" s="1" t="s">
        <v>7386</v>
      </c>
      <c r="E1578" s="1" t="s">
        <v>7387</v>
      </c>
      <c r="F1578" s="4" t="s">
        <v>17</v>
      </c>
      <c r="G1578" s="1" t="s">
        <v>18</v>
      </c>
      <c r="H1578" s="1" t="s">
        <v>19</v>
      </c>
      <c r="I1578" s="1" t="s">
        <v>20</v>
      </c>
      <c r="J1578" s="1" t="s">
        <v>7388</v>
      </c>
      <c r="K1578" s="1" t="s">
        <v>22</v>
      </c>
      <c r="L1578" s="1" t="str">
        <f>HYPERLINK("https://files.afu.se/Downloads/Transcripts/0%20-%20Government/USA%20-%20NASA/2016 06 09 - NASA - Appropriate Attire for Space_QDq_zsHSPng - transcript (automated).pdf","Transcript Link")</f>
        <v>Transcript Link</v>
      </c>
      <c r="M1578" s="2" t="str">
        <f>HYPERLINK("https://files.afu.se/Downloads/Transcripts/0%20-%20Government/USA%20-%20NASA/2016 06 09 - NASA - Appropriate Attire for Space_QDq_zsHSPng - transcript (automated).pdf","Transcript Link")</f>
        <v>Transcript Link</v>
      </c>
    </row>
    <row r="1579" ht="165" spans="1:13">
      <c r="A1579" s="1" t="s">
        <v>7384</v>
      </c>
      <c r="B1579" s="1" t="s">
        <v>13</v>
      </c>
      <c r="C1579" s="4" t="s">
        <v>7389</v>
      </c>
      <c r="D1579" s="1" t="s">
        <v>7390</v>
      </c>
      <c r="E1579" s="1" t="s">
        <v>7391</v>
      </c>
      <c r="F1579" s="4" t="s">
        <v>17</v>
      </c>
      <c r="G1579" s="1" t="s">
        <v>18</v>
      </c>
      <c r="H1579" s="1" t="s">
        <v>19</v>
      </c>
      <c r="I1579" s="1" t="s">
        <v>20</v>
      </c>
      <c r="J1579" s="1" t="s">
        <v>7392</v>
      </c>
      <c r="K1579" s="1" t="s">
        <v>22</v>
      </c>
      <c r="L1579" s="1" t="str">
        <f>HYPERLINK("https://files.afu.se/Downloads/Transcripts/0%20-%20Government/USA%20-%20NASA/2016 06 09 - NASA - NASA Astronaut Shares Thoughts on Space Station Mission_PlG4ow5GO0w - transcript (automated).pdf","Transcript Link")</f>
        <v>Transcript Link</v>
      </c>
      <c r="M1579" s="2" t="str">
        <f>HYPERLINK("https://files.afu.se/Downloads/Transcripts/0%20-%20Government/USA%20-%20NASA/2016 06 09 - NASA - NASA Astronaut Shares Thoughts on Space Station Mission_PlG4ow5GO0w - transcript (automated).pdf","Transcript Link")</f>
        <v>Transcript Link</v>
      </c>
    </row>
    <row r="1580" ht="165" spans="1:13">
      <c r="A1580" s="1" t="s">
        <v>7393</v>
      </c>
      <c r="B1580" s="1" t="s">
        <v>13</v>
      </c>
      <c r="C1580" s="4" t="s">
        <v>7394</v>
      </c>
      <c r="D1580" s="1" t="s">
        <v>7395</v>
      </c>
      <c r="E1580" s="1" t="s">
        <v>7396</v>
      </c>
      <c r="F1580" s="4" t="s">
        <v>17</v>
      </c>
      <c r="G1580" s="1" t="s">
        <v>18</v>
      </c>
      <c r="H1580" s="1" t="s">
        <v>19</v>
      </c>
      <c r="I1580" s="1" t="s">
        <v>20</v>
      </c>
      <c r="J1580" s="1" t="s">
        <v>7397</v>
      </c>
      <c r="K1580" s="1" t="s">
        <v>22</v>
      </c>
      <c r="L1580" s="1" t="str">
        <f>HYPERLINK("https://files.afu.se/Downloads/Transcripts/0%20-%20Government/USA%20-%20NASA/2016 06 08 - NASA - British Astronaut Recaps Mission Aboard the Space Station_VnXqBBPyqbc - transcript (automated).pdf","Transcript Link")</f>
        <v>Transcript Link</v>
      </c>
      <c r="M1580" s="2" t="str">
        <f>HYPERLINK("https://files.afu.se/Downloads/Transcripts/0%20-%20Government/USA%20-%20NASA/2016 06 08 - NASA - British Astronaut Recaps Mission Aboard the Space Station_VnXqBBPyqbc - transcript (automated).pdf","Transcript Link")</f>
        <v>Transcript Link</v>
      </c>
    </row>
    <row r="1581" ht="240" spans="1:13">
      <c r="A1581" s="1" t="s">
        <v>7398</v>
      </c>
      <c r="B1581" s="1" t="s">
        <v>13</v>
      </c>
      <c r="C1581" s="4" t="s">
        <v>7399</v>
      </c>
      <c r="D1581" s="1" t="s">
        <v>7400</v>
      </c>
      <c r="E1581" s="1" t="s">
        <v>7401</v>
      </c>
      <c r="F1581" s="4" t="s">
        <v>17</v>
      </c>
      <c r="G1581" s="1" t="s">
        <v>18</v>
      </c>
      <c r="H1581" s="1" t="s">
        <v>19</v>
      </c>
      <c r="I1581" s="1" t="s">
        <v>20</v>
      </c>
      <c r="J1581" s="1" t="s">
        <v>7402</v>
      </c>
      <c r="K1581" s="1" t="s">
        <v>22</v>
      </c>
      <c r="L1581" s="1" t="str">
        <f>HYPERLINK("https://files.afu.se/Downloads/Transcripts/0%20-%20Government/USA%20-%20NASA/2016 06 03 - NASA - Earth Expeditions  Sea Hunt for Climate-Ocean Biology Link_5agitRTpjRo - transcript (automated).pdf","Transcript Link")</f>
        <v>Transcript Link</v>
      </c>
      <c r="M1581" s="2" t="str">
        <f>HYPERLINK("https://files.afu.se/Downloads/Transcripts/0%20-%20Government/USA%20-%20NASA/2016 06 03 - NASA - Earth Expeditions  Sea Hunt for Climate-Ocean Biology Link_5agitRTpjRo - transcript (automated).pdf","Transcript Link")</f>
        <v>Transcript Link</v>
      </c>
    </row>
    <row r="1582" ht="165" spans="1:13">
      <c r="A1582" s="1" t="s">
        <v>7398</v>
      </c>
      <c r="B1582" s="1" t="s">
        <v>13</v>
      </c>
      <c r="C1582" s="4" t="s">
        <v>7403</v>
      </c>
      <c r="D1582" s="1" t="s">
        <v>7404</v>
      </c>
      <c r="E1582" s="1" t="s">
        <v>7405</v>
      </c>
      <c r="F1582" s="4" t="s">
        <v>17</v>
      </c>
      <c r="G1582" s="1" t="s">
        <v>18</v>
      </c>
      <c r="H1582" s="1" t="s">
        <v>19</v>
      </c>
      <c r="I1582" s="1" t="s">
        <v>20</v>
      </c>
      <c r="J1582" s="1" t="s">
        <v>7406</v>
      </c>
      <c r="K1582" s="1" t="s">
        <v>22</v>
      </c>
      <c r="L1582" s="1" t="str">
        <f>HYPERLINK("https://files.afu.se/Downloads/Transcripts/0%20-%20Government/USA%20-%20NASA/2016 06 03 - NASA - What's this NASA NAAMES thing all about _nrI8U1vIQDg - transcript (automated).pdf","Transcript Link")</f>
        <v>Transcript Link</v>
      </c>
      <c r="M1582" s="2" t="str">
        <f>HYPERLINK("https://files.afu.se/Downloads/Transcripts/0%20-%20Government/USA%20-%20NASA/2016 06 03 - NASA - What's this NASA NAAMES thing all about _nrI8U1vIQDg - transcript (automated).pdf","Transcript Link")</f>
        <v>Transcript Link</v>
      </c>
    </row>
    <row r="1583" ht="225" spans="1:13">
      <c r="A1583" s="1" t="s">
        <v>7398</v>
      </c>
      <c r="B1583" s="1" t="s">
        <v>13</v>
      </c>
      <c r="C1583" s="4" t="s">
        <v>7407</v>
      </c>
      <c r="D1583" s="1" t="s">
        <v>7408</v>
      </c>
      <c r="E1583" s="1" t="s">
        <v>7409</v>
      </c>
      <c r="F1583" s="4" t="s">
        <v>17</v>
      </c>
      <c r="G1583" s="1" t="s">
        <v>18</v>
      </c>
      <c r="H1583" s="1" t="s">
        <v>19</v>
      </c>
      <c r="I1583" s="1" t="s">
        <v>20</v>
      </c>
      <c r="J1583" s="1" t="s">
        <v>7410</v>
      </c>
      <c r="K1583" s="1" t="s">
        <v>22</v>
      </c>
      <c r="L1583" s="1" t="str">
        <f>HYPERLINK("https://files.afu.se/Downloads/Transcripts/0%20-%20Government/USA%20-%20NASA/2016 06 03 - NASA - Update on Space Station’s Expandable Module on This Week @NASA – June 3, 2016_4cCdiTnt4BE - transcript (automated).pdf","Transcript Link")</f>
        <v>Transcript Link</v>
      </c>
      <c r="M1583" s="2" t="str">
        <f>HYPERLINK("https://files.afu.se/Downloads/Transcripts/0%20-%20Government/USA%20-%20NASA/2016 06 03 - NASA - Update on Space Station’s Expandable Module on This Week @NASA – June 3, 2016_4cCdiTnt4BE - transcript (automated).pdf","Transcript Link")</f>
        <v>Transcript Link</v>
      </c>
    </row>
    <row r="1584" ht="180" spans="1:13">
      <c r="A1584" s="1" t="s">
        <v>7411</v>
      </c>
      <c r="B1584" s="1" t="s">
        <v>13</v>
      </c>
      <c r="C1584" s="4" t="s">
        <v>7412</v>
      </c>
      <c r="D1584" s="1" t="s">
        <v>7413</v>
      </c>
      <c r="E1584" s="1" t="s">
        <v>7414</v>
      </c>
      <c r="F1584" s="4" t="s">
        <v>17</v>
      </c>
      <c r="G1584" s="1" t="s">
        <v>18</v>
      </c>
      <c r="H1584" s="1" t="s">
        <v>19</v>
      </c>
      <c r="I1584" s="1" t="s">
        <v>20</v>
      </c>
      <c r="J1584" s="1" t="s">
        <v>7415</v>
      </c>
      <c r="K1584" s="1" t="s">
        <v>22</v>
      </c>
      <c r="L1584" s="1" t="str">
        <f>HYPERLINK("https://files.afu.se/Downloads/Transcripts/0%20-%20Government/USA%20-%20NASA/2016 06 01 - NASA - Space Station Astronauts Describe what it is “Like” Living and Working in Space_R3hb7-MaPlQ - transcript (automated).pdf","Transcript Link")</f>
        <v>Transcript Link</v>
      </c>
      <c r="M1584" s="2" t="str">
        <f>HYPERLINK("https://files.afu.se/Downloads/Transcripts/0%20-%20Government/USA%20-%20NASA/2016 06 01 - NASA - Space Station Astronauts Describe what it is “Like” Living and Working in Space_R3hb7-MaPlQ - transcript (automated).pdf","Transcript Link")</f>
        <v>Transcript Link</v>
      </c>
    </row>
    <row r="1585" ht="165" spans="1:13">
      <c r="A1585" s="1" t="s">
        <v>7411</v>
      </c>
      <c r="B1585" s="1" t="s">
        <v>13</v>
      </c>
      <c r="C1585" s="4" t="s">
        <v>7416</v>
      </c>
      <c r="D1585" s="1" t="s">
        <v>7417</v>
      </c>
      <c r="E1585" s="1" t="s">
        <v>7418</v>
      </c>
      <c r="F1585" s="4" t="s">
        <v>17</v>
      </c>
      <c r="G1585" s="1" t="s">
        <v>18</v>
      </c>
      <c r="H1585" s="1" t="s">
        <v>19</v>
      </c>
      <c r="I1585" s="1" t="s">
        <v>20</v>
      </c>
      <c r="J1585" s="1" t="s">
        <v>7419</v>
      </c>
      <c r="K1585" s="1" t="s">
        <v>22</v>
      </c>
      <c r="L1585" s="1" t="str">
        <f>HYPERLINK("https://files.afu.se/Downloads/Transcripts/0%20-%20Government/USA%20-%20NASA/2016 06 01 - NASA - NASA’s Kate Rubins Prepares for Mission to the Space Station_N38_WrUUw-A - transcript (automated).pdf","Transcript Link")</f>
        <v>Transcript Link</v>
      </c>
      <c r="M1585" s="2" t="str">
        <f>HYPERLINK("https://files.afu.se/Downloads/Transcripts/0%20-%20Government/USA%20-%20NASA/2016 06 01 - NASA - NASA’s Kate Rubins Prepares for Mission to the Space Station_N38_WrUUw-A - transcript (automated).pdf","Transcript Link")</f>
        <v>Transcript Link</v>
      </c>
    </row>
    <row r="1586" ht="165" spans="1:13">
      <c r="A1586" s="1" t="s">
        <v>7420</v>
      </c>
      <c r="B1586" s="1" t="s">
        <v>13</v>
      </c>
      <c r="C1586" s="4" t="s">
        <v>7421</v>
      </c>
      <c r="D1586" s="1" t="s">
        <v>7422</v>
      </c>
      <c r="E1586" s="1" t="s">
        <v>7423</v>
      </c>
      <c r="F1586" s="4" t="s">
        <v>17</v>
      </c>
      <c r="G1586" s="1" t="s">
        <v>18</v>
      </c>
      <c r="H1586" s="1" t="s">
        <v>19</v>
      </c>
      <c r="I1586" s="1" t="s">
        <v>20</v>
      </c>
      <c r="J1586" s="1" t="s">
        <v>7424</v>
      </c>
      <c r="K1586" s="1" t="s">
        <v>22</v>
      </c>
      <c r="L1586" s="1" t="str">
        <f>HYPERLINK("https://files.afu.se/Downloads/Transcripts/0%20-%20Government/USA%20-%20NASA/2016 05 31 - NASA - Next Space Station Crew Discusses Upcoming Mission_UeLd8aHkZI4 - transcript (automated).pdf","Transcript Link")</f>
        <v>Transcript Link</v>
      </c>
      <c r="M1586" s="2" t="str">
        <f>HYPERLINK("https://files.afu.se/Downloads/Transcripts/0%20-%20Government/USA%20-%20NASA/2016 05 31 - NASA - Next Space Station Crew Discusses Upcoming Mission_UeLd8aHkZI4 - transcript (automated).pdf","Transcript Link")</f>
        <v>Transcript Link</v>
      </c>
    </row>
    <row r="1587" ht="180" spans="1:13">
      <c r="A1587" s="1" t="s">
        <v>7420</v>
      </c>
      <c r="B1587" s="1" t="s">
        <v>13</v>
      </c>
      <c r="C1587" s="4" t="s">
        <v>7425</v>
      </c>
      <c r="D1587" s="1" t="s">
        <v>7426</v>
      </c>
      <c r="E1587" s="1" t="s">
        <v>7427</v>
      </c>
      <c r="F1587" s="4" t="s">
        <v>17</v>
      </c>
      <c r="G1587" s="1" t="s">
        <v>18</v>
      </c>
      <c r="H1587" s="1" t="s">
        <v>19</v>
      </c>
      <c r="I1587" s="1" t="s">
        <v>20</v>
      </c>
      <c r="J1587" s="1" t="s">
        <v>7428</v>
      </c>
      <c r="K1587" s="1" t="s">
        <v>22</v>
      </c>
      <c r="L1587" s="1" t="str">
        <f>HYPERLINK("https://files.afu.se/Downloads/Transcripts/0%20-%20Government/USA%20-%20NASA/2016 05 31 - NASA - Next Space Station Crew Continues Pre-launch Training Tradition in Russia_-rmgePdQYrc - transcript (automated).pdf","Transcript Link")</f>
        <v>Transcript Link</v>
      </c>
      <c r="M1587" s="2" t="str">
        <f>HYPERLINK("https://files.afu.se/Downloads/Transcripts/0%20-%20Government/USA%20-%20NASA/2016 05 31 - NASA - Next Space Station Crew Continues Pre-launch Training Tradition in Russia_-rmgePdQYrc - transcript (automated).pdf","Transcript Link")</f>
        <v>Transcript Link</v>
      </c>
    </row>
    <row r="1588" ht="165" spans="1:13">
      <c r="A1588" s="1" t="s">
        <v>7420</v>
      </c>
      <c r="B1588" s="1" t="s">
        <v>13</v>
      </c>
      <c r="C1588" s="4" t="s">
        <v>7429</v>
      </c>
      <c r="D1588" s="1" t="s">
        <v>7430</v>
      </c>
      <c r="E1588" s="1" t="s">
        <v>7431</v>
      </c>
      <c r="F1588" s="4" t="s">
        <v>17</v>
      </c>
      <c r="G1588" s="1" t="s">
        <v>18</v>
      </c>
      <c r="H1588" s="1" t="s">
        <v>19</v>
      </c>
      <c r="I1588" s="1" t="s">
        <v>20</v>
      </c>
      <c r="J1588" s="1" t="s">
        <v>7432</v>
      </c>
      <c r="K1588" s="1" t="s">
        <v>22</v>
      </c>
      <c r="L1588" s="1" t="str">
        <f>HYPERLINK("https://files.afu.se/Downloads/Transcripts/0%20-%20Government/USA%20-%20NASA/2016 05 31 - NASA - British Space Station Crew Member Discusses Life in Space with the Media_6nNM4aWKCdk - transcript (automated).pdf","Transcript Link")</f>
        <v>Transcript Link</v>
      </c>
      <c r="M1588" s="2" t="str">
        <f>HYPERLINK("https://files.afu.se/Downloads/Transcripts/0%20-%20Government/USA%20-%20NASA/2016 05 31 - NASA - British Space Station Crew Member Discusses Life in Space with the Media_6nNM4aWKCdk - transcript (automated).pdf","Transcript Link")</f>
        <v>Transcript Link</v>
      </c>
    </row>
    <row r="1589" ht="180" spans="1:13">
      <c r="A1589" s="1" t="s">
        <v>7433</v>
      </c>
      <c r="B1589" s="1" t="s">
        <v>13</v>
      </c>
      <c r="C1589" s="4" t="s">
        <v>7434</v>
      </c>
      <c r="D1589" s="1" t="s">
        <v>7435</v>
      </c>
      <c r="E1589" s="1" t="s">
        <v>7436</v>
      </c>
      <c r="F1589" s="4" t="s">
        <v>17</v>
      </c>
      <c r="G1589" s="1" t="s">
        <v>18</v>
      </c>
      <c r="H1589" s="1" t="s">
        <v>19</v>
      </c>
      <c r="I1589" s="1" t="s">
        <v>20</v>
      </c>
      <c r="J1589" s="1" t="s">
        <v>7437</v>
      </c>
      <c r="K1589" s="1" t="s">
        <v>22</v>
      </c>
      <c r="L1589" s="1" t="str">
        <f>HYPERLINK("https://files.afu.se/Downloads/Transcripts/0%20-%20Government/USA%20-%20NASA/2016 05 28 - NASA - Expanding Technology Aboard the ISS_LpIeFiLtE78 - transcript (automated).pdf","Transcript Link")</f>
        <v>Transcript Link</v>
      </c>
      <c r="M1589" s="2" t="str">
        <f>HYPERLINK("https://files.afu.se/Downloads/Transcripts/0%20-%20Government/USA%20-%20NASA/2016 05 28 - NASA - Expanding Technology Aboard the ISS_LpIeFiLtE78 - transcript (automated).pdf","Transcript Link")</f>
        <v>Transcript Link</v>
      </c>
    </row>
    <row r="1590" ht="165" spans="1:13">
      <c r="A1590" s="1" t="s">
        <v>7433</v>
      </c>
      <c r="B1590" s="1" t="s">
        <v>13</v>
      </c>
      <c r="C1590" s="4" t="s">
        <v>7438</v>
      </c>
      <c r="D1590" s="1" t="s">
        <v>7439</v>
      </c>
      <c r="E1590" s="1" t="s">
        <v>7440</v>
      </c>
      <c r="F1590" s="4" t="s">
        <v>17</v>
      </c>
      <c r="G1590" s="1" t="s">
        <v>18</v>
      </c>
      <c r="H1590" s="1" t="s">
        <v>19</v>
      </c>
      <c r="I1590" s="1" t="s">
        <v>20</v>
      </c>
      <c r="J1590" s="1" t="s">
        <v>7441</v>
      </c>
      <c r="K1590" s="1" t="s">
        <v>22</v>
      </c>
      <c r="L1590" s="1" t="str">
        <f>HYPERLINK("https://files.afu.se/Downloads/Transcripts/0%20-%20Government/USA%20-%20NASA/2016 05 28 - NASA - NASA Celebrates Memorial Day_t-MzHqZlwPY - transcript (automated).pdf","Transcript Link")</f>
        <v>Transcript Link</v>
      </c>
      <c r="M1590" s="2" t="str">
        <f>HYPERLINK("https://files.afu.se/Downloads/Transcripts/0%20-%20Government/USA%20-%20NASA/2016 05 28 - NASA - NASA Celebrates Memorial Day_t-MzHqZlwPY - transcript (automated).pdf","Transcript Link")</f>
        <v>Transcript Link</v>
      </c>
    </row>
    <row r="1591" ht="240" spans="1:13">
      <c r="A1591" s="1" t="s">
        <v>7442</v>
      </c>
      <c r="B1591" s="1" t="s">
        <v>13</v>
      </c>
      <c r="C1591" s="4" t="s">
        <v>7443</v>
      </c>
      <c r="D1591" s="1" t="s">
        <v>7444</v>
      </c>
      <c r="E1591" s="1" t="s">
        <v>7445</v>
      </c>
      <c r="F1591" s="4" t="s">
        <v>17</v>
      </c>
      <c r="G1591" s="1" t="s">
        <v>18</v>
      </c>
      <c r="H1591" s="1" t="s">
        <v>19</v>
      </c>
      <c r="I1591" s="1" t="s">
        <v>20</v>
      </c>
      <c r="J1591" s="1" t="s">
        <v>7446</v>
      </c>
      <c r="K1591" s="1" t="s">
        <v>22</v>
      </c>
      <c r="L1591" s="1" t="str">
        <f>HYPERLINK("https://files.afu.se/Downloads/Transcripts/0%20-%20Government/USA%20-%20NASA/2016 05 27 - NASA - Scott Kelly Reflects on One Year Mission on This Week @NASA – May 27, 2016_nqXQeBqJo_0 - transcript (automated).pdf","Transcript Link")</f>
        <v>Transcript Link</v>
      </c>
      <c r="M1591" s="2" t="str">
        <f>HYPERLINK("https://files.afu.se/Downloads/Transcripts/0%20-%20Government/USA%20-%20NASA/2016 05 27 - NASA - Scott Kelly Reflects on One Year Mission on This Week @NASA – May 27, 2016_nqXQeBqJo_0 - transcript (automated).pdf","Transcript Link")</f>
        <v>Transcript Link</v>
      </c>
    </row>
    <row r="1592" ht="165" spans="1:13">
      <c r="A1592" s="1" t="s">
        <v>7442</v>
      </c>
      <c r="B1592" s="1" t="s">
        <v>13</v>
      </c>
      <c r="C1592" s="4" t="s">
        <v>7447</v>
      </c>
      <c r="D1592" s="1" t="s">
        <v>7448</v>
      </c>
      <c r="E1592" s="1" t="s">
        <v>7449</v>
      </c>
      <c r="F1592" s="4" t="s">
        <v>17</v>
      </c>
      <c r="G1592" s="1" t="s">
        <v>18</v>
      </c>
      <c r="H1592" s="1" t="s">
        <v>19</v>
      </c>
      <c r="I1592" s="1" t="s">
        <v>20</v>
      </c>
      <c r="J1592" s="1" t="s">
        <v>7450</v>
      </c>
      <c r="K1592" s="1" t="s">
        <v>22</v>
      </c>
      <c r="L1592" s="1" t="str">
        <f>HYPERLINK("https://files.afu.se/Downloads/Transcripts/0%20-%20Government/USA%20-%20NASA/2016 05 27 - NASA - Next Space Station Crew Trains Near Moscow_GcpHrux-OOQ - transcript (automated).pdf","Transcript Link")</f>
        <v>Transcript Link</v>
      </c>
      <c r="M1592" s="2" t="str">
        <f>HYPERLINK("https://files.afu.se/Downloads/Transcripts/0%20-%20Government/USA%20-%20NASA/2016 05 27 - NASA - Next Space Station Crew Trains Near Moscow_GcpHrux-OOQ - transcript (automated).pdf","Transcript Link")</f>
        <v>Transcript Link</v>
      </c>
    </row>
    <row r="1593" ht="165" spans="1:13">
      <c r="A1593" s="1" t="s">
        <v>7451</v>
      </c>
      <c r="B1593" s="1" t="s">
        <v>13</v>
      </c>
      <c r="C1593" s="4" t="s">
        <v>7452</v>
      </c>
      <c r="D1593" s="1" t="s">
        <v>7453</v>
      </c>
      <c r="E1593" s="1" t="s">
        <v>7454</v>
      </c>
      <c r="F1593" s="4" t="s">
        <v>17</v>
      </c>
      <c r="G1593" s="1" t="s">
        <v>18</v>
      </c>
      <c r="H1593" s="1" t="s">
        <v>19</v>
      </c>
      <c r="I1593" s="1" t="s">
        <v>20</v>
      </c>
      <c r="J1593" s="1" t="s">
        <v>7455</v>
      </c>
      <c r="K1593" s="1" t="s">
        <v>22</v>
      </c>
      <c r="L1593" s="1" t="str">
        <f>HYPERLINK("https://files.afu.se/Downloads/Transcripts/0%20-%20Government/USA%20-%20NASA/2016 05 25 - NASA - STEM in 30 - Moon Rocks_fiuGehQaii0 - transcript (automated).pdf","Transcript Link")</f>
        <v>Transcript Link</v>
      </c>
      <c r="M1593" s="2" t="str">
        <f>HYPERLINK("https://files.afu.se/Downloads/Transcripts/0%20-%20Government/USA%20-%20NASA/2016 05 25 - NASA - STEM in 30 - Moon Rocks_fiuGehQaii0 - transcript (automated).pdf","Transcript Link")</f>
        <v>Transcript Link</v>
      </c>
    </row>
    <row r="1594" ht="165" spans="1:13">
      <c r="A1594" s="1" t="s">
        <v>7451</v>
      </c>
      <c r="B1594" s="1" t="s">
        <v>13</v>
      </c>
      <c r="C1594" s="4" t="s">
        <v>7456</v>
      </c>
      <c r="D1594" s="1" t="s">
        <v>7457</v>
      </c>
      <c r="E1594" s="1" t="s">
        <v>7458</v>
      </c>
      <c r="F1594" s="4" t="s">
        <v>17</v>
      </c>
      <c r="G1594" s="1" t="s">
        <v>18</v>
      </c>
      <c r="H1594" s="1" t="s">
        <v>19</v>
      </c>
      <c r="I1594" s="1" t="s">
        <v>20</v>
      </c>
      <c r="J1594" s="1" t="s">
        <v>7459</v>
      </c>
      <c r="K1594" s="1" t="s">
        <v>22</v>
      </c>
      <c r="L1594" s="1" t="str">
        <f>HYPERLINK("https://files.afu.se/Downloads/Transcripts/0%20-%20Government/USA%20-%20NASA/2016 05 25 - NASA - Retired Astronaut Scott Kelly Reflects on Year-Long ISS Mission_mupWhk2cbT0 - transcript (automated).pdf","Transcript Link")</f>
        <v>Transcript Link</v>
      </c>
      <c r="M1594" s="2" t="str">
        <f>HYPERLINK("https://files.afu.se/Downloads/Transcripts/0%20-%20Government/USA%20-%20NASA/2016 05 25 - NASA - Retired Astronaut Scott Kelly Reflects on Year-Long ISS Mission_mupWhk2cbT0 - transcript (automated).pdf","Transcript Link")</f>
        <v>Transcript Link</v>
      </c>
    </row>
    <row r="1595" ht="165" spans="1:13">
      <c r="A1595" s="1" t="s">
        <v>7460</v>
      </c>
      <c r="B1595" s="1" t="s">
        <v>13</v>
      </c>
      <c r="C1595" s="4" t="s">
        <v>7461</v>
      </c>
      <c r="D1595" s="1" t="s">
        <v>7462</v>
      </c>
      <c r="E1595" s="1" t="s">
        <v>7463</v>
      </c>
      <c r="F1595" s="4" t="s">
        <v>17</v>
      </c>
      <c r="G1595" s="1" t="s">
        <v>18</v>
      </c>
      <c r="H1595" s="1" t="s">
        <v>19</v>
      </c>
      <c r="I1595" s="1" t="s">
        <v>20</v>
      </c>
      <c r="J1595" s="1" t="s">
        <v>7464</v>
      </c>
      <c r="K1595" s="1" t="s">
        <v>22</v>
      </c>
      <c r="L1595" s="1" t="str">
        <f>HYPERLINK("https://files.afu.se/Downloads/Transcripts/0%20-%20Government/USA%20-%20NASA/2016 05 24 - NASA - British Astronaut Talks about Life on the Space Station_JFxq4WfiKio - transcript (automated).pdf","Transcript Link")</f>
        <v>Transcript Link</v>
      </c>
      <c r="M1595" s="2" t="str">
        <f>HYPERLINK("https://files.afu.se/Downloads/Transcripts/0%20-%20Government/USA%20-%20NASA/2016 05 24 - NASA - British Astronaut Talks about Life on the Space Station_JFxq4WfiKio - transcript (automated).pdf","Transcript Link")</f>
        <v>Transcript Link</v>
      </c>
    </row>
    <row r="1596" ht="195" spans="1:13">
      <c r="A1596" s="1" t="s">
        <v>7465</v>
      </c>
      <c r="B1596" s="1" t="s">
        <v>13</v>
      </c>
      <c r="C1596" s="4" t="s">
        <v>7466</v>
      </c>
      <c r="D1596" s="1" t="s">
        <v>7467</v>
      </c>
      <c r="E1596" s="1" t="s">
        <v>7468</v>
      </c>
      <c r="F1596" s="4" t="s">
        <v>17</v>
      </c>
      <c r="G1596" s="1" t="s">
        <v>18</v>
      </c>
      <c r="H1596" s="1" t="s">
        <v>19</v>
      </c>
      <c r="I1596" s="1" t="s">
        <v>20</v>
      </c>
      <c r="J1596" s="1" t="s">
        <v>7469</v>
      </c>
      <c r="K1596" s="1" t="s">
        <v>22</v>
      </c>
      <c r="L1596" s="1" t="str">
        <f>HYPERLINK("https://files.afu.se/Downloads/Transcripts/0%20-%20Government/USA%20-%20NASA/2016 05 20 - NASA - Space Station’s 100,000th Orbit on This Week @NASA – May 20, 2016_mtehu3BEJfM - transcript (automated).pdf","Transcript Link")</f>
        <v>Transcript Link</v>
      </c>
      <c r="M1596" s="2" t="str">
        <f>HYPERLINK("https://files.afu.se/Downloads/Transcripts/0%20-%20Government/USA%20-%20NASA/2016 05 20 - NASA - Space Station’s 100,000th Orbit on This Week @NASA – May 20, 2016_mtehu3BEJfM - transcript (automated).pdf","Transcript Link")</f>
        <v>Transcript Link</v>
      </c>
    </row>
    <row r="1597" ht="165" spans="1:13">
      <c r="A1597" s="1" t="s">
        <v>7465</v>
      </c>
      <c r="B1597" s="1" t="s">
        <v>13</v>
      </c>
      <c r="C1597" s="4" t="s">
        <v>7470</v>
      </c>
      <c r="D1597" s="1" t="s">
        <v>7471</v>
      </c>
      <c r="E1597" s="1" t="s">
        <v>7472</v>
      </c>
      <c r="F1597" s="4" t="s">
        <v>17</v>
      </c>
      <c r="G1597" s="1" t="s">
        <v>18</v>
      </c>
      <c r="H1597" s="1" t="s">
        <v>19</v>
      </c>
      <c r="I1597" s="1" t="s">
        <v>20</v>
      </c>
      <c r="J1597" s="1" t="s">
        <v>7473</v>
      </c>
      <c r="K1597" s="1" t="s">
        <v>22</v>
      </c>
      <c r="L1597" s="1" t="str">
        <f>HYPERLINK("https://files.afu.se/Downloads/Transcripts/0%20-%20Government/USA%20-%20NASA/2016 05 20 - NASA - NASA and Angry Birds_SwlN9rgsYwg - transcript (automated).pdf","Transcript Link")</f>
        <v>Transcript Link</v>
      </c>
      <c r="M1597" s="2" t="str">
        <f>HYPERLINK("https://files.afu.se/Downloads/Transcripts/0%20-%20Government/USA%20-%20NASA/2016 05 20 - NASA - NASA and Angry Birds_SwlN9rgsYwg - transcript (automated).pdf","Transcript Link")</f>
        <v>Transcript Link</v>
      </c>
    </row>
    <row r="1598" ht="165" spans="1:13">
      <c r="A1598" s="1" t="s">
        <v>7474</v>
      </c>
      <c r="B1598" s="1" t="s">
        <v>13</v>
      </c>
      <c r="C1598" s="4" t="s">
        <v>7475</v>
      </c>
      <c r="D1598" s="1" t="s">
        <v>7476</v>
      </c>
      <c r="E1598" s="1" t="s">
        <v>7477</v>
      </c>
      <c r="F1598" s="4" t="s">
        <v>17</v>
      </c>
      <c r="G1598" s="1" t="s">
        <v>18</v>
      </c>
      <c r="H1598" s="1" t="s">
        <v>19</v>
      </c>
      <c r="I1598" s="1" t="s">
        <v>20</v>
      </c>
      <c r="J1598" s="1" t="s">
        <v>7478</v>
      </c>
      <c r="K1598" s="1" t="s">
        <v>22</v>
      </c>
      <c r="L1598" s="1" t="str">
        <f>HYPERLINK("https://files.afu.se/Downloads/Transcripts/0%20-%20Government/USA%20-%20NASA/2016 05 19 - NASA - Space Station Astronaut Shares On Orbit Experiences with Hometown School_xe26PQl965I - transcript (automated).pdf","Transcript Link")</f>
        <v>Transcript Link</v>
      </c>
      <c r="M1598" s="2" t="str">
        <f>HYPERLINK("https://files.afu.se/Downloads/Transcripts/0%20-%20Government/USA%20-%20NASA/2016 05 19 - NASA - Space Station Astronaut Shares On Orbit Experiences with Hometown School_xe26PQl965I - transcript (automated).pdf","Transcript Link")</f>
        <v>Transcript Link</v>
      </c>
    </row>
    <row r="1599" ht="195" spans="1:13">
      <c r="A1599" s="1" t="s">
        <v>7479</v>
      </c>
      <c r="B1599" s="1" t="s">
        <v>13</v>
      </c>
      <c r="C1599" s="4" t="s">
        <v>7480</v>
      </c>
      <c r="D1599" s="1" t="s">
        <v>7481</v>
      </c>
      <c r="E1599" s="1" t="s">
        <v>7482</v>
      </c>
      <c r="F1599" s="4" t="s">
        <v>17</v>
      </c>
      <c r="G1599" s="1" t="s">
        <v>18</v>
      </c>
      <c r="H1599" s="1" t="s">
        <v>19</v>
      </c>
      <c r="I1599" s="1" t="s">
        <v>20</v>
      </c>
      <c r="J1599" s="1" t="s">
        <v>7483</v>
      </c>
      <c r="K1599" s="1" t="s">
        <v>22</v>
      </c>
      <c r="L1599" s="1" t="str">
        <f>HYPERLINK("https://files.afu.se/Downloads/Transcripts/0%20-%20Government/USA%20-%20NASA/2016 05 17 - NASA - NASA Asian American and Pacific Islander Heritage Month  Son Le, SSC_Fs4KQQgS_JA - transcript (automated).pdf","Transcript Link")</f>
        <v>Transcript Link</v>
      </c>
      <c r="M1599" s="2" t="str">
        <f>HYPERLINK("https://files.afu.se/Downloads/Transcripts/0%20-%20Government/USA%20-%20NASA/2016 05 17 - NASA - NASA Asian American and Pacific Islander Heritage Month  Son Le, SSC_Fs4KQQgS_JA - transcript (automated).pdf","Transcript Link")</f>
        <v>Transcript Link</v>
      </c>
    </row>
    <row r="1600" ht="165" spans="1:13">
      <c r="A1600" s="1" t="s">
        <v>7479</v>
      </c>
      <c r="B1600" s="1" t="s">
        <v>13</v>
      </c>
      <c r="C1600" s="4" t="s">
        <v>7484</v>
      </c>
      <c r="D1600" s="1" t="s">
        <v>7485</v>
      </c>
      <c r="E1600" s="1" t="s">
        <v>7486</v>
      </c>
      <c r="F1600" s="4" t="s">
        <v>17</v>
      </c>
      <c r="G1600" s="1" t="s">
        <v>18</v>
      </c>
      <c r="H1600" s="1" t="s">
        <v>19</v>
      </c>
      <c r="I1600" s="1" t="s">
        <v>20</v>
      </c>
      <c r="J1600" s="1" t="s">
        <v>7487</v>
      </c>
      <c r="K1600" s="1" t="s">
        <v>22</v>
      </c>
      <c r="L1600" s="1" t="str">
        <f>HYPERLINK("https://files.afu.se/Downloads/Transcripts/0%20-%20Government/USA%20-%20NASA/2016 05 17 - NASA - Cleaning Up Outer Space_cat2Kdrujfw - transcript (automated).pdf","Transcript Link")</f>
        <v>Transcript Link</v>
      </c>
      <c r="M1600" s="2" t="str">
        <f>HYPERLINK("https://files.afu.se/Downloads/Transcripts/0%20-%20Government/USA%20-%20NASA/2016 05 17 - NASA - Cleaning Up Outer Space_cat2Kdrujfw - transcript (automated).pdf","Transcript Link")</f>
        <v>Transcript Link</v>
      </c>
    </row>
    <row r="1601" ht="165" spans="1:13">
      <c r="A1601" s="1" t="s">
        <v>7479</v>
      </c>
      <c r="B1601" s="1" t="s">
        <v>13</v>
      </c>
      <c r="C1601" s="4" t="s">
        <v>7488</v>
      </c>
      <c r="D1601" s="1" t="s">
        <v>7489</v>
      </c>
      <c r="E1601" s="1" t="s">
        <v>7490</v>
      </c>
      <c r="F1601" s="4" t="s">
        <v>17</v>
      </c>
      <c r="G1601" s="1" t="s">
        <v>18</v>
      </c>
      <c r="H1601" s="1" t="s">
        <v>19</v>
      </c>
      <c r="I1601" s="1" t="s">
        <v>20</v>
      </c>
      <c r="J1601" s="1" t="s">
        <v>7491</v>
      </c>
      <c r="K1601" s="1" t="s">
        <v>22</v>
      </c>
      <c r="L1601" s="1" t="str">
        <f>HYPERLINK("https://files.afu.se/Downloads/Transcripts/0%20-%20Government/USA%20-%20NASA/2016 05 17 - NASA - ISS Crewmember Reflects on the Science Accomplished Aboard the Station_pQfN9j9wrKI - transcript (automated).pdf","Transcript Link")</f>
        <v>Transcript Link</v>
      </c>
      <c r="M1601" s="2" t="str">
        <f>HYPERLINK("https://files.afu.se/Downloads/Transcripts/0%20-%20Government/USA%20-%20NASA/2016 05 17 - NASA - ISS Crewmember Reflects on the Science Accomplished Aboard the Station_pQfN9j9wrKI - transcript (automated).pdf","Transcript Link")</f>
        <v>Transcript Link</v>
      </c>
    </row>
    <row r="1602" ht="195" spans="1:13">
      <c r="A1602" s="1" t="s">
        <v>7492</v>
      </c>
      <c r="B1602" s="1" t="s">
        <v>13</v>
      </c>
      <c r="C1602" s="4" t="s">
        <v>7493</v>
      </c>
      <c r="D1602" s="1" t="s">
        <v>7494</v>
      </c>
      <c r="E1602" s="1" t="s">
        <v>7495</v>
      </c>
      <c r="F1602" s="4" t="s">
        <v>17</v>
      </c>
      <c r="G1602" s="1" t="s">
        <v>18</v>
      </c>
      <c r="H1602" s="1" t="s">
        <v>19</v>
      </c>
      <c r="I1602" s="1" t="s">
        <v>20</v>
      </c>
      <c r="J1602" s="1" t="s">
        <v>7496</v>
      </c>
      <c r="K1602" s="1" t="s">
        <v>22</v>
      </c>
      <c r="L1602" s="1" t="str">
        <f>HYPERLINK("https://files.afu.se/Downloads/Transcripts/0%20-%20Government/USA%20-%20NASA/2016 05 16 - NASA - First Elementary School Built CubeSat_cHed9shjFIg - transcript (automated).pdf","Transcript Link")</f>
        <v>Transcript Link</v>
      </c>
      <c r="M1602" s="2" t="str">
        <f>HYPERLINK("https://files.afu.se/Downloads/Transcripts/0%20-%20Government/USA%20-%20NASA/2016 05 16 - NASA - First Elementary School Built CubeSat_cHed9shjFIg - transcript (automated).pdf","Transcript Link")</f>
        <v>Transcript Link</v>
      </c>
    </row>
    <row r="1603" ht="165" spans="1:13">
      <c r="A1603" s="1" t="s">
        <v>7492</v>
      </c>
      <c r="B1603" s="1" t="s">
        <v>13</v>
      </c>
      <c r="C1603" s="4" t="s">
        <v>7497</v>
      </c>
      <c r="D1603" s="1" t="s">
        <v>7498</v>
      </c>
      <c r="E1603" s="1" t="s">
        <v>7499</v>
      </c>
      <c r="F1603" s="4" t="s">
        <v>17</v>
      </c>
      <c r="G1603" s="1" t="s">
        <v>18</v>
      </c>
      <c r="H1603" s="1" t="s">
        <v>19</v>
      </c>
      <c r="I1603" s="1" t="s">
        <v>20</v>
      </c>
      <c r="J1603" s="1" t="s">
        <v>7500</v>
      </c>
      <c r="K1603" s="1" t="s">
        <v>22</v>
      </c>
      <c r="L1603" s="1" t="str">
        <f>HYPERLINK("https://files.afu.se/Downloads/Transcripts/0%20-%20Government/USA%20-%20NASA/2016 05 16 - NASA - NASA Asian American and Pacific Islander Heritage Month - Katherine Griffith, MSFC_jrF0k4uQb3g - transcript (automated).pdf","Transcript Link")</f>
        <v>Transcript Link</v>
      </c>
      <c r="M1603" s="2" t="str">
        <f>HYPERLINK("https://files.afu.se/Downloads/Transcripts/0%20-%20Government/USA%20-%20NASA/2016 05 16 - NASA - NASA Asian American and Pacific Islander Heritage Month - Katherine Griffith, MSFC_jrF0k4uQb3g - transcript (automated).pdf","Transcript Link")</f>
        <v>Transcript Link</v>
      </c>
    </row>
    <row r="1604" ht="165" spans="1:13">
      <c r="A1604" s="1" t="s">
        <v>7492</v>
      </c>
      <c r="B1604" s="1" t="s">
        <v>13</v>
      </c>
      <c r="C1604" s="4" t="s">
        <v>7501</v>
      </c>
      <c r="D1604" s="1" t="s">
        <v>7502</v>
      </c>
      <c r="E1604" s="1" t="s">
        <v>7503</v>
      </c>
      <c r="F1604" s="4" t="s">
        <v>17</v>
      </c>
      <c r="G1604" s="1" t="s">
        <v>18</v>
      </c>
      <c r="H1604" s="1" t="s">
        <v>19</v>
      </c>
      <c r="I1604" s="1" t="s">
        <v>20</v>
      </c>
      <c r="J1604" s="1" t="s">
        <v>7504</v>
      </c>
      <c r="K1604" s="1" t="s">
        <v>22</v>
      </c>
      <c r="L1604" s="1" t="str">
        <f>HYPERLINK("https://files.afu.se/Downloads/Transcripts/0%20-%20Government/USA%20-%20NASA/2016 05 16 - NASA - NASA Asian American and Pacific Islander Heritage Month Richard Hang, AFRC_ZIL5x5i8rYc - transcript (automated).pdf","Transcript Link")</f>
        <v>Transcript Link</v>
      </c>
      <c r="M1604" s="2" t="str">
        <f>HYPERLINK("https://files.afu.se/Downloads/Transcripts/0%20-%20Government/USA%20-%20NASA/2016 05 16 - NASA - NASA Asian American and Pacific Islander Heritage Month Richard Hang, AFRC_ZIL5x5i8rYc - transcript (automated).pdf","Transcript Link")</f>
        <v>Transcript Link</v>
      </c>
    </row>
    <row r="1605" ht="210" spans="1:13">
      <c r="A1605" s="1" t="s">
        <v>7492</v>
      </c>
      <c r="B1605" s="1" t="s">
        <v>13</v>
      </c>
      <c r="C1605" s="4" t="s">
        <v>7505</v>
      </c>
      <c r="D1605" s="1" t="s">
        <v>7506</v>
      </c>
      <c r="E1605" s="1" t="s">
        <v>7507</v>
      </c>
      <c r="F1605" s="4" t="s">
        <v>17</v>
      </c>
      <c r="G1605" s="1" t="s">
        <v>18</v>
      </c>
      <c r="H1605" s="1" t="s">
        <v>19</v>
      </c>
      <c r="I1605" s="1" t="s">
        <v>20</v>
      </c>
      <c r="J1605" s="1" t="s">
        <v>7508</v>
      </c>
      <c r="K1605" s="1" t="s">
        <v>22</v>
      </c>
      <c r="L1605" s="1" t="str">
        <f>HYPERLINK("https://files.afu.se/Downloads/Transcripts/0%20-%20Government/USA%20-%20NASA/2016 05 16 - NASA - Kudos from NASA Administrator for Elementary School CubeSat Deployed into Space_8W5RhA5LCvY - transcript (automated).pdf","Transcript Link")</f>
        <v>Transcript Link</v>
      </c>
      <c r="M1605" s="2" t="str">
        <f>HYPERLINK("https://files.afu.se/Downloads/Transcripts/0%20-%20Government/USA%20-%20NASA/2016 05 16 - NASA - Kudos from NASA Administrator for Elementary School CubeSat Deployed into Space_8W5RhA5LCvY - transcript (automated).pdf","Transcript Link")</f>
        <v>Transcript Link</v>
      </c>
    </row>
    <row r="1606" ht="165" spans="1:13">
      <c r="A1606" s="1" t="s">
        <v>7509</v>
      </c>
      <c r="B1606" s="1" t="s">
        <v>13</v>
      </c>
      <c r="C1606" s="4" t="s">
        <v>7510</v>
      </c>
      <c r="D1606" s="1" t="s">
        <v>7511</v>
      </c>
      <c r="E1606" s="1" t="s">
        <v>7512</v>
      </c>
      <c r="F1606" s="4" t="s">
        <v>17</v>
      </c>
      <c r="G1606" s="1" t="s">
        <v>18</v>
      </c>
      <c r="H1606" s="1" t="s">
        <v>19</v>
      </c>
      <c r="I1606" s="1" t="s">
        <v>20</v>
      </c>
      <c r="J1606" s="1" t="s">
        <v>7513</v>
      </c>
      <c r="K1606" s="1" t="s">
        <v>22</v>
      </c>
      <c r="L1606" s="1" t="str">
        <f>HYPERLINK("https://files.afu.se/Downloads/Transcripts/0%20-%20Government/USA%20-%20NASA/2016 05 15 - NASA - 2016 U.S. Astronaut Hall of Fame Induction_62xE6rfUq_o - transcript (automated).pdf","Transcript Link")</f>
        <v>Transcript Link</v>
      </c>
      <c r="M1606" s="2" t="str">
        <f>HYPERLINK("https://files.afu.se/Downloads/Transcripts/0%20-%20Government/USA%20-%20NASA/2016 05 15 - NASA - 2016 U.S. Astronaut Hall of Fame Induction_62xE6rfUq_o - transcript (automated).pdf","Transcript Link")</f>
        <v>Transcript Link</v>
      </c>
    </row>
    <row r="1607" ht="180" spans="1:13">
      <c r="A1607" s="1" t="s">
        <v>7514</v>
      </c>
      <c r="B1607" s="1" t="s">
        <v>13</v>
      </c>
      <c r="C1607" s="4" t="s">
        <v>7515</v>
      </c>
      <c r="D1607" s="1" t="s">
        <v>7516</v>
      </c>
      <c r="E1607" s="1" t="s">
        <v>7517</v>
      </c>
      <c r="F1607" s="4" t="s">
        <v>17</v>
      </c>
      <c r="G1607" s="1" t="s">
        <v>18</v>
      </c>
      <c r="H1607" s="1" t="s">
        <v>19</v>
      </c>
      <c r="I1607" s="1" t="s">
        <v>20</v>
      </c>
      <c r="J1607" s="1" t="s">
        <v>7518</v>
      </c>
      <c r="K1607" s="1" t="s">
        <v>22</v>
      </c>
      <c r="L1607" s="1" t="str">
        <f>HYPERLINK("https://files.afu.se/Downloads/Transcripts/0%20-%20Government/USA%20-%20NASA/2016 05 14 - NASA - NASA Hosts Students of Beating the Odds Foundation_PzkwtH5b95s - transcript (automated).pdf","Transcript Link")</f>
        <v>Transcript Link</v>
      </c>
      <c r="M1607" s="2" t="str">
        <f>HYPERLINK("https://files.afu.se/Downloads/Transcripts/0%20-%20Government/USA%20-%20NASA/2016 05 14 - NASA - NASA Hosts Students of Beating the Odds Foundation_PzkwtH5b95s - transcript (automated).pdf","Transcript Link")</f>
        <v>Transcript Link</v>
      </c>
    </row>
    <row r="1608" ht="240" spans="1:13">
      <c r="A1608" s="1" t="s">
        <v>7519</v>
      </c>
      <c r="B1608" s="1" t="s">
        <v>13</v>
      </c>
      <c r="C1608" s="4" t="s">
        <v>7520</v>
      </c>
      <c r="D1608" s="1" t="s">
        <v>7521</v>
      </c>
      <c r="E1608" s="1" t="s">
        <v>7522</v>
      </c>
      <c r="F1608" s="4" t="s">
        <v>17</v>
      </c>
      <c r="G1608" s="1" t="s">
        <v>18</v>
      </c>
      <c r="H1608" s="1" t="s">
        <v>19</v>
      </c>
      <c r="I1608" s="1" t="s">
        <v>20</v>
      </c>
      <c r="J1608" s="1" t="s">
        <v>7523</v>
      </c>
      <c r="K1608" s="1" t="s">
        <v>22</v>
      </c>
      <c r="L1608" s="1" t="str">
        <f>HYPERLINK("https://files.afu.se/Downloads/Transcripts/0%20-%20Government/USA%20-%20NASA/2016 05 13 - NASA - Mercury’s Transit of the Sun on This Week @NASA – May 13, 2016_Y4SE6e74A8c - transcript (automated).pdf","Transcript Link")</f>
        <v>Transcript Link</v>
      </c>
      <c r="M1608" s="2" t="str">
        <f>HYPERLINK("https://files.afu.se/Downloads/Transcripts/0%20-%20Government/USA%20-%20NASA/2016 05 13 - NASA - Mercury’s Transit of the Sun on This Week @NASA – May 13, 2016_Y4SE6e74A8c - transcript (automated).pdf","Transcript Link")</f>
        <v>Transcript Link</v>
      </c>
    </row>
    <row r="1609" ht="165" spans="1:13">
      <c r="A1609" s="1" t="s">
        <v>7524</v>
      </c>
      <c r="B1609" s="1" t="s">
        <v>13</v>
      </c>
      <c r="C1609" s="4" t="s">
        <v>7525</v>
      </c>
      <c r="D1609" s="1" t="s">
        <v>7526</v>
      </c>
      <c r="E1609" s="1" t="s">
        <v>7527</v>
      </c>
      <c r="F1609" s="4" t="s">
        <v>17</v>
      </c>
      <c r="G1609" s="1" t="s">
        <v>18</v>
      </c>
      <c r="H1609" s="1" t="s">
        <v>19</v>
      </c>
      <c r="I1609" s="1" t="s">
        <v>20</v>
      </c>
      <c r="J1609" s="1" t="s">
        <v>7528</v>
      </c>
      <c r="K1609" s="1" t="s">
        <v>22</v>
      </c>
      <c r="L1609" s="1" t="str">
        <f>HYPERLINK("https://files.afu.se/Downloads/Transcripts/0%20-%20Government/USA%20-%20NASA/2016 05 12 - NASA - NASA Asian American and Pacific Islander Heritage Month Profile - Wenshen Huang, GRC_Ij0LD7eAJLw - transcript (automated).pdf","Transcript Link")</f>
        <v>Transcript Link</v>
      </c>
      <c r="M1609" s="2" t="str">
        <f>HYPERLINK("https://files.afu.se/Downloads/Transcripts/0%20-%20Government/USA%20-%20NASA/2016 05 12 - NASA - NASA Asian American and Pacific Islander Heritage Month Profile - Wenshen Huang, GRC_Ij0LD7eAJLw - transcript (automated).pdf","Transcript Link")</f>
        <v>Transcript Link</v>
      </c>
    </row>
    <row r="1610" ht="165" spans="1:13">
      <c r="A1610" s="1" t="s">
        <v>7524</v>
      </c>
      <c r="B1610" s="1" t="s">
        <v>13</v>
      </c>
      <c r="C1610" s="4" t="s">
        <v>7529</v>
      </c>
      <c r="D1610" s="1" t="s">
        <v>7530</v>
      </c>
      <c r="E1610" s="1" t="s">
        <v>7531</v>
      </c>
      <c r="F1610" s="4" t="s">
        <v>17</v>
      </c>
      <c r="G1610" s="1" t="s">
        <v>18</v>
      </c>
      <c r="H1610" s="1" t="s">
        <v>19</v>
      </c>
      <c r="I1610" s="1" t="s">
        <v>20</v>
      </c>
      <c r="J1610" s="1" t="s">
        <v>7532</v>
      </c>
      <c r="K1610" s="1" t="s">
        <v>22</v>
      </c>
      <c r="L1610" s="1" t="str">
        <f>HYPERLINK("https://files.afu.se/Downloads/Transcripts/0%20-%20Government/USA%20-%20NASA/2016 05 12 - NASA - Earth Expeditions  Korea U.S.-Air Quality_0KZ1OjnzgB8 - transcript (automated).pdf","Transcript Link")</f>
        <v>Transcript Link</v>
      </c>
      <c r="M1610" s="2" t="str">
        <f>HYPERLINK("https://files.afu.se/Downloads/Transcripts/0%20-%20Government/USA%20-%20NASA/2016 05 12 - NASA - Earth Expeditions  Korea U.S.-Air Quality_0KZ1OjnzgB8 - transcript (automated).pdf","Transcript Link")</f>
        <v>Transcript Link</v>
      </c>
    </row>
    <row r="1611" ht="165" spans="1:13">
      <c r="A1611" s="1" t="s">
        <v>7524</v>
      </c>
      <c r="B1611" s="1" t="s">
        <v>13</v>
      </c>
      <c r="C1611" s="4" t="s">
        <v>7533</v>
      </c>
      <c r="D1611" s="1" t="s">
        <v>7534</v>
      </c>
      <c r="E1611" s="1" t="s">
        <v>7535</v>
      </c>
      <c r="F1611" s="4" t="s">
        <v>17</v>
      </c>
      <c r="G1611" s="1" t="s">
        <v>18</v>
      </c>
      <c r="H1611" s="1" t="s">
        <v>19</v>
      </c>
      <c r="I1611" s="1" t="s">
        <v>20</v>
      </c>
      <c r="J1611" s="1" t="s">
        <v>7536</v>
      </c>
      <c r="K1611" s="1" t="s">
        <v>22</v>
      </c>
      <c r="L1611" s="1" t="str">
        <f>HYPERLINK("https://files.afu.se/Downloads/Transcripts/0%20-%20Government/USA%20-%20NASA/2016 05 12 - NASA - Earth Expeditions  Air Quality Interview Excerpt_FaMsWmoA2ew - transcript (automated).pdf","Transcript Link")</f>
        <v>Transcript Link</v>
      </c>
      <c r="M1611" s="2" t="str">
        <f>HYPERLINK("https://files.afu.se/Downloads/Transcripts/0%20-%20Government/USA%20-%20NASA/2016 05 12 - NASA - Earth Expeditions  Air Quality Interview Excerpt_FaMsWmoA2ew - transcript (automated).pdf","Transcript Link")</f>
        <v>Transcript Link</v>
      </c>
    </row>
    <row r="1612" ht="165" spans="1:13">
      <c r="A1612" s="1" t="s">
        <v>7524</v>
      </c>
      <c r="B1612" s="1" t="s">
        <v>13</v>
      </c>
      <c r="C1612" s="4" t="s">
        <v>7537</v>
      </c>
      <c r="D1612" s="1" t="s">
        <v>7538</v>
      </c>
      <c r="E1612" s="1" t="s">
        <v>7539</v>
      </c>
      <c r="F1612" s="4" t="s">
        <v>17</v>
      </c>
      <c r="G1612" s="1" t="s">
        <v>18</v>
      </c>
      <c r="H1612" s="1" t="s">
        <v>19</v>
      </c>
      <c r="I1612" s="1" t="s">
        <v>20</v>
      </c>
      <c r="J1612" s="1" t="s">
        <v>7540</v>
      </c>
      <c r="K1612" s="1" t="s">
        <v>22</v>
      </c>
      <c r="L1612" s="1" t="str">
        <f>HYPERLINK("https://files.afu.se/Downloads/Transcripts/0%20-%20Government/USA%20-%20NASA/2016 05 12 - NASA - ISS Astronauts Talk from Space with Media_rYWoDYknrh8 - transcript (automated).pdf","Transcript Link")</f>
        <v>Transcript Link</v>
      </c>
      <c r="M1612" s="2" t="str">
        <f>HYPERLINK("https://files.afu.se/Downloads/Transcripts/0%20-%20Government/USA%20-%20NASA/2016 05 12 - NASA - ISS Astronauts Talk from Space with Media_rYWoDYknrh8 - transcript (automated).pdf","Transcript Link")</f>
        <v>Transcript Link</v>
      </c>
    </row>
    <row r="1613" ht="165" spans="1:13">
      <c r="A1613" s="1" t="s">
        <v>7541</v>
      </c>
      <c r="B1613" s="1" t="s">
        <v>13</v>
      </c>
      <c r="C1613" s="4" t="s">
        <v>7542</v>
      </c>
      <c r="D1613" s="1" t="s">
        <v>7543</v>
      </c>
      <c r="E1613" s="1" t="s">
        <v>7544</v>
      </c>
      <c r="F1613" s="4" t="s">
        <v>17</v>
      </c>
      <c r="G1613" s="1" t="s">
        <v>18</v>
      </c>
      <c r="H1613" s="1" t="s">
        <v>19</v>
      </c>
      <c r="I1613" s="1" t="s">
        <v>20</v>
      </c>
      <c r="J1613" s="1" t="s">
        <v>7545</v>
      </c>
      <c r="K1613" s="1" t="s">
        <v>22</v>
      </c>
      <c r="L1613" s="1" t="str">
        <f>HYPERLINK("https://files.afu.se/Downloads/Transcripts/0%20-%20Government/USA%20-%20NASA/2016 05 11 - NASA - STEM in 30 – Straight Up  Vertical Flight_7ccuPP1zS60 - transcript (automated).pdf","Transcript Link")</f>
        <v>Transcript Link</v>
      </c>
      <c r="M1613" s="2" t="str">
        <f>HYPERLINK("https://files.afu.se/Downloads/Transcripts/0%20-%20Government/USA%20-%20NASA/2016 05 11 - NASA - STEM in 30 – Straight Up  Vertical Flight_7ccuPP1zS60 - transcript (automated).pdf","Transcript Link")</f>
        <v>Transcript Link</v>
      </c>
    </row>
    <row r="1614" ht="165" spans="1:13">
      <c r="A1614" s="1" t="s">
        <v>7541</v>
      </c>
      <c r="B1614" s="1" t="s">
        <v>13</v>
      </c>
      <c r="C1614" s="4" t="s">
        <v>7546</v>
      </c>
      <c r="D1614" s="1" t="s">
        <v>7547</v>
      </c>
      <c r="E1614" s="1" t="s">
        <v>7548</v>
      </c>
      <c r="F1614" s="4" t="s">
        <v>17</v>
      </c>
      <c r="G1614" s="1" t="s">
        <v>18</v>
      </c>
      <c r="H1614" s="1" t="s">
        <v>19</v>
      </c>
      <c r="I1614" s="1" t="s">
        <v>20</v>
      </c>
      <c r="J1614" s="1" t="s">
        <v>7549</v>
      </c>
      <c r="K1614" s="1" t="s">
        <v>22</v>
      </c>
      <c r="L1614" s="1" t="str">
        <f>HYPERLINK("https://files.afu.se/Downloads/Transcripts/0%20-%20Government/USA%20-%20NASA/2016 05 11 - NASA - SpaceX Dragon Heads Home from ISS with Valuable Science Data_gKC2OFtHtXQ - transcript (automated).pdf","Transcript Link")</f>
        <v>Transcript Link</v>
      </c>
      <c r="M1614" s="2" t="str">
        <f>HYPERLINK("https://files.afu.se/Downloads/Transcripts/0%20-%20Government/USA%20-%20NASA/2016 05 11 - NASA - SpaceX Dragon Heads Home from ISS with Valuable Science Data_gKC2OFtHtXQ - transcript (automated).pdf","Transcript Link")</f>
        <v>Transcript Link</v>
      </c>
    </row>
    <row r="1615" ht="165" spans="1:13">
      <c r="A1615" s="1" t="s">
        <v>7550</v>
      </c>
      <c r="B1615" s="1" t="s">
        <v>13</v>
      </c>
      <c r="C1615" s="4" t="s">
        <v>7551</v>
      </c>
      <c r="D1615" s="1" t="s">
        <v>7552</v>
      </c>
      <c r="E1615" s="1" t="s">
        <v>7553</v>
      </c>
      <c r="F1615" s="4" t="s">
        <v>17</v>
      </c>
      <c r="G1615" s="1" t="s">
        <v>18</v>
      </c>
      <c r="H1615" s="1" t="s">
        <v>19</v>
      </c>
      <c r="I1615" s="1" t="s">
        <v>20</v>
      </c>
      <c r="J1615" s="1" t="s">
        <v>7554</v>
      </c>
      <c r="K1615" s="1" t="s">
        <v>22</v>
      </c>
      <c r="L1615" s="1" t="str">
        <f>HYPERLINK("https://files.afu.se/Downloads/Transcripts/0%20-%20Government/USA%20-%20NASA/2016 05 09 - NASA - The Science Behind Mercury's Transit of the Sun_2V0A7yYdJSQ - transcript (automated).pdf","Transcript Link")</f>
        <v>Transcript Link</v>
      </c>
      <c r="M1615" s="2" t="str">
        <f>HYPERLINK("https://files.afu.se/Downloads/Transcripts/0%20-%20Government/USA%20-%20NASA/2016 05 09 - NASA - The Science Behind Mercury's Transit of the Sun_2V0A7yYdJSQ - transcript (automated).pdf","Transcript Link")</f>
        <v>Transcript Link</v>
      </c>
    </row>
    <row r="1616" ht="210" spans="1:13">
      <c r="A1616" s="1" t="s">
        <v>7555</v>
      </c>
      <c r="B1616" s="1" t="s">
        <v>13</v>
      </c>
      <c r="C1616" s="4" t="s">
        <v>7556</v>
      </c>
      <c r="D1616" s="1" t="s">
        <v>7557</v>
      </c>
      <c r="E1616" s="1" t="s">
        <v>7558</v>
      </c>
      <c r="F1616" s="4" t="s">
        <v>17</v>
      </c>
      <c r="G1616" s="1" t="s">
        <v>18</v>
      </c>
      <c r="H1616" s="1" t="s">
        <v>19</v>
      </c>
      <c r="I1616" s="1" t="s">
        <v>20</v>
      </c>
      <c r="J1616" s="1" t="s">
        <v>7559</v>
      </c>
      <c r="K1616" s="1" t="s">
        <v>22</v>
      </c>
      <c r="L1616" s="1" t="str">
        <f>HYPERLINK("https://files.afu.se/Downloads/Transcripts/0%20-%20Government/USA%20-%20NASA/2016 05 06 - NASA - Anticipating the Return of Launches to Wallops on This Week @NASA – May 6, 2016_A4_x02DXXdc - transcript (automated).pdf","Transcript Link")</f>
        <v>Transcript Link</v>
      </c>
      <c r="M1616" s="2" t="str">
        <f>HYPERLINK("https://files.afu.se/Downloads/Transcripts/0%20-%20Government/USA%20-%20NASA/2016 05 06 - NASA - Anticipating the Return of Launches to Wallops on This Week @NASA – May 6, 2016_A4_x02DXXdc - transcript (automated).pdf","Transcript Link")</f>
        <v>Transcript Link</v>
      </c>
    </row>
    <row r="1617" ht="240" spans="1:13">
      <c r="A1617" s="1" t="s">
        <v>7555</v>
      </c>
      <c r="B1617" s="1" t="s">
        <v>13</v>
      </c>
      <c r="C1617" s="4" t="s">
        <v>7560</v>
      </c>
      <c r="D1617" s="1" t="s">
        <v>7561</v>
      </c>
      <c r="E1617" s="1" t="s">
        <v>7562</v>
      </c>
      <c r="F1617" s="4" t="s">
        <v>17</v>
      </c>
      <c r="G1617" s="1" t="s">
        <v>18</v>
      </c>
      <c r="H1617" s="1" t="s">
        <v>19</v>
      </c>
      <c r="I1617" s="1" t="s">
        <v>20</v>
      </c>
      <c r="J1617" s="1" t="s">
        <v>7563</v>
      </c>
      <c r="K1617" s="1" t="s">
        <v>22</v>
      </c>
      <c r="L1617" s="1" t="str">
        <f>HYPERLINK("https://files.afu.se/Downloads/Transcripts/0%20-%20Government/USA%20-%20NASA/2016 05 06 - NASA - Promo  Mercury Transit of the Sun_Yks3zncjQZk - transcript (automated).pdf","Transcript Link")</f>
        <v>Transcript Link</v>
      </c>
      <c r="M1617" s="2" t="str">
        <f>HYPERLINK("https://files.afu.se/Downloads/Transcripts/0%20-%20Government/USA%20-%20NASA/2016 05 06 - NASA - Promo  Mercury Transit of the Sun_Yks3zncjQZk - transcript (automated).pdf","Transcript Link")</f>
        <v>Transcript Link</v>
      </c>
    </row>
    <row r="1618" ht="345" spans="1:13">
      <c r="A1618" s="1" t="s">
        <v>7564</v>
      </c>
      <c r="B1618" s="1" t="s">
        <v>13</v>
      </c>
      <c r="C1618" s="4" t="s">
        <v>7565</v>
      </c>
      <c r="D1618" s="1" t="s">
        <v>7566</v>
      </c>
      <c r="E1618" s="1" t="s">
        <v>7567</v>
      </c>
      <c r="F1618" s="4" t="s">
        <v>17</v>
      </c>
      <c r="G1618" s="1" t="s">
        <v>18</v>
      </c>
      <c r="H1618" s="1" t="s">
        <v>19</v>
      </c>
      <c r="I1618" s="1" t="s">
        <v>20</v>
      </c>
      <c r="J1618" s="1" t="s">
        <v>7568</v>
      </c>
      <c r="K1618" s="1" t="s">
        <v>22</v>
      </c>
      <c r="L1618" s="1" t="str">
        <f>HYPERLINK("https://files.afu.se/Downloads/Transcripts/0%20-%20Government/USA%20-%20NASA/2016 05 05 - NASA - NASA Dedicates Facility to Mathematician, Presidential Medal Winner_AD-IR3RYYaE - transcript (automated).pdf","Transcript Link")</f>
        <v>Transcript Link</v>
      </c>
      <c r="M1618" s="2" t="str">
        <f>HYPERLINK("https://files.afu.se/Downloads/Transcripts/0%20-%20Government/USA%20-%20NASA/2016 05 05 - NASA - NASA Dedicates Facility to Mathematician, Presidential Medal Winner_AD-IR3RYYaE - transcript (automated).pdf","Transcript Link")</f>
        <v>Transcript Link</v>
      </c>
    </row>
    <row r="1619" ht="165" spans="1:13">
      <c r="A1619" s="1" t="s">
        <v>7564</v>
      </c>
      <c r="B1619" s="1" t="s">
        <v>13</v>
      </c>
      <c r="C1619" s="4" t="s">
        <v>7569</v>
      </c>
      <c r="D1619" s="1" t="s">
        <v>7570</v>
      </c>
      <c r="E1619" s="1" t="s">
        <v>7571</v>
      </c>
      <c r="F1619" s="4" t="s">
        <v>17</v>
      </c>
      <c r="G1619" s="1" t="s">
        <v>18</v>
      </c>
      <c r="H1619" s="1" t="s">
        <v>19</v>
      </c>
      <c r="I1619" s="1" t="s">
        <v>20</v>
      </c>
      <c r="J1619" s="1" t="s">
        <v>7572</v>
      </c>
      <c r="K1619" s="1" t="s">
        <v>22</v>
      </c>
      <c r="L1619" s="1" t="str">
        <f>HYPERLINK("https://files.afu.se/Downloads/Transcripts/0%20-%20Government/USA%20-%20NASA/2016 05 05 - NASA - ISS Astronauts Talk Space to Ground with Chicago Students_rpnVlzlmBls - transcript (automated).pdf","Transcript Link")</f>
        <v>Transcript Link</v>
      </c>
      <c r="M1619" s="2" t="str">
        <f>HYPERLINK("https://files.afu.se/Downloads/Transcripts/0%20-%20Government/USA%20-%20NASA/2016 05 05 - NASA - ISS Astronauts Talk Space to Ground with Chicago Students_rpnVlzlmBls - transcript (automated).pdf","Transcript Link")</f>
        <v>Transcript Link</v>
      </c>
    </row>
    <row r="1620" ht="165" spans="1:13">
      <c r="A1620" s="1" t="s">
        <v>7564</v>
      </c>
      <c r="B1620" s="1" t="s">
        <v>13</v>
      </c>
      <c r="C1620" s="4" t="s">
        <v>7573</v>
      </c>
      <c r="D1620" s="1" t="s">
        <v>7574</v>
      </c>
      <c r="E1620" s="1" t="s">
        <v>7575</v>
      </c>
      <c r="F1620" s="4" t="s">
        <v>17</v>
      </c>
      <c r="G1620" s="1" t="s">
        <v>18</v>
      </c>
      <c r="H1620" s="1" t="s">
        <v>19</v>
      </c>
      <c r="I1620" s="1" t="s">
        <v>20</v>
      </c>
      <c r="J1620" s="1" t="s">
        <v>7576</v>
      </c>
      <c r="K1620" s="1" t="s">
        <v>22</v>
      </c>
      <c r="L1620" s="1" t="str">
        <f>HYPERLINK("https://files.afu.se/Downloads/Transcripts/0%20-%20Government/USA%20-%20NASA/2016 05 05 - NASA - Women @NASA  Charlie Blackwell-Thompson_KJlHrD8tURI - transcript (automated).pdf","Transcript Link")</f>
        <v>Transcript Link</v>
      </c>
      <c r="M1620" s="2" t="str">
        <f>HYPERLINK("https://files.afu.se/Downloads/Transcripts/0%20-%20Government/USA%20-%20NASA/2016 05 05 - NASA - Women @NASA  Charlie Blackwell-Thompson_KJlHrD8tURI - transcript (automated).pdf","Transcript Link")</f>
        <v>Transcript Link</v>
      </c>
    </row>
    <row r="1621" ht="165" spans="1:13">
      <c r="A1621" s="1" t="s">
        <v>7564</v>
      </c>
      <c r="B1621" s="1" t="s">
        <v>13</v>
      </c>
      <c r="C1621" s="4" t="s">
        <v>7577</v>
      </c>
      <c r="D1621" s="1" t="s">
        <v>7578</v>
      </c>
      <c r="E1621" s="1" t="s">
        <v>7579</v>
      </c>
      <c r="F1621" s="4" t="s">
        <v>17</v>
      </c>
      <c r="G1621" s="1" t="s">
        <v>18</v>
      </c>
      <c r="H1621" s="1" t="s">
        <v>19</v>
      </c>
      <c r="I1621" s="1" t="s">
        <v>20</v>
      </c>
      <c r="J1621" s="1" t="s">
        <v>7580</v>
      </c>
      <c r="K1621" s="1" t="s">
        <v>22</v>
      </c>
      <c r="L1621" s="1" t="str">
        <f>HYPERLINK("https://files.afu.se/Downloads/Transcripts/0%20-%20Government/USA%20-%20NASA/2016 05 05 - NASA - 2016 RNASA Gala_OXQdJSwfgHA - transcript (automated).pdf","Transcript Link")</f>
        <v>Transcript Link</v>
      </c>
      <c r="M1621" s="2" t="str">
        <f>HYPERLINK("https://files.afu.se/Downloads/Transcripts/0%20-%20Government/USA%20-%20NASA/2016 05 05 - NASA - 2016 RNASA Gala_OXQdJSwfgHA - transcript (automated).pdf","Transcript Link")</f>
        <v>Transcript Link</v>
      </c>
    </row>
    <row r="1622" ht="165" spans="1:13">
      <c r="A1622" s="1" t="s">
        <v>7581</v>
      </c>
      <c r="B1622" s="1" t="s">
        <v>13</v>
      </c>
      <c r="C1622" s="4" t="s">
        <v>7582</v>
      </c>
      <c r="D1622" s="1" t="s">
        <v>7583</v>
      </c>
      <c r="E1622" s="1" t="s">
        <v>7584</v>
      </c>
      <c r="F1622" s="4" t="s">
        <v>17</v>
      </c>
      <c r="G1622" s="1" t="s">
        <v>18</v>
      </c>
      <c r="H1622" s="1" t="s">
        <v>19</v>
      </c>
      <c r="I1622" s="1" t="s">
        <v>20</v>
      </c>
      <c r="J1622" s="1" t="s">
        <v>7585</v>
      </c>
      <c r="K1622" s="1" t="s">
        <v>22</v>
      </c>
      <c r="L1622" s="1" t="str">
        <f>HYPERLINK("https://files.afu.se/Downloads/Transcripts/0%20-%20Government/USA%20-%20NASA/2016 05 04 - NASA - Women @NASA  Dava Newman_Or8n5KJT2LI - transcript (automated).pdf","Transcript Link")</f>
        <v>Transcript Link</v>
      </c>
      <c r="M1622" s="2" t="str">
        <f>HYPERLINK("https://files.afu.se/Downloads/Transcripts/0%20-%20Government/USA%20-%20NASA/2016 05 04 - NASA - Women @NASA  Dava Newman_Or8n5KJT2LI - transcript (automated).pdf","Transcript Link")</f>
        <v>Transcript Link</v>
      </c>
    </row>
    <row r="1623" ht="165" spans="1:13">
      <c r="A1623" s="1" t="s">
        <v>7586</v>
      </c>
      <c r="B1623" s="1" t="s">
        <v>13</v>
      </c>
      <c r="C1623" s="4" t="s">
        <v>7587</v>
      </c>
      <c r="D1623" s="1" t="s">
        <v>7588</v>
      </c>
      <c r="E1623" s="1" t="s">
        <v>7589</v>
      </c>
      <c r="F1623" s="4" t="s">
        <v>17</v>
      </c>
      <c r="G1623" s="1" t="s">
        <v>18</v>
      </c>
      <c r="H1623" s="1" t="s">
        <v>19</v>
      </c>
      <c r="I1623" s="1" t="s">
        <v>20</v>
      </c>
      <c r="J1623" s="1" t="s">
        <v>7590</v>
      </c>
      <c r="K1623" s="1" t="s">
        <v>22</v>
      </c>
      <c r="L1623" s="1" t="str">
        <f>HYPERLINK("https://files.afu.se/Downloads/Transcripts/0%20-%20Government/USA%20-%20NASA/2016 05 03 - NASA - Earth Expeditions  Air Quality_sDXht_JYzFY - transcript (automated).pdf","Transcript Link")</f>
        <v>Transcript Link</v>
      </c>
      <c r="M1623" s="2" t="str">
        <f>HYPERLINK("https://files.afu.se/Downloads/Transcripts/0%20-%20Government/USA%20-%20NASA/2016 05 03 - NASA - Earth Expeditions  Air Quality_sDXht_JYzFY - transcript (automated).pdf","Transcript Link")</f>
        <v>Transcript Link</v>
      </c>
    </row>
    <row r="1624" ht="165" spans="1:13">
      <c r="A1624" s="1" t="s">
        <v>7591</v>
      </c>
      <c r="B1624" s="1" t="s">
        <v>13</v>
      </c>
      <c r="C1624" s="4" t="s">
        <v>7592</v>
      </c>
      <c r="D1624" s="1" t="s">
        <v>7593</v>
      </c>
      <c r="E1624" s="1" t="s">
        <v>7594</v>
      </c>
      <c r="F1624" s="4" t="s">
        <v>17</v>
      </c>
      <c r="G1624" s="1" t="s">
        <v>18</v>
      </c>
      <c r="H1624" s="1" t="s">
        <v>19</v>
      </c>
      <c r="I1624" s="1" t="s">
        <v>20</v>
      </c>
      <c r="J1624" s="1" t="s">
        <v>7595</v>
      </c>
      <c r="K1624" s="1" t="s">
        <v>22</v>
      </c>
      <c r="L1624" s="1" t="str">
        <f>HYPERLINK("https://files.afu.se/Downloads/Transcripts/0%20-%20Government/USA%20-%20NASA/2016 05 02 - NASA - NASA Celebrates Small Business Week 2016_AszEKhN6Ews - transcript (automated).pdf","Transcript Link")</f>
        <v>Transcript Link</v>
      </c>
      <c r="M1624" s="2" t="str">
        <f>HYPERLINK("https://files.afu.se/Downloads/Transcripts/0%20-%20Government/USA%20-%20NASA/2016 05 02 - NASA - NASA Celebrates Small Business Week 2016_AszEKhN6Ews - transcript (automated).pdf","Transcript Link")</f>
        <v>Transcript Link</v>
      </c>
    </row>
    <row r="1625" ht="210" spans="1:13">
      <c r="A1625" s="1" t="s">
        <v>7596</v>
      </c>
      <c r="B1625" s="1" t="s">
        <v>13</v>
      </c>
      <c r="C1625" s="4" t="s">
        <v>7597</v>
      </c>
      <c r="D1625" s="1" t="s">
        <v>7598</v>
      </c>
      <c r="E1625" s="1" t="s">
        <v>7599</v>
      </c>
      <c r="F1625" s="4" t="s">
        <v>17</v>
      </c>
      <c r="G1625" s="1" t="s">
        <v>18</v>
      </c>
      <c r="H1625" s="1" t="s">
        <v>19</v>
      </c>
      <c r="I1625" s="1" t="s">
        <v>20</v>
      </c>
      <c r="J1625" s="1" t="s">
        <v>7600</v>
      </c>
      <c r="K1625" s="1" t="s">
        <v>22</v>
      </c>
      <c r="L1625" s="1" t="str">
        <f>HYPERLINK("https://files.afu.se/Downloads/Transcripts/0%20-%20Government/USA%20-%20NASA/2016 04 29 - NASA - Astronaut Kjell Lindgren Visits Washington, DC on This Week @NASA – April 29, 2016_rZDTuiIkhwY - transcript (automated).pdf","Transcript Link")</f>
        <v>Transcript Link</v>
      </c>
      <c r="M1625" s="2" t="str">
        <f>HYPERLINK("https://files.afu.se/Downloads/Transcripts/0%20-%20Government/USA%20-%20NASA/2016 04 29 - NASA - Astronaut Kjell Lindgren Visits Washington, DC on This Week @NASA – April 29, 2016_rZDTuiIkhwY - transcript (automated).pdf","Transcript Link")</f>
        <v>Transcript Link</v>
      </c>
    </row>
    <row r="1626" ht="165" spans="1:13">
      <c r="A1626" s="1" t="s">
        <v>7596</v>
      </c>
      <c r="B1626" s="1" t="s">
        <v>13</v>
      </c>
      <c r="C1626" s="4" t="s">
        <v>7601</v>
      </c>
      <c r="D1626" s="1" t="s">
        <v>7602</v>
      </c>
      <c r="E1626" s="1" t="s">
        <v>7603</v>
      </c>
      <c r="F1626" s="4" t="s">
        <v>17</v>
      </c>
      <c r="G1626" s="1" t="s">
        <v>18</v>
      </c>
      <c r="H1626" s="1" t="s">
        <v>19</v>
      </c>
      <c r="I1626" s="1" t="s">
        <v>20</v>
      </c>
      <c r="J1626" s="1" t="s">
        <v>7604</v>
      </c>
      <c r="K1626" s="1" t="s">
        <v>22</v>
      </c>
      <c r="L1626" s="1" t="str">
        <f>HYPERLINK("https://files.afu.se/Downloads/Transcripts/0%20-%20Government/USA%20-%20NASA/2016 04 29 - NASA - Window to Earth  NASA Partners with IMAX for 'A Beautiful Planet'_mhC6Eve9qWY - transcript (automated).pdf","Transcript Link")</f>
        <v>Transcript Link</v>
      </c>
      <c r="M1626" s="2" t="str">
        <f>HYPERLINK("https://files.afu.se/Downloads/Transcripts/0%20-%20Government/USA%20-%20NASA/2016 04 29 - NASA - Window to Earth  NASA Partners with IMAX for 'A Beautiful Planet'_mhC6Eve9qWY - transcript (automated).pdf","Transcript Link")</f>
        <v>Transcript Link</v>
      </c>
    </row>
    <row r="1627" ht="210" spans="1:13">
      <c r="A1627" s="1" t="s">
        <v>7605</v>
      </c>
      <c r="B1627" s="1" t="s">
        <v>13</v>
      </c>
      <c r="C1627" s="4" t="s">
        <v>7606</v>
      </c>
      <c r="D1627" s="1" t="s">
        <v>7607</v>
      </c>
      <c r="E1627" s="1" t="s">
        <v>7608</v>
      </c>
      <c r="F1627" s="4" t="s">
        <v>17</v>
      </c>
      <c r="G1627" s="1" t="s">
        <v>18</v>
      </c>
      <c r="H1627" s="1" t="s">
        <v>19</v>
      </c>
      <c r="I1627" s="1" t="s">
        <v>20</v>
      </c>
      <c r="J1627" s="1" t="s">
        <v>7609</v>
      </c>
      <c r="K1627" s="1" t="s">
        <v>22</v>
      </c>
      <c r="L1627" s="1" t="str">
        <f>HYPERLINK("https://files.afu.se/Downloads/Transcripts/0%20-%20Government/USA%20-%20NASA/2016 04 26 - NASA - Crewmembers Onboard the ISS Talk to Texas Students_2hf5OENWcak - transcript (automated).pdf","Transcript Link")</f>
        <v>Transcript Link</v>
      </c>
      <c r="M1627" s="2" t="str">
        <f>HYPERLINK("https://files.afu.se/Downloads/Transcripts/0%20-%20Government/USA%20-%20NASA/2016 04 26 - NASA - Crewmembers Onboard the ISS Talk to Texas Students_2hf5OENWcak - transcript (automated).pdf","Transcript Link")</f>
        <v>Transcript Link</v>
      </c>
    </row>
    <row r="1628" ht="165" spans="1:13">
      <c r="A1628" s="1" t="s">
        <v>7605</v>
      </c>
      <c r="B1628" s="1" t="s">
        <v>13</v>
      </c>
      <c r="C1628" s="4" t="s">
        <v>7610</v>
      </c>
      <c r="D1628" s="1" t="s">
        <v>7611</v>
      </c>
      <c r="E1628" s="1" t="s">
        <v>7612</v>
      </c>
      <c r="F1628" s="4" t="s">
        <v>17</v>
      </c>
      <c r="G1628" s="1" t="s">
        <v>18</v>
      </c>
      <c r="H1628" s="1" t="s">
        <v>19</v>
      </c>
      <c r="I1628" s="1" t="s">
        <v>20</v>
      </c>
      <c r="J1628" s="1" t="s">
        <v>7613</v>
      </c>
      <c r="K1628" s="1" t="s">
        <v>22</v>
      </c>
      <c r="L1628" s="1" t="str">
        <f>HYPERLINK("https://files.afu.se/Downloads/Transcripts/0%20-%20Government/USA%20-%20NASA/2016 04 26 - NASA - What's New in Space Station Science_xtLZxxsbnXc - transcript (automated).pdf","Transcript Link")</f>
        <v>Transcript Link</v>
      </c>
      <c r="M1628" s="2" t="str">
        <f>HYPERLINK("https://files.afu.se/Downloads/Transcripts/0%20-%20Government/USA%20-%20NASA/2016 04 26 - NASA - What's New in Space Station Science_xtLZxxsbnXc - transcript (automated).pdf","Transcript Link")</f>
        <v>Transcript Link</v>
      </c>
    </row>
    <row r="1629" ht="165" spans="1:13">
      <c r="A1629" s="1" t="s">
        <v>7614</v>
      </c>
      <c r="B1629" s="1" t="s">
        <v>13</v>
      </c>
      <c r="C1629" s="4" t="s">
        <v>7615</v>
      </c>
      <c r="D1629" s="1" t="s">
        <v>7616</v>
      </c>
      <c r="E1629" s="1" t="s">
        <v>7617</v>
      </c>
      <c r="F1629" s="4" t="s">
        <v>17</v>
      </c>
      <c r="G1629" s="1" t="s">
        <v>18</v>
      </c>
      <c r="H1629" s="1" t="s">
        <v>19</v>
      </c>
      <c r="I1629" s="1" t="s">
        <v>20</v>
      </c>
      <c r="J1629" s="1" t="s">
        <v>7618</v>
      </c>
      <c r="K1629" s="1" t="s">
        <v>22</v>
      </c>
      <c r="L1629" s="1" t="str">
        <f>HYPERLINK("https://files.afu.se/Downloads/Transcripts/0%20-%20Government/USA%20-%20NASA/2016 04 25 - NASA - Open Science  Stem Cells_KTelwF805Os - transcript (automated).pdf","Transcript Link")</f>
        <v>Transcript Link</v>
      </c>
      <c r="M1629" s="2" t="str">
        <f>HYPERLINK("https://files.afu.se/Downloads/Transcripts/0%20-%20Government/USA%20-%20NASA/2016 04 25 - NASA - Open Science  Stem Cells_KTelwF805Os - transcript (automated).pdf","Transcript Link")</f>
        <v>Transcript Link</v>
      </c>
    </row>
    <row r="1630" ht="255" spans="1:13">
      <c r="A1630" s="1" t="s">
        <v>7619</v>
      </c>
      <c r="B1630" s="1" t="s">
        <v>13</v>
      </c>
      <c r="C1630" s="4" t="s">
        <v>7620</v>
      </c>
      <c r="D1630" s="1" t="s">
        <v>7621</v>
      </c>
      <c r="E1630" s="1" t="s">
        <v>7622</v>
      </c>
      <c r="F1630" s="4" t="s">
        <v>17</v>
      </c>
      <c r="G1630" s="1" t="s">
        <v>18</v>
      </c>
      <c r="H1630" s="1" t="s">
        <v>19</v>
      </c>
      <c r="I1630" s="1" t="s">
        <v>20</v>
      </c>
      <c r="J1630" s="1" t="s">
        <v>7623</v>
      </c>
      <c r="K1630" s="1" t="s">
        <v>22</v>
      </c>
      <c r="L1630" s="1" t="str">
        <f>HYPERLINK("https://files.afu.se/Downloads/Transcripts/0%20-%20Government/USA%20-%20NASA/2016 04 22 - NASA - Managing Unmanned Aircraft Traffic on This Week @NASA – April 22, 2016_tsw5LtP2wKM - transcript (automated).pdf","Transcript Link")</f>
        <v>Transcript Link</v>
      </c>
      <c r="M1630" s="2" t="str">
        <f>HYPERLINK("https://files.afu.se/Downloads/Transcripts/0%20-%20Government/USA%20-%20NASA/2016 04 22 - NASA - Managing Unmanned Aircraft Traffic on This Week @NASA – April 22, 2016_tsw5LtP2wKM - transcript (automated).pdf","Transcript Link")</f>
        <v>Transcript Link</v>
      </c>
    </row>
    <row r="1631" ht="165" spans="1:13">
      <c r="A1631" s="1" t="s">
        <v>7624</v>
      </c>
      <c r="B1631" s="1" t="s">
        <v>13</v>
      </c>
      <c r="C1631" s="4" t="s">
        <v>7625</v>
      </c>
      <c r="D1631" s="1" t="s">
        <v>7626</v>
      </c>
      <c r="E1631" s="1" t="s">
        <v>7627</v>
      </c>
      <c r="F1631" s="4" t="s">
        <v>17</v>
      </c>
      <c r="G1631" s="1" t="s">
        <v>18</v>
      </c>
      <c r="H1631" s="1" t="s">
        <v>19</v>
      </c>
      <c r="I1631" s="1" t="s">
        <v>20</v>
      </c>
      <c r="J1631" s="1" t="s">
        <v>7628</v>
      </c>
      <c r="K1631" s="1" t="s">
        <v>22</v>
      </c>
      <c r="L1631" s="1" t="str">
        <f>HYPERLINK("https://files.afu.se/Downloads/Transcripts/0%20-%20Government/USA%20-%20NASA/2016 04 21 - NASA - Space Station Astronaut Answers Questions from Space_Mjwt79i4Eu0 - transcript (automated).pdf","Transcript Link")</f>
        <v>Transcript Link</v>
      </c>
      <c r="M1631" s="2" t="str">
        <f>HYPERLINK("https://files.afu.se/Downloads/Transcripts/0%20-%20Government/USA%20-%20NASA/2016 04 21 - NASA - Space Station Astronaut Answers Questions from Space_Mjwt79i4Eu0 - transcript (automated).pdf","Transcript Link")</f>
        <v>Transcript Link</v>
      </c>
    </row>
    <row r="1632" ht="165" spans="1:13">
      <c r="A1632" s="1" t="s">
        <v>7629</v>
      </c>
      <c r="B1632" s="1" t="s">
        <v>13</v>
      </c>
      <c r="C1632" s="4" t="s">
        <v>7630</v>
      </c>
      <c r="D1632" s="1" t="s">
        <v>7631</v>
      </c>
      <c r="E1632" s="1" t="s">
        <v>7632</v>
      </c>
      <c r="F1632" s="4" t="s">
        <v>17</v>
      </c>
      <c r="G1632" s="1" t="s">
        <v>18</v>
      </c>
      <c r="H1632" s="1" t="s">
        <v>19</v>
      </c>
      <c r="I1632" s="1" t="s">
        <v>20</v>
      </c>
      <c r="J1632" s="1" t="s">
        <v>7633</v>
      </c>
      <c r="K1632" s="1" t="s">
        <v>22</v>
      </c>
      <c r="L1632" s="1" t="str">
        <f>HYPERLINK("https://files.afu.se/Downloads/Transcripts/0%20-%20Government/USA%20-%20NASA/2016 04 20 - NASA - Preparing for a Long Distance Run from Space_7peDwDLzpWU - transcript (automated).pdf","Transcript Link")</f>
        <v>Transcript Link</v>
      </c>
      <c r="M1632" s="2" t="str">
        <f>HYPERLINK("https://files.afu.se/Downloads/Transcripts/0%20-%20Government/USA%20-%20NASA/2016 04 20 - NASA - Preparing for a Long Distance Run from Space_7peDwDLzpWU - transcript (automated).pdf","Transcript Link")</f>
        <v>Transcript Link</v>
      </c>
    </row>
    <row r="1633" ht="165" spans="1:13">
      <c r="A1633" s="1" t="s">
        <v>7629</v>
      </c>
      <c r="B1633" s="1" t="s">
        <v>13</v>
      </c>
      <c r="C1633" s="4" t="s">
        <v>7634</v>
      </c>
      <c r="D1633" s="1" t="s">
        <v>7635</v>
      </c>
      <c r="E1633" s="1" t="s">
        <v>7636</v>
      </c>
      <c r="F1633" s="4" t="s">
        <v>17</v>
      </c>
      <c r="G1633" s="1" t="s">
        <v>18</v>
      </c>
      <c r="H1633" s="1" t="s">
        <v>19</v>
      </c>
      <c r="I1633" s="1" t="s">
        <v>20</v>
      </c>
      <c r="J1633" s="1" t="s">
        <v>7637</v>
      </c>
      <c r="K1633" s="1" t="s">
        <v>22</v>
      </c>
      <c r="L1633" s="1" t="str">
        <f>HYPERLINK("https://files.afu.se/Downloads/Transcripts/0%20-%20Government/USA%20-%20NASA/2016 04 20 - NASA - Rockets Up, Up and Away!_ve8WN_cVMkw - transcript (automated).pdf","Transcript Link")</f>
        <v>Transcript Link</v>
      </c>
      <c r="M1633" s="2" t="str">
        <f>HYPERLINK("https://files.afu.se/Downloads/Transcripts/0%20-%20Government/USA%20-%20NASA/2016 04 20 - NASA - Rockets Up, Up and Away!_ve8WN_cVMkw - transcript (automated).pdf","Transcript Link")</f>
        <v>Transcript Link</v>
      </c>
    </row>
    <row r="1634" ht="165" spans="1:13">
      <c r="A1634" s="1" t="s">
        <v>7629</v>
      </c>
      <c r="B1634" s="1" t="s">
        <v>13</v>
      </c>
      <c r="C1634" s="4" t="s">
        <v>7638</v>
      </c>
      <c r="D1634" s="1" t="s">
        <v>5692</v>
      </c>
      <c r="E1634" s="1" t="s">
        <v>7639</v>
      </c>
      <c r="F1634" s="4" t="s">
        <v>17</v>
      </c>
      <c r="G1634" s="1" t="s">
        <v>18</v>
      </c>
      <c r="H1634" s="1" t="s">
        <v>19</v>
      </c>
      <c r="I1634" s="1" t="s">
        <v>20</v>
      </c>
      <c r="J1634" s="1" t="s">
        <v>7640</v>
      </c>
      <c r="K1634" s="1" t="s">
        <v>22</v>
      </c>
      <c r="L1634" s="1" t="str">
        <f>HYPERLINK("https://files.afu.se/Downloads/Transcripts/0%20-%20Government/USA%20-%20NASA/2016 04 20 - NASA - NASA Celebrates Earth Day_MqMWutoQU7s - transcript (automated).pdf","Transcript Link")</f>
        <v>Transcript Link</v>
      </c>
      <c r="M1634" s="2" t="str">
        <f>HYPERLINK("https://files.afu.se/Downloads/Transcripts/0%20-%20Government/USA%20-%20NASA/2016 04 20 - NASA - NASA Celebrates Earth Day_MqMWutoQU7s - transcript (automated).pdf","Transcript Link")</f>
        <v>Transcript Link</v>
      </c>
    </row>
    <row r="1635" ht="195" spans="1:13">
      <c r="A1635" s="1" t="s">
        <v>7641</v>
      </c>
      <c r="B1635" s="1" t="s">
        <v>13</v>
      </c>
      <c r="C1635" s="4" t="s">
        <v>7642</v>
      </c>
      <c r="D1635" s="1" t="s">
        <v>7643</v>
      </c>
      <c r="E1635" s="1" t="s">
        <v>7644</v>
      </c>
      <c r="F1635" s="4" t="s">
        <v>17</v>
      </c>
      <c r="G1635" s="1" t="s">
        <v>18</v>
      </c>
      <c r="H1635" s="1" t="s">
        <v>19</v>
      </c>
      <c r="I1635" s="1" t="s">
        <v>20</v>
      </c>
      <c r="J1635" s="1" t="s">
        <v>7645</v>
      </c>
      <c r="K1635" s="1" t="s">
        <v>22</v>
      </c>
      <c r="L1635" s="1" t="str">
        <f>HYPERLINK("https://files.afu.se/Downloads/Transcripts/0%20-%20Government/USA%20-%20NASA/2016 04 17 - NASA - Stunning Aurora Borealis from Space in Ultra-High Definition (4K)_PBJAR3-UvSQ - transcript (automated).pdf","Transcript Link")</f>
        <v>Transcript Link</v>
      </c>
      <c r="M1635" s="2" t="str">
        <f>HYPERLINK("https://files.afu.se/Downloads/Transcripts/0%20-%20Government/USA%20-%20NASA/2016 04 17 - NASA - Stunning Aurora Borealis from Space in Ultra-High Definition (4K)_PBJAR3-UvSQ - transcript (automated).pdf","Transcript Link")</f>
        <v>Transcript Link</v>
      </c>
    </row>
    <row r="1636" ht="165" spans="1:13">
      <c r="A1636" s="1" t="s">
        <v>7646</v>
      </c>
      <c r="B1636" s="1" t="s">
        <v>13</v>
      </c>
      <c r="C1636" s="4" t="s">
        <v>7647</v>
      </c>
      <c r="D1636" s="1" t="s">
        <v>7648</v>
      </c>
      <c r="E1636" s="1" t="s">
        <v>7649</v>
      </c>
      <c r="F1636" s="4" t="s">
        <v>17</v>
      </c>
      <c r="G1636" s="1" t="s">
        <v>18</v>
      </c>
      <c r="H1636" s="1" t="s">
        <v>19</v>
      </c>
      <c r="I1636" s="1" t="s">
        <v>20</v>
      </c>
      <c r="J1636" s="1" t="s">
        <v>7650</v>
      </c>
      <c r="K1636" s="1" t="s">
        <v>22</v>
      </c>
      <c r="L1636" s="1" t="str">
        <f>HYPERLINK("https://files.afu.se/Downloads/Transcripts/0%20-%20Government/USA%20-%20NASA/2016 04 16 - NASA - Science and Engineering are Out of This World!_IrM96wxldY8 - transcript (automated).pdf","Transcript Link")</f>
        <v>Transcript Link</v>
      </c>
      <c r="M1636" s="2" t="str">
        <f>HYPERLINK("https://files.afu.se/Downloads/Transcripts/0%20-%20Government/USA%20-%20NASA/2016 04 16 - NASA - Science and Engineering are Out of This World!_IrM96wxldY8 - transcript (automated).pdf","Transcript Link")</f>
        <v>Transcript Link</v>
      </c>
    </row>
    <row r="1637" ht="165" spans="1:13">
      <c r="A1637" s="1" t="s">
        <v>7646</v>
      </c>
      <c r="B1637" s="1" t="s">
        <v>13</v>
      </c>
      <c r="C1637" s="4" t="s">
        <v>7651</v>
      </c>
      <c r="D1637" s="1" t="s">
        <v>7652</v>
      </c>
      <c r="E1637" s="1" t="s">
        <v>7653</v>
      </c>
      <c r="F1637" s="4" t="s">
        <v>17</v>
      </c>
      <c r="G1637" s="1" t="s">
        <v>18</v>
      </c>
      <c r="H1637" s="1" t="s">
        <v>19</v>
      </c>
      <c r="I1637" s="1" t="s">
        <v>20</v>
      </c>
      <c r="J1637" s="1" t="s">
        <v>7654</v>
      </c>
      <c r="K1637" s="1" t="s">
        <v>22</v>
      </c>
      <c r="L1637" s="1" t="str">
        <f>HYPERLINK("https://files.afu.se/Downloads/Transcripts/0%20-%20Government/USA%20-%20NASA/2016 04 16 - NASA - Expanding Possibilities Aboard The ISS_5AvzNF27qVY - transcript (automated).pdf","Transcript Link")</f>
        <v>Transcript Link</v>
      </c>
      <c r="M1637" s="2" t="str">
        <f>HYPERLINK("https://files.afu.se/Downloads/Transcripts/0%20-%20Government/USA%20-%20NASA/2016 04 16 - NASA - Expanding Possibilities Aboard The ISS_5AvzNF27qVY - transcript (automated).pdf","Transcript Link")</f>
        <v>Transcript Link</v>
      </c>
    </row>
    <row r="1638" ht="270" spans="1:13">
      <c r="A1638" s="1" t="s">
        <v>7655</v>
      </c>
      <c r="B1638" s="1" t="s">
        <v>13</v>
      </c>
      <c r="C1638" s="4" t="s">
        <v>7656</v>
      </c>
      <c r="D1638" s="1" t="s">
        <v>7657</v>
      </c>
      <c r="E1638" s="1" t="s">
        <v>7658</v>
      </c>
      <c r="F1638" s="4" t="s">
        <v>17</v>
      </c>
      <c r="G1638" s="1" t="s">
        <v>18</v>
      </c>
      <c r="H1638" s="1" t="s">
        <v>19</v>
      </c>
      <c r="I1638" s="1" t="s">
        <v>20</v>
      </c>
      <c r="J1638" s="1" t="s">
        <v>7659</v>
      </c>
      <c r="K1638" s="1" t="s">
        <v>22</v>
      </c>
      <c r="L1638" s="1" t="str">
        <f>HYPERLINK("https://files.afu.se/Downloads/Transcripts/0%20-%20Government/USA%20-%20NASA/2016 04 15 - NASA - SpaceX Dragon Arrives Safely at ISS on This Week @NASA – April 15, 2016_ccLZ-_ml6mQ - transcript (automated).pdf","Transcript Link")</f>
        <v>Transcript Link</v>
      </c>
      <c r="M1638" s="2" t="str">
        <f>HYPERLINK("https://files.afu.se/Downloads/Transcripts/0%20-%20Government/USA%20-%20NASA/2016 04 15 - NASA - SpaceX Dragon Arrives Safely at ISS on This Week @NASA – April 15, 2016_ccLZ-_ml6mQ - transcript (automated).pdf","Transcript Link")</f>
        <v>Transcript Link</v>
      </c>
    </row>
    <row r="1639" ht="165" spans="1:13">
      <c r="A1639" s="1" t="s">
        <v>7660</v>
      </c>
      <c r="B1639" s="1" t="s">
        <v>13</v>
      </c>
      <c r="C1639" s="4" t="s">
        <v>7661</v>
      </c>
      <c r="D1639" s="1" t="s">
        <v>7662</v>
      </c>
      <c r="E1639" s="1" t="s">
        <v>7663</v>
      </c>
      <c r="F1639" s="4" t="s">
        <v>17</v>
      </c>
      <c r="G1639" s="1" t="s">
        <v>18</v>
      </c>
      <c r="H1639" s="1" t="s">
        <v>19</v>
      </c>
      <c r="I1639" s="1" t="s">
        <v>20</v>
      </c>
      <c r="J1639" s="1" t="s">
        <v>7664</v>
      </c>
      <c r="K1639" s="1" t="s">
        <v>22</v>
      </c>
      <c r="L1639" s="1" t="str">
        <f>HYPERLINK("https://files.afu.se/Downloads/Transcripts/0%20-%20Government/USA%20-%20NASA/2016 04 14 - NASA - Space Station Astronauts Talk about Life in Orbit_HVNQxHiyBYk - transcript (automated).pdf","Transcript Link")</f>
        <v>Transcript Link</v>
      </c>
      <c r="M1639" s="2" t="str">
        <f>HYPERLINK("https://files.afu.se/Downloads/Transcripts/0%20-%20Government/USA%20-%20NASA/2016 04 14 - NASA - Space Station Astronauts Talk about Life in Orbit_HVNQxHiyBYk - transcript (automated).pdf","Transcript Link")</f>
        <v>Transcript Link</v>
      </c>
    </row>
    <row r="1640" ht="225" spans="1:13">
      <c r="A1640" s="1" t="s">
        <v>7665</v>
      </c>
      <c r="B1640" s="1" t="s">
        <v>13</v>
      </c>
      <c r="C1640" s="4" t="s">
        <v>7666</v>
      </c>
      <c r="D1640" s="1" t="s">
        <v>7667</v>
      </c>
      <c r="E1640" s="1" t="s">
        <v>7668</v>
      </c>
      <c r="F1640" s="4" t="s">
        <v>17</v>
      </c>
      <c r="G1640" s="1" t="s">
        <v>18</v>
      </c>
      <c r="H1640" s="1" t="s">
        <v>19</v>
      </c>
      <c r="I1640" s="1" t="s">
        <v>20</v>
      </c>
      <c r="J1640" s="1" t="s">
        <v>7669</v>
      </c>
      <c r="K1640" s="1" t="s">
        <v>22</v>
      </c>
      <c r="L1640" s="1" t="str">
        <f>HYPERLINK("https://files.afu.se/Downloads/Transcripts/0%20-%20Government/USA%20-%20NASA/2016 04 10 - NASA - Let the Unloading Begin Aboard the ISS_gJfeFsDICMc - transcript (automated).pdf","Transcript Link")</f>
        <v>Transcript Link</v>
      </c>
      <c r="M1640" s="2" t="str">
        <f>HYPERLINK("https://files.afu.se/Downloads/Transcripts/0%20-%20Government/USA%20-%20NASA/2016 04 10 - NASA - Let the Unloading Begin Aboard the ISS_gJfeFsDICMc - transcript (automated).pdf","Transcript Link")</f>
        <v>Transcript Link</v>
      </c>
    </row>
    <row r="1641" ht="165" spans="1:13">
      <c r="A1641" s="1" t="s">
        <v>7665</v>
      </c>
      <c r="B1641" s="1" t="s">
        <v>13</v>
      </c>
      <c r="C1641" s="4" t="s">
        <v>7670</v>
      </c>
      <c r="D1641" s="1" t="s">
        <v>7671</v>
      </c>
      <c r="E1641" s="1" t="s">
        <v>7672</v>
      </c>
      <c r="F1641" s="4" t="s">
        <v>17</v>
      </c>
      <c r="G1641" s="1" t="s">
        <v>18</v>
      </c>
      <c r="H1641" s="1" t="s">
        <v>19</v>
      </c>
      <c r="I1641" s="1" t="s">
        <v>20</v>
      </c>
      <c r="J1641" s="1" t="s">
        <v>7673</v>
      </c>
      <c r="K1641" s="1" t="s">
        <v>22</v>
      </c>
      <c r="L1641" s="1" t="str">
        <f>HYPERLINK("https://files.afu.se/Downloads/Transcripts/0%20-%20Government/USA%20-%20NASA/2016 04 10 - NASA - SpaceX Dragon Reaches ISS with New Supplies_lEYQ4oBxGtA - transcript (automated).pdf","Transcript Link")</f>
        <v>Transcript Link</v>
      </c>
      <c r="M1641" s="2" t="str">
        <f>HYPERLINK("https://files.afu.se/Downloads/Transcripts/0%20-%20Government/USA%20-%20NASA/2016 04 10 - NASA - SpaceX Dragon Reaches ISS with New Supplies_lEYQ4oBxGtA - transcript (automated).pdf","Transcript Link")</f>
        <v>Transcript Link</v>
      </c>
    </row>
    <row r="1642" ht="210" spans="1:13">
      <c r="A1642" s="1" t="s">
        <v>7674</v>
      </c>
      <c r="B1642" s="1" t="s">
        <v>13</v>
      </c>
      <c r="C1642" s="4" t="s">
        <v>7675</v>
      </c>
      <c r="D1642" s="1" t="s">
        <v>7676</v>
      </c>
      <c r="E1642" s="1" t="s">
        <v>7677</v>
      </c>
      <c r="F1642" s="4" t="s">
        <v>17</v>
      </c>
      <c r="G1642" s="1" t="s">
        <v>18</v>
      </c>
      <c r="H1642" s="1" t="s">
        <v>19</v>
      </c>
      <c r="I1642" s="1" t="s">
        <v>20</v>
      </c>
      <c r="J1642" s="1" t="s">
        <v>7678</v>
      </c>
      <c r="K1642" s="1" t="s">
        <v>22</v>
      </c>
      <c r="L1642" s="1" t="str">
        <f>HYPERLINK("https://files.afu.se/Downloads/Transcripts/0%20-%20Government/USA%20-%20NASA/2016 04 08 - NASA - SpaceX Dragon Launches to the ISS on This Week @NASA – April 8, 2016_J26cfA39BW4 - transcript (automated).pdf","Transcript Link")</f>
        <v>Transcript Link</v>
      </c>
      <c r="M1642" s="2" t="str">
        <f>HYPERLINK("https://files.afu.se/Downloads/Transcripts/0%20-%20Government/USA%20-%20NASA/2016 04 08 - NASA - SpaceX Dragon Launches to the ISS on This Week @NASA – April 8, 2016_J26cfA39BW4 - transcript (automated).pdf","Transcript Link")</f>
        <v>Transcript Link</v>
      </c>
    </row>
    <row r="1643" ht="165" spans="1:13">
      <c r="A1643" s="1" t="s">
        <v>7674</v>
      </c>
      <c r="B1643" s="1" t="s">
        <v>13</v>
      </c>
      <c r="C1643" s="4" t="s">
        <v>7679</v>
      </c>
      <c r="D1643" s="1" t="s">
        <v>7680</v>
      </c>
      <c r="E1643" s="1" t="s">
        <v>7681</v>
      </c>
      <c r="F1643" s="4" t="s">
        <v>17</v>
      </c>
      <c r="G1643" s="1" t="s">
        <v>18</v>
      </c>
      <c r="H1643" s="1" t="s">
        <v>19</v>
      </c>
      <c r="I1643" s="1" t="s">
        <v>20</v>
      </c>
      <c r="J1643" s="1" t="s">
        <v>7682</v>
      </c>
      <c r="K1643" s="1" t="s">
        <v>22</v>
      </c>
      <c r="L1643" s="1" t="str">
        <f>HYPERLINK("https://files.afu.se/Downloads/Transcripts/0%20-%20Government/USA%20-%20NASA/2016 04 08 - NASA - SpaceX Dragon Headed to the ISS_Nz60GcmKOvc - transcript (automated).pdf","Transcript Link")</f>
        <v>Transcript Link</v>
      </c>
      <c r="M1643" s="2" t="str">
        <f>HYPERLINK("https://files.afu.se/Downloads/Transcripts/0%20-%20Government/USA%20-%20NASA/2016 04 08 - NASA - SpaceX Dragon Headed to the ISS_Nz60GcmKOvc - transcript (automated).pdf","Transcript Link")</f>
        <v>Transcript Link</v>
      </c>
    </row>
    <row r="1644" ht="180" spans="1:13">
      <c r="A1644" s="1" t="s">
        <v>7674</v>
      </c>
      <c r="B1644" s="1" t="s">
        <v>13</v>
      </c>
      <c r="C1644" s="4" t="s">
        <v>7683</v>
      </c>
      <c r="D1644" s="1" t="s">
        <v>7684</v>
      </c>
      <c r="E1644" s="1" t="s">
        <v>7685</v>
      </c>
      <c r="F1644" s="4" t="s">
        <v>17</v>
      </c>
      <c r="G1644" s="1" t="s">
        <v>18</v>
      </c>
      <c r="H1644" s="1" t="s">
        <v>19</v>
      </c>
      <c r="I1644" s="1" t="s">
        <v>20</v>
      </c>
      <c r="J1644" s="1" t="s">
        <v>7686</v>
      </c>
      <c r="K1644" s="1" t="s">
        <v>22</v>
      </c>
      <c r="L1644" s="1" t="str">
        <f>HYPERLINK("https://files.afu.se/Downloads/Transcripts/0%20-%20Government/USA%20-%20NASA/2016 04 08 - NASA - SpaceX Mission Launches to Re-supply the ISS_J2KRKccfojs - transcript (automated).pdf","Transcript Link")</f>
        <v>Transcript Link</v>
      </c>
      <c r="M1644" s="2" t="str">
        <f>HYPERLINK("https://files.afu.se/Downloads/Transcripts/0%20-%20Government/USA%20-%20NASA/2016 04 08 - NASA - SpaceX Mission Launches to Re-supply the ISS_J2KRKccfojs - transcript (automated).pdf","Transcript Link")</f>
        <v>Transcript Link</v>
      </c>
    </row>
    <row r="1645" ht="165" spans="1:13">
      <c r="A1645" s="1" t="s">
        <v>7674</v>
      </c>
      <c r="B1645" s="1" t="s">
        <v>13</v>
      </c>
      <c r="C1645" s="4" t="s">
        <v>7687</v>
      </c>
      <c r="D1645" s="1" t="s">
        <v>7688</v>
      </c>
      <c r="E1645" s="1" t="s">
        <v>7689</v>
      </c>
      <c r="F1645" s="4" t="s">
        <v>17</v>
      </c>
      <c r="G1645" s="1" t="s">
        <v>18</v>
      </c>
      <c r="H1645" s="1" t="s">
        <v>19</v>
      </c>
      <c r="I1645" s="1" t="s">
        <v>20</v>
      </c>
      <c r="J1645" s="1" t="s">
        <v>7690</v>
      </c>
      <c r="K1645" s="1" t="s">
        <v>22</v>
      </c>
      <c r="L1645" s="1" t="str">
        <f>HYPERLINK("https://files.afu.se/Downloads/Transcripts/0%20-%20Government/USA%20-%20NASA/2016 04 08 - NASA - Humans … Start your Rovers!_uFnJefwlg6I - transcript (automated).pdf","Transcript Link")</f>
        <v>Transcript Link</v>
      </c>
      <c r="M1645" s="2" t="str">
        <f>HYPERLINK("https://files.afu.se/Downloads/Transcripts/0%20-%20Government/USA%20-%20NASA/2016 04 08 - NASA - Humans … Start your Rovers!_uFnJefwlg6I - transcript (automated).pdf","Transcript Link")</f>
        <v>Transcript Link</v>
      </c>
    </row>
    <row r="1646" ht="180" spans="1:13">
      <c r="A1646" s="1" t="s">
        <v>7691</v>
      </c>
      <c r="B1646" s="1" t="s">
        <v>13</v>
      </c>
      <c r="C1646" s="4" t="s">
        <v>7692</v>
      </c>
      <c r="D1646" s="1" t="s">
        <v>7693</v>
      </c>
      <c r="E1646" s="1" t="s">
        <v>7694</v>
      </c>
      <c r="F1646" s="4" t="s">
        <v>17</v>
      </c>
      <c r="G1646" s="1" t="s">
        <v>18</v>
      </c>
      <c r="H1646" s="1" t="s">
        <v>19</v>
      </c>
      <c r="I1646" s="1" t="s">
        <v>20</v>
      </c>
      <c r="J1646" s="1" t="s">
        <v>7695</v>
      </c>
      <c r="K1646" s="1" t="s">
        <v>22</v>
      </c>
      <c r="L1646" s="1" t="str">
        <f>HYPERLINK("https://files.afu.se/Downloads/Transcripts/0%20-%20Government/USA%20-%20NASA/2016 04 07 - NASA - Next ISS Supply Mission Previewed_JJJjv41M4lc - transcript (automated).pdf","Transcript Link")</f>
        <v>Transcript Link</v>
      </c>
      <c r="M1646" s="2" t="str">
        <f>HYPERLINK("https://files.afu.se/Downloads/Transcripts/0%20-%20Government/USA%20-%20NASA/2016 04 07 - NASA - Next ISS Supply Mission Previewed_JJJjv41M4lc - transcript (automated).pdf","Transcript Link")</f>
        <v>Transcript Link</v>
      </c>
    </row>
    <row r="1647" ht="225" spans="1:13">
      <c r="A1647" s="1" t="s">
        <v>7691</v>
      </c>
      <c r="B1647" s="1" t="s">
        <v>13</v>
      </c>
      <c r="C1647" s="4" t="s">
        <v>7696</v>
      </c>
      <c r="D1647" s="1" t="s">
        <v>7697</v>
      </c>
      <c r="E1647" s="1" t="s">
        <v>7698</v>
      </c>
      <c r="F1647" s="4" t="s">
        <v>17</v>
      </c>
      <c r="G1647" s="1" t="s">
        <v>18</v>
      </c>
      <c r="H1647" s="1" t="s">
        <v>19</v>
      </c>
      <c r="I1647" s="1" t="s">
        <v>20</v>
      </c>
      <c r="J1647" s="1" t="s">
        <v>7699</v>
      </c>
      <c r="K1647" s="1" t="s">
        <v>22</v>
      </c>
      <c r="L1647" s="1" t="str">
        <f>HYPERLINK("https://files.afu.se/Downloads/Transcripts/0%20-%20Government/USA%20-%20NASA/2016 04 07 - NASA - The Science and Tech on the Next ISS Supply Mission_cq_Kl0IGHH0 - transcript (automated).pdf","Transcript Link")</f>
        <v>Transcript Link</v>
      </c>
      <c r="M1647" s="2" t="str">
        <f>HYPERLINK("https://files.afu.se/Downloads/Transcripts/0%20-%20Government/USA%20-%20NASA/2016 04 07 - NASA - The Science and Tech on the Next ISS Supply Mission_cq_Kl0IGHH0 - transcript (automated).pdf","Transcript Link")</f>
        <v>Transcript Link</v>
      </c>
    </row>
    <row r="1648" ht="165" spans="1:13">
      <c r="A1648" s="1" t="s">
        <v>7691</v>
      </c>
      <c r="B1648" s="1" t="s">
        <v>13</v>
      </c>
      <c r="C1648" s="4" t="s">
        <v>7700</v>
      </c>
      <c r="D1648" s="1" t="s">
        <v>7701</v>
      </c>
      <c r="E1648" s="1" t="s">
        <v>7702</v>
      </c>
      <c r="F1648" s="4" t="s">
        <v>17</v>
      </c>
      <c r="G1648" s="1" t="s">
        <v>18</v>
      </c>
      <c r="H1648" s="1" t="s">
        <v>19</v>
      </c>
      <c r="I1648" s="1" t="s">
        <v>20</v>
      </c>
      <c r="J1648" s="1" t="s">
        <v>7703</v>
      </c>
      <c r="K1648" s="1" t="s">
        <v>22</v>
      </c>
      <c r="L1648" s="1" t="str">
        <f>HYPERLINK("https://files.afu.se/Downloads/Transcripts/0%20-%20Government/USA%20-%20NASA/2016 04 07 - NASA - NASA Astronauts Talk About Life Aboard the ISS_OogSLKH14zs - transcript (automated).pdf","Transcript Link")</f>
        <v>Transcript Link</v>
      </c>
      <c r="M1648" s="2" t="str">
        <f>HYPERLINK("https://files.afu.se/Downloads/Transcripts/0%20-%20Government/USA%20-%20NASA/2016 04 07 - NASA - NASA Astronauts Talk About Life Aboard the ISS_OogSLKH14zs - transcript (automated).pdf","Transcript Link")</f>
        <v>Transcript Link</v>
      </c>
    </row>
    <row r="1649" ht="165" spans="1:13">
      <c r="A1649" s="1" t="s">
        <v>7704</v>
      </c>
      <c r="B1649" s="1" t="s">
        <v>13</v>
      </c>
      <c r="C1649" s="4" t="s">
        <v>7705</v>
      </c>
      <c r="D1649" s="1" t="s">
        <v>7706</v>
      </c>
      <c r="E1649" s="1" t="s">
        <v>7707</v>
      </c>
      <c r="F1649" s="4" t="s">
        <v>17</v>
      </c>
      <c r="G1649" s="1" t="s">
        <v>18</v>
      </c>
      <c r="H1649" s="1" t="s">
        <v>19</v>
      </c>
      <c r="I1649" s="1" t="s">
        <v>20</v>
      </c>
      <c r="J1649" s="1" t="s">
        <v>7708</v>
      </c>
      <c r="K1649" s="1" t="s">
        <v>22</v>
      </c>
      <c r="L1649" s="1" t="str">
        <f>HYPERLINK("https://files.afu.se/Downloads/Transcripts/0%20-%20Government/USA%20-%20NASA/2016 04 05 - NASA - Earth Expeditions  Oceans Melting Greenland_QOHAIUvFtwc - transcript (automated).pdf","Transcript Link")</f>
        <v>Transcript Link</v>
      </c>
      <c r="M1649" s="2" t="str">
        <f>HYPERLINK("https://files.afu.se/Downloads/Transcripts/0%20-%20Government/USA%20-%20NASA/2016 04 05 - NASA - Earth Expeditions  Oceans Melting Greenland_QOHAIUvFtwc - transcript (automated).pdf","Transcript Link")</f>
        <v>Transcript Link</v>
      </c>
    </row>
    <row r="1650" ht="165" spans="1:13">
      <c r="A1650" s="1" t="s">
        <v>7709</v>
      </c>
      <c r="B1650" s="1" t="s">
        <v>13</v>
      </c>
      <c r="C1650" s="4" t="s">
        <v>7710</v>
      </c>
      <c r="D1650" s="1" t="s">
        <v>7711</v>
      </c>
      <c r="E1650" s="1" t="s">
        <v>7712</v>
      </c>
      <c r="F1650" s="4" t="s">
        <v>17</v>
      </c>
      <c r="G1650" s="1" t="s">
        <v>18</v>
      </c>
      <c r="H1650" s="1" t="s">
        <v>19</v>
      </c>
      <c r="I1650" s="1" t="s">
        <v>20</v>
      </c>
      <c r="J1650" s="1" t="s">
        <v>7713</v>
      </c>
      <c r="K1650" s="1" t="s">
        <v>22</v>
      </c>
      <c r="L1650" s="1" t="str">
        <f>HYPERLINK("https://files.afu.se/Downloads/Transcripts/0%20-%20Government/USA%20-%20NASA/2016 04 02 - NASA - Russian Supply Spacecraft Arrives Safely to the ISS_7F7kR5Rqr-Y - transcript (automated).pdf","Transcript Link")</f>
        <v>Transcript Link</v>
      </c>
      <c r="M1650" s="2" t="str">
        <f>HYPERLINK("https://files.afu.se/Downloads/Transcripts/0%20-%20Government/USA%20-%20NASA/2016 04 02 - NASA - Russian Supply Spacecraft Arrives Safely to the ISS_7F7kR5Rqr-Y - transcript (automated).pdf","Transcript Link")</f>
        <v>Transcript Link</v>
      </c>
    </row>
    <row r="1651" ht="195" spans="1:13">
      <c r="A1651" s="1" t="s">
        <v>7714</v>
      </c>
      <c r="B1651" s="1" t="s">
        <v>13</v>
      </c>
      <c r="C1651" s="4" t="s">
        <v>7715</v>
      </c>
      <c r="D1651" s="1" t="s">
        <v>7716</v>
      </c>
      <c r="E1651" s="1" t="s">
        <v>7717</v>
      </c>
      <c r="F1651" s="4" t="s">
        <v>17</v>
      </c>
      <c r="G1651" s="1" t="s">
        <v>18</v>
      </c>
      <c r="H1651" s="1" t="s">
        <v>19</v>
      </c>
      <c r="I1651" s="1" t="s">
        <v>20</v>
      </c>
      <c r="J1651" s="1" t="s">
        <v>7718</v>
      </c>
      <c r="K1651" s="1" t="s">
        <v>22</v>
      </c>
      <c r="L1651" s="1" t="str">
        <f>HYPERLINK("https://files.afu.se/Downloads/Transcripts/0%20-%20Government/USA%20-%20NASA/2016 04 01 - NASA - Suited Test in Orion on This Week @NASA – April 1, 2016_KKGhyDAnp7Q - transcript (automated).pdf","Transcript Link")</f>
        <v>Transcript Link</v>
      </c>
      <c r="M1651" s="2" t="str">
        <f>HYPERLINK("https://files.afu.se/Downloads/Transcripts/0%20-%20Government/USA%20-%20NASA/2016 04 01 - NASA - Suited Test in Orion on This Week @NASA – April 1, 2016_KKGhyDAnp7Q - transcript (automated).pdf","Transcript Link")</f>
        <v>Transcript Link</v>
      </c>
    </row>
    <row r="1652" ht="165" spans="1:13">
      <c r="A1652" s="1" t="s">
        <v>7719</v>
      </c>
      <c r="B1652" s="1" t="s">
        <v>13</v>
      </c>
      <c r="C1652" s="4" t="s">
        <v>7720</v>
      </c>
      <c r="D1652" s="1" t="s">
        <v>7721</v>
      </c>
      <c r="E1652" s="1" t="s">
        <v>7722</v>
      </c>
      <c r="F1652" s="4" t="s">
        <v>17</v>
      </c>
      <c r="G1652" s="1" t="s">
        <v>18</v>
      </c>
      <c r="H1652" s="1" t="s">
        <v>19</v>
      </c>
      <c r="I1652" s="1" t="s">
        <v>20</v>
      </c>
      <c r="J1652" s="1" t="s">
        <v>7723</v>
      </c>
      <c r="K1652" s="1" t="s">
        <v>22</v>
      </c>
      <c r="L1652" s="1" t="str">
        <f>HYPERLINK("https://files.afu.se/Downloads/Transcripts/0%20-%20Government/USA%20-%20NASA/2016 03 31 - NASA - Promo  Progress 63 Docking with the International Space Station_9WLqke4OiJM - transcript (automated).pdf","Transcript Link")</f>
        <v>Transcript Link</v>
      </c>
      <c r="M1652" s="2" t="str">
        <f>HYPERLINK("https://files.afu.se/Downloads/Transcripts/0%20-%20Government/USA%20-%20NASA/2016 03 31 - NASA - Promo  Progress 63 Docking with the International Space Station_9WLqke4OiJM - transcript (automated).pdf","Transcript Link")</f>
        <v>Transcript Link</v>
      </c>
    </row>
    <row r="1653" ht="165" spans="1:13">
      <c r="A1653" s="1" t="s">
        <v>7719</v>
      </c>
      <c r="B1653" s="1" t="s">
        <v>13</v>
      </c>
      <c r="C1653" s="4" t="s">
        <v>7724</v>
      </c>
      <c r="D1653" s="1" t="s">
        <v>7725</v>
      </c>
      <c r="E1653" s="1" t="s">
        <v>7726</v>
      </c>
      <c r="F1653" s="4" t="s">
        <v>17</v>
      </c>
      <c r="G1653" s="1" t="s">
        <v>18</v>
      </c>
      <c r="H1653" s="1" t="s">
        <v>19</v>
      </c>
      <c r="I1653" s="1" t="s">
        <v>20</v>
      </c>
      <c r="J1653" s="1" t="s">
        <v>7727</v>
      </c>
      <c r="K1653" s="1" t="s">
        <v>22</v>
      </c>
      <c r="L1653" s="1" t="str">
        <f>HYPERLINK("https://files.afu.se/Downloads/Transcripts/0%20-%20Government/USA%20-%20NASA/2016 03 31 - NASA - Russian Supply Spacecraft Launches to the ISS_ZTPF80J2IEU - transcript (automated).pdf","Transcript Link")</f>
        <v>Transcript Link</v>
      </c>
      <c r="M1653" s="2" t="str">
        <f>HYPERLINK("https://files.afu.se/Downloads/Transcripts/0%20-%20Government/USA%20-%20NASA/2016 03 31 - NASA - Russian Supply Spacecraft Launches to the ISS_ZTPF80J2IEU - transcript (automated).pdf","Transcript Link")</f>
        <v>Transcript Link</v>
      </c>
    </row>
    <row r="1654" ht="165" spans="1:13">
      <c r="A1654" s="1" t="s">
        <v>7728</v>
      </c>
      <c r="B1654" s="1" t="s">
        <v>13</v>
      </c>
      <c r="C1654" s="4" t="s">
        <v>7729</v>
      </c>
      <c r="D1654" s="1" t="s">
        <v>7730</v>
      </c>
      <c r="E1654" s="1" t="s">
        <v>7731</v>
      </c>
      <c r="F1654" s="4" t="s">
        <v>17</v>
      </c>
      <c r="G1654" s="1" t="s">
        <v>18</v>
      </c>
      <c r="H1654" s="1" t="s">
        <v>19</v>
      </c>
      <c r="I1654" s="1" t="s">
        <v>20</v>
      </c>
      <c r="J1654" s="1" t="s">
        <v>7732</v>
      </c>
      <c r="K1654" s="1" t="s">
        <v>22</v>
      </c>
      <c r="L1654" s="1" t="str">
        <f>HYPERLINK("https://files.afu.se/Downloads/Transcripts/0%20-%20Government/USA%20-%20NASA/2016 03 30 - NASA - STEM in 30 - Made to Rove_W6uV6tLdekU - transcript (automated).pdf","Transcript Link")</f>
        <v>Transcript Link</v>
      </c>
      <c r="M1654" s="2" t="str">
        <f>HYPERLINK("https://files.afu.se/Downloads/Transcripts/0%20-%20Government/USA%20-%20NASA/2016 03 30 - NASA - STEM in 30 - Made to Rove_W6uV6tLdekU - transcript (automated).pdf","Transcript Link")</f>
        <v>Transcript Link</v>
      </c>
    </row>
    <row r="1655" ht="180" spans="1:13">
      <c r="A1655" s="1" t="s">
        <v>7728</v>
      </c>
      <c r="B1655" s="1" t="s">
        <v>13</v>
      </c>
      <c r="C1655" s="4" t="s">
        <v>7733</v>
      </c>
      <c r="D1655" s="1" t="s">
        <v>7734</v>
      </c>
      <c r="E1655" s="1" t="s">
        <v>7735</v>
      </c>
      <c r="F1655" s="4" t="s">
        <v>17</v>
      </c>
      <c r="G1655" s="1" t="s">
        <v>18</v>
      </c>
      <c r="H1655" s="1" t="s">
        <v>19</v>
      </c>
      <c r="I1655" s="1" t="s">
        <v>20</v>
      </c>
      <c r="J1655" s="1" t="s">
        <v>7736</v>
      </c>
      <c r="K1655" s="1" t="s">
        <v>22</v>
      </c>
      <c r="L1655" s="1" t="str">
        <f>HYPERLINK("https://files.afu.se/Downloads/Transcripts/0%20-%20Government/USA%20-%20NASA/2016 03 30 - NASA - Russian Cargo Ship Departs the International Space Station_eAPWVdag-cQ - transcript (automated).pdf","Transcript Link")</f>
        <v>Transcript Link</v>
      </c>
      <c r="M1655" s="2" t="str">
        <f>HYPERLINK("https://files.afu.se/Downloads/Transcripts/0%20-%20Government/USA%20-%20NASA/2016 03 30 - NASA - Russian Cargo Ship Departs the International Space Station_eAPWVdag-cQ - transcript (automated).pdf","Transcript Link")</f>
        <v>Transcript Link</v>
      </c>
    </row>
    <row r="1656" ht="165" spans="1:13">
      <c r="A1656" s="1" t="s">
        <v>7737</v>
      </c>
      <c r="B1656" s="1" t="s">
        <v>13</v>
      </c>
      <c r="C1656" s="4" t="s">
        <v>7738</v>
      </c>
      <c r="D1656" s="1" t="s">
        <v>7739</v>
      </c>
      <c r="E1656" s="1" t="s">
        <v>7740</v>
      </c>
      <c r="F1656" s="4" t="s">
        <v>17</v>
      </c>
      <c r="G1656" s="1" t="s">
        <v>18</v>
      </c>
      <c r="H1656" s="1" t="s">
        <v>19</v>
      </c>
      <c r="I1656" s="1" t="s">
        <v>20</v>
      </c>
      <c r="J1656" s="1" t="s">
        <v>7741</v>
      </c>
      <c r="K1656" s="1" t="s">
        <v>22</v>
      </c>
      <c r="L1656" s="1" t="str">
        <f>HYPERLINK("https://files.afu.se/Downloads/Transcripts/0%20-%20Government/USA%20-%20NASA/2016 03 29 - NASA - Promo  Progress 63 Launch Coverage_LHrdGA2cCRQ - transcript (automated).pdf","Transcript Link")</f>
        <v>Transcript Link</v>
      </c>
      <c r="M1656" s="2" t="str">
        <f>HYPERLINK("https://files.afu.se/Downloads/Transcripts/0%20-%20Government/USA%20-%20NASA/2016 03 29 - NASA - Promo  Progress 63 Launch Coverage_LHrdGA2cCRQ - transcript (automated).pdf","Transcript Link")</f>
        <v>Transcript Link</v>
      </c>
    </row>
    <row r="1657" ht="165" spans="1:13">
      <c r="A1657" s="1" t="s">
        <v>7737</v>
      </c>
      <c r="B1657" s="1" t="s">
        <v>13</v>
      </c>
      <c r="C1657" s="4" t="s">
        <v>7742</v>
      </c>
      <c r="D1657" s="1" t="s">
        <v>7743</v>
      </c>
      <c r="E1657" s="1" t="s">
        <v>7744</v>
      </c>
      <c r="F1657" s="4" t="s">
        <v>17</v>
      </c>
      <c r="G1657" s="1" t="s">
        <v>18</v>
      </c>
      <c r="H1657" s="1" t="s">
        <v>19</v>
      </c>
      <c r="I1657" s="1" t="s">
        <v>20</v>
      </c>
      <c r="J1657" s="1" t="s">
        <v>7745</v>
      </c>
      <c r="K1657" s="1" t="s">
        <v>22</v>
      </c>
      <c r="L1657" s="1" t="str">
        <f>HYPERLINK("https://files.afu.se/Downloads/Transcripts/0%20-%20Government/USA%20-%20NASA/2016 03 29 - NASA - British Astronaut Answers Questions from the Space Station_1AUnwlGsxbY - transcript (automated).pdf","Transcript Link")</f>
        <v>Transcript Link</v>
      </c>
      <c r="M1657" s="2" t="str">
        <f>HYPERLINK("https://files.afu.se/Downloads/Transcripts/0%20-%20Government/USA%20-%20NASA/2016 03 29 - NASA - British Astronaut Answers Questions from the Space Station_1AUnwlGsxbY - transcript (automated).pdf","Transcript Link")</f>
        <v>Transcript Link</v>
      </c>
    </row>
    <row r="1658" ht="165" spans="1:13">
      <c r="A1658" s="1" t="s">
        <v>7746</v>
      </c>
      <c r="B1658" s="1" t="s">
        <v>13</v>
      </c>
      <c r="C1658" s="4" t="s">
        <v>7747</v>
      </c>
      <c r="D1658" s="1" t="s">
        <v>7748</v>
      </c>
      <c r="E1658" s="1" t="s">
        <v>7749</v>
      </c>
      <c r="F1658" s="4" t="s">
        <v>17</v>
      </c>
      <c r="G1658" s="1" t="s">
        <v>18</v>
      </c>
      <c r="H1658" s="1" t="s">
        <v>19</v>
      </c>
      <c r="I1658" s="1" t="s">
        <v>20</v>
      </c>
      <c r="J1658" s="1" t="s">
        <v>7750</v>
      </c>
      <c r="K1658" s="1" t="s">
        <v>22</v>
      </c>
      <c r="L1658" s="1" t="str">
        <f>HYPERLINK("https://files.afu.se/Downloads/Transcripts/0%20-%20Government/USA%20-%20NASA/2016 03 26 - NASA - Cygnus Cargo Supply Spacecraft Mated to the ISS_c8e-OGgzLww - transcript (automated).pdf","Transcript Link")</f>
        <v>Transcript Link</v>
      </c>
      <c r="M1658" s="2" t="str">
        <f>HYPERLINK("https://files.afu.se/Downloads/Transcripts/0%20-%20Government/USA%20-%20NASA/2016 03 26 - NASA - Cygnus Cargo Supply Spacecraft Mated to the ISS_c8e-OGgzLww - transcript (automated).pdf","Transcript Link")</f>
        <v>Transcript Link</v>
      </c>
    </row>
    <row r="1659" ht="165" spans="1:13">
      <c r="A1659" s="1" t="s">
        <v>7746</v>
      </c>
      <c r="B1659" s="1" t="s">
        <v>13</v>
      </c>
      <c r="C1659" s="4" t="s">
        <v>7751</v>
      </c>
      <c r="D1659" s="1" t="s">
        <v>7752</v>
      </c>
      <c r="E1659" s="1" t="s">
        <v>7753</v>
      </c>
      <c r="F1659" s="4" t="s">
        <v>17</v>
      </c>
      <c r="G1659" s="1" t="s">
        <v>18</v>
      </c>
      <c r="H1659" s="1" t="s">
        <v>19</v>
      </c>
      <c r="I1659" s="1" t="s">
        <v>20</v>
      </c>
      <c r="J1659" s="1" t="s">
        <v>7754</v>
      </c>
      <c r="K1659" s="1" t="s">
        <v>22</v>
      </c>
      <c r="L1659" s="1" t="str">
        <f>HYPERLINK("https://files.afu.se/Downloads/Transcripts/0%20-%20Government/USA%20-%20NASA/2016 03 26 - NASA - Cygnus Cargo Supply Spacecraft Safely Reaches the ISS_MIkOwaxkZbc - transcript (automated).pdf","Transcript Link")</f>
        <v>Transcript Link</v>
      </c>
      <c r="M1659" s="2" t="str">
        <f>HYPERLINK("https://files.afu.se/Downloads/Transcripts/0%20-%20Government/USA%20-%20NASA/2016 03 26 - NASA - Cygnus Cargo Supply Spacecraft Safely Reaches the ISS_MIkOwaxkZbc - transcript (automated).pdf","Transcript Link")</f>
        <v>Transcript Link</v>
      </c>
    </row>
    <row r="1660" ht="195" spans="1:13">
      <c r="A1660" s="1" t="s">
        <v>7755</v>
      </c>
      <c r="B1660" s="1" t="s">
        <v>13</v>
      </c>
      <c r="C1660" s="4" t="s">
        <v>7756</v>
      </c>
      <c r="D1660" s="1" t="s">
        <v>7757</v>
      </c>
      <c r="E1660" s="1" t="s">
        <v>7758</v>
      </c>
      <c r="F1660" s="4" t="s">
        <v>17</v>
      </c>
      <c r="G1660" s="1" t="s">
        <v>18</v>
      </c>
      <c r="H1660" s="1" t="s">
        <v>19</v>
      </c>
      <c r="I1660" s="1" t="s">
        <v>20</v>
      </c>
      <c r="J1660" s="1" t="s">
        <v>7759</v>
      </c>
      <c r="K1660" s="1" t="s">
        <v>22</v>
      </c>
      <c r="L1660" s="1" t="str">
        <f>HYPERLINK("https://files.afu.se/Downloads/Transcripts/0%20-%20Government/USA%20-%20NASA/2016 03 25 - NASA - One Year Space Station Crew Receives a Warm Welcome in Star City, Russia_ffG6TZ3MIYM - transcript (automated).pdf","Transcript Link")</f>
        <v>Transcript Link</v>
      </c>
      <c r="M1660" s="2" t="str">
        <f>HYPERLINK("https://files.afu.se/Downloads/Transcripts/0%20-%20Government/USA%20-%20NASA/2016 03 25 - NASA - One Year Space Station Crew Receives a Warm Welcome in Star City, Russia_ffG6TZ3MIYM - transcript (automated).pdf","Transcript Link")</f>
        <v>Transcript Link</v>
      </c>
    </row>
    <row r="1661" ht="240" spans="1:13">
      <c r="A1661" s="1" t="s">
        <v>7755</v>
      </c>
      <c r="B1661" s="1" t="s">
        <v>13</v>
      </c>
      <c r="C1661" s="4" t="s">
        <v>7760</v>
      </c>
      <c r="D1661" s="1" t="s">
        <v>7761</v>
      </c>
      <c r="E1661" s="1" t="s">
        <v>7762</v>
      </c>
      <c r="F1661" s="4" t="s">
        <v>17</v>
      </c>
      <c r="G1661" s="1" t="s">
        <v>18</v>
      </c>
      <c r="H1661" s="1" t="s">
        <v>19</v>
      </c>
      <c r="I1661" s="1" t="s">
        <v>20</v>
      </c>
      <c r="J1661" s="1" t="s">
        <v>7763</v>
      </c>
      <c r="K1661" s="1" t="s">
        <v>22</v>
      </c>
      <c r="L1661" s="1" t="str">
        <f>HYPERLINK("https://files.afu.se/Downloads/Transcripts/0%20-%20Government/USA%20-%20NASA/2016 03 25 - NASA - NASA Earth Expeditions Kickoff on This Week @NASA – March 25, 2016_y56uqOaURXw - transcript (automated).pdf","Transcript Link")</f>
        <v>Transcript Link</v>
      </c>
      <c r="M1661" s="2" t="str">
        <f>HYPERLINK("https://files.afu.se/Downloads/Transcripts/0%20-%20Government/USA%20-%20NASA/2016 03 25 - NASA - NASA Earth Expeditions Kickoff on This Week @NASA – March 25, 2016_y56uqOaURXw - transcript (automated).pdf","Transcript Link")</f>
        <v>Transcript Link</v>
      </c>
    </row>
    <row r="1662" ht="210" spans="1:13">
      <c r="A1662" s="1" t="s">
        <v>7755</v>
      </c>
      <c r="B1662" s="1" t="s">
        <v>13</v>
      </c>
      <c r="C1662" s="4" t="s">
        <v>7764</v>
      </c>
      <c r="D1662" s="1" t="s">
        <v>7765</v>
      </c>
      <c r="E1662" s="1" t="s">
        <v>7766</v>
      </c>
      <c r="F1662" s="4" t="s">
        <v>17</v>
      </c>
      <c r="G1662" s="1" t="s">
        <v>18</v>
      </c>
      <c r="H1662" s="1" t="s">
        <v>19</v>
      </c>
      <c r="I1662" s="1" t="s">
        <v>20</v>
      </c>
      <c r="J1662" s="1" t="s">
        <v>7767</v>
      </c>
      <c r="K1662" s="1" t="s">
        <v>22</v>
      </c>
      <c r="L1662" s="1" t="str">
        <f>HYPERLINK("https://files.afu.se/Downloads/Transcripts/0%20-%20Government/USA%20-%20NASA/2016 03 25 - NASA - NASA Women’s History Month Profile – Katie Carr Kopsco (Stennis Space Center)_CsSG4Eap2HQ - transcript (automated).pdf","Transcript Link")</f>
        <v>Transcript Link</v>
      </c>
      <c r="M1662" s="2" t="str">
        <f>HYPERLINK("https://files.afu.se/Downloads/Transcripts/0%20-%20Government/USA%20-%20NASA/2016 03 25 - NASA - NASA Women’s History Month Profile – Katie Carr Kopsco (Stennis Space Center)_CsSG4Eap2HQ - transcript (automated).pdf","Transcript Link")</f>
        <v>Transcript Link</v>
      </c>
    </row>
    <row r="1663" ht="285" spans="1:13">
      <c r="A1663" s="1" t="s">
        <v>7768</v>
      </c>
      <c r="B1663" s="1" t="s">
        <v>13</v>
      </c>
      <c r="C1663" s="4" t="s">
        <v>7769</v>
      </c>
      <c r="D1663" s="1" t="s">
        <v>7770</v>
      </c>
      <c r="E1663" s="1" t="s">
        <v>7771</v>
      </c>
      <c r="F1663" s="4" t="s">
        <v>17</v>
      </c>
      <c r="G1663" s="1" t="s">
        <v>18</v>
      </c>
      <c r="H1663" s="1" t="s">
        <v>19</v>
      </c>
      <c r="I1663" s="1" t="s">
        <v>20</v>
      </c>
      <c r="J1663" s="1" t="s">
        <v>7772</v>
      </c>
      <c r="K1663" s="1" t="s">
        <v>22</v>
      </c>
      <c r="L1663" s="1" t="str">
        <f>HYPERLINK("https://files.afu.se/Downloads/Transcripts/0%20-%20Government/USA%20-%20NASA/2016 03 24 - NASA - Orbital ATK Cygnus Rendezvous and Installation to the International Space Station_OnntQYRHVtM - transcript (automated).pdf","Transcript Link")</f>
        <v>Transcript Link</v>
      </c>
      <c r="M1663" s="2" t="str">
        <f>HYPERLINK("https://files.afu.se/Downloads/Transcripts/0%20-%20Government/USA%20-%20NASA/2016 03 24 - NASA - Orbital ATK Cygnus Rendezvous and Installation to the International Space Station_OnntQYRHVtM - transcript (automated).pdf","Transcript Link")</f>
        <v>Transcript Link</v>
      </c>
    </row>
    <row r="1664" ht="165" spans="1:13">
      <c r="A1664" s="1" t="s">
        <v>7768</v>
      </c>
      <c r="B1664" s="1" t="s">
        <v>13</v>
      </c>
      <c r="C1664" s="4" t="s">
        <v>7773</v>
      </c>
      <c r="D1664" s="1" t="s">
        <v>7774</v>
      </c>
      <c r="E1664" s="1" t="s">
        <v>7775</v>
      </c>
      <c r="F1664" s="4" t="s">
        <v>17</v>
      </c>
      <c r="G1664" s="1" t="s">
        <v>18</v>
      </c>
      <c r="H1664" s="1" t="s">
        <v>19</v>
      </c>
      <c r="I1664" s="1" t="s">
        <v>20</v>
      </c>
      <c r="J1664" s="1" t="s">
        <v>7776</v>
      </c>
      <c r="K1664" s="1" t="s">
        <v>22</v>
      </c>
      <c r="L1664" s="1" t="str">
        <f>HYPERLINK("https://files.afu.se/Downloads/Transcripts/0%20-%20Government/USA%20-%20NASA/2016 03 24 - NASA - ISS Crewmembers Talk About Life on the Station_H_osR7kX4tg - transcript (automated).pdf","Transcript Link")</f>
        <v>Transcript Link</v>
      </c>
      <c r="M1664" s="2" t="str">
        <f>HYPERLINK("https://files.afu.se/Downloads/Transcripts/0%20-%20Government/USA%20-%20NASA/2016 03 24 - NASA - ISS Crewmembers Talk About Life on the Station_H_osR7kX4tg - transcript (automated).pdf","Transcript Link")</f>
        <v>Transcript Link</v>
      </c>
    </row>
    <row r="1665" ht="165" spans="1:13">
      <c r="A1665" s="1" t="s">
        <v>7777</v>
      </c>
      <c r="B1665" s="1" t="s">
        <v>13</v>
      </c>
      <c r="C1665" s="4" t="s">
        <v>7778</v>
      </c>
      <c r="D1665" s="1" t="s">
        <v>7779</v>
      </c>
      <c r="E1665" s="1" t="s">
        <v>7780</v>
      </c>
      <c r="F1665" s="4" t="s">
        <v>17</v>
      </c>
      <c r="G1665" s="1" t="s">
        <v>18</v>
      </c>
      <c r="H1665" s="1" t="s">
        <v>19</v>
      </c>
      <c r="I1665" s="1" t="s">
        <v>20</v>
      </c>
      <c r="J1665" s="1" t="s">
        <v>7781</v>
      </c>
      <c r="K1665" s="1" t="s">
        <v>22</v>
      </c>
      <c r="L1665" s="1" t="str">
        <f>HYPERLINK("https://files.afu.se/Downloads/Transcripts/0%20-%20Government/USA%20-%20NASA/2016 03 23 - NASA - NASA Women’s History Month Profile – Judy Grizzard (Armstrong Flight Research Center)_9BeWu_d2bFI - transcript (automated).pdf","Transcript Link")</f>
        <v>Transcript Link</v>
      </c>
      <c r="M1665" s="2" t="str">
        <f>HYPERLINK("https://files.afu.se/Downloads/Transcripts/0%20-%20Government/USA%20-%20NASA/2016 03 23 - NASA - NASA Women’s History Month Profile – Judy Grizzard (Armstrong Flight Research Center)_9BeWu_d2bFI - transcript (automated).pdf","Transcript Link")</f>
        <v>Transcript Link</v>
      </c>
    </row>
    <row r="1666" ht="180" spans="1:13">
      <c r="A1666" s="1" t="s">
        <v>7777</v>
      </c>
      <c r="B1666" s="1" t="s">
        <v>13</v>
      </c>
      <c r="C1666" s="4" t="s">
        <v>7782</v>
      </c>
      <c r="D1666" s="1" t="s">
        <v>7783</v>
      </c>
      <c r="E1666" s="1" t="s">
        <v>7784</v>
      </c>
      <c r="F1666" s="4" t="s">
        <v>17</v>
      </c>
      <c r="G1666" s="1" t="s">
        <v>18</v>
      </c>
      <c r="H1666" s="1" t="s">
        <v>19</v>
      </c>
      <c r="I1666" s="1" t="s">
        <v>20</v>
      </c>
      <c r="J1666" s="1" t="s">
        <v>7785</v>
      </c>
      <c r="K1666" s="1" t="s">
        <v>22</v>
      </c>
      <c r="L1666" s="1" t="str">
        <f>HYPERLINK("https://files.afu.se/Downloads/Transcripts/0%20-%20Government/USA%20-%20NASA/2016 03 23 - NASA - Earth Expeditions Preview_2nFF2JtjtR0 - transcript (automated).pdf","Transcript Link")</f>
        <v>Transcript Link</v>
      </c>
      <c r="M1666" s="2" t="str">
        <f>HYPERLINK("https://files.afu.se/Downloads/Transcripts/0%20-%20Government/USA%20-%20NASA/2016 03 23 - NASA - Earth Expeditions Preview_2nFF2JtjtR0 - transcript (automated).pdf","Transcript Link")</f>
        <v>Transcript Link</v>
      </c>
    </row>
    <row r="1667" ht="195" spans="1:13">
      <c r="A1667" s="1" t="s">
        <v>7777</v>
      </c>
      <c r="B1667" s="1" t="s">
        <v>13</v>
      </c>
      <c r="C1667" s="4" t="s">
        <v>7786</v>
      </c>
      <c r="D1667" s="1" t="s">
        <v>7787</v>
      </c>
      <c r="E1667" s="1" t="s">
        <v>7788</v>
      </c>
      <c r="F1667" s="4" t="s">
        <v>17</v>
      </c>
      <c r="G1667" s="1" t="s">
        <v>18</v>
      </c>
      <c r="H1667" s="1" t="s">
        <v>19</v>
      </c>
      <c r="I1667" s="1" t="s">
        <v>20</v>
      </c>
      <c r="J1667" s="1" t="s">
        <v>7789</v>
      </c>
      <c r="K1667" s="1" t="s">
        <v>22</v>
      </c>
      <c r="L1667" s="1" t="str">
        <f>HYPERLINK("https://files.afu.se/Downloads/Transcripts/0%20-%20Government/USA%20-%20NASA/2016 03 23 - NASA - Post Launch Status of Space Station Supply Spacecraft_CWQencfed-4 - transcript (automated).pdf","Transcript Link")</f>
        <v>Transcript Link</v>
      </c>
      <c r="M1667" s="2" t="str">
        <f>HYPERLINK("https://files.afu.se/Downloads/Transcripts/0%20-%20Government/USA%20-%20NASA/2016 03 23 - NASA - Post Launch Status of Space Station Supply Spacecraft_CWQencfed-4 - transcript (automated).pdf","Transcript Link")</f>
        <v>Transcript Link</v>
      </c>
    </row>
    <row r="1668" ht="165" spans="1:13">
      <c r="A1668" s="1" t="s">
        <v>7777</v>
      </c>
      <c r="B1668" s="1" t="s">
        <v>13</v>
      </c>
      <c r="C1668" s="4" t="s">
        <v>7790</v>
      </c>
      <c r="D1668" s="1" t="s">
        <v>7791</v>
      </c>
      <c r="E1668" s="1" t="s">
        <v>7792</v>
      </c>
      <c r="F1668" s="4" t="s">
        <v>17</v>
      </c>
      <c r="G1668" s="1" t="s">
        <v>18</v>
      </c>
      <c r="H1668" s="1" t="s">
        <v>19</v>
      </c>
      <c r="I1668" s="1" t="s">
        <v>20</v>
      </c>
      <c r="J1668" s="1" t="s">
        <v>7793</v>
      </c>
      <c r="K1668" s="1" t="s">
        <v>22</v>
      </c>
      <c r="L1668" s="1" t="str">
        <f>HYPERLINK("https://files.afu.se/Downloads/Transcripts/0%20-%20Government/USA%20-%20NASA/2016 03 23 - NASA - Supply Spacecraft Heads to the Space Station_f35ffIjP3Cg - transcript (automated).pdf","Transcript Link")</f>
        <v>Transcript Link</v>
      </c>
      <c r="M1668" s="2" t="str">
        <f>HYPERLINK("https://files.afu.se/Downloads/Transcripts/0%20-%20Government/USA%20-%20NASA/2016 03 23 - NASA - Supply Spacecraft Heads to the Space Station_f35ffIjP3Cg - transcript (automated).pdf","Transcript Link")</f>
        <v>Transcript Link</v>
      </c>
    </row>
    <row r="1669" ht="165" spans="1:13">
      <c r="A1669" s="1" t="s">
        <v>7794</v>
      </c>
      <c r="B1669" s="1" t="s">
        <v>13</v>
      </c>
      <c r="C1669" s="4" t="s">
        <v>7795</v>
      </c>
      <c r="D1669" s="1" t="s">
        <v>7796</v>
      </c>
      <c r="E1669" s="1" t="s">
        <v>7797</v>
      </c>
      <c r="F1669" s="4" t="s">
        <v>17</v>
      </c>
      <c r="G1669" s="1" t="s">
        <v>18</v>
      </c>
      <c r="H1669" s="1" t="s">
        <v>19</v>
      </c>
      <c r="I1669" s="1" t="s">
        <v>20</v>
      </c>
      <c r="J1669" s="1" t="s">
        <v>7798</v>
      </c>
      <c r="K1669" s="1" t="s">
        <v>22</v>
      </c>
      <c r="L1669" s="1" t="str">
        <f>HYPERLINK("https://files.afu.se/Downloads/Transcripts/0%20-%20Government/USA%20-%20NASA/2016 03 22 - NASA - What’s Up on the Space Station _uNGki2KU_pk - transcript (automated).pdf","Transcript Link")</f>
        <v>Transcript Link</v>
      </c>
      <c r="M1669" s="2" t="str">
        <f>HYPERLINK("https://files.afu.se/Downloads/Transcripts/0%20-%20Government/USA%20-%20NASA/2016 03 22 - NASA - What’s Up on the Space Station _uNGki2KU_pk - transcript (automated).pdf","Transcript Link")</f>
        <v>Transcript Link</v>
      </c>
    </row>
    <row r="1670" ht="195" spans="1:13">
      <c r="A1670" s="1" t="s">
        <v>7799</v>
      </c>
      <c r="B1670" s="1" t="s">
        <v>13</v>
      </c>
      <c r="C1670" s="4" t="s">
        <v>7800</v>
      </c>
      <c r="D1670" s="1" t="s">
        <v>7801</v>
      </c>
      <c r="E1670" s="1" t="s">
        <v>7802</v>
      </c>
      <c r="F1670" s="4" t="s">
        <v>17</v>
      </c>
      <c r="G1670" s="1" t="s">
        <v>18</v>
      </c>
      <c r="H1670" s="1" t="s">
        <v>19</v>
      </c>
      <c r="I1670" s="1" t="s">
        <v>20</v>
      </c>
      <c r="J1670" s="1" t="s">
        <v>7803</v>
      </c>
      <c r="K1670" s="1" t="s">
        <v>22</v>
      </c>
      <c r="L1670" s="1" t="str">
        <f>HYPERLINK("https://files.afu.se/Downloads/Transcripts/0%20-%20Government/USA%20-%20NASA/2016 03 21 - NASA - Preview of the Next ISS Supply Mission_uwiOrYgTsFs - transcript (automated).pdf","Transcript Link")</f>
        <v>Transcript Link</v>
      </c>
      <c r="M1670" s="2" t="str">
        <f>HYPERLINK("https://files.afu.se/Downloads/Transcripts/0%20-%20Government/USA%20-%20NASA/2016 03 21 - NASA - Preview of the Next ISS Supply Mission_uwiOrYgTsFs - transcript (automated).pdf","Transcript Link")</f>
        <v>Transcript Link</v>
      </c>
    </row>
    <row r="1671" ht="165" spans="1:13">
      <c r="A1671" s="1" t="s">
        <v>7799</v>
      </c>
      <c r="B1671" s="1" t="s">
        <v>13</v>
      </c>
      <c r="C1671" s="4" t="s">
        <v>7804</v>
      </c>
      <c r="D1671" s="1" t="s">
        <v>7805</v>
      </c>
      <c r="E1671" s="1" t="s">
        <v>7806</v>
      </c>
      <c r="F1671" s="4" t="s">
        <v>17</v>
      </c>
      <c r="G1671" s="1" t="s">
        <v>18</v>
      </c>
      <c r="H1671" s="1" t="s">
        <v>19</v>
      </c>
      <c r="I1671" s="1" t="s">
        <v>20</v>
      </c>
      <c r="J1671" s="1" t="s">
        <v>7807</v>
      </c>
      <c r="K1671" s="1" t="s">
        <v>22</v>
      </c>
      <c r="L1671" s="1" t="str">
        <f>HYPERLINK("https://files.afu.se/Downloads/Transcripts/0%20-%20Government/USA%20-%20NASA/2016 03 21 - NASA - Promo  Launch Coverage and Commentary of Orbital ATK CRS-6_qLFqEwbTDAw - transcript (automated).pdf","Transcript Link")</f>
        <v>Transcript Link</v>
      </c>
      <c r="M1671" s="2" t="str">
        <f>HYPERLINK("https://files.afu.se/Downloads/Transcripts/0%20-%20Government/USA%20-%20NASA/2016 03 21 - NASA - Promo  Launch Coverage and Commentary of Orbital ATK CRS-6_qLFqEwbTDAw - transcript (automated).pdf","Transcript Link")</f>
        <v>Transcript Link</v>
      </c>
    </row>
    <row r="1672" ht="240" spans="1:13">
      <c r="A1672" s="1" t="s">
        <v>7799</v>
      </c>
      <c r="B1672" s="1" t="s">
        <v>13</v>
      </c>
      <c r="C1672" s="4" t="s">
        <v>7808</v>
      </c>
      <c r="D1672" s="1" t="s">
        <v>6715</v>
      </c>
      <c r="E1672" s="1" t="s">
        <v>7809</v>
      </c>
      <c r="F1672" s="4" t="s">
        <v>17</v>
      </c>
      <c r="G1672" s="1" t="s">
        <v>18</v>
      </c>
      <c r="H1672" s="1" t="s">
        <v>19</v>
      </c>
      <c r="I1672" s="1" t="s">
        <v>20</v>
      </c>
      <c r="J1672" s="1" t="s">
        <v>7810</v>
      </c>
      <c r="K1672" s="1" t="s">
        <v>22</v>
      </c>
      <c r="L1672" s="1" t="str">
        <f>HYPERLINK("https://files.afu.se/Downloads/Transcripts/0%20-%20Government/USA%20-%20NASA/2016 03 21 - NASA - The Science Onboard the Next ISS Supply Mission_psXIPEEaskU - transcript (automated).pdf","Transcript Link")</f>
        <v>Transcript Link</v>
      </c>
      <c r="M1672" s="2" t="str">
        <f>HYPERLINK("https://files.afu.se/Downloads/Transcripts/0%20-%20Government/USA%20-%20NASA/2016 03 21 - NASA - The Science Onboard the Next ISS Supply Mission_psXIPEEaskU - transcript (automated).pdf","Transcript Link")</f>
        <v>Transcript Link</v>
      </c>
    </row>
    <row r="1673" ht="165" spans="1:13">
      <c r="A1673" s="1" t="s">
        <v>7811</v>
      </c>
      <c r="B1673" s="1" t="s">
        <v>13</v>
      </c>
      <c r="C1673" s="4" t="s">
        <v>7812</v>
      </c>
      <c r="D1673" s="1" t="s">
        <v>7813</v>
      </c>
      <c r="E1673" s="1" t="s">
        <v>7814</v>
      </c>
      <c r="F1673" s="4" t="s">
        <v>17</v>
      </c>
      <c r="G1673" s="1" t="s">
        <v>18</v>
      </c>
      <c r="H1673" s="1" t="s">
        <v>19</v>
      </c>
      <c r="I1673" s="1" t="s">
        <v>20</v>
      </c>
      <c r="J1673" s="1" t="s">
        <v>7815</v>
      </c>
      <c r="K1673" s="1" t="s">
        <v>22</v>
      </c>
      <c r="L1673" s="1" t="str">
        <f>HYPERLINK("https://files.afu.se/Downloads/Transcripts/0%20-%20Government/USA%20-%20NASA/2016 03 19 - NASA - Expedition 47 48 Crew Docks to the Space Station_cDCvwvhbqBg - transcript (automated).pdf","Transcript Link")</f>
        <v>Transcript Link</v>
      </c>
      <c r="M1673" s="2" t="str">
        <f>HYPERLINK("https://files.afu.se/Downloads/Transcripts/0%20-%20Government/USA%20-%20NASA/2016 03 19 - NASA - Expedition 47 48 Crew Docks to the Space Station_cDCvwvhbqBg - transcript (automated).pdf","Transcript Link")</f>
        <v>Transcript Link</v>
      </c>
    </row>
    <row r="1674" ht="210" spans="1:13">
      <c r="A1674" s="1" t="s">
        <v>7811</v>
      </c>
      <c r="B1674" s="1" t="s">
        <v>13</v>
      </c>
      <c r="C1674" s="4" t="s">
        <v>7816</v>
      </c>
      <c r="D1674" s="1" t="s">
        <v>7817</v>
      </c>
      <c r="E1674" s="1" t="s">
        <v>7818</v>
      </c>
      <c r="F1674" s="4" t="s">
        <v>17</v>
      </c>
      <c r="G1674" s="1" t="s">
        <v>18</v>
      </c>
      <c r="H1674" s="1" t="s">
        <v>19</v>
      </c>
      <c r="I1674" s="1" t="s">
        <v>20</v>
      </c>
      <c r="J1674" s="1" t="s">
        <v>7819</v>
      </c>
      <c r="K1674" s="1" t="s">
        <v>22</v>
      </c>
      <c r="L1674" s="1" t="str">
        <f>HYPERLINK("https://files.afu.se/Downloads/Transcripts/0%20-%20Government/USA%20-%20NASA/2016 03 19 - NASA - NASA Budget Hearings Continue on This Week @NASA – March 18, 2016_6JB_HkVgCAc - transcript (automated).pdf","Transcript Link")</f>
        <v>Transcript Link</v>
      </c>
      <c r="M1674" s="2" t="str">
        <f>HYPERLINK("https://files.afu.se/Downloads/Transcripts/0%20-%20Government/USA%20-%20NASA/2016 03 19 - NASA - NASA Budget Hearings Continue on This Week @NASA – March 18, 2016_6JB_HkVgCAc - transcript (automated).pdf","Transcript Link")</f>
        <v>Transcript Link</v>
      </c>
    </row>
    <row r="1675" ht="165" spans="1:13">
      <c r="A1675" s="1" t="s">
        <v>7811</v>
      </c>
      <c r="B1675" s="1" t="s">
        <v>13</v>
      </c>
      <c r="C1675" s="4" t="s">
        <v>7820</v>
      </c>
      <c r="D1675" s="1" t="s">
        <v>7821</v>
      </c>
      <c r="E1675" s="1" t="s">
        <v>7822</v>
      </c>
      <c r="F1675" s="4" t="s">
        <v>17</v>
      </c>
      <c r="G1675" s="1" t="s">
        <v>18</v>
      </c>
      <c r="H1675" s="1" t="s">
        <v>19</v>
      </c>
      <c r="I1675" s="1" t="s">
        <v>20</v>
      </c>
      <c r="J1675" s="1" t="s">
        <v>7823</v>
      </c>
      <c r="K1675" s="1" t="s">
        <v>22</v>
      </c>
      <c r="L1675" s="1" t="str">
        <f>HYPERLINK("https://files.afu.se/Downloads/Transcripts/0%20-%20Government/USA%20-%20NASA/2016 03 19 - NASA - A Launch Day Recap for the New Space Station Crewmembers_-1qJ70zfx9g - transcript (automated).pdf","Transcript Link")</f>
        <v>Transcript Link</v>
      </c>
      <c r="M1675" s="2" t="str">
        <f>HYPERLINK("https://files.afu.se/Downloads/Transcripts/0%20-%20Government/USA%20-%20NASA/2016 03 19 - NASA - A Launch Day Recap for the New Space Station Crewmembers_-1qJ70zfx9g - transcript (automated).pdf","Transcript Link")</f>
        <v>Transcript Link</v>
      </c>
    </row>
    <row r="1676" ht="165" spans="1:13">
      <c r="A1676" s="1" t="s">
        <v>7824</v>
      </c>
      <c r="B1676" s="1" t="s">
        <v>13</v>
      </c>
      <c r="C1676" s="4" t="s">
        <v>7825</v>
      </c>
      <c r="D1676" s="1" t="s">
        <v>7826</v>
      </c>
      <c r="E1676" s="1" t="s">
        <v>7827</v>
      </c>
      <c r="F1676" s="4" t="s">
        <v>17</v>
      </c>
      <c r="G1676" s="1" t="s">
        <v>18</v>
      </c>
      <c r="H1676" s="1" t="s">
        <v>19</v>
      </c>
      <c r="I1676" s="1" t="s">
        <v>20</v>
      </c>
      <c r="J1676" s="1" t="s">
        <v>7828</v>
      </c>
      <c r="K1676" s="1" t="s">
        <v>22</v>
      </c>
      <c r="L1676" s="1" t="str">
        <f>HYPERLINK("https://files.afu.se/Downloads/Transcripts/0%20-%20Government/USA%20-%20NASA/2016 03 18 - NASA - New Crew Launches to the Space Station_lTUrSs0TU2s - transcript (automated).pdf","Transcript Link")</f>
        <v>Transcript Link</v>
      </c>
      <c r="M1676" s="2" t="str">
        <f>HYPERLINK("https://files.afu.se/Downloads/Transcripts/0%20-%20Government/USA%20-%20NASA/2016 03 18 - NASA - New Crew Launches to the Space Station_lTUrSs0TU2s - transcript (automated).pdf","Transcript Link")</f>
        <v>Transcript Link</v>
      </c>
    </row>
    <row r="1677" ht="165" spans="1:13">
      <c r="A1677" s="1" t="s">
        <v>7829</v>
      </c>
      <c r="B1677" s="1" t="s">
        <v>13</v>
      </c>
      <c r="C1677" s="4" t="s">
        <v>7830</v>
      </c>
      <c r="D1677" s="1" t="s">
        <v>7831</v>
      </c>
      <c r="E1677" s="1" t="s">
        <v>7832</v>
      </c>
      <c r="F1677" s="4" t="s">
        <v>17</v>
      </c>
      <c r="G1677" s="1" t="s">
        <v>18</v>
      </c>
      <c r="H1677" s="1" t="s">
        <v>19</v>
      </c>
      <c r="I1677" s="1" t="s">
        <v>20</v>
      </c>
      <c r="J1677" s="1" t="s">
        <v>7833</v>
      </c>
      <c r="K1677" s="1" t="s">
        <v>22</v>
      </c>
      <c r="L1677" s="1" t="str">
        <f>HYPERLINK("https://files.afu.se/Downloads/Transcripts/0%20-%20Government/USA%20-%20NASA/2016 03 17 - NASA - ISS Expedition 47 and 48 Soyuz TMA 20M Launch Coverage Promo_yQg5fHE9qsQ - transcript (automated).pdf","Transcript Link")</f>
        <v>Transcript Link</v>
      </c>
      <c r="M1677" s="2" t="str">
        <f>HYPERLINK("https://files.afu.se/Downloads/Transcripts/0%20-%20Government/USA%20-%20NASA/2016 03 17 - NASA - ISS Expedition 47 and 48 Soyuz TMA 20M Launch Coverage Promo_yQg5fHE9qsQ - transcript (automated).pdf","Transcript Link")</f>
        <v>Transcript Link</v>
      </c>
    </row>
    <row r="1678" ht="225" spans="1:13">
      <c r="A1678" s="1" t="s">
        <v>7829</v>
      </c>
      <c r="B1678" s="1" t="s">
        <v>13</v>
      </c>
      <c r="C1678" s="4" t="s">
        <v>7834</v>
      </c>
      <c r="D1678" s="1" t="s">
        <v>7835</v>
      </c>
      <c r="E1678" s="1" t="s">
        <v>7836</v>
      </c>
      <c r="F1678" s="4" t="s">
        <v>17</v>
      </c>
      <c r="G1678" s="1" t="s">
        <v>18</v>
      </c>
      <c r="H1678" s="1" t="s">
        <v>19</v>
      </c>
      <c r="I1678" s="1" t="s">
        <v>20</v>
      </c>
      <c r="J1678" s="1" t="s">
        <v>7837</v>
      </c>
      <c r="K1678" s="1" t="s">
        <v>22</v>
      </c>
      <c r="L1678" s="1" t="str">
        <f>HYPERLINK("https://files.afu.se/Downloads/Transcripts/0%20-%20Government/USA%20-%20NASA/2016 03 17 - NASA - Orbital ATK CRS-6 Briefings Promo_XB3D0uH5PRU - transcript (automated).pdf","Transcript Link")</f>
        <v>Transcript Link</v>
      </c>
      <c r="M1678" s="2" t="str">
        <f>HYPERLINK("https://files.afu.se/Downloads/Transcripts/0%20-%20Government/USA%20-%20NASA/2016 03 17 - NASA - Orbital ATK CRS-6 Briefings Promo_XB3D0uH5PRU - transcript (automated).pdf","Transcript Link")</f>
        <v>Transcript Link</v>
      </c>
    </row>
    <row r="1679" ht="165" spans="1:13">
      <c r="A1679" s="1" t="s">
        <v>7838</v>
      </c>
      <c r="B1679" s="1" t="s">
        <v>13</v>
      </c>
      <c r="C1679" s="4" t="s">
        <v>7839</v>
      </c>
      <c r="D1679" s="1" t="s">
        <v>7840</v>
      </c>
      <c r="E1679" s="1" t="s">
        <v>7841</v>
      </c>
      <c r="F1679" s="4" t="s">
        <v>17</v>
      </c>
      <c r="G1679" s="1" t="s">
        <v>18</v>
      </c>
      <c r="H1679" s="1" t="s">
        <v>19</v>
      </c>
      <c r="I1679" s="1" t="s">
        <v>20</v>
      </c>
      <c r="J1679" s="1" t="s">
        <v>7842</v>
      </c>
      <c r="K1679" s="1" t="s">
        <v>22</v>
      </c>
      <c r="L1679" s="1" t="str">
        <f>HYPERLINK("https://files.afu.se/Downloads/Transcripts/0%20-%20Government/USA%20-%20NASA/2016 03 16 - NASA - ISS Bound Spacecraft and Rocket, Rolled to Launch Pad_VEVK5_aMfdQ - transcript (automated).pdf","Transcript Link")</f>
        <v>Transcript Link</v>
      </c>
      <c r="M1679" s="2" t="str">
        <f>HYPERLINK("https://files.afu.se/Downloads/Transcripts/0%20-%20Government/USA%20-%20NASA/2016 03 16 - NASA - ISS Bound Spacecraft and Rocket, Rolled to Launch Pad_VEVK5_aMfdQ - transcript (automated).pdf","Transcript Link")</f>
        <v>Transcript Link</v>
      </c>
    </row>
    <row r="1680" ht="165" spans="1:13">
      <c r="A1680" s="1" t="s">
        <v>7838</v>
      </c>
      <c r="B1680" s="1" t="s">
        <v>13</v>
      </c>
      <c r="C1680" s="4" t="s">
        <v>7843</v>
      </c>
      <c r="D1680" s="1" t="s">
        <v>7844</v>
      </c>
      <c r="E1680" s="1" t="s">
        <v>7845</v>
      </c>
      <c r="F1680" s="4" t="s">
        <v>17</v>
      </c>
      <c r="G1680" s="1" t="s">
        <v>18</v>
      </c>
      <c r="H1680" s="1" t="s">
        <v>19</v>
      </c>
      <c r="I1680" s="1" t="s">
        <v>20</v>
      </c>
      <c r="J1680" s="1" t="s">
        <v>7846</v>
      </c>
      <c r="K1680" s="1" t="s">
        <v>22</v>
      </c>
      <c r="L1680" s="1" t="str">
        <f>HYPERLINK("https://files.afu.se/Downloads/Transcripts/0%20-%20Government/USA%20-%20NASA/2016 03 16 - NASA - STEM in 30 – Focus on the SR 71 Blackbird_VN4yw_6RaUU - transcript (automated).pdf","Transcript Link")</f>
        <v>Transcript Link</v>
      </c>
      <c r="M1680" s="2" t="str">
        <f>HYPERLINK("https://files.afu.se/Downloads/Transcripts/0%20-%20Government/USA%20-%20NASA/2016 03 16 - NASA - STEM in 30 – Focus on the SR 71 Blackbird_VN4yw_6RaUU - transcript (automated).pdf","Transcript Link")</f>
        <v>Transcript Link</v>
      </c>
    </row>
    <row r="1681" ht="165" spans="1:13">
      <c r="A1681" s="1" t="s">
        <v>7838</v>
      </c>
      <c r="B1681" s="1" t="s">
        <v>13</v>
      </c>
      <c r="C1681" s="4" t="s">
        <v>7847</v>
      </c>
      <c r="D1681" s="1" t="s">
        <v>7848</v>
      </c>
      <c r="E1681" s="1" t="s">
        <v>7849</v>
      </c>
      <c r="F1681" s="4" t="s">
        <v>17</v>
      </c>
      <c r="G1681" s="1" t="s">
        <v>18</v>
      </c>
      <c r="H1681" s="1" t="s">
        <v>19</v>
      </c>
      <c r="I1681" s="1" t="s">
        <v>20</v>
      </c>
      <c r="J1681" s="1" t="s">
        <v>7850</v>
      </c>
      <c r="K1681" s="1" t="s">
        <v>22</v>
      </c>
      <c r="L1681" s="1" t="str">
        <f>HYPERLINK("https://files.afu.se/Downloads/Transcripts/0%20-%20Government/USA%20-%20NASA/2016 03 16 - NASA - NASA Women in Action_nk9EtRdX8D0 - transcript (automated).pdf","Transcript Link")</f>
        <v>Transcript Link</v>
      </c>
      <c r="M1681" s="2" t="str">
        <f>HYPERLINK("https://files.afu.se/Downloads/Transcripts/0%20-%20Government/USA%20-%20NASA/2016 03 16 - NASA - NASA Women in Action_nk9EtRdX8D0 - transcript (automated).pdf","Transcript Link")</f>
        <v>Transcript Link</v>
      </c>
    </row>
    <row r="1682" ht="165" spans="1:13">
      <c r="A1682" s="1" t="s">
        <v>7838</v>
      </c>
      <c r="B1682" s="1" t="s">
        <v>13</v>
      </c>
      <c r="C1682" s="4" t="s">
        <v>7851</v>
      </c>
      <c r="D1682" s="1" t="s">
        <v>7852</v>
      </c>
      <c r="E1682" s="1" t="s">
        <v>7853</v>
      </c>
      <c r="F1682" s="4" t="s">
        <v>17</v>
      </c>
      <c r="G1682" s="1" t="s">
        <v>18</v>
      </c>
      <c r="H1682" s="1" t="s">
        <v>19</v>
      </c>
      <c r="I1682" s="1" t="s">
        <v>20</v>
      </c>
      <c r="J1682" s="1" t="s">
        <v>7854</v>
      </c>
      <c r="K1682" s="1" t="s">
        <v>22</v>
      </c>
      <c r="L1682" s="1" t="str">
        <f>HYPERLINK("https://files.afu.se/Downloads/Transcripts/0%20-%20Government/USA%20-%20NASA/2016 03 16 - NASA - NASA Women of STEM_g3zBBXECLuM - transcript (automated).pdf","Transcript Link")</f>
        <v>Transcript Link</v>
      </c>
      <c r="M1682" s="2" t="str">
        <f>HYPERLINK("https://files.afu.se/Downloads/Transcripts/0%20-%20Government/USA%20-%20NASA/2016 03 16 - NASA - NASA Women of STEM_g3zBBXECLuM - transcript (automated).pdf","Transcript Link")</f>
        <v>Transcript Link</v>
      </c>
    </row>
    <row r="1683" ht="165" spans="1:13">
      <c r="A1683" s="1" t="s">
        <v>7855</v>
      </c>
      <c r="B1683" s="1" t="s">
        <v>13</v>
      </c>
      <c r="C1683" s="4" t="s">
        <v>7856</v>
      </c>
      <c r="D1683" s="1" t="s">
        <v>7857</v>
      </c>
      <c r="E1683" s="1" t="s">
        <v>7858</v>
      </c>
      <c r="F1683" s="4" t="s">
        <v>17</v>
      </c>
      <c r="G1683" s="1" t="s">
        <v>18</v>
      </c>
      <c r="H1683" s="1" t="s">
        <v>19</v>
      </c>
      <c r="I1683" s="1" t="s">
        <v>20</v>
      </c>
      <c r="J1683" s="1" t="s">
        <v>7859</v>
      </c>
      <c r="K1683" s="1" t="s">
        <v>22</v>
      </c>
      <c r="L1683" s="1" t="str">
        <f>HYPERLINK("https://files.afu.se/Downloads/Transcripts/0%20-%20Government/USA%20-%20NASA/2016 03 15 - NASA - So … What’s It Like On The Space Station, Commander __D8FBLu-m4k - transcript (automated).pdf","Transcript Link")</f>
        <v>Transcript Link</v>
      </c>
      <c r="M1683" s="2" t="str">
        <f>HYPERLINK("https://files.afu.se/Downloads/Transcripts/0%20-%20Government/USA%20-%20NASA/2016 03 15 - NASA - So … What’s It Like On The Space Station, Commander __D8FBLu-m4k - transcript (automated).pdf","Transcript Link")</f>
        <v>Transcript Link</v>
      </c>
    </row>
    <row r="1684" ht="165" spans="1:13">
      <c r="A1684" s="1" t="s">
        <v>7860</v>
      </c>
      <c r="B1684" s="1" t="s">
        <v>13</v>
      </c>
      <c r="C1684" s="4" t="s">
        <v>7861</v>
      </c>
      <c r="D1684" s="1" t="s">
        <v>7862</v>
      </c>
      <c r="E1684" s="1" t="s">
        <v>7863</v>
      </c>
      <c r="F1684" s="4" t="s">
        <v>17</v>
      </c>
      <c r="G1684" s="1" t="s">
        <v>18</v>
      </c>
      <c r="H1684" s="1" t="s">
        <v>19</v>
      </c>
      <c r="I1684" s="1" t="s">
        <v>20</v>
      </c>
      <c r="J1684" s="1" t="s">
        <v>7864</v>
      </c>
      <c r="K1684" s="1" t="s">
        <v>22</v>
      </c>
      <c r="L1684" s="1" t="str">
        <f>HYPERLINK("https://files.afu.se/Downloads/Transcripts/0%20-%20Government/USA%20-%20NASA/2016 03 14 - NASA - New International Space Station Crew Prepares for Launch_8hJv2Yh6aUI - transcript (automated).pdf","Transcript Link")</f>
        <v>Transcript Link</v>
      </c>
      <c r="M1684" s="2" t="str">
        <f>HYPERLINK("https://files.afu.se/Downloads/Transcripts/0%20-%20Government/USA%20-%20NASA/2016 03 14 - NASA - New International Space Station Crew Prepares for Launch_8hJv2Yh6aUI - transcript (automated).pdf","Transcript Link")</f>
        <v>Transcript Link</v>
      </c>
    </row>
    <row r="1685" ht="255" spans="1:13">
      <c r="A1685" s="1" t="s">
        <v>7865</v>
      </c>
      <c r="B1685" s="1" t="s">
        <v>13</v>
      </c>
      <c r="C1685" s="4" t="s">
        <v>7866</v>
      </c>
      <c r="D1685" s="1" t="s">
        <v>7867</v>
      </c>
      <c r="E1685" s="1" t="s">
        <v>7868</v>
      </c>
      <c r="F1685" s="4" t="s">
        <v>17</v>
      </c>
      <c r="G1685" s="1" t="s">
        <v>18</v>
      </c>
      <c r="H1685" s="1" t="s">
        <v>19</v>
      </c>
      <c r="I1685" s="1" t="s">
        <v>20</v>
      </c>
      <c r="J1685" s="1" t="s">
        <v>7869</v>
      </c>
      <c r="K1685" s="1" t="s">
        <v>22</v>
      </c>
      <c r="L1685" s="1" t="str">
        <f>HYPERLINK("https://files.afu.se/Downloads/Transcripts/0%20-%20Government/USA%20-%20NASA/2016 03 11 - NASA - Bolden testifies on FY 2017 NASA budget on This Week @NASA – March 11, 2016_dJZ-K-tSj0A - transcript (automated).pdf","Transcript Link")</f>
        <v>Transcript Link</v>
      </c>
      <c r="M1685" s="2" t="str">
        <f>HYPERLINK("https://files.afu.se/Downloads/Transcripts/0%20-%20Government/USA%20-%20NASA/2016 03 11 - NASA - Bolden testifies on FY 2017 NASA budget on This Week @NASA – March 11, 2016_dJZ-K-tSj0A - transcript (automated).pdf","Transcript Link")</f>
        <v>Transcript Link</v>
      </c>
    </row>
    <row r="1686" ht="165" spans="1:13">
      <c r="A1686" s="1" t="s">
        <v>7870</v>
      </c>
      <c r="B1686" s="1" t="s">
        <v>13</v>
      </c>
      <c r="C1686" s="4" t="s">
        <v>7871</v>
      </c>
      <c r="D1686" s="1" t="s">
        <v>7872</v>
      </c>
      <c r="E1686" s="1" t="s">
        <v>7873</v>
      </c>
      <c r="F1686" s="4" t="s">
        <v>17</v>
      </c>
      <c r="G1686" s="1" t="s">
        <v>18</v>
      </c>
      <c r="H1686" s="1" t="s">
        <v>19</v>
      </c>
      <c r="I1686" s="1" t="s">
        <v>20</v>
      </c>
      <c r="J1686" s="1" t="s">
        <v>7874</v>
      </c>
      <c r="K1686" s="1" t="s">
        <v>22</v>
      </c>
      <c r="L1686" s="1" t="str">
        <f>HYPERLINK("https://files.afu.se/Downloads/Transcripts/0%20-%20Government/USA%20-%20NASA/2016 03 10 - NASA - Our Changing Moon_lit6rQ5RoQE - transcript (automated).pdf","Transcript Link")</f>
        <v>Transcript Link</v>
      </c>
      <c r="M1686" s="2" t="str">
        <f>HYPERLINK("https://files.afu.se/Downloads/Transcripts/0%20-%20Government/USA%20-%20NASA/2016 03 10 - NASA - Our Changing Moon_lit6rQ5RoQE - transcript (automated).pdf","Transcript Link")</f>
        <v>Transcript Link</v>
      </c>
    </row>
    <row r="1687" ht="165" spans="1:13">
      <c r="A1687" s="1" t="s">
        <v>7875</v>
      </c>
      <c r="B1687" s="1" t="s">
        <v>13</v>
      </c>
      <c r="C1687" s="4" t="s">
        <v>7876</v>
      </c>
      <c r="D1687" s="1" t="s">
        <v>7877</v>
      </c>
      <c r="E1687" s="1" t="s">
        <v>7878</v>
      </c>
      <c r="F1687" s="4" t="s">
        <v>17</v>
      </c>
      <c r="G1687" s="1" t="s">
        <v>18</v>
      </c>
      <c r="H1687" s="1" t="s">
        <v>19</v>
      </c>
      <c r="I1687" s="1" t="s">
        <v>20</v>
      </c>
      <c r="J1687" s="1" t="s">
        <v>7879</v>
      </c>
      <c r="K1687" s="1" t="s">
        <v>22</v>
      </c>
      <c r="L1687" s="1" t="str">
        <f>HYPERLINK("https://files.afu.se/Downloads/Transcripts/0%20-%20Government/USA%20-%20NASA/2016 03 09 - NASA - Crew Previews Upcoming Space Station Mission_YZGxawWgea0 - transcript (automated).pdf","Transcript Link")</f>
        <v>Transcript Link</v>
      </c>
      <c r="M1687" s="2" t="str">
        <f>HYPERLINK("https://files.afu.se/Downloads/Transcripts/0%20-%20Government/USA%20-%20NASA/2016 03 09 - NASA - Crew Previews Upcoming Space Station Mission_YZGxawWgea0 - transcript (automated).pdf","Transcript Link")</f>
        <v>Transcript Link</v>
      </c>
    </row>
    <row r="1688" ht="165" spans="1:13">
      <c r="A1688" s="1" t="s">
        <v>7875</v>
      </c>
      <c r="B1688" s="1" t="s">
        <v>13</v>
      </c>
      <c r="C1688" s="4" t="s">
        <v>7880</v>
      </c>
      <c r="D1688" s="1" t="s">
        <v>7881</v>
      </c>
      <c r="E1688" s="1" t="s">
        <v>7882</v>
      </c>
      <c r="F1688" s="4" t="s">
        <v>17</v>
      </c>
      <c r="G1688" s="1" t="s">
        <v>18</v>
      </c>
      <c r="H1688" s="1" t="s">
        <v>19</v>
      </c>
      <c r="I1688" s="1" t="s">
        <v>20</v>
      </c>
      <c r="J1688" s="1" t="s">
        <v>7883</v>
      </c>
      <c r="K1688" s="1" t="s">
        <v>22</v>
      </c>
      <c r="L1688" s="1" t="str">
        <f>HYPERLINK("https://files.afu.se/Downloads/Transcripts/0%20-%20Government/USA%20-%20NASA/2016 03 09 - NASA - Preparing for Life Aboard the ISS_6YGBhQTLlps - transcript (automated).pdf","Transcript Link")</f>
        <v>Transcript Link</v>
      </c>
      <c r="M1688" s="2" t="str">
        <f>HYPERLINK("https://files.afu.se/Downloads/Transcripts/0%20-%20Government/USA%20-%20NASA/2016 03 09 - NASA - Preparing for Life Aboard the ISS_6YGBhQTLlps - transcript (automated).pdf","Transcript Link")</f>
        <v>Transcript Link</v>
      </c>
    </row>
    <row r="1689" ht="165" spans="1:13">
      <c r="A1689" s="1" t="s">
        <v>7875</v>
      </c>
      <c r="B1689" s="1" t="s">
        <v>13</v>
      </c>
      <c r="C1689" s="4" t="s">
        <v>7884</v>
      </c>
      <c r="D1689" s="1" t="s">
        <v>7885</v>
      </c>
      <c r="E1689" s="1" t="s">
        <v>7886</v>
      </c>
      <c r="F1689" s="4" t="s">
        <v>17</v>
      </c>
      <c r="G1689" s="1" t="s">
        <v>18</v>
      </c>
      <c r="H1689" s="1" t="s">
        <v>19</v>
      </c>
      <c r="I1689" s="1" t="s">
        <v>20</v>
      </c>
      <c r="J1689" s="1" t="s">
        <v>7887</v>
      </c>
      <c r="K1689" s="1" t="s">
        <v>22</v>
      </c>
      <c r="L1689" s="1" t="str">
        <f>HYPERLINK("https://files.afu.se/Downloads/Transcripts/0%20-%20Government/USA%20-%20NASA/2016 03 09 - NASA - A Total Eclipse of the Sun_DanvV8QTaVY - transcript (automated).pdf","Transcript Link")</f>
        <v>Transcript Link</v>
      </c>
      <c r="M1689" s="2" t="str">
        <f>HYPERLINK("https://files.afu.se/Downloads/Transcripts/0%20-%20Government/USA%20-%20NASA/2016 03 09 - NASA - A Total Eclipse of the Sun_DanvV8QTaVY - transcript (automated).pdf","Transcript Link")</f>
        <v>Transcript Link</v>
      </c>
    </row>
    <row r="1690" ht="165" spans="1:13">
      <c r="A1690" s="1" t="s">
        <v>7875</v>
      </c>
      <c r="B1690" s="1" t="s">
        <v>13</v>
      </c>
      <c r="C1690" s="4" t="s">
        <v>7888</v>
      </c>
      <c r="D1690" s="1" t="s">
        <v>7889</v>
      </c>
      <c r="E1690" s="1" t="s">
        <v>7890</v>
      </c>
      <c r="F1690" s="4" t="s">
        <v>17</v>
      </c>
      <c r="G1690" s="1" t="s">
        <v>18</v>
      </c>
      <c r="H1690" s="1" t="s">
        <v>19</v>
      </c>
      <c r="I1690" s="1" t="s">
        <v>20</v>
      </c>
      <c r="J1690" s="1" t="s">
        <v>7891</v>
      </c>
      <c r="K1690" s="1" t="s">
        <v>22</v>
      </c>
      <c r="L1690" s="1" t="str">
        <f>HYPERLINK("https://files.afu.se/Downloads/Transcripts/0%20-%20Government/USA%20-%20NASA/2016 03 09 - NASA - A Total Celestial Wonder_zT2B-8qgKRk - transcript (automated).pdf","Transcript Link")</f>
        <v>Transcript Link</v>
      </c>
      <c r="M1690" s="2" t="str">
        <f>HYPERLINK("https://files.afu.se/Downloads/Transcripts/0%20-%20Government/USA%20-%20NASA/2016 03 09 - NASA - A Total Celestial Wonder_zT2B-8qgKRk - transcript (automated).pdf","Transcript Link")</f>
        <v>Transcript Link</v>
      </c>
    </row>
    <row r="1691" ht="165" spans="1:13">
      <c r="A1691" s="1" t="s">
        <v>7892</v>
      </c>
      <c r="B1691" s="1" t="s">
        <v>13</v>
      </c>
      <c r="C1691" s="4" t="s">
        <v>7893</v>
      </c>
      <c r="D1691" s="1" t="s">
        <v>7894</v>
      </c>
      <c r="E1691" s="1" t="s">
        <v>7895</v>
      </c>
      <c r="F1691" s="4" t="s">
        <v>17</v>
      </c>
      <c r="G1691" s="1" t="s">
        <v>18</v>
      </c>
      <c r="H1691" s="1" t="s">
        <v>19</v>
      </c>
      <c r="I1691" s="1" t="s">
        <v>20</v>
      </c>
      <c r="J1691" s="1" t="s">
        <v>7896</v>
      </c>
      <c r="K1691" s="1" t="s">
        <v>22</v>
      </c>
      <c r="L1691" s="1" t="str">
        <f>HYPERLINK("https://files.afu.se/Downloads/Transcripts/0%20-%20Government/USA%20-%20NASA/2016 03 08 - NASA - A Discussion with the Space Station Crew_uIfrztZZ1-A - transcript (automated).pdf","Transcript Link")</f>
        <v>Transcript Link</v>
      </c>
      <c r="M1691" s="2" t="str">
        <f>HYPERLINK("https://files.afu.se/Downloads/Transcripts/0%20-%20Government/USA%20-%20NASA/2016 03 08 - NASA - A Discussion with the Space Station Crew_uIfrztZZ1-A - transcript (automated).pdf","Transcript Link")</f>
        <v>Transcript Link</v>
      </c>
    </row>
    <row r="1692" ht="225" spans="1:13">
      <c r="A1692" s="1" t="s">
        <v>7892</v>
      </c>
      <c r="B1692" s="1" t="s">
        <v>13</v>
      </c>
      <c r="C1692" s="4" t="s">
        <v>7897</v>
      </c>
      <c r="D1692" s="1" t="s">
        <v>7898</v>
      </c>
      <c r="E1692" s="1" t="s">
        <v>7899</v>
      </c>
      <c r="F1692" s="4" t="s">
        <v>17</v>
      </c>
      <c r="G1692" s="1" t="s">
        <v>18</v>
      </c>
      <c r="H1692" s="1" t="s">
        <v>19</v>
      </c>
      <c r="I1692" s="1" t="s">
        <v>20</v>
      </c>
      <c r="J1692" s="1" t="s">
        <v>7900</v>
      </c>
      <c r="K1692" s="1" t="s">
        <v>22</v>
      </c>
      <c r="L1692" s="1" t="str">
        <f>HYPERLINK("https://files.afu.se/Downloads/Transcripts/0%20-%20Government/USA%20-%20NASA/2016 03 08 - NASA - NASA Begins Work to Build a Quieter Supersonic Passenger Jet_M7pdza9ctRw - transcript (automated).pdf","Transcript Link")</f>
        <v>Transcript Link</v>
      </c>
      <c r="M1692" s="2" t="str">
        <f>HYPERLINK("https://files.afu.se/Downloads/Transcripts/0%20-%20Government/USA%20-%20NASA/2016 03 08 - NASA - NASA Begins Work to Build a Quieter Supersonic Passenger Jet_M7pdza9ctRw - transcript (automated).pdf","Transcript Link")</f>
        <v>Transcript Link</v>
      </c>
    </row>
    <row r="1693" ht="165" spans="1:13">
      <c r="A1693" s="1" t="s">
        <v>7901</v>
      </c>
      <c r="B1693" s="1" t="s">
        <v>13</v>
      </c>
      <c r="C1693" s="4" t="s">
        <v>7902</v>
      </c>
      <c r="D1693" s="1" t="s">
        <v>7903</v>
      </c>
      <c r="E1693" s="1" t="s">
        <v>7904</v>
      </c>
      <c r="F1693" s="4" t="s">
        <v>17</v>
      </c>
      <c r="G1693" s="1" t="s">
        <v>18</v>
      </c>
      <c r="H1693" s="1" t="s">
        <v>19</v>
      </c>
      <c r="I1693" s="1" t="s">
        <v>20</v>
      </c>
      <c r="J1693" s="1" t="s">
        <v>7905</v>
      </c>
      <c r="K1693" s="1" t="s">
        <v>22</v>
      </c>
      <c r="L1693" s="1" t="str">
        <f>HYPERLINK("https://files.afu.se/Downloads/Transcripts/0%20-%20Government/USA%20-%20NASA/2016 03 07 - NASA - Total Solar Eclipse from Micronesia_7mPyJGF7ayY - transcript (automated).pdf","Transcript Link")</f>
        <v>Transcript Link</v>
      </c>
      <c r="M1693" s="2" t="str">
        <f>HYPERLINK("https://files.afu.se/Downloads/Transcripts/0%20-%20Government/USA%20-%20NASA/2016 03 07 - NASA - Total Solar Eclipse from Micronesia_7mPyJGF7ayY - transcript (automated).pdf","Transcript Link")</f>
        <v>Transcript Link</v>
      </c>
    </row>
    <row r="1694" ht="255" spans="1:13">
      <c r="A1694" s="1" t="s">
        <v>7906</v>
      </c>
      <c r="B1694" s="1" t="s">
        <v>13</v>
      </c>
      <c r="C1694" s="4" t="s">
        <v>7907</v>
      </c>
      <c r="D1694" s="1" t="s">
        <v>7908</v>
      </c>
      <c r="E1694" s="1" t="s">
        <v>7909</v>
      </c>
      <c r="F1694" s="4" t="s">
        <v>17</v>
      </c>
      <c r="G1694" s="1" t="s">
        <v>18</v>
      </c>
      <c r="H1694" s="1" t="s">
        <v>19</v>
      </c>
      <c r="I1694" s="1" t="s">
        <v>20</v>
      </c>
      <c r="J1694" s="1" t="s">
        <v>7910</v>
      </c>
      <c r="K1694" s="1" t="s">
        <v>22</v>
      </c>
      <c r="L1694" s="1" t="str">
        <f>HYPERLINK("https://files.afu.se/Downloads/Transcripts/0%20-%20Government/USA%20-%20NASA/2016 03 04 - NASA - The One-Year Crew returns on This Week @NASA – March 4, 2016_KF74q2BIVFI - transcript (automated).pdf","Transcript Link")</f>
        <v>Transcript Link</v>
      </c>
      <c r="M1694" s="2" t="str">
        <f>HYPERLINK("https://files.afu.se/Downloads/Transcripts/0%20-%20Government/USA%20-%20NASA/2016 03 04 - NASA - The One-Year Crew returns on This Week @NASA – March 4, 2016_KF74q2BIVFI - transcript (automated).pdf","Transcript Link")</f>
        <v>Transcript Link</v>
      </c>
    </row>
    <row r="1695" ht="165" spans="1:13">
      <c r="A1695" s="1" t="s">
        <v>7906</v>
      </c>
      <c r="B1695" s="1" t="s">
        <v>13</v>
      </c>
      <c r="C1695" s="4" t="s">
        <v>7911</v>
      </c>
      <c r="D1695" s="1" t="s">
        <v>7912</v>
      </c>
      <c r="F1695" s="4" t="s">
        <v>17</v>
      </c>
      <c r="G1695" s="1" t="s">
        <v>18</v>
      </c>
      <c r="H1695" s="1" t="s">
        <v>19</v>
      </c>
      <c r="I1695" s="1" t="s">
        <v>20</v>
      </c>
      <c r="J1695" s="1" t="s">
        <v>7913</v>
      </c>
      <c r="K1695" s="1" t="s">
        <v>22</v>
      </c>
      <c r="L1695" s="1" t="str">
        <f>HYPERLINK("https://files.afu.se/Downloads/Transcripts/0%20-%20Government/USA%20-%20NASA/2016 03 04 - NASA - A One-Year Mission Retrospective_eZog_ap1Kmg - transcript (automated).pdf","Transcript Link")</f>
        <v>Transcript Link</v>
      </c>
      <c r="M1695" s="2" t="str">
        <f>HYPERLINK("https://files.afu.se/Downloads/Transcripts/0%20-%20Government/USA%20-%20NASA/2016 03 04 - NASA - A One-Year Mission Retrospective_eZog_ap1Kmg - transcript (automated).pdf","Transcript Link")</f>
        <v>Transcript Link</v>
      </c>
    </row>
    <row r="1696" ht="195" spans="1:13">
      <c r="A1696" s="1" t="s">
        <v>7906</v>
      </c>
      <c r="B1696" s="1" t="s">
        <v>13</v>
      </c>
      <c r="C1696" s="4" t="s">
        <v>7914</v>
      </c>
      <c r="D1696" s="1" t="s">
        <v>7915</v>
      </c>
      <c r="E1696" s="1" t="s">
        <v>7916</v>
      </c>
      <c r="F1696" s="4" t="s">
        <v>17</v>
      </c>
      <c r="G1696" s="1" t="s">
        <v>18</v>
      </c>
      <c r="H1696" s="1" t="s">
        <v>19</v>
      </c>
      <c r="I1696" s="1" t="s">
        <v>20</v>
      </c>
      <c r="J1696" s="1" t="s">
        <v>7917</v>
      </c>
      <c r="K1696" s="1" t="s">
        <v>22</v>
      </c>
      <c r="L1696" s="1" t="str">
        <f>HYPERLINK("https://files.afu.se/Downloads/Transcripts/0%20-%20Government/USA%20-%20NASA/2016 03 04 - NASA - The Science of the One-Year Mission_mprLebLDXvY - transcript (automated).pdf","Transcript Link")</f>
        <v>Transcript Link</v>
      </c>
      <c r="M1696" s="2" t="str">
        <f>HYPERLINK("https://files.afu.se/Downloads/Transcripts/0%20-%20Government/USA%20-%20NASA/2016 03 04 - NASA - The Science of the One-Year Mission_mprLebLDXvY - transcript (automated).pdf","Transcript Link")</f>
        <v>Transcript Link</v>
      </c>
    </row>
    <row r="1697" ht="165" spans="1:13">
      <c r="A1697" s="1" t="s">
        <v>7918</v>
      </c>
      <c r="B1697" s="1" t="s">
        <v>13</v>
      </c>
      <c r="C1697" s="4" t="s">
        <v>7919</v>
      </c>
      <c r="D1697" s="1" t="s">
        <v>7920</v>
      </c>
      <c r="E1697" s="1" t="s">
        <v>7921</v>
      </c>
      <c r="F1697" s="4" t="s">
        <v>17</v>
      </c>
      <c r="G1697" s="1" t="s">
        <v>18</v>
      </c>
      <c r="H1697" s="1" t="s">
        <v>19</v>
      </c>
      <c r="I1697" s="1" t="s">
        <v>20</v>
      </c>
      <c r="J1697" s="1" t="s">
        <v>7922</v>
      </c>
      <c r="K1697" s="1" t="s">
        <v>22</v>
      </c>
      <c r="L1697" s="1" t="str">
        <f>HYPERLINK("https://files.afu.se/Downloads/Transcripts/0%20-%20Government/USA%20-%20NASA/2016 03 03 - NASA - STEM in 30 - Milestones of Flight  The Lindberghs_9Ak5-AUZJ14 - transcript (automated).pdf","Transcript Link")</f>
        <v>Transcript Link</v>
      </c>
      <c r="M1697" s="2" t="str">
        <f>HYPERLINK("https://files.afu.se/Downloads/Transcripts/0%20-%20Government/USA%20-%20NASA/2016 03 03 - NASA - STEM in 30 - Milestones of Flight  The Lindberghs_9Ak5-AUZJ14 - transcript (automated).pdf","Transcript Link")</f>
        <v>Transcript Link</v>
      </c>
    </row>
    <row r="1698" ht="165" spans="1:13">
      <c r="A1698" s="1" t="s">
        <v>7918</v>
      </c>
      <c r="B1698" s="1" t="s">
        <v>13</v>
      </c>
      <c r="C1698" s="4" t="s">
        <v>7923</v>
      </c>
      <c r="D1698" s="1" t="s">
        <v>7924</v>
      </c>
      <c r="E1698" s="1" t="s">
        <v>7925</v>
      </c>
      <c r="F1698" s="4" t="s">
        <v>17</v>
      </c>
      <c r="G1698" s="1" t="s">
        <v>18</v>
      </c>
      <c r="H1698" s="1" t="s">
        <v>19</v>
      </c>
      <c r="I1698" s="1" t="s">
        <v>20</v>
      </c>
      <c r="J1698" s="1" t="s">
        <v>7926</v>
      </c>
      <c r="K1698" s="1" t="s">
        <v>22</v>
      </c>
      <c r="L1698" s="1" t="str">
        <f>HYPERLINK("https://files.afu.se/Downloads/Transcripts/0%20-%20Government/USA%20-%20NASA/2016 03 03 - NASA - Next Space Station Crew Continues Training_MWpH8H7N424 - transcript (automated).pdf","Transcript Link")</f>
        <v>Transcript Link</v>
      </c>
      <c r="M1698" s="2" t="str">
        <f>HYPERLINK("https://files.afu.se/Downloads/Transcripts/0%20-%20Government/USA%20-%20NASA/2016 03 03 - NASA - Next Space Station Crew Continues Training_MWpH8H7N424 - transcript (automated).pdf","Transcript Link")</f>
        <v>Transcript Link</v>
      </c>
    </row>
    <row r="1699" ht="180" spans="1:13">
      <c r="A1699" s="1" t="s">
        <v>7918</v>
      </c>
      <c r="B1699" s="1" t="s">
        <v>13</v>
      </c>
      <c r="C1699" s="4" t="s">
        <v>7927</v>
      </c>
      <c r="D1699" s="1" t="s">
        <v>7928</v>
      </c>
      <c r="E1699" s="1" t="s">
        <v>7929</v>
      </c>
      <c r="F1699" s="4" t="s">
        <v>17</v>
      </c>
      <c r="G1699" s="1" t="s">
        <v>18</v>
      </c>
      <c r="H1699" s="1" t="s">
        <v>19</v>
      </c>
      <c r="I1699" s="1" t="s">
        <v>20</v>
      </c>
      <c r="J1699" s="1" t="s">
        <v>7930</v>
      </c>
      <c r="K1699" s="1" t="s">
        <v>22</v>
      </c>
      <c r="L1699" s="1" t="str">
        <f>HYPERLINK("https://files.afu.se/Downloads/Transcripts/0%20-%20Government/USA%20-%20NASA/2016 03 03 - NASA - A Deep in the Heart(felt) Homecoming_AK-n7m6wrkg - transcript (automated).pdf","Transcript Link")</f>
        <v>Transcript Link</v>
      </c>
      <c r="M1699" s="2" t="str">
        <f>HYPERLINK("https://files.afu.se/Downloads/Transcripts/0%20-%20Government/USA%20-%20NASA/2016 03 03 - NASA - A Deep in the Heart(felt) Homecoming_AK-n7m6wrkg - transcript (automated).pdf","Transcript Link")</f>
        <v>Transcript Link</v>
      </c>
    </row>
    <row r="1700" ht="165" spans="1:13">
      <c r="A1700" s="1" t="s">
        <v>7931</v>
      </c>
      <c r="B1700" s="1" t="s">
        <v>13</v>
      </c>
      <c r="C1700" s="4" t="s">
        <v>7932</v>
      </c>
      <c r="D1700" s="1" t="s">
        <v>7332</v>
      </c>
      <c r="E1700" s="1" t="s">
        <v>7933</v>
      </c>
      <c r="F1700" s="4" t="s">
        <v>17</v>
      </c>
      <c r="G1700" s="1" t="s">
        <v>18</v>
      </c>
      <c r="H1700" s="1" t="s">
        <v>19</v>
      </c>
      <c r="I1700" s="1" t="s">
        <v>20</v>
      </c>
      <c r="J1700" s="1" t="s">
        <v>7934</v>
      </c>
      <c r="K1700" s="1" t="s">
        <v>22</v>
      </c>
      <c r="L1700" s="1" t="str">
        <f>HYPERLINK("https://files.afu.se/Downloads/Transcripts/0%20-%20Government/USA%20-%20NASA/2016 03 02 - NASA - Welcome Back to Earth_SdD080GPuys - transcript (automated).pdf","Transcript Link")</f>
        <v>Transcript Link</v>
      </c>
      <c r="M1700" s="2" t="str">
        <f>HYPERLINK("https://files.afu.se/Downloads/Transcripts/0%20-%20Government/USA%20-%20NASA/2016 03 02 - NASA - Welcome Back to Earth_SdD080GPuys - transcript (automated).pdf","Transcript Link")</f>
        <v>Transcript Link</v>
      </c>
    </row>
    <row r="1701" ht="165" spans="1:13">
      <c r="A1701" s="1" t="s">
        <v>7931</v>
      </c>
      <c r="B1701" s="1" t="s">
        <v>13</v>
      </c>
      <c r="C1701" s="4" t="s">
        <v>7935</v>
      </c>
      <c r="D1701" s="1" t="s">
        <v>7936</v>
      </c>
      <c r="E1701" s="1" t="s">
        <v>7937</v>
      </c>
      <c r="F1701" s="4" t="s">
        <v>17</v>
      </c>
      <c r="G1701" s="1" t="s">
        <v>18</v>
      </c>
      <c r="H1701" s="1" t="s">
        <v>19</v>
      </c>
      <c r="I1701" s="1" t="s">
        <v>20</v>
      </c>
      <c r="J1701" s="1" t="s">
        <v>7938</v>
      </c>
      <c r="K1701" s="1" t="s">
        <v>22</v>
      </c>
      <c r="L1701" s="1" t="str">
        <f>HYPERLINK("https://files.afu.se/Downloads/Transcripts/0%20-%20Government/USA%20-%20NASA/2016 03 02 - NASA - Expedition 46 Lands Safely to complete One Year Mission_dWCqzPksYyY - transcript (automated).pdf","Transcript Link")</f>
        <v>Transcript Link</v>
      </c>
      <c r="M1701" s="2" t="str">
        <f>HYPERLINK("https://files.afu.se/Downloads/Transcripts/0%20-%20Government/USA%20-%20NASA/2016 03 02 - NASA - Expedition 46 Lands Safely to complete One Year Mission_dWCqzPksYyY - transcript (automated).pdf","Transcript Link")</f>
        <v>Transcript Link</v>
      </c>
    </row>
    <row r="1702" ht="165" spans="1:13">
      <c r="A1702" s="1" t="s">
        <v>7931</v>
      </c>
      <c r="B1702" s="1" t="s">
        <v>13</v>
      </c>
      <c r="C1702" s="4" t="s">
        <v>7939</v>
      </c>
      <c r="D1702" s="1" t="s">
        <v>7940</v>
      </c>
      <c r="E1702" s="1" t="s">
        <v>7941</v>
      </c>
      <c r="F1702" s="4" t="s">
        <v>17</v>
      </c>
      <c r="G1702" s="1" t="s">
        <v>18</v>
      </c>
      <c r="H1702" s="1" t="s">
        <v>19</v>
      </c>
      <c r="I1702" s="1" t="s">
        <v>20</v>
      </c>
      <c r="J1702" s="1" t="s">
        <v>7942</v>
      </c>
      <c r="K1702" s="1" t="s">
        <v>22</v>
      </c>
      <c r="L1702" s="1" t="str">
        <f>HYPERLINK("https://files.afu.se/Downloads/Transcripts/0%20-%20Government/USA%20-%20NASA/2016 03 02 - NASA - One-Year Crew Departs Space Station_RIj1OUJHUnQ - transcript (automated).pdf","Transcript Link")</f>
        <v>Transcript Link</v>
      </c>
      <c r="M1702" s="2" t="str">
        <f>HYPERLINK("https://files.afu.se/Downloads/Transcripts/0%20-%20Government/USA%20-%20NASA/2016 03 02 - NASA - One-Year Crew Departs Space Station_RIj1OUJHUnQ - transcript (automated).pdf","Transcript Link")</f>
        <v>Transcript Link</v>
      </c>
    </row>
    <row r="1703" ht="165" spans="1:13">
      <c r="A1703" s="1" t="s">
        <v>7943</v>
      </c>
      <c r="B1703" s="1" t="s">
        <v>13</v>
      </c>
      <c r="C1703" s="4" t="s">
        <v>7944</v>
      </c>
      <c r="D1703" s="1" t="s">
        <v>7945</v>
      </c>
      <c r="E1703" s="1" t="s">
        <v>7946</v>
      </c>
      <c r="F1703" s="4" t="s">
        <v>17</v>
      </c>
      <c r="G1703" s="1" t="s">
        <v>18</v>
      </c>
      <c r="H1703" s="1" t="s">
        <v>19</v>
      </c>
      <c r="I1703" s="1" t="s">
        <v>20</v>
      </c>
      <c r="J1703" s="1" t="s">
        <v>7947</v>
      </c>
      <c r="K1703" s="1" t="s">
        <v>22</v>
      </c>
      <c r="L1703" s="1" t="str">
        <f>HYPERLINK("https://files.afu.se/Downloads/Transcripts/0%20-%20Government/USA%20-%20NASA/2016 03 01 - NASA - One-Year Crew Ready for the Ride Home_saE0JGtIEKE - transcript (automated).pdf","Transcript Link")</f>
        <v>Transcript Link</v>
      </c>
      <c r="M1703" s="2" t="str">
        <f>HYPERLINK("https://files.afu.se/Downloads/Transcripts/0%20-%20Government/USA%20-%20NASA/2016 03 01 - NASA - One-Year Crew Ready for the Ride Home_saE0JGtIEKE - transcript (automated).pdf","Transcript Link")</f>
        <v>Transcript Link</v>
      </c>
    </row>
    <row r="1704" ht="195" spans="1:13">
      <c r="A1704" s="1" t="s">
        <v>7948</v>
      </c>
      <c r="B1704" s="1" t="s">
        <v>13</v>
      </c>
      <c r="C1704" s="4" t="s">
        <v>7949</v>
      </c>
      <c r="D1704" s="1" t="s">
        <v>7950</v>
      </c>
      <c r="E1704" s="1" t="s">
        <v>7951</v>
      </c>
      <c r="F1704" s="4" t="s">
        <v>17</v>
      </c>
      <c r="G1704" s="1" t="s">
        <v>18</v>
      </c>
      <c r="H1704" s="1" t="s">
        <v>19</v>
      </c>
      <c r="I1704" s="1" t="s">
        <v>20</v>
      </c>
      <c r="J1704" s="1" t="s">
        <v>7952</v>
      </c>
      <c r="K1704" s="1" t="s">
        <v>22</v>
      </c>
      <c r="L1704" s="1" t="str">
        <f>HYPERLINK("https://files.afu.se/Downloads/Transcripts/0%20-%20Government/USA%20-%20NASA/2016 02 29 - NASA - New ISS Commander Onboard_p-SzZXTKWS0 - transcript (automated).pdf","Transcript Link")</f>
        <v>Transcript Link</v>
      </c>
      <c r="M1704" s="2" t="str">
        <f>HYPERLINK("https://files.afu.se/Downloads/Transcripts/0%20-%20Government/USA%20-%20NASA/2016 02 29 - NASA - New ISS Commander Onboard_p-SzZXTKWS0 - transcript (automated).pdf","Transcript Link")</f>
        <v>Transcript Link</v>
      </c>
    </row>
    <row r="1705" ht="165" spans="1:13">
      <c r="A1705" s="1" t="s">
        <v>7948</v>
      </c>
      <c r="B1705" s="1" t="s">
        <v>13</v>
      </c>
      <c r="C1705" s="4" t="s">
        <v>7953</v>
      </c>
      <c r="D1705" s="1" t="s">
        <v>7954</v>
      </c>
      <c r="E1705" s="1" t="s">
        <v>7955</v>
      </c>
      <c r="F1705" s="4" t="s">
        <v>17</v>
      </c>
      <c r="G1705" s="1" t="s">
        <v>18</v>
      </c>
      <c r="H1705" s="1" t="s">
        <v>19</v>
      </c>
      <c r="I1705" s="1" t="s">
        <v>20</v>
      </c>
      <c r="J1705" s="1" t="s">
        <v>7956</v>
      </c>
      <c r="K1705" s="1" t="s">
        <v>22</v>
      </c>
      <c r="L1705" s="1" t="str">
        <f>HYPERLINK("https://files.afu.se/Downloads/Transcripts/0%20-%20Government/USA%20-%20NASA/2016 02 29 - NASA - Next Space Station Crew Prepares for Mission_VGAm8qU0BC8 - transcript (automated).pdf","Transcript Link")</f>
        <v>Transcript Link</v>
      </c>
      <c r="M1705" s="2" t="str">
        <f>HYPERLINK("https://files.afu.se/Downloads/Transcripts/0%20-%20Government/USA%20-%20NASA/2016 02 29 - NASA - Next Space Station Crew Prepares for Mission_VGAm8qU0BC8 - transcript (automated).pdf","Transcript Link")</f>
        <v>Transcript Link</v>
      </c>
    </row>
    <row r="1706" ht="240" spans="1:13">
      <c r="A1706" s="1" t="s">
        <v>7957</v>
      </c>
      <c r="B1706" s="1" t="s">
        <v>13</v>
      </c>
      <c r="C1706" s="4" t="s">
        <v>7958</v>
      </c>
      <c r="D1706" s="1" t="s">
        <v>7959</v>
      </c>
      <c r="E1706" s="1" t="s">
        <v>7960</v>
      </c>
      <c r="F1706" s="4" t="s">
        <v>17</v>
      </c>
      <c r="G1706" s="1" t="s">
        <v>18</v>
      </c>
      <c r="H1706" s="1" t="s">
        <v>19</v>
      </c>
      <c r="I1706" s="1" t="s">
        <v>20</v>
      </c>
      <c r="J1706" s="1" t="s">
        <v>7961</v>
      </c>
      <c r="K1706" s="1" t="s">
        <v>22</v>
      </c>
      <c r="L1706" s="1" t="str">
        <f>HYPERLINK("https://files.afu.se/Downloads/Transcripts/0%20-%20Government/USA%20-%20NASA/2016 02 27 - NASA - The One-Year Mission  By the Numbers on This Week @NASA – February 26, 2016_-u2xuG6XAXg - transcript (automated).pdf","Transcript Link")</f>
        <v>Transcript Link</v>
      </c>
      <c r="M1706" s="2" t="str">
        <f>HYPERLINK("https://files.afu.se/Downloads/Transcripts/0%20-%20Government/USA%20-%20NASA/2016 02 27 - NASA - The One-Year Mission  By the Numbers on This Week @NASA – February 26, 2016_-u2xuG6XAXg - transcript (automated).pdf","Transcript Link")</f>
        <v>Transcript Link</v>
      </c>
    </row>
    <row r="1707" ht="165" spans="1:13">
      <c r="A1707" s="1" t="s">
        <v>7962</v>
      </c>
      <c r="B1707" s="1" t="s">
        <v>13</v>
      </c>
      <c r="C1707" s="4" t="s">
        <v>7963</v>
      </c>
      <c r="D1707" s="1" t="s">
        <v>7964</v>
      </c>
      <c r="E1707" s="1" t="s">
        <v>7965</v>
      </c>
      <c r="F1707" s="4" t="s">
        <v>17</v>
      </c>
      <c r="G1707" s="1" t="s">
        <v>18</v>
      </c>
      <c r="H1707" s="1" t="s">
        <v>19</v>
      </c>
      <c r="I1707" s="1" t="s">
        <v>20</v>
      </c>
      <c r="J1707" s="1" t="s">
        <v>7966</v>
      </c>
      <c r="K1707" s="1" t="s">
        <v>22</v>
      </c>
      <c r="L1707" s="1" t="str">
        <f>HYPERLINK("https://files.afu.se/Downloads/Transcripts/0%20-%20Government/USA%20-%20NASA/2016 02 26 - NASA - International Space Station Expedition 47-48 Crew News Conference in Russia_KDSWoxFbIMA - transcript (automated).pdf","Transcript Link")</f>
        <v>Transcript Link</v>
      </c>
      <c r="M1707" s="2" t="str">
        <f>HYPERLINK("https://files.afu.se/Downloads/Transcripts/0%20-%20Government/USA%20-%20NASA/2016 02 26 - NASA - International Space Station Expedition 47-48 Crew News Conference in Russia_KDSWoxFbIMA - transcript (automated).pdf","Transcript Link")</f>
        <v>Transcript Link</v>
      </c>
    </row>
    <row r="1708" ht="180" spans="1:13">
      <c r="A1708" s="1" t="s">
        <v>7962</v>
      </c>
      <c r="B1708" s="1" t="s">
        <v>13</v>
      </c>
      <c r="C1708" s="4" t="s">
        <v>7967</v>
      </c>
      <c r="D1708" s="1" t="s">
        <v>7968</v>
      </c>
      <c r="E1708" s="1" t="s">
        <v>7969</v>
      </c>
      <c r="F1708" s="4" t="s">
        <v>17</v>
      </c>
      <c r="G1708" s="1" t="s">
        <v>18</v>
      </c>
      <c r="H1708" s="1" t="s">
        <v>19</v>
      </c>
      <c r="I1708" s="1" t="s">
        <v>20</v>
      </c>
      <c r="J1708" s="1" t="s">
        <v>7970</v>
      </c>
      <c r="K1708" s="1" t="s">
        <v>22</v>
      </c>
      <c r="L1708" s="1" t="str">
        <f>HYPERLINK("https://files.afu.se/Downloads/Transcripts/0%20-%20Government/USA%20-%20NASA/2016 02 26 - NASA - International Space Station Expedition 47-48 Crew Conducts Pre-flight activities in Russia_JGvbJg-Cle4 - transcript (automated).pdf","Transcript Link")</f>
        <v>Transcript Link</v>
      </c>
      <c r="M1708" s="2" t="str">
        <f>HYPERLINK("https://files.afu.se/Downloads/Transcripts/0%20-%20Government/USA%20-%20NASA/2016 02 26 - NASA - International Space Station Expedition 47-48 Crew Conducts Pre-flight activities in Russia_JGvbJg-Cle4 - transcript (automated).pdf","Transcript Link")</f>
        <v>Transcript Link</v>
      </c>
    </row>
    <row r="1709" ht="195" spans="1:13">
      <c r="A1709" s="1" t="s">
        <v>7971</v>
      </c>
      <c r="B1709" s="1" t="s">
        <v>13</v>
      </c>
      <c r="C1709" s="4" t="s">
        <v>7972</v>
      </c>
      <c r="D1709" s="1" t="s">
        <v>7973</v>
      </c>
      <c r="E1709" s="1" t="s">
        <v>7974</v>
      </c>
      <c r="F1709" s="4" t="s">
        <v>17</v>
      </c>
      <c r="G1709" s="1" t="s">
        <v>18</v>
      </c>
      <c r="H1709" s="1" t="s">
        <v>19</v>
      </c>
      <c r="I1709" s="1" t="s">
        <v>20</v>
      </c>
      <c r="J1709" s="1" t="s">
        <v>7975</v>
      </c>
      <c r="K1709" s="1" t="s">
        <v>22</v>
      </c>
      <c r="L1709" s="1" t="str">
        <f>HYPERLINK("https://files.afu.se/Downloads/Transcripts/0%20-%20Government/USA%20-%20NASA/2016 02 25 - NASA - A Mission of Accomplishments_DjFpOyhWalg - transcript (automated).pdf","Transcript Link")</f>
        <v>Transcript Link</v>
      </c>
      <c r="M1709" s="2" t="str">
        <f>HYPERLINK("https://files.afu.se/Downloads/Transcripts/0%20-%20Government/USA%20-%20NASA/2016 02 25 - NASA - A Mission of Accomplishments_DjFpOyhWalg - transcript (automated).pdf","Transcript Link")</f>
        <v>Transcript Link</v>
      </c>
    </row>
    <row r="1710" ht="165" spans="1:13">
      <c r="A1710" s="1" t="s">
        <v>7971</v>
      </c>
      <c r="B1710" s="1" t="s">
        <v>13</v>
      </c>
      <c r="C1710" s="4" t="s">
        <v>7976</v>
      </c>
      <c r="D1710" s="1" t="s">
        <v>7977</v>
      </c>
      <c r="E1710" s="1" t="s">
        <v>7978</v>
      </c>
      <c r="F1710" s="4" t="s">
        <v>17</v>
      </c>
      <c r="G1710" s="1" t="s">
        <v>18</v>
      </c>
      <c r="H1710" s="1" t="s">
        <v>19</v>
      </c>
      <c r="I1710" s="1" t="s">
        <v>20</v>
      </c>
      <c r="J1710" s="1" t="s">
        <v>7979</v>
      </c>
      <c r="K1710" s="1" t="s">
        <v>22</v>
      </c>
      <c r="L1710" s="1" t="str">
        <f>HYPERLINK("https://files.afu.se/Downloads/Transcripts/0%20-%20Government/USA%20-%20NASA/2016 02 25 - NASA - Next Space Station Crew Trains Outside Moscow_DfllMPIL7jY - transcript (automated).pdf","Transcript Link")</f>
        <v>Transcript Link</v>
      </c>
      <c r="M1710" s="2" t="str">
        <f>HYPERLINK("https://files.afu.se/Downloads/Transcripts/0%20-%20Government/USA%20-%20NASA/2016 02 25 - NASA - Next Space Station Crew Trains Outside Moscow_DfllMPIL7jY - transcript (automated).pdf","Transcript Link")</f>
        <v>Transcript Link</v>
      </c>
    </row>
    <row r="1711" ht="165" spans="1:13">
      <c r="A1711" s="1" t="s">
        <v>7980</v>
      </c>
      <c r="B1711" s="1" t="s">
        <v>13</v>
      </c>
      <c r="C1711" s="4" t="s">
        <v>7981</v>
      </c>
      <c r="D1711" s="1" t="s">
        <v>7982</v>
      </c>
      <c r="E1711" s="1" t="s">
        <v>7983</v>
      </c>
      <c r="F1711" s="4" t="s">
        <v>17</v>
      </c>
      <c r="G1711" s="1" t="s">
        <v>18</v>
      </c>
      <c r="H1711" s="1" t="s">
        <v>19</v>
      </c>
      <c r="I1711" s="1" t="s">
        <v>20</v>
      </c>
      <c r="J1711" s="1" t="s">
        <v>7984</v>
      </c>
      <c r="K1711" s="1" t="s">
        <v>22</v>
      </c>
      <c r="L1711" s="1" t="str">
        <f>HYPERLINK("https://files.afu.se/Downloads/Transcripts/0%20-%20Government/USA%20-%20NASA/2016 02 24 - NASA - STEM in 30 – WWII and Tuskegee Airmen_G5tye-o3GLE - transcript (automated).pdf","Transcript Link")</f>
        <v>Transcript Link</v>
      </c>
      <c r="M1711" s="2" t="str">
        <f>HYPERLINK("https://files.afu.se/Downloads/Transcripts/0%20-%20Government/USA%20-%20NASA/2016 02 24 - NASA - STEM in 30 – WWII and Tuskegee Airmen_G5tye-o3GLE - transcript (automated).pdf","Transcript Link")</f>
        <v>Transcript Link</v>
      </c>
    </row>
    <row r="1712" ht="195" spans="1:13">
      <c r="A1712" s="1" t="s">
        <v>7980</v>
      </c>
      <c r="B1712" s="1" t="s">
        <v>13</v>
      </c>
      <c r="C1712" s="4" t="s">
        <v>7985</v>
      </c>
      <c r="D1712" s="1" t="s">
        <v>7986</v>
      </c>
      <c r="E1712" s="1" t="s">
        <v>7987</v>
      </c>
      <c r="F1712" s="4" t="s">
        <v>17</v>
      </c>
      <c r="G1712" s="1" t="s">
        <v>18</v>
      </c>
      <c r="H1712" s="1" t="s">
        <v>19</v>
      </c>
      <c r="I1712" s="1" t="s">
        <v>20</v>
      </c>
      <c r="J1712" s="1" t="s">
        <v>7988</v>
      </c>
      <c r="K1712" s="1" t="s">
        <v>22</v>
      </c>
      <c r="L1712" s="1" t="str">
        <f>HYPERLINK("https://files.afu.se/Downloads/Transcripts/0%20-%20Government/USA%20-%20NASA/2016 02 24 - NASA - Space Station Commander Discusses His Year-Long Mission with U.S. TV Networks_akpih-wx8WM - transcript (automated).pdf","Transcript Link")</f>
        <v>Transcript Link</v>
      </c>
      <c r="M1712" s="2" t="str">
        <f>HYPERLINK("https://files.afu.se/Downloads/Transcripts/0%20-%20Government/USA%20-%20NASA/2016 02 24 - NASA - Space Station Commander Discusses His Year-Long Mission with U.S. TV Networks_akpih-wx8WM - transcript (automated).pdf","Transcript Link")</f>
        <v>Transcript Link</v>
      </c>
    </row>
    <row r="1713" ht="180" spans="1:13">
      <c r="A1713" s="1" t="s">
        <v>7989</v>
      </c>
      <c r="B1713" s="1" t="s">
        <v>13</v>
      </c>
      <c r="C1713" s="4" t="s">
        <v>7990</v>
      </c>
      <c r="D1713" s="1" t="s">
        <v>7991</v>
      </c>
      <c r="E1713" s="1" t="s">
        <v>7992</v>
      </c>
      <c r="F1713" s="4" t="s">
        <v>17</v>
      </c>
      <c r="G1713" s="1" t="s">
        <v>18</v>
      </c>
      <c r="H1713" s="1" t="s">
        <v>19</v>
      </c>
      <c r="I1713" s="1" t="s">
        <v>20</v>
      </c>
      <c r="J1713" s="1" t="s">
        <v>7993</v>
      </c>
      <c r="K1713" s="1" t="s">
        <v>22</v>
      </c>
      <c r="L1713" s="1" t="str">
        <f>HYPERLINK("https://files.afu.se/Downloads/Transcripts/0%20-%20Government/USA%20-%20NASA/2016 02 23 - NASA - NASA Astronaut Scott Kelly Reflects on His Year in Space_pLuY4rDQUyI - transcript (automated).pdf","Transcript Link")</f>
        <v>Transcript Link</v>
      </c>
      <c r="M1713" s="2" t="str">
        <f>HYPERLINK("https://files.afu.se/Downloads/Transcripts/0%20-%20Government/USA%20-%20NASA/2016 02 23 - NASA - NASA Astronaut Scott Kelly Reflects on His Year in Space_pLuY4rDQUyI - transcript (automated).pdf","Transcript Link")</f>
        <v>Transcript Link</v>
      </c>
    </row>
    <row r="1714" ht="165" spans="1:13">
      <c r="A1714" s="1" t="s">
        <v>7994</v>
      </c>
      <c r="B1714" s="1" t="s">
        <v>13</v>
      </c>
      <c r="C1714" s="4" t="s">
        <v>7995</v>
      </c>
      <c r="D1714" s="1" t="s">
        <v>7996</v>
      </c>
      <c r="E1714" s="1" t="s">
        <v>7997</v>
      </c>
      <c r="F1714" s="4" t="s">
        <v>17</v>
      </c>
      <c r="G1714" s="1" t="s">
        <v>18</v>
      </c>
      <c r="H1714" s="1" t="s">
        <v>19</v>
      </c>
      <c r="I1714" s="1" t="s">
        <v>20</v>
      </c>
      <c r="J1714" s="1" t="s">
        <v>7998</v>
      </c>
      <c r="K1714" s="1" t="s">
        <v>22</v>
      </c>
      <c r="L1714" s="1" t="str">
        <f>HYPERLINK("https://files.afu.se/Downloads/Transcripts/0%20-%20Government/USA%20-%20NASA/2016 02 19 - NASA - Administrator Bolden visits Ames on This Week @NASA – February 19, 2016_qSnoGjupLRQ - transcript (automated).pdf","Transcript Link")</f>
        <v>Transcript Link</v>
      </c>
      <c r="M1714" s="2" t="str">
        <f>HYPERLINK("https://files.afu.se/Downloads/Transcripts/0%20-%20Government/USA%20-%20NASA/2016 02 19 - NASA - Administrator Bolden visits Ames on This Week @NASA – February 19, 2016_qSnoGjupLRQ - transcript (automated).pdf","Transcript Link")</f>
        <v>Transcript Link</v>
      </c>
    </row>
    <row r="1715" ht="165" spans="1:13">
      <c r="A1715" s="1" t="s">
        <v>7994</v>
      </c>
      <c r="B1715" s="1" t="s">
        <v>13</v>
      </c>
      <c r="C1715" s="4" t="s">
        <v>7999</v>
      </c>
      <c r="D1715" s="1" t="s">
        <v>8000</v>
      </c>
      <c r="E1715" s="1" t="s">
        <v>8001</v>
      </c>
      <c r="F1715" s="4" t="s">
        <v>17</v>
      </c>
      <c r="G1715" s="1" t="s">
        <v>18</v>
      </c>
      <c r="H1715" s="1" t="s">
        <v>19</v>
      </c>
      <c r="I1715" s="1" t="s">
        <v>20</v>
      </c>
      <c r="J1715" s="1" t="s">
        <v>8002</v>
      </c>
      <c r="K1715" s="1" t="s">
        <v>22</v>
      </c>
      <c r="L1715" s="1" t="str">
        <f>HYPERLINK("https://files.afu.se/Downloads/Transcripts/0%20-%20Government/USA%20-%20NASA/2016 02 19 - NASA - Successful Commercial Space Station Supply Mission Concludes__0H4E5IXEuk - transcript (automated).pdf","Transcript Link")</f>
        <v>Transcript Link</v>
      </c>
      <c r="M1715" s="2" t="str">
        <f>HYPERLINK("https://files.afu.se/Downloads/Transcripts/0%20-%20Government/USA%20-%20NASA/2016 02 19 - NASA - Successful Commercial Space Station Supply Mission Concludes__0H4E5IXEuk - transcript (automated).pdf","Transcript Link")</f>
        <v>Transcript Link</v>
      </c>
    </row>
    <row r="1716" ht="165" spans="1:13">
      <c r="A1716" s="1" t="s">
        <v>8003</v>
      </c>
      <c r="B1716" s="1" t="s">
        <v>13</v>
      </c>
      <c r="C1716" s="4" t="s">
        <v>8004</v>
      </c>
      <c r="D1716" s="1" t="s">
        <v>8005</v>
      </c>
      <c r="E1716" s="1" t="s">
        <v>8006</v>
      </c>
      <c r="F1716" s="4" t="s">
        <v>17</v>
      </c>
      <c r="G1716" s="1" t="s">
        <v>18</v>
      </c>
      <c r="H1716" s="1" t="s">
        <v>19</v>
      </c>
      <c r="I1716" s="1" t="s">
        <v>20</v>
      </c>
      <c r="J1716" s="1" t="s">
        <v>8007</v>
      </c>
      <c r="K1716" s="1" t="s">
        <v>22</v>
      </c>
      <c r="L1716" s="1" t="str">
        <f>HYPERLINK("https://files.afu.se/Downloads/Transcripts/0%20-%20Government/USA%20-%20NASA/2016 02 18 - NASA - NASA African American History Month Profile - Gina Patrick (Armstrong Flight Research Center)_8H-rc8jyKUg - transcript (automated).pdf","Transcript Link")</f>
        <v>Transcript Link</v>
      </c>
      <c r="M1716" s="2" t="str">
        <f>HYPERLINK("https://files.afu.se/Downloads/Transcripts/0%20-%20Government/USA%20-%20NASA/2016 02 18 - NASA - NASA African American History Month Profile - Gina Patrick (Armstrong Flight Research Center)_8H-rc8jyKUg - transcript (automated).pdf","Transcript Link")</f>
        <v>Transcript Link</v>
      </c>
    </row>
    <row r="1717" ht="225" spans="1:13">
      <c r="A1717" s="1" t="s">
        <v>8008</v>
      </c>
      <c r="B1717" s="1" t="s">
        <v>13</v>
      </c>
      <c r="C1717" s="4" t="s">
        <v>8009</v>
      </c>
      <c r="D1717" s="1" t="s">
        <v>8010</v>
      </c>
      <c r="E1717" s="1" t="s">
        <v>8011</v>
      </c>
      <c r="F1717" s="4" t="s">
        <v>17</v>
      </c>
      <c r="G1717" s="1" t="s">
        <v>18</v>
      </c>
      <c r="H1717" s="1" t="s">
        <v>19</v>
      </c>
      <c r="I1717" s="1" t="s">
        <v>20</v>
      </c>
      <c r="J1717" s="1" t="s">
        <v>8012</v>
      </c>
      <c r="K1717" s="1" t="s">
        <v>22</v>
      </c>
      <c r="L1717" s="1" t="str">
        <f>HYPERLINK("https://files.afu.se/Downloads/Transcripts/0%20-%20Government/USA%20-%20NASA/2016 02 17 - NASA - NASA African American History Month Profile - Maury Vander (Stennis Space Center)_TsXi19JA82k - transcript (automated).pdf","Transcript Link")</f>
        <v>Transcript Link</v>
      </c>
      <c r="M1717" s="2" t="str">
        <f>HYPERLINK("https://files.afu.se/Downloads/Transcripts/0%20-%20Government/USA%20-%20NASA/2016 02 17 - NASA - NASA African American History Month Profile - Maury Vander (Stennis Space Center)_TsXi19JA82k - transcript (automated).pdf","Transcript Link")</f>
        <v>Transcript Link</v>
      </c>
    </row>
    <row r="1718" ht="165" spans="1:13">
      <c r="A1718" s="1" t="s">
        <v>8008</v>
      </c>
      <c r="B1718" s="1" t="s">
        <v>13</v>
      </c>
      <c r="C1718" s="4" t="s">
        <v>8013</v>
      </c>
      <c r="D1718" s="1" t="s">
        <v>8014</v>
      </c>
      <c r="E1718" s="1" t="s">
        <v>8015</v>
      </c>
      <c r="F1718" s="4" t="s">
        <v>17</v>
      </c>
      <c r="G1718" s="1" t="s">
        <v>18</v>
      </c>
      <c r="H1718" s="1" t="s">
        <v>19</v>
      </c>
      <c r="I1718" s="1" t="s">
        <v>20</v>
      </c>
      <c r="J1718" s="1" t="s">
        <v>8016</v>
      </c>
      <c r="K1718" s="1" t="s">
        <v>22</v>
      </c>
      <c r="L1718" s="1" t="str">
        <f>HYPERLINK("https://files.afu.se/Downloads/Transcripts/0%20-%20Government/USA%20-%20NASA/2016 02 17 - NASA - Open Science  GeneLab &amp; VEGGIE_c5cC2r_P-hc - transcript (automated).pdf","Transcript Link")</f>
        <v>Transcript Link</v>
      </c>
      <c r="M1718" s="2" t="str">
        <f>HYPERLINK("https://files.afu.se/Downloads/Transcripts/0%20-%20Government/USA%20-%20NASA/2016 02 17 - NASA - Open Science  GeneLab &amp; VEGGIE_c5cC2r_P-hc - transcript (automated).pdf","Transcript Link")</f>
        <v>Transcript Link</v>
      </c>
    </row>
    <row r="1719" ht="165" spans="1:13">
      <c r="A1719" s="1" t="s">
        <v>8017</v>
      </c>
      <c r="B1719" s="1" t="s">
        <v>13</v>
      </c>
      <c r="C1719" s="4" t="s">
        <v>8018</v>
      </c>
      <c r="D1719" s="1" t="s">
        <v>8019</v>
      </c>
      <c r="E1719" s="1" t="s">
        <v>8020</v>
      </c>
      <c r="F1719" s="4" t="s">
        <v>17</v>
      </c>
      <c r="G1719" s="1" t="s">
        <v>18</v>
      </c>
      <c r="H1719" s="1" t="s">
        <v>19</v>
      </c>
      <c r="I1719" s="1" t="s">
        <v>20</v>
      </c>
      <c r="J1719" s="1" t="s">
        <v>8021</v>
      </c>
      <c r="K1719" s="1" t="s">
        <v>22</v>
      </c>
      <c r="L1719" s="1" t="str">
        <f>HYPERLINK("https://files.afu.se/Downloads/Transcripts/0%20-%20Government/USA%20-%20NASA/2016 02 16 - NASA - Space Station Astronaut Talks with Texas Students About Life in Orbit_G4oWkfBa294 - transcript (automated).pdf","Transcript Link")</f>
        <v>Transcript Link</v>
      </c>
      <c r="M1719" s="2" t="str">
        <f>HYPERLINK("https://files.afu.se/Downloads/Transcripts/0%20-%20Government/USA%20-%20NASA/2016 02 16 - NASA - Space Station Astronaut Talks with Texas Students About Life in Orbit_G4oWkfBa294 - transcript (automated).pdf","Transcript Link")</f>
        <v>Transcript Link</v>
      </c>
    </row>
    <row r="1720" ht="195" spans="1:13">
      <c r="A1720" s="1" t="s">
        <v>8022</v>
      </c>
      <c r="B1720" s="1" t="s">
        <v>13</v>
      </c>
      <c r="C1720" s="4" t="s">
        <v>8023</v>
      </c>
      <c r="D1720" s="1" t="s">
        <v>8024</v>
      </c>
      <c r="E1720" s="1" t="s">
        <v>8025</v>
      </c>
      <c r="F1720" s="4" t="s">
        <v>17</v>
      </c>
      <c r="G1720" s="1" t="s">
        <v>18</v>
      </c>
      <c r="H1720" s="1" t="s">
        <v>19</v>
      </c>
      <c r="I1720" s="1" t="s">
        <v>20</v>
      </c>
      <c r="J1720" s="1" t="s">
        <v>8026</v>
      </c>
      <c r="K1720" s="1" t="s">
        <v>22</v>
      </c>
      <c r="L1720" s="1" t="str">
        <f>HYPERLINK("https://files.afu.se/Downloads/Transcripts/0%20-%20Government/USA%20-%20NASA/2016 02 12 - NASA - Our NASA is strong on This Week @NASA – February 12, 2016_sb5wtUh-kkI - transcript (automated).pdf","Transcript Link")</f>
        <v>Transcript Link</v>
      </c>
      <c r="M1720" s="2" t="str">
        <f>HYPERLINK("https://files.afu.se/Downloads/Transcripts/0%20-%20Government/USA%20-%20NASA/2016 02 12 - NASA - Our NASA is strong on This Week @NASA – February 12, 2016_sb5wtUh-kkI - transcript (automated).pdf","Transcript Link")</f>
        <v>Transcript Link</v>
      </c>
    </row>
    <row r="1721" ht="180" spans="1:13">
      <c r="A1721" s="1" t="s">
        <v>8027</v>
      </c>
      <c r="B1721" s="1" t="s">
        <v>13</v>
      </c>
      <c r="C1721" s="4" t="s">
        <v>8028</v>
      </c>
      <c r="D1721" s="1" t="s">
        <v>8029</v>
      </c>
      <c r="E1721" s="1" t="s">
        <v>8030</v>
      </c>
      <c r="F1721" s="4" t="s">
        <v>17</v>
      </c>
      <c r="G1721" s="1" t="s">
        <v>18</v>
      </c>
      <c r="H1721" s="1" t="s">
        <v>19</v>
      </c>
      <c r="I1721" s="1" t="s">
        <v>20</v>
      </c>
      <c r="J1721" s="1" t="s">
        <v>8031</v>
      </c>
      <c r="K1721" s="1" t="s">
        <v>22</v>
      </c>
      <c r="L1721" s="1" t="str">
        <f>HYPERLINK("https://files.afu.se/Downloads/Transcripts/0%20-%20Government/USA%20-%20NASA/2016 02 11 - NASA - Space Station Commander Discusses His One-Year Mission with News Media_58m5AivtuGI - transcript (automated).pdf","Transcript Link")</f>
        <v>Transcript Link</v>
      </c>
      <c r="M1721" s="2" t="str">
        <f>HYPERLINK("https://files.afu.se/Downloads/Transcripts/0%20-%20Government/USA%20-%20NASA/2016 02 11 - NASA - Space Station Commander Discusses His One-Year Mission with News Media_58m5AivtuGI - transcript (automated).pdf","Transcript Link")</f>
        <v>Transcript Link</v>
      </c>
    </row>
    <row r="1722" ht="195" spans="1:13">
      <c r="A1722" s="1" t="s">
        <v>8032</v>
      </c>
      <c r="B1722" s="1" t="s">
        <v>13</v>
      </c>
      <c r="C1722" s="4" t="s">
        <v>8033</v>
      </c>
      <c r="D1722" s="1" t="s">
        <v>8034</v>
      </c>
      <c r="E1722" s="1" t="s">
        <v>8035</v>
      </c>
      <c r="F1722" s="4" t="s">
        <v>17</v>
      </c>
      <c r="G1722" s="1" t="s">
        <v>18</v>
      </c>
      <c r="H1722" s="1" t="s">
        <v>19</v>
      </c>
      <c r="I1722" s="1" t="s">
        <v>20</v>
      </c>
      <c r="J1722" s="1" t="s">
        <v>8036</v>
      </c>
      <c r="K1722" s="1" t="s">
        <v>22</v>
      </c>
      <c r="L1722" s="1" t="str">
        <f>HYPERLINK("https://files.afu.se/Downloads/Transcripts/0%20-%20Government/USA%20-%20NASA/2016 02 09 - NASA - Administrator Bolden Discusses the 'State of NASA'_ej2odhB57ng - transcript (automated).pdf","Transcript Link")</f>
        <v>Transcript Link</v>
      </c>
      <c r="M1722" s="2" t="str">
        <f>HYPERLINK("https://files.afu.se/Downloads/Transcripts/0%20-%20Government/USA%20-%20NASA/2016 02 09 - NASA - Administrator Bolden Discusses the 'State of NASA'_ej2odhB57ng - transcript (automated).pdf","Transcript Link")</f>
        <v>Transcript Link</v>
      </c>
    </row>
    <row r="1723" ht="165" spans="1:13">
      <c r="A1723" s="1" t="s">
        <v>8032</v>
      </c>
      <c r="B1723" s="1" t="s">
        <v>13</v>
      </c>
      <c r="C1723" s="4" t="s">
        <v>8037</v>
      </c>
      <c r="D1723" s="1" t="s">
        <v>8038</v>
      </c>
      <c r="E1723" s="1" t="s">
        <v>8039</v>
      </c>
      <c r="F1723" s="4" t="s">
        <v>17</v>
      </c>
      <c r="G1723" s="1" t="s">
        <v>18</v>
      </c>
      <c r="H1723" s="1" t="s">
        <v>19</v>
      </c>
      <c r="I1723" s="1" t="s">
        <v>20</v>
      </c>
      <c r="J1723" s="1" t="s">
        <v>8040</v>
      </c>
      <c r="K1723" s="1" t="s">
        <v>22</v>
      </c>
      <c r="L1723" s="1" t="str">
        <f>HYPERLINK("https://files.afu.se/Downloads/Transcripts/0%20-%20Government/USA%20-%20NASA/2016 02 09 - NASA - Welcome to NASA_WG8y1_y-kPw - transcript (automated).pdf","Transcript Link")</f>
        <v>Transcript Link</v>
      </c>
      <c r="M1723" s="2" t="str">
        <f>HYPERLINK("https://files.afu.se/Downloads/Transcripts/0%20-%20Government/USA%20-%20NASA/2016 02 09 - NASA - Welcome to NASA_WG8y1_y-kPw - transcript (automated).pdf","Transcript Link")</f>
        <v>Transcript Link</v>
      </c>
    </row>
    <row r="1724" ht="165" spans="1:13">
      <c r="A1724" s="1" t="s">
        <v>8032</v>
      </c>
      <c r="B1724" s="1" t="s">
        <v>13</v>
      </c>
      <c r="C1724" s="4" t="s">
        <v>8041</v>
      </c>
      <c r="D1724" s="1" t="s">
        <v>8042</v>
      </c>
      <c r="E1724" s="1" t="s">
        <v>8043</v>
      </c>
      <c r="F1724" s="4" t="s">
        <v>17</v>
      </c>
      <c r="G1724" s="1" t="s">
        <v>18</v>
      </c>
      <c r="H1724" s="1" t="s">
        <v>19</v>
      </c>
      <c r="I1724" s="1" t="s">
        <v>20</v>
      </c>
      <c r="J1724" s="1" t="s">
        <v>8044</v>
      </c>
      <c r="K1724" s="1" t="s">
        <v>22</v>
      </c>
      <c r="L1724" s="1" t="str">
        <f>HYPERLINK("https://files.afu.se/Downloads/Transcripts/0%20-%20Government/USA%20-%20NASA/2016 02 09 - NASA - Space Station Astronaut Talks to French Media About Life in Orbit_F89Qf-KxSY8 - transcript (automated).pdf","Transcript Link")</f>
        <v>Transcript Link</v>
      </c>
      <c r="M1724" s="2" t="str">
        <f>HYPERLINK("https://files.afu.se/Downloads/Transcripts/0%20-%20Government/USA%20-%20NASA/2016 02 09 - NASA - Space Station Astronaut Talks to French Media About Life in Orbit_F89Qf-KxSY8 - transcript (automated).pdf","Transcript Link")</f>
        <v>Transcript Link</v>
      </c>
    </row>
    <row r="1725" ht="315" spans="1:13">
      <c r="A1725" s="1" t="s">
        <v>8045</v>
      </c>
      <c r="B1725" s="1" t="s">
        <v>13</v>
      </c>
      <c r="C1725" s="4" t="s">
        <v>8046</v>
      </c>
      <c r="D1725" s="1" t="s">
        <v>8047</v>
      </c>
      <c r="E1725" s="1" t="s">
        <v>8048</v>
      </c>
      <c r="F1725" s="4" t="s">
        <v>17</v>
      </c>
      <c r="G1725" s="1" t="s">
        <v>18</v>
      </c>
      <c r="H1725" s="1" t="s">
        <v>19</v>
      </c>
      <c r="I1725" s="1" t="s">
        <v>20</v>
      </c>
      <c r="J1725" s="1" t="s">
        <v>8049</v>
      </c>
      <c r="K1725" s="1" t="s">
        <v>22</v>
      </c>
      <c r="L1725" s="1" t="str">
        <f>HYPERLINK("https://files.afu.se/Downloads/Transcripts/0%20-%20Government/USA%20-%20NASA/2016 02 05 - NASA - Edgar Mitchell Apollo Moonwalker Dies at 85 (silent video)_CI9kEvZ6IUo - transcript (automated).pdf","Transcript Link")</f>
        <v>Transcript Link</v>
      </c>
      <c r="M1725" s="2" t="str">
        <f>HYPERLINK("https://files.afu.se/Downloads/Transcripts/0%20-%20Government/USA%20-%20NASA/2016 02 05 - NASA - Edgar Mitchell Apollo Moonwalker Dies at 85 (silent video)_CI9kEvZ6IUo - transcript (automated).pdf","Transcript Link")</f>
        <v>Transcript Link</v>
      </c>
    </row>
    <row r="1726" ht="165" spans="1:13">
      <c r="A1726" s="1" t="s">
        <v>8045</v>
      </c>
      <c r="B1726" s="1" t="s">
        <v>13</v>
      </c>
      <c r="C1726" s="4" t="s">
        <v>8050</v>
      </c>
      <c r="D1726" s="1" t="s">
        <v>8051</v>
      </c>
      <c r="E1726" s="1" t="s">
        <v>8052</v>
      </c>
      <c r="F1726" s="4" t="s">
        <v>17</v>
      </c>
      <c r="G1726" s="1" t="s">
        <v>18</v>
      </c>
      <c r="H1726" s="1" t="s">
        <v>19</v>
      </c>
      <c r="I1726" s="1" t="s">
        <v>20</v>
      </c>
      <c r="J1726" s="1" t="s">
        <v>8053</v>
      </c>
      <c r="K1726" s="1" t="s">
        <v>22</v>
      </c>
      <c r="L1726" s="1" t="str">
        <f>HYPERLINK("https://files.afu.se/Downloads/Transcripts/0%20-%20Government/USA%20-%20NASA/2016 02 05 - NASA - Coming Soon  State of NASA_fJW3eUyHsZw - transcript (automated).pdf","Transcript Link")</f>
        <v>Transcript Link</v>
      </c>
      <c r="M1726" s="2" t="str">
        <f>HYPERLINK("https://files.afu.se/Downloads/Transcripts/0%20-%20Government/USA%20-%20NASA/2016 02 05 - NASA - Coming Soon  State of NASA_fJW3eUyHsZw - transcript (automated).pdf","Transcript Link")</f>
        <v>Transcript Link</v>
      </c>
    </row>
    <row r="1727" ht="225" spans="1:13">
      <c r="A1727" s="1" t="s">
        <v>8045</v>
      </c>
      <c r="B1727" s="1" t="s">
        <v>13</v>
      </c>
      <c r="C1727" s="4" t="s">
        <v>8054</v>
      </c>
      <c r="D1727" s="1" t="s">
        <v>8055</v>
      </c>
      <c r="E1727" s="1" t="s">
        <v>8056</v>
      </c>
      <c r="F1727" s="4" t="s">
        <v>17</v>
      </c>
      <c r="G1727" s="1" t="s">
        <v>18</v>
      </c>
      <c r="H1727" s="1" t="s">
        <v>19</v>
      </c>
      <c r="I1727" s="1" t="s">
        <v>20</v>
      </c>
      <c r="J1727" s="1" t="s">
        <v>8057</v>
      </c>
      <c r="K1727" s="1" t="s">
        <v>22</v>
      </c>
      <c r="L1727" s="1" t="str">
        <f>HYPERLINK("https://files.afu.se/Downloads/Transcripts/0%20-%20Government/USA%20-%20NASA/2016 02 05 - NASA - Small Satellites to Hitchhike on SLS Rocket’s First Flight on This Week @NASA – February 5, 2016_N11WYjt1uTQ - transcript (automated).pdf","Transcript Link")</f>
        <v>Transcript Link</v>
      </c>
      <c r="M1727" s="2" t="str">
        <f>HYPERLINK("https://files.afu.se/Downloads/Transcripts/0%20-%20Government/USA%20-%20NASA/2016 02 05 - NASA - Small Satellites to Hitchhike on SLS Rocket’s First Flight on This Week @NASA – February 5, 2016_N11WYjt1uTQ - transcript (automated).pdf","Transcript Link")</f>
        <v>Transcript Link</v>
      </c>
    </row>
    <row r="1728" ht="180" spans="1:13">
      <c r="A1728" s="1" t="s">
        <v>8045</v>
      </c>
      <c r="B1728" s="1" t="s">
        <v>13</v>
      </c>
      <c r="C1728" s="4" t="s">
        <v>8058</v>
      </c>
      <c r="D1728" s="1" t="s">
        <v>8059</v>
      </c>
      <c r="E1728" s="1" t="s">
        <v>8060</v>
      </c>
      <c r="F1728" s="4" t="s">
        <v>17</v>
      </c>
      <c r="G1728" s="1" t="s">
        <v>18</v>
      </c>
      <c r="H1728" s="1" t="s">
        <v>19</v>
      </c>
      <c r="I1728" s="1" t="s">
        <v>20</v>
      </c>
      <c r="J1728" s="1" t="s">
        <v>8061</v>
      </c>
      <c r="K1728" s="1" t="s">
        <v>22</v>
      </c>
      <c r="L1728" s="1" t="str">
        <f>HYPERLINK("https://files.afu.se/Downloads/Transcripts/0%20-%20Government/USA%20-%20NASA/2016 02 05 - NASA - A Discussion About The Year Off the Earth, For the Earth_khcAy1AdQPw - transcript (automated).pdf","Transcript Link")</f>
        <v>Transcript Link</v>
      </c>
      <c r="M1728" s="2" t="str">
        <f>HYPERLINK("https://files.afu.se/Downloads/Transcripts/0%20-%20Government/USA%20-%20NASA/2016 02 05 - NASA - A Discussion About The Year Off the Earth, For the Earth_khcAy1AdQPw - transcript (automated).pdf","Transcript Link")</f>
        <v>Transcript Link</v>
      </c>
    </row>
    <row r="1729" ht="165" spans="1:13">
      <c r="A1729" s="1" t="s">
        <v>8062</v>
      </c>
      <c r="B1729" s="1" t="s">
        <v>13</v>
      </c>
      <c r="C1729" s="4" t="s">
        <v>8063</v>
      </c>
      <c r="D1729" s="1" t="s">
        <v>8064</v>
      </c>
      <c r="E1729" s="1" t="s">
        <v>8065</v>
      </c>
      <c r="F1729" s="4" t="s">
        <v>17</v>
      </c>
      <c r="G1729" s="1" t="s">
        <v>18</v>
      </c>
      <c r="H1729" s="1" t="s">
        <v>19</v>
      </c>
      <c r="I1729" s="1" t="s">
        <v>20</v>
      </c>
      <c r="J1729" s="1" t="s">
        <v>8066</v>
      </c>
      <c r="K1729" s="1" t="s">
        <v>22</v>
      </c>
      <c r="L1729" s="1" t="str">
        <f>HYPERLINK("https://files.afu.se/Downloads/Transcripts/0%20-%20Government/USA%20-%20NASA/2016 02 04 - NASA - NASA Astronaut Talks with Colorado Students About His 1-Year Odyssey in Space_QU4PbzZao1o - transcript (automated).pdf","Transcript Link")</f>
        <v>Transcript Link</v>
      </c>
      <c r="M1729" s="2" t="str">
        <f>HYPERLINK("https://files.afu.se/Downloads/Transcripts/0%20-%20Government/USA%20-%20NASA/2016 02 04 - NASA - NASA Astronaut Talks with Colorado Students About His 1-Year Odyssey in Space_QU4PbzZao1o - transcript (automated).pdf","Transcript Link")</f>
        <v>Transcript Link</v>
      </c>
    </row>
    <row r="1730" ht="165" spans="1:13">
      <c r="A1730" s="1" t="s">
        <v>8067</v>
      </c>
      <c r="B1730" s="1" t="s">
        <v>13</v>
      </c>
      <c r="C1730" s="4" t="s">
        <v>8068</v>
      </c>
      <c r="D1730" s="1" t="s">
        <v>8069</v>
      </c>
      <c r="E1730" s="1" t="s">
        <v>8070</v>
      </c>
      <c r="F1730" s="4" t="s">
        <v>17</v>
      </c>
      <c r="G1730" s="1" t="s">
        <v>18</v>
      </c>
      <c r="H1730" s="1" t="s">
        <v>19</v>
      </c>
      <c r="I1730" s="1" t="s">
        <v>20</v>
      </c>
      <c r="J1730" s="1" t="s">
        <v>8071</v>
      </c>
      <c r="K1730" s="1" t="s">
        <v>22</v>
      </c>
      <c r="L1730" s="1" t="str">
        <f>HYPERLINK("https://files.afu.se/Downloads/Transcripts/0%20-%20Government/USA%20-%20NASA/2016 02 03 - NASA - Russian Cosmonauts Conduct Spacewalk Outside the International Space Station_Yr0aZ7m4QTE - transcript (automated).pdf","Transcript Link")</f>
        <v>Transcript Link</v>
      </c>
      <c r="M1730" s="2" t="str">
        <f>HYPERLINK("https://files.afu.se/Downloads/Transcripts/0%20-%20Government/USA%20-%20NASA/2016 02 03 - NASA - Russian Cosmonauts Conduct Spacewalk Outside the International Space Station_Yr0aZ7m4QTE - transcript (automated).pdf","Transcript Link")</f>
        <v>Transcript Link</v>
      </c>
    </row>
    <row r="1731" ht="180" spans="1:13">
      <c r="A1731" s="1" t="s">
        <v>8072</v>
      </c>
      <c r="B1731" s="1" t="s">
        <v>13</v>
      </c>
      <c r="C1731" s="4" t="s">
        <v>8073</v>
      </c>
      <c r="D1731" s="1" t="s">
        <v>8074</v>
      </c>
      <c r="E1731" s="1" t="s">
        <v>8075</v>
      </c>
      <c r="F1731" s="4" t="s">
        <v>17</v>
      </c>
      <c r="G1731" s="1" t="s">
        <v>18</v>
      </c>
      <c r="H1731" s="1" t="s">
        <v>19</v>
      </c>
      <c r="I1731" s="1" t="s">
        <v>20</v>
      </c>
      <c r="J1731" s="1" t="s">
        <v>8076</v>
      </c>
      <c r="K1731" s="1" t="s">
        <v>22</v>
      </c>
      <c r="L1731" s="1" t="str">
        <f>HYPERLINK("https://files.afu.se/Downloads/Transcripts/0%20-%20Government/USA%20-%20NASA/2016 02 02 - NASA - Secondary Payloads Announced for First Flight of Space Launch System Rocket_phQQ5viBCxw - transcript (automated).pdf","Transcript Link")</f>
        <v>Transcript Link</v>
      </c>
      <c r="M1731" s="2" t="str">
        <f>HYPERLINK("https://files.afu.se/Downloads/Transcripts/0%20-%20Government/USA%20-%20NASA/2016 02 02 - NASA - Secondary Payloads Announced for First Flight of Space Launch System Rocket_phQQ5viBCxw - transcript (automated).pdf","Transcript Link")</f>
        <v>Transcript Link</v>
      </c>
    </row>
    <row r="1732" ht="165" spans="1:13">
      <c r="A1732" s="1" t="s">
        <v>8072</v>
      </c>
      <c r="B1732" s="1" t="s">
        <v>13</v>
      </c>
      <c r="C1732" s="4" t="s">
        <v>8077</v>
      </c>
      <c r="D1732" s="1" t="s">
        <v>8078</v>
      </c>
      <c r="E1732" s="1" t="s">
        <v>8079</v>
      </c>
      <c r="F1732" s="4" t="s">
        <v>17</v>
      </c>
      <c r="G1732" s="1" t="s">
        <v>18</v>
      </c>
      <c r="H1732" s="1" t="s">
        <v>19</v>
      </c>
      <c r="I1732" s="1" t="s">
        <v>20</v>
      </c>
      <c r="J1732" s="1" t="s">
        <v>8080</v>
      </c>
      <c r="K1732" s="1" t="s">
        <v>22</v>
      </c>
      <c r="L1732" s="1" t="str">
        <f>HYPERLINK("https://files.afu.se/Downloads/Transcripts/0%20-%20Government/USA%20-%20NASA/2016 02 02 - NASA - British Astronaut Talks From Space with Students and Teachers Back Home_oPIoKXsXsmk - transcript (automated).pdf","Transcript Link")</f>
        <v>Transcript Link</v>
      </c>
      <c r="M1732" s="2" t="str">
        <f>HYPERLINK("https://files.afu.se/Downloads/Transcripts/0%20-%20Government/USA%20-%20NASA/2016 02 02 - NASA - British Astronaut Talks From Space with Students and Teachers Back Home_oPIoKXsXsmk - transcript (automated).pdf","Transcript Link")</f>
        <v>Transcript Link</v>
      </c>
    </row>
    <row r="1733" ht="165" spans="1:13">
      <c r="A1733" s="1" t="s">
        <v>8081</v>
      </c>
      <c r="B1733" s="1" t="s">
        <v>13</v>
      </c>
      <c r="C1733" s="4" t="s">
        <v>8082</v>
      </c>
      <c r="D1733" s="1" t="s">
        <v>8083</v>
      </c>
      <c r="E1733" s="1" t="s">
        <v>8084</v>
      </c>
      <c r="F1733" s="4" t="s">
        <v>17</v>
      </c>
      <c r="G1733" s="1" t="s">
        <v>18</v>
      </c>
      <c r="H1733" s="1" t="s">
        <v>19</v>
      </c>
      <c r="I1733" s="1" t="s">
        <v>20</v>
      </c>
      <c r="J1733" s="1" t="s">
        <v>8085</v>
      </c>
      <c r="K1733" s="1" t="s">
        <v>22</v>
      </c>
      <c r="L1733" s="1" t="str">
        <f>HYPERLINK("https://files.afu.se/Downloads/Transcripts/0%20-%20Government/USA%20-%20NASA/2016 01 29 - NASA - Orion and SLS showcased at Michoud on This Week @NASA – January 29, 2016_8XAGfhS3RK4 - transcript (automated).pdf","Transcript Link")</f>
        <v>Transcript Link</v>
      </c>
      <c r="M1733" s="2" t="str">
        <f>HYPERLINK("https://files.afu.se/Downloads/Transcripts/0%20-%20Government/USA%20-%20NASA/2016 01 29 - NASA - Orion and SLS showcased at Michoud on This Week @NASA – January 29, 2016_8XAGfhS3RK4 - transcript (automated).pdf","Transcript Link")</f>
        <v>Transcript Link</v>
      </c>
    </row>
    <row r="1734" ht="180" spans="1:13">
      <c r="A1734" s="1" t="s">
        <v>8086</v>
      </c>
      <c r="B1734" s="1" t="s">
        <v>13</v>
      </c>
      <c r="C1734" s="4" t="s">
        <v>8087</v>
      </c>
      <c r="D1734" s="1" t="s">
        <v>8088</v>
      </c>
      <c r="E1734" s="1" t="s">
        <v>8089</v>
      </c>
      <c r="F1734" s="4" t="s">
        <v>17</v>
      </c>
      <c r="G1734" s="1" t="s">
        <v>18</v>
      </c>
      <c r="H1734" s="1" t="s">
        <v>19</v>
      </c>
      <c r="I1734" s="1" t="s">
        <v>20</v>
      </c>
      <c r="J1734" s="1" t="s">
        <v>8090</v>
      </c>
      <c r="K1734" s="1" t="s">
        <v>22</v>
      </c>
      <c r="L1734" s="1" t="str">
        <f>HYPERLINK("https://files.afu.se/Downloads/Transcripts/0%20-%20Government/USA%20-%20NASA/2016 01 28 - NASA - To Serve on Earth and in Space_EQCs-j-Fjdc - transcript (automated).pdf","Transcript Link")</f>
        <v>Transcript Link</v>
      </c>
      <c r="M1734" s="2" t="str">
        <f>HYPERLINK("https://files.afu.se/Downloads/Transcripts/0%20-%20Government/USA%20-%20NASA/2016 01 28 - NASA - To Serve on Earth and in Space_EQCs-j-Fjdc - transcript (automated).pdf","Transcript Link")</f>
        <v>Transcript Link</v>
      </c>
    </row>
    <row r="1735" ht="165" spans="1:13">
      <c r="A1735" s="1" t="s">
        <v>8086</v>
      </c>
      <c r="B1735" s="1" t="s">
        <v>13</v>
      </c>
      <c r="C1735" s="4" t="s">
        <v>8091</v>
      </c>
      <c r="D1735" s="1" t="s">
        <v>8092</v>
      </c>
      <c r="E1735" s="1" t="s">
        <v>8093</v>
      </c>
      <c r="F1735" s="4" t="s">
        <v>17</v>
      </c>
      <c r="G1735" s="1" t="s">
        <v>18</v>
      </c>
      <c r="H1735" s="1" t="s">
        <v>19</v>
      </c>
      <c r="I1735" s="1" t="s">
        <v>20</v>
      </c>
      <c r="J1735" s="1" t="s">
        <v>8094</v>
      </c>
      <c r="K1735" s="1" t="s">
        <v>22</v>
      </c>
      <c r="L1735" s="1" t="str">
        <f>HYPERLINK("https://files.afu.se/Downloads/Transcripts/0%20-%20Government/USA%20-%20NASA/2016 01 28 - NASA - Fallen NASA Heroes Honored at Kennedy Space Center_tN0dpTUjgGk - transcript (automated).pdf","Transcript Link")</f>
        <v>Transcript Link</v>
      </c>
      <c r="M1735" s="2" t="str">
        <f>HYPERLINK("https://files.afu.se/Downloads/Transcripts/0%20-%20Government/USA%20-%20NASA/2016 01 28 - NASA - Fallen NASA Heroes Honored at Kennedy Space Center_tN0dpTUjgGk - transcript (automated).pdf","Transcript Link")</f>
        <v>Transcript Link</v>
      </c>
    </row>
    <row r="1736" ht="210" spans="1:13">
      <c r="A1736" s="1" t="s">
        <v>8086</v>
      </c>
      <c r="B1736" s="1" t="s">
        <v>13</v>
      </c>
      <c r="C1736" s="4" t="s">
        <v>8095</v>
      </c>
      <c r="D1736" s="1" t="s">
        <v>8096</v>
      </c>
      <c r="E1736" s="1" t="s">
        <v>8097</v>
      </c>
      <c r="F1736" s="4" t="s">
        <v>17</v>
      </c>
      <c r="G1736" s="1" t="s">
        <v>18</v>
      </c>
      <c r="H1736" s="1" t="s">
        <v>19</v>
      </c>
      <c r="I1736" s="1" t="s">
        <v>20</v>
      </c>
      <c r="J1736" s="1" t="s">
        <v>8098</v>
      </c>
      <c r="K1736" s="1" t="s">
        <v>22</v>
      </c>
      <c r="L1736" s="1" t="str">
        <f>HYPERLINK("https://files.afu.se/Downloads/Transcripts/0%20-%20Government/USA%20-%20NASA/2016 01 28 - NASA - Oceanography Satellite Launches on This Week @NASA – January 22, 2016_mLW46-qACEY - transcript (automated).pdf","Transcript Link")</f>
        <v>Transcript Link</v>
      </c>
      <c r="M1736" s="2" t="str">
        <f>HYPERLINK("https://files.afu.se/Downloads/Transcripts/0%20-%20Government/USA%20-%20NASA/2016 01 28 - NASA - Oceanography Satellite Launches on This Week @NASA – January 22, 2016_mLW46-qACEY - transcript (automated).pdf","Transcript Link")</f>
        <v>Transcript Link</v>
      </c>
    </row>
    <row r="1737" ht="165" spans="1:13">
      <c r="A1737" s="1" t="s">
        <v>8086</v>
      </c>
      <c r="B1737" s="1" t="s">
        <v>13</v>
      </c>
      <c r="C1737" s="4" t="s">
        <v>8099</v>
      </c>
      <c r="D1737" s="1" t="s">
        <v>8100</v>
      </c>
      <c r="E1737" s="1" t="s">
        <v>8101</v>
      </c>
      <c r="F1737" s="4" t="s">
        <v>17</v>
      </c>
      <c r="G1737" s="1" t="s">
        <v>18</v>
      </c>
      <c r="H1737" s="1" t="s">
        <v>19</v>
      </c>
      <c r="I1737" s="1" t="s">
        <v>20</v>
      </c>
      <c r="J1737" s="1" t="s">
        <v>8102</v>
      </c>
      <c r="K1737" s="1" t="s">
        <v>22</v>
      </c>
      <c r="L1737" s="1" t="str">
        <f>HYPERLINK("https://files.afu.se/Downloads/Transcripts/0%20-%20Government/USA%20-%20NASA/2016 01 28 - NASA - NASA Day of Remembrance_Nq7f97dtmR4 - transcript (automated).pdf","Transcript Link")</f>
        <v>Transcript Link</v>
      </c>
      <c r="M1737" s="2" t="str">
        <f>HYPERLINK("https://files.afu.se/Downloads/Transcripts/0%20-%20Government/USA%20-%20NASA/2016 01 28 - NASA - NASA Day of Remembrance_Nq7f97dtmR4 - transcript (automated).pdf","Transcript Link")</f>
        <v>Transcript Link</v>
      </c>
    </row>
    <row r="1738" ht="165" spans="1:13">
      <c r="A1738" s="1" t="s">
        <v>8103</v>
      </c>
      <c r="B1738" s="1" t="s">
        <v>13</v>
      </c>
      <c r="C1738" s="4" t="s">
        <v>8104</v>
      </c>
      <c r="D1738" s="1" t="s">
        <v>8105</v>
      </c>
      <c r="E1738" s="1" t="s">
        <v>8106</v>
      </c>
      <c r="F1738" s="4" t="s">
        <v>17</v>
      </c>
      <c r="G1738" s="1" t="s">
        <v>18</v>
      </c>
      <c r="H1738" s="1" t="s">
        <v>19</v>
      </c>
      <c r="I1738" s="1" t="s">
        <v>20</v>
      </c>
      <c r="J1738" s="1" t="s">
        <v>8107</v>
      </c>
      <c r="K1738" s="1" t="s">
        <v>22</v>
      </c>
      <c r="L1738" s="1" t="str">
        <f>HYPERLINK("https://files.afu.se/Downloads/Transcripts/0%20-%20Government/USA%20-%20NASA/2016 01 22 - NASA - A New Planet in our Solar System  NASA Takes a Look_ujruGHhHQIk - transcript (automated).pdf","Transcript Link")</f>
        <v>Transcript Link</v>
      </c>
      <c r="M1738" s="2" t="str">
        <f>HYPERLINK("https://files.afu.se/Downloads/Transcripts/0%20-%20Government/USA%20-%20NASA/2016 01 22 - NASA - A New Planet in our Solar System  NASA Takes a Look_ujruGHhHQIk - transcript (automated).pdf","Transcript Link")</f>
        <v>Transcript Link</v>
      </c>
    </row>
    <row r="1739" ht="165" spans="1:13">
      <c r="A1739" s="1" t="s">
        <v>8108</v>
      </c>
      <c r="B1739" s="1" t="s">
        <v>13</v>
      </c>
      <c r="C1739" s="4" t="s">
        <v>8109</v>
      </c>
      <c r="D1739" s="1" t="s">
        <v>8110</v>
      </c>
      <c r="E1739" s="1" t="s">
        <v>8111</v>
      </c>
      <c r="F1739" s="4" t="s">
        <v>17</v>
      </c>
      <c r="G1739" s="1" t="s">
        <v>18</v>
      </c>
      <c r="H1739" s="1" t="s">
        <v>19</v>
      </c>
      <c r="I1739" s="1" t="s">
        <v>20</v>
      </c>
      <c r="J1739" s="1" t="s">
        <v>8112</v>
      </c>
      <c r="K1739" s="1" t="s">
        <v>22</v>
      </c>
      <c r="L1739" s="1" t="str">
        <f>HYPERLINK("https://files.afu.se/Downloads/Transcripts/0%20-%20Government/USA%20-%20NASA/2016 01 20 - NASA - Countdown to Conclusion of 1-Year Mission_GliZyspplDs - transcript (automated).pdf","Transcript Link")</f>
        <v>Transcript Link</v>
      </c>
      <c r="M1739" s="2" t="str">
        <f>HYPERLINK("https://files.afu.se/Downloads/Transcripts/0%20-%20Government/USA%20-%20NASA/2016 01 20 - NASA - Countdown to Conclusion of 1-Year Mission_GliZyspplDs - transcript (automated).pdf","Transcript Link")</f>
        <v>Transcript Link</v>
      </c>
    </row>
    <row r="1740" ht="210" spans="1:13">
      <c r="A1740" s="1" t="s">
        <v>8113</v>
      </c>
      <c r="B1740" s="1" t="s">
        <v>13</v>
      </c>
      <c r="C1740" s="4" t="s">
        <v>8114</v>
      </c>
      <c r="D1740" s="1" t="s">
        <v>8115</v>
      </c>
      <c r="E1740" s="1" t="s">
        <v>8116</v>
      </c>
      <c r="F1740" s="4" t="s">
        <v>17</v>
      </c>
      <c r="G1740" s="1" t="s">
        <v>18</v>
      </c>
      <c r="H1740" s="1" t="s">
        <v>19</v>
      </c>
      <c r="I1740" s="1" t="s">
        <v>20</v>
      </c>
      <c r="J1740" s="1" t="s">
        <v>8117</v>
      </c>
      <c r="K1740" s="1" t="s">
        <v>22</v>
      </c>
      <c r="L1740" s="1" t="str">
        <f>HYPERLINK("https://files.afu.se/Downloads/Transcripts/0%20-%20Government/USA%20-%20NASA/2016 01 17 - NASA - Jason-3 Launches to Monitor Sea Level Rise_DSRhjE0uJ7g - transcript (automated).pdf","Transcript Link")</f>
        <v>Transcript Link</v>
      </c>
      <c r="M1740" s="2" t="str">
        <f>HYPERLINK("https://files.afu.se/Downloads/Transcripts/0%20-%20Government/USA%20-%20NASA/2016 01 17 - NASA - Jason-3 Launches to Monitor Sea Level Rise_DSRhjE0uJ7g - transcript (automated).pdf","Transcript Link")</f>
        <v>Transcript Link</v>
      </c>
    </row>
    <row r="1741" ht="225" spans="1:13">
      <c r="A1741" s="1" t="s">
        <v>8118</v>
      </c>
      <c r="B1741" s="1" t="s">
        <v>13</v>
      </c>
      <c r="C1741" s="4" t="s">
        <v>8119</v>
      </c>
      <c r="D1741" s="1" t="s">
        <v>8120</v>
      </c>
      <c r="E1741" s="1" t="s">
        <v>8121</v>
      </c>
      <c r="F1741" s="4" t="s">
        <v>17</v>
      </c>
      <c r="G1741" s="1" t="s">
        <v>18</v>
      </c>
      <c r="H1741" s="1" t="s">
        <v>19</v>
      </c>
      <c r="I1741" s="1" t="s">
        <v>20</v>
      </c>
      <c r="J1741" s="1" t="s">
        <v>8122</v>
      </c>
      <c r="K1741" s="1" t="s">
        <v>22</v>
      </c>
      <c r="L1741" s="1" t="str">
        <f>HYPERLINK("https://files.afu.se/Downloads/Transcripts/0%20-%20Government/USA%20-%20NASA/2016 01 16 - NASA - The Science of Jason-3_D0AgqhS6B-U - transcript (automated).pdf","Transcript Link")</f>
        <v>Transcript Link</v>
      </c>
      <c r="M1741" s="2" t="str">
        <f>HYPERLINK("https://files.afu.se/Downloads/Transcripts/0%20-%20Government/USA%20-%20NASA/2016 01 16 - NASA - The Science of Jason-3_D0AgqhS6B-U - transcript (automated).pdf","Transcript Link")</f>
        <v>Transcript Link</v>
      </c>
    </row>
    <row r="1742" ht="195" spans="1:13">
      <c r="A1742" s="1" t="s">
        <v>8118</v>
      </c>
      <c r="B1742" s="1" t="s">
        <v>13</v>
      </c>
      <c r="C1742" s="4" t="s">
        <v>8123</v>
      </c>
      <c r="D1742" s="1" t="s">
        <v>8124</v>
      </c>
      <c r="E1742" s="1" t="s">
        <v>8125</v>
      </c>
      <c r="F1742" s="4" t="s">
        <v>17</v>
      </c>
      <c r="G1742" s="1" t="s">
        <v>18</v>
      </c>
      <c r="H1742" s="1" t="s">
        <v>19</v>
      </c>
      <c r="I1742" s="1" t="s">
        <v>20</v>
      </c>
      <c r="J1742" s="1" t="s">
        <v>8126</v>
      </c>
      <c r="K1742" s="1" t="s">
        <v>22</v>
      </c>
      <c r="L1742" s="1" t="str">
        <f>HYPERLINK("https://files.afu.se/Downloads/Transcripts/0%20-%20Government/USA%20-%20NASA/2016 01 16 - NASA - Getting To Know Jason-3_qjf5uL31n-Y - transcript (automated).pdf","Transcript Link")</f>
        <v>Transcript Link</v>
      </c>
      <c r="M1742" s="2" t="str">
        <f>HYPERLINK("https://files.afu.se/Downloads/Transcripts/0%20-%20Government/USA%20-%20NASA/2016 01 16 - NASA - Getting To Know Jason-3_qjf5uL31n-Y - transcript (automated).pdf","Transcript Link")</f>
        <v>Transcript Link</v>
      </c>
    </row>
    <row r="1743" ht="165" spans="1:13">
      <c r="A1743" s="1" t="s">
        <v>8127</v>
      </c>
      <c r="B1743" s="1" t="s">
        <v>13</v>
      </c>
      <c r="C1743" s="4" t="s">
        <v>8128</v>
      </c>
      <c r="D1743" s="1" t="s">
        <v>8129</v>
      </c>
      <c r="E1743" s="1" t="s">
        <v>8130</v>
      </c>
      <c r="F1743" s="4" t="s">
        <v>17</v>
      </c>
      <c r="G1743" s="1" t="s">
        <v>18</v>
      </c>
      <c r="H1743" s="1" t="s">
        <v>19</v>
      </c>
      <c r="I1743" s="1" t="s">
        <v>20</v>
      </c>
      <c r="J1743" s="1" t="s">
        <v>8131</v>
      </c>
      <c r="K1743" s="1" t="s">
        <v>22</v>
      </c>
      <c r="L1743" s="1" t="str">
        <f>HYPERLINK("https://files.afu.se/Downloads/Transcripts/0%20-%20Government/USA%20-%20NASA/2016 01 15 - NASA - Space Station Cargo Contracts on This Week @NASA – January 15, 2016_Ykh-_LpTx0U - transcript (automated).pdf","Transcript Link")</f>
        <v>Transcript Link</v>
      </c>
      <c r="M1743" s="2" t="str">
        <f>HYPERLINK("https://files.afu.se/Downloads/Transcripts/0%20-%20Government/USA%20-%20NASA/2016 01 15 - NASA - Space Station Cargo Contracts on This Week @NASA – January 15, 2016_Ykh-_LpTx0U - transcript (automated).pdf","Transcript Link")</f>
        <v>Transcript Link</v>
      </c>
    </row>
    <row r="1744" ht="240" spans="1:13">
      <c r="A1744" s="1" t="s">
        <v>8127</v>
      </c>
      <c r="B1744" s="1" t="s">
        <v>13</v>
      </c>
      <c r="C1744" s="4" t="s">
        <v>8132</v>
      </c>
      <c r="D1744" s="1" t="s">
        <v>8133</v>
      </c>
      <c r="E1744" s="1" t="s">
        <v>8134</v>
      </c>
      <c r="F1744" s="4" t="s">
        <v>17</v>
      </c>
      <c r="G1744" s="1" t="s">
        <v>18</v>
      </c>
      <c r="H1744" s="1" t="s">
        <v>19</v>
      </c>
      <c r="I1744" s="1" t="s">
        <v>20</v>
      </c>
      <c r="J1744" s="1" t="s">
        <v>8135</v>
      </c>
      <c r="K1744" s="1" t="s">
        <v>22</v>
      </c>
      <c r="L1744" s="1" t="str">
        <f>HYPERLINK("https://files.afu.se/Downloads/Transcripts/0%20-%20Government/USA%20-%20NASA/2016 01 15 - NASA - Space Station Crew Restores Full Power to the Complex During a Shortened Spacewalk_etUkR3FmDnw - transcript (automated).pdf","Transcript Link")</f>
        <v>Transcript Link</v>
      </c>
      <c r="M1744" s="2" t="str">
        <f>HYPERLINK("https://files.afu.se/Downloads/Transcripts/0%20-%20Government/USA%20-%20NASA/2016 01 15 - NASA - Space Station Crew Restores Full Power to the Complex During a Shortened Spacewalk_etUkR3FmDnw - transcript (automated).pdf","Transcript Link")</f>
        <v>Transcript Link</v>
      </c>
    </row>
    <row r="1745" ht="210" spans="1:13">
      <c r="A1745" s="1" t="s">
        <v>8127</v>
      </c>
      <c r="B1745" s="1" t="s">
        <v>13</v>
      </c>
      <c r="C1745" s="4" t="s">
        <v>8136</v>
      </c>
      <c r="D1745" s="1" t="s">
        <v>8137</v>
      </c>
      <c r="E1745" s="1" t="s">
        <v>8138</v>
      </c>
      <c r="F1745" s="4" t="s">
        <v>17</v>
      </c>
      <c r="G1745" s="1" t="s">
        <v>18</v>
      </c>
      <c r="H1745" s="1" t="s">
        <v>19</v>
      </c>
      <c r="I1745" s="1" t="s">
        <v>20</v>
      </c>
      <c r="J1745" s="1" t="s">
        <v>8139</v>
      </c>
      <c r="K1745" s="1" t="s">
        <v>22</v>
      </c>
      <c r="L1745" s="1" t="str">
        <f>HYPERLINK("https://files.afu.se/Downloads/Transcripts/0%20-%20Government/USA%20-%20NASA/2016 01 15 - NASA - NASA Awards International Space Station Cargo Transport Contracts_RnMVOT8piZs - transcript (automated).pdf","Transcript Link")</f>
        <v>Transcript Link</v>
      </c>
      <c r="M1745" s="2" t="str">
        <f>HYPERLINK("https://files.afu.se/Downloads/Transcripts/0%20-%20Government/USA%20-%20NASA/2016 01 15 - NASA - NASA Awards International Space Station Cargo Transport Contracts_RnMVOT8piZs - transcript (automated).pdf","Transcript Link")</f>
        <v>Transcript Link</v>
      </c>
    </row>
    <row r="1746" ht="165" spans="1:13">
      <c r="A1746" s="1" t="s">
        <v>8127</v>
      </c>
      <c r="B1746" s="1" t="s">
        <v>13</v>
      </c>
      <c r="C1746" s="4" t="s">
        <v>8140</v>
      </c>
      <c r="D1746" s="1" t="s">
        <v>8141</v>
      </c>
      <c r="E1746" s="1" t="s">
        <v>8142</v>
      </c>
      <c r="F1746" s="4" t="s">
        <v>17</v>
      </c>
      <c r="G1746" s="1" t="s">
        <v>18</v>
      </c>
      <c r="H1746" s="1" t="s">
        <v>19</v>
      </c>
      <c r="I1746" s="1" t="s">
        <v>20</v>
      </c>
      <c r="J1746" s="1" t="s">
        <v>8143</v>
      </c>
      <c r="K1746" s="1" t="s">
        <v>22</v>
      </c>
      <c r="L1746" s="1" t="str">
        <f>HYPERLINK("https://files.afu.se/Downloads/Transcripts/0%20-%20Government/USA%20-%20NASA/2016 01 15 - NASA - NASA Celebrates Dr. Martin Luther King, Jr. Day of Service_zEF1XeLyXHc - transcript (automated).pdf","Transcript Link")</f>
        <v>Transcript Link</v>
      </c>
      <c r="M1746" s="2" t="str">
        <f>HYPERLINK("https://files.afu.se/Downloads/Transcripts/0%20-%20Government/USA%20-%20NASA/2016 01 15 - NASA - NASA Celebrates Dr. Martin Luther King, Jr. Day of Service_zEF1XeLyXHc - transcript (automated).pdf","Transcript Link")</f>
        <v>Transcript Link</v>
      </c>
    </row>
    <row r="1747" ht="409.5" spans="1:13">
      <c r="A1747" s="1" t="s">
        <v>8144</v>
      </c>
      <c r="B1747" s="1" t="s">
        <v>13</v>
      </c>
      <c r="C1747" s="4" t="s">
        <v>8145</v>
      </c>
      <c r="D1747" s="1" t="s">
        <v>8146</v>
      </c>
      <c r="E1747" s="1" t="s">
        <v>8147</v>
      </c>
      <c r="F1747" s="4" t="s">
        <v>17</v>
      </c>
      <c r="G1747" s="1" t="s">
        <v>18</v>
      </c>
      <c r="H1747" s="1" t="s">
        <v>19</v>
      </c>
      <c r="I1747" s="1" t="s">
        <v>20</v>
      </c>
      <c r="J1747" s="1" t="s">
        <v>8148</v>
      </c>
      <c r="K1747" s="1" t="s">
        <v>22</v>
      </c>
      <c r="L1747" s="1" t="str">
        <f>HYPERLINK("https://files.afu.se/Downloads/Transcripts/0%20-%20Government/USA%20-%20NASA/2016 01 14 - NASA - NASA Administrator Charles Bolden on Commercial Space_lCgcqSwqInU - transcript (automated).pdf","Transcript Link")</f>
        <v>Transcript Link</v>
      </c>
      <c r="M1747" s="2" t="str">
        <f>HYPERLINK("https://files.afu.se/Downloads/Transcripts/0%20-%20Government/USA%20-%20NASA/2016 01 14 - NASA - NASA Administrator Charles Bolden on Commercial Space_lCgcqSwqInU - transcript (automated).pdf","Transcript Link")</f>
        <v>Transcript Link</v>
      </c>
    </row>
    <row r="1748" ht="180" spans="1:13">
      <c r="A1748" s="1" t="s">
        <v>8149</v>
      </c>
      <c r="B1748" s="1" t="s">
        <v>13</v>
      </c>
      <c r="C1748" s="4" t="s">
        <v>8150</v>
      </c>
      <c r="D1748" s="1" t="s">
        <v>8151</v>
      </c>
      <c r="E1748" s="1" t="s">
        <v>8152</v>
      </c>
      <c r="F1748" s="4" t="s">
        <v>17</v>
      </c>
      <c r="G1748" s="1" t="s">
        <v>18</v>
      </c>
      <c r="H1748" s="1" t="s">
        <v>19</v>
      </c>
      <c r="I1748" s="1" t="s">
        <v>20</v>
      </c>
      <c r="J1748" s="1" t="s">
        <v>8153</v>
      </c>
      <c r="K1748" s="1" t="s">
        <v>22</v>
      </c>
      <c r="L1748" s="1" t="str">
        <f>HYPERLINK("https://files.afu.se/Downloads/Transcripts/0%20-%20Government/USA%20-%20NASA/2016 01 12 - NASA - Powerful Space Station Spacewalk Previewed_7tNLTszm4f8 - transcript (automated).pdf","Transcript Link")</f>
        <v>Transcript Link</v>
      </c>
      <c r="M1748" s="2" t="str">
        <f>HYPERLINK("https://files.afu.se/Downloads/Transcripts/0%20-%20Government/USA%20-%20NASA/2016 01 12 - NASA - Powerful Space Station Spacewalk Previewed_7tNLTszm4f8 - transcript (automated).pdf","Transcript Link")</f>
        <v>Transcript Link</v>
      </c>
    </row>
    <row r="1749" ht="165" spans="1:13">
      <c r="A1749" s="1" t="s">
        <v>8154</v>
      </c>
      <c r="B1749" s="1" t="s">
        <v>13</v>
      </c>
      <c r="C1749" s="4" t="s">
        <v>8155</v>
      </c>
      <c r="D1749" s="1" t="s">
        <v>8156</v>
      </c>
      <c r="E1749" s="1" t="s">
        <v>8157</v>
      </c>
      <c r="F1749" s="4" t="s">
        <v>17</v>
      </c>
      <c r="G1749" s="1" t="s">
        <v>18</v>
      </c>
      <c r="H1749" s="1" t="s">
        <v>19</v>
      </c>
      <c r="I1749" s="1" t="s">
        <v>20</v>
      </c>
      <c r="J1749" s="1" t="s">
        <v>8158</v>
      </c>
      <c r="K1749" s="1" t="s">
        <v>22</v>
      </c>
      <c r="L1749" s="1" t="str">
        <f>HYPERLINK("https://files.afu.se/Downloads/Transcripts/0%20-%20Government/USA%20-%20NASA/2016 01 08 - NASA - NASA astronomical findings highlighted on This Week @NASA – January 8, 2016_xQN_2yObED0 - transcript (automated).pdf","Transcript Link")</f>
        <v>Transcript Link</v>
      </c>
      <c r="M1749" s="2" t="str">
        <f>HYPERLINK("https://files.afu.se/Downloads/Transcripts/0%20-%20Government/USA%20-%20NASA/2016 01 08 - NASA - NASA astronomical findings highlighted on This Week @NASA – January 8, 2016_xQN_2yObED0 - transcript (automated).pdf","Transcript Link")</f>
        <v>Transcript Link</v>
      </c>
    </row>
    <row r="1750" ht="165" spans="1:13">
      <c r="A1750" s="1" t="s">
        <v>8159</v>
      </c>
      <c r="B1750" s="1" t="s">
        <v>13</v>
      </c>
      <c r="C1750" s="4" t="s">
        <v>8160</v>
      </c>
      <c r="D1750" s="1" t="s">
        <v>8161</v>
      </c>
      <c r="E1750" s="1" t="s">
        <v>8162</v>
      </c>
      <c r="F1750" s="4" t="s">
        <v>17</v>
      </c>
      <c r="G1750" s="1" t="s">
        <v>18</v>
      </c>
      <c r="H1750" s="1" t="s">
        <v>19</v>
      </c>
      <c r="I1750" s="1" t="s">
        <v>20</v>
      </c>
      <c r="J1750" s="1" t="s">
        <v>8163</v>
      </c>
      <c r="K1750" s="1" t="s">
        <v>22</v>
      </c>
      <c r="L1750" s="1" t="str">
        <f>HYPERLINK("https://files.afu.se/Downloads/Transcripts/0%20-%20Government/USA%20-%20NASA/2016 01 07 - NASA - News Conference Features with Next Space Station Crew_NrfUkXlLO9Y - transcript (automated).pdf","Transcript Link")</f>
        <v>Transcript Link</v>
      </c>
      <c r="M1750" s="2" t="str">
        <f>HYPERLINK("https://files.afu.se/Downloads/Transcripts/0%20-%20Government/USA%20-%20NASA/2016 01 07 - NASA - News Conference Features with Next Space Station Crew_NrfUkXlLO9Y - transcript (automated).pdf","Transcript Link")</f>
        <v>Transcript Link</v>
      </c>
    </row>
    <row r="1751" ht="165" spans="1:13">
      <c r="A1751" s="1" t="s">
        <v>8159</v>
      </c>
      <c r="B1751" s="1" t="s">
        <v>13</v>
      </c>
      <c r="C1751" s="4" t="s">
        <v>8164</v>
      </c>
      <c r="D1751" s="1" t="s">
        <v>8165</v>
      </c>
      <c r="E1751" s="1" t="s">
        <v>8166</v>
      </c>
      <c r="F1751" s="4" t="s">
        <v>17</v>
      </c>
      <c r="G1751" s="1" t="s">
        <v>18</v>
      </c>
      <c r="H1751" s="1" t="s">
        <v>19</v>
      </c>
      <c r="I1751" s="1" t="s">
        <v>20</v>
      </c>
      <c r="J1751" s="1" t="s">
        <v>8167</v>
      </c>
      <c r="K1751" s="1" t="s">
        <v>22</v>
      </c>
      <c r="L1751" s="1" t="str">
        <f>HYPERLINK("https://files.afu.se/Downloads/Transcripts/0%20-%20Government/USA%20-%20NASA/2016 01 07 - NASA - Training for Tour of Duty on the Space Station_7eej1jq4p28 - transcript (automated).pdf","Transcript Link")</f>
        <v>Transcript Link</v>
      </c>
      <c r="M1751" s="2" t="str">
        <f>HYPERLINK("https://files.afu.se/Downloads/Transcripts/0%20-%20Government/USA%20-%20NASA/2016 01 07 - NASA - Training for Tour of Duty on the Space Station_7eej1jq4p28 - transcript (automated).pdf","Transcript Link")</f>
        <v>Transcript Link</v>
      </c>
    </row>
    <row r="1752" ht="165" spans="1:13">
      <c r="A1752" s="1" t="s">
        <v>8168</v>
      </c>
      <c r="B1752" s="1" t="s">
        <v>13</v>
      </c>
      <c r="C1752" s="4" t="s">
        <v>8169</v>
      </c>
      <c r="D1752" s="1" t="s">
        <v>8170</v>
      </c>
      <c r="E1752" s="1" t="s">
        <v>8171</v>
      </c>
      <c r="F1752" s="4" t="s">
        <v>17</v>
      </c>
      <c r="G1752" s="1" t="s">
        <v>18</v>
      </c>
      <c r="H1752" s="1" t="s">
        <v>19</v>
      </c>
      <c r="I1752" s="1" t="s">
        <v>20</v>
      </c>
      <c r="J1752" s="1" t="s">
        <v>8172</v>
      </c>
      <c r="K1752" s="1" t="s">
        <v>22</v>
      </c>
      <c r="L1752" s="1" t="str">
        <f>HYPERLINK("https://files.afu.se/Downloads/Transcripts/0%20-%20Government/USA%20-%20NASA/2016 01 05 - NASA - The “Homestretch” of the One Year Mission Aboard the Space Station_HKwysk213wM - transcript (automated).pdf","Transcript Link")</f>
        <v>Transcript Link</v>
      </c>
      <c r="M1752" s="2" t="str">
        <f>HYPERLINK("https://files.afu.se/Downloads/Transcripts/0%20-%20Government/USA%20-%20NASA/2016 01 05 - NASA - The “Homestretch” of the One Year Mission Aboard the Space Station_HKwysk213wM - transcript (automated).pdf","Transcript Link")</f>
        <v>Transcript Link</v>
      </c>
    </row>
    <row r="1753" ht="165" spans="1:13">
      <c r="A1753" s="1" t="s">
        <v>8173</v>
      </c>
      <c r="B1753" s="1" t="s">
        <v>13</v>
      </c>
      <c r="C1753" s="4" t="s">
        <v>8174</v>
      </c>
      <c r="D1753" s="1" t="s">
        <v>8175</v>
      </c>
      <c r="E1753" s="1" t="s">
        <v>8176</v>
      </c>
      <c r="F1753" s="4" t="s">
        <v>17</v>
      </c>
      <c r="G1753" s="1" t="s">
        <v>18</v>
      </c>
      <c r="H1753" s="1" t="s">
        <v>19</v>
      </c>
      <c r="I1753" s="1" t="s">
        <v>20</v>
      </c>
      <c r="J1753" s="1" t="s">
        <v>8177</v>
      </c>
      <c r="K1753" s="1" t="s">
        <v>22</v>
      </c>
      <c r="L1753" s="1" t="str">
        <f>HYPERLINK("https://files.afu.se/Downloads/Transcripts/0%20-%20Government/USA%20-%20NASA/2016 01 01 - NASA - Happy New Year 2016 from NASA_RtrxlwCe25k - transcript (automated).pdf","Transcript Link")</f>
        <v>Transcript Link</v>
      </c>
      <c r="M1753" s="2" t="str">
        <f>HYPERLINK("https://files.afu.se/Downloads/Transcripts/0%20-%20Government/USA%20-%20NASA/2016 01 01 - NASA - Happy New Year 2016 from NASA_RtrxlwCe25k - transcript (automated).pdf","Transcript Link")</f>
        <v>Transcript Link</v>
      </c>
    </row>
    <row r="1754" ht="165" spans="1:13">
      <c r="A1754" s="1" t="s">
        <v>8178</v>
      </c>
      <c r="B1754" s="1" t="s">
        <v>13</v>
      </c>
      <c r="C1754" s="4" t="s">
        <v>8179</v>
      </c>
      <c r="D1754" s="1" t="s">
        <v>8180</v>
      </c>
      <c r="E1754" s="1" t="s">
        <v>8181</v>
      </c>
      <c r="F1754" s="4" t="s">
        <v>17</v>
      </c>
      <c r="G1754" s="1" t="s">
        <v>18</v>
      </c>
      <c r="H1754" s="1" t="s">
        <v>19</v>
      </c>
      <c r="I1754" s="1" t="s">
        <v>20</v>
      </c>
      <c r="J1754" s="1" t="s">
        <v>8182</v>
      </c>
      <c r="K1754" s="1" t="s">
        <v>22</v>
      </c>
      <c r="L1754" s="1" t="str">
        <f>HYPERLINK("https://files.afu.se/Downloads/Transcripts/0%20-%20Government/USA%20-%20NASA/2015 12 28 - NASA - Space Station Crew Talks with Houston Media_91J8gNT8YNI - transcript (automated).pdf","Transcript Link")</f>
        <v>Transcript Link</v>
      </c>
      <c r="M1754" s="2" t="str">
        <f>HYPERLINK("https://files.afu.se/Downloads/Transcripts/0%20-%20Government/USA%20-%20NASA/2015 12 28 - NASA - Space Station Crew Talks with Houston Media_91J8gNT8YNI - transcript (automated).pdf","Transcript Link")</f>
        <v>Transcript Link</v>
      </c>
    </row>
    <row r="1755" ht="195" spans="1:13">
      <c r="A1755" s="1" t="s">
        <v>8183</v>
      </c>
      <c r="B1755" s="1" t="s">
        <v>13</v>
      </c>
      <c r="C1755" s="4" t="s">
        <v>8184</v>
      </c>
      <c r="D1755" s="1" t="s">
        <v>8185</v>
      </c>
      <c r="E1755" s="1" t="s">
        <v>8186</v>
      </c>
      <c r="F1755" s="4" t="s">
        <v>17</v>
      </c>
      <c r="G1755" s="1" t="s">
        <v>18</v>
      </c>
      <c r="H1755" s="1" t="s">
        <v>19</v>
      </c>
      <c r="I1755" s="1" t="s">
        <v>20</v>
      </c>
      <c r="J1755" s="1" t="s">
        <v>8187</v>
      </c>
      <c r="K1755" s="1" t="s">
        <v>22</v>
      </c>
      <c r="L1755" s="1" t="str">
        <f>HYPERLINK("https://files.afu.se/Downloads/Transcripts/0%20-%20Government/USA%20-%20NASA/2015 12 24 - NASA - NASA TV Video File 2015 Year in Review_Q_1SvFPeW6U - transcript (automated).pdf","Transcript Link")</f>
        <v>Transcript Link</v>
      </c>
      <c r="M1755" s="2" t="str">
        <f>HYPERLINK("https://files.afu.se/Downloads/Transcripts/0%20-%20Government/USA%20-%20NASA/2015 12 24 - NASA - NASA TV Video File 2015 Year in Review_Q_1SvFPeW6U - transcript (automated).pdf","Transcript Link")</f>
        <v>Transcript Link</v>
      </c>
    </row>
    <row r="1756" ht="165" spans="1:13">
      <c r="A1756" s="1" t="s">
        <v>8183</v>
      </c>
      <c r="B1756" s="1" t="s">
        <v>13</v>
      </c>
      <c r="C1756" s="4" t="s">
        <v>8188</v>
      </c>
      <c r="D1756" s="1" t="s">
        <v>996</v>
      </c>
      <c r="E1756" s="1" t="s">
        <v>8189</v>
      </c>
      <c r="F1756" s="4" t="s">
        <v>17</v>
      </c>
      <c r="G1756" s="1" t="s">
        <v>18</v>
      </c>
      <c r="H1756" s="1" t="s">
        <v>19</v>
      </c>
      <c r="I1756" s="1" t="s">
        <v>20</v>
      </c>
      <c r="J1756" s="1" t="s">
        <v>8190</v>
      </c>
      <c r="K1756" s="1" t="s">
        <v>22</v>
      </c>
      <c r="L1756" s="1" t="str">
        <f>HYPERLINK("https://files.afu.se/Downloads/Transcripts/0%20-%20Government/USA%20-%20NASA/2015 12 24 - NASA - Season’s Greetings from NASA_ZK2TPiNeE3g - transcript (automated).pdf","Transcript Link")</f>
        <v>Transcript Link</v>
      </c>
      <c r="M1756" s="2" t="str">
        <f>HYPERLINK("https://files.afu.se/Downloads/Transcripts/0%20-%20Government/USA%20-%20NASA/2015 12 24 - NASA - Season’s Greetings from NASA_ZK2TPiNeE3g - transcript (automated).pdf","Transcript Link")</f>
        <v>Transcript Link</v>
      </c>
    </row>
    <row r="1757" ht="165" spans="1:13">
      <c r="A1757" s="1" t="s">
        <v>8191</v>
      </c>
      <c r="B1757" s="1" t="s">
        <v>13</v>
      </c>
      <c r="C1757" s="4" t="s">
        <v>8192</v>
      </c>
      <c r="D1757" s="1" t="s">
        <v>8193</v>
      </c>
      <c r="E1757" s="1" t="s">
        <v>8194</v>
      </c>
      <c r="F1757" s="4" t="s">
        <v>17</v>
      </c>
      <c r="G1757" s="1" t="s">
        <v>18</v>
      </c>
      <c r="H1757" s="1" t="s">
        <v>19</v>
      </c>
      <c r="I1757" s="1" t="s">
        <v>20</v>
      </c>
      <c r="J1757" s="1" t="s">
        <v>8195</v>
      </c>
      <c r="K1757" s="1" t="s">
        <v>22</v>
      </c>
      <c r="L1757" s="1" t="str">
        <f>HYPERLINK("https://files.afu.se/Downloads/Transcripts/0%20-%20Government/USA%20-%20NASA/2015 12 23 - NASA - Russian Supply Ship Delivers to the Space Station_tWovUd3WWec - transcript (automated).pdf","Transcript Link")</f>
        <v>Transcript Link</v>
      </c>
      <c r="M1757" s="2" t="str">
        <f>HYPERLINK("https://files.afu.se/Downloads/Transcripts/0%20-%20Government/USA%20-%20NASA/2015 12 23 - NASA - Russian Supply Ship Delivers to the Space Station_tWovUd3WWec - transcript (automated).pdf","Transcript Link")</f>
        <v>Transcript Link</v>
      </c>
    </row>
    <row r="1758" ht="210" spans="1:13">
      <c r="A1758" s="1" t="s">
        <v>8196</v>
      </c>
      <c r="B1758" s="1" t="s">
        <v>13</v>
      </c>
      <c r="C1758" s="4" t="s">
        <v>8197</v>
      </c>
      <c r="D1758" s="1" t="s">
        <v>8198</v>
      </c>
      <c r="E1758" s="1" t="s">
        <v>8199</v>
      </c>
      <c r="F1758" s="4" t="s">
        <v>17</v>
      </c>
      <c r="G1758" s="1" t="s">
        <v>18</v>
      </c>
      <c r="H1758" s="1" t="s">
        <v>19</v>
      </c>
      <c r="I1758" s="1" t="s">
        <v>20</v>
      </c>
      <c r="J1758" s="1" t="s">
        <v>8200</v>
      </c>
      <c r="K1758" s="1" t="s">
        <v>22</v>
      </c>
      <c r="L1758" s="1" t="str">
        <f>HYPERLINK("https://files.afu.se/Downloads/Transcripts/0%20-%20Government/USA%20-%20NASA/2015 12 22 - NASA - NASA 2016 Look Ahead_4nC3FeWiH_8 - transcript (automated).pdf","Transcript Link")</f>
        <v>Transcript Link</v>
      </c>
      <c r="M1758" s="2" t="str">
        <f>HYPERLINK("https://files.afu.se/Downloads/Transcripts/0%20-%20Government/USA%20-%20NASA/2015 12 22 - NASA - NASA 2016 Look Ahead_4nC3FeWiH_8 - transcript (automated).pdf","Transcript Link")</f>
        <v>Transcript Link</v>
      </c>
    </row>
    <row r="1759" ht="165" spans="1:13">
      <c r="A1759" s="1" t="s">
        <v>8201</v>
      </c>
      <c r="B1759" s="1" t="s">
        <v>13</v>
      </c>
      <c r="C1759" s="4" t="s">
        <v>8202</v>
      </c>
      <c r="D1759" s="1" t="s">
        <v>8203</v>
      </c>
      <c r="E1759" s="1" t="s">
        <v>8204</v>
      </c>
      <c r="F1759" s="4" t="s">
        <v>17</v>
      </c>
      <c r="G1759" s="1" t="s">
        <v>18</v>
      </c>
      <c r="H1759" s="1" t="s">
        <v>19</v>
      </c>
      <c r="I1759" s="1" t="s">
        <v>20</v>
      </c>
      <c r="J1759" s="1" t="s">
        <v>8205</v>
      </c>
      <c r="K1759" s="1" t="s">
        <v>22</v>
      </c>
      <c r="L1759" s="1" t="str">
        <f>HYPERLINK("https://files.afu.se/Downloads/Transcripts/0%20-%20Government/USA%20-%20NASA/2015 12 21 - NASA - NASA Reaches New Heights in 2015_hvYCI6sFmnk - transcript (automated).pdf","Transcript Link")</f>
        <v>Transcript Link</v>
      </c>
      <c r="M1759" s="2" t="str">
        <f>HYPERLINK("https://files.afu.se/Downloads/Transcripts/0%20-%20Government/USA%20-%20NASA/2015 12 21 - NASA - NASA Reaches New Heights in 2015_hvYCI6sFmnk - transcript (automated).pdf","Transcript Link")</f>
        <v>Transcript Link</v>
      </c>
    </row>
    <row r="1760" ht="165" spans="1:13">
      <c r="A1760" s="1" t="s">
        <v>8201</v>
      </c>
      <c r="B1760" s="1" t="s">
        <v>13</v>
      </c>
      <c r="C1760" s="4" t="s">
        <v>8206</v>
      </c>
      <c r="D1760" s="1" t="s">
        <v>8207</v>
      </c>
      <c r="E1760" s="1" t="s">
        <v>8208</v>
      </c>
      <c r="F1760" s="4" t="s">
        <v>17</v>
      </c>
      <c r="G1760" s="1" t="s">
        <v>18</v>
      </c>
      <c r="H1760" s="1" t="s">
        <v>19</v>
      </c>
      <c r="I1760" s="1" t="s">
        <v>20</v>
      </c>
      <c r="J1760" s="1" t="s">
        <v>8209</v>
      </c>
      <c r="K1760" s="1" t="s">
        <v>22</v>
      </c>
      <c r="L1760" s="1" t="str">
        <f>HYPERLINK("https://files.afu.se/Downloads/Transcripts/0%20-%20Government/USA%20-%20NASA/2015 12 21 - NASA - What Happened This Year @NASA December 21, 2015_ucaiTUWVAW0 - transcript (automated).pdf","Transcript Link")</f>
        <v>Transcript Link</v>
      </c>
      <c r="M1760" s="2" t="str">
        <f>HYPERLINK("https://files.afu.se/Downloads/Transcripts/0%20-%20Government/USA%20-%20NASA/2015 12 21 - NASA - What Happened This Year @NASA December 21, 2015_ucaiTUWVAW0 - transcript (automated).pdf","Transcript Link")</f>
        <v>Transcript Link</v>
      </c>
    </row>
    <row r="1761" ht="165" spans="1:13">
      <c r="A1761" s="1" t="s">
        <v>8201</v>
      </c>
      <c r="B1761" s="1" t="s">
        <v>13</v>
      </c>
      <c r="C1761" s="4" t="s">
        <v>8210</v>
      </c>
      <c r="D1761" s="1" t="s">
        <v>8211</v>
      </c>
      <c r="E1761" s="1" t="s">
        <v>8212</v>
      </c>
      <c r="F1761" s="4" t="s">
        <v>17</v>
      </c>
      <c r="G1761" s="1" t="s">
        <v>18</v>
      </c>
      <c r="H1761" s="1" t="s">
        <v>19</v>
      </c>
      <c r="I1761" s="1" t="s">
        <v>20</v>
      </c>
      <c r="J1761" s="1" t="s">
        <v>8213</v>
      </c>
      <c r="K1761" s="1" t="s">
        <v>22</v>
      </c>
      <c r="L1761" s="1" t="str">
        <f>HYPERLINK("https://files.afu.se/Downloads/Transcripts/0%20-%20Government/USA%20-%20NASA/2015 12 21 - NASA - Russian Cargo Ship Sets Sail for the International Space Station_8Nj8C0bdZAI - transcript (automated).pdf","Transcript Link")</f>
        <v>Transcript Link</v>
      </c>
      <c r="M1761" s="2" t="str">
        <f>HYPERLINK("https://files.afu.se/Downloads/Transcripts/0%20-%20Government/USA%20-%20NASA/2015 12 21 - NASA - Russian Cargo Ship Sets Sail for the International Space Station_8Nj8C0bdZAI - transcript (automated).pdf","Transcript Link")</f>
        <v>Transcript Link</v>
      </c>
    </row>
    <row r="1762" ht="165" spans="1:13">
      <c r="A1762" s="1" t="s">
        <v>8214</v>
      </c>
      <c r="B1762" s="1" t="s">
        <v>13</v>
      </c>
      <c r="C1762" s="4" t="s">
        <v>8215</v>
      </c>
      <c r="D1762" s="1" t="s">
        <v>8216</v>
      </c>
      <c r="E1762" s="1" t="s">
        <v>8217</v>
      </c>
      <c r="F1762" s="4" t="s">
        <v>17</v>
      </c>
      <c r="G1762" s="1" t="s">
        <v>18</v>
      </c>
      <c r="H1762" s="1" t="s">
        <v>19</v>
      </c>
      <c r="I1762" s="1" t="s">
        <v>20</v>
      </c>
      <c r="J1762" s="1" t="s">
        <v>8218</v>
      </c>
      <c r="K1762" s="1" t="s">
        <v>22</v>
      </c>
      <c r="L1762" s="1" t="str">
        <f>HYPERLINK("https://files.afu.se/Downloads/Transcripts/0%20-%20Government/USA%20-%20NASA/2015 12 18 - NASA - Happy Holidays from The International Space Station_EsP9ra_t8Bc - transcript (automated).pdf","Transcript Link")</f>
        <v>Transcript Link</v>
      </c>
      <c r="M1762" s="2" t="str">
        <f>HYPERLINK("https://files.afu.se/Downloads/Transcripts/0%20-%20Government/USA%20-%20NASA/2015 12 18 - NASA - Happy Holidays from The International Space Station_EsP9ra_t8Bc - transcript (automated).pdf","Transcript Link")</f>
        <v>Transcript Link</v>
      </c>
    </row>
    <row r="1763" ht="165" spans="1:13">
      <c r="A1763" s="1" t="s">
        <v>8214</v>
      </c>
      <c r="B1763" s="1" t="s">
        <v>13</v>
      </c>
      <c r="C1763" s="4" t="s">
        <v>8219</v>
      </c>
      <c r="D1763" s="1" t="s">
        <v>8220</v>
      </c>
      <c r="E1763" s="1" t="s">
        <v>8221</v>
      </c>
      <c r="F1763" s="4" t="s">
        <v>17</v>
      </c>
      <c r="G1763" s="1" t="s">
        <v>18</v>
      </c>
      <c r="H1763" s="1" t="s">
        <v>19</v>
      </c>
      <c r="I1763" s="1" t="s">
        <v>20</v>
      </c>
      <c r="J1763" s="1" t="s">
        <v>8222</v>
      </c>
      <c r="K1763" s="1" t="s">
        <v>22</v>
      </c>
      <c r="L1763" s="1" t="str">
        <f>HYPERLINK("https://files.afu.se/Downloads/Transcripts/0%20-%20Government/USA%20-%20NASA/2015 12 18 - NASA - Newly Arrived Space Station Crew Member Talks with British Media_tns0FazYcYA - transcript (automated).pdf","Transcript Link")</f>
        <v>Transcript Link</v>
      </c>
      <c r="M1763" s="2" t="str">
        <f>HYPERLINK("https://files.afu.se/Downloads/Transcripts/0%20-%20Government/USA%20-%20NASA/2015 12 18 - NASA - Newly Arrived Space Station Crew Member Talks with British Media_tns0FazYcYA - transcript (automated).pdf","Transcript Link")</f>
        <v>Transcript Link</v>
      </c>
    </row>
    <row r="1764" ht="165" spans="1:13">
      <c r="A1764" s="1" t="s">
        <v>8223</v>
      </c>
      <c r="B1764" s="1" t="s">
        <v>13</v>
      </c>
      <c r="C1764" s="4" t="s">
        <v>8224</v>
      </c>
      <c r="D1764" s="1" t="s">
        <v>8225</v>
      </c>
      <c r="E1764" s="1" t="s">
        <v>8226</v>
      </c>
      <c r="F1764" s="4" t="s">
        <v>17</v>
      </c>
      <c r="G1764" s="1" t="s">
        <v>18</v>
      </c>
      <c r="H1764" s="1" t="s">
        <v>19</v>
      </c>
      <c r="I1764" s="1" t="s">
        <v>20</v>
      </c>
      <c r="J1764" s="1" t="s">
        <v>8227</v>
      </c>
      <c r="K1764" s="1" t="s">
        <v>22</v>
      </c>
      <c r="L1764" s="1" t="str">
        <f>HYPERLINK("https://files.afu.se/Downloads/Transcripts/0%20-%20Government/USA%20-%20NASA/2015 12 17 - NASA - STEM in 30 – The Process of Invention_y8IFYIADfYw - transcript (automated).pdf","Transcript Link")</f>
        <v>Transcript Link</v>
      </c>
      <c r="M1764" s="2" t="str">
        <f>HYPERLINK("https://files.afu.se/Downloads/Transcripts/0%20-%20Government/USA%20-%20NASA/2015 12 17 - NASA - STEM in 30 – The Process of Invention_y8IFYIADfYw - transcript (automated).pdf","Transcript Link")</f>
        <v>Transcript Link</v>
      </c>
    </row>
    <row r="1765" ht="165" spans="1:13">
      <c r="A1765" s="1" t="s">
        <v>8228</v>
      </c>
      <c r="B1765" s="1" t="s">
        <v>13</v>
      </c>
      <c r="C1765" s="4" t="s">
        <v>8229</v>
      </c>
      <c r="D1765" s="1" t="s">
        <v>8230</v>
      </c>
      <c r="E1765" s="1" t="s">
        <v>8231</v>
      </c>
      <c r="F1765" s="4" t="s">
        <v>17</v>
      </c>
      <c r="G1765" s="1" t="s">
        <v>18</v>
      </c>
      <c r="H1765" s="1" t="s">
        <v>19</v>
      </c>
      <c r="I1765" s="1" t="s">
        <v>20</v>
      </c>
      <c r="J1765" s="1" t="s">
        <v>8232</v>
      </c>
      <c r="K1765" s="1" t="s">
        <v>22</v>
      </c>
      <c r="L1765" s="1" t="str">
        <f>HYPERLINK("https://files.afu.se/Downloads/Transcripts/0%20-%20Government/USA%20-%20NASA/2015 12 16 - NASA - Spreading the Word About the One Year Mission_uYO6lASLKCQ - transcript (automated).pdf","Transcript Link")</f>
        <v>Transcript Link</v>
      </c>
      <c r="M1765" s="2" t="str">
        <f>HYPERLINK("https://files.afu.se/Downloads/Transcripts/0%20-%20Government/USA%20-%20NASA/2015 12 16 - NASA - Spreading the Word About the One Year Mission_uYO6lASLKCQ - transcript (automated).pdf","Transcript Link")</f>
        <v>Transcript Link</v>
      </c>
    </row>
    <row r="1766" ht="165" spans="1:13">
      <c r="A1766" s="1" t="s">
        <v>8233</v>
      </c>
      <c r="B1766" s="1" t="s">
        <v>13</v>
      </c>
      <c r="C1766" s="4" t="s">
        <v>8234</v>
      </c>
      <c r="D1766" s="1" t="s">
        <v>8235</v>
      </c>
      <c r="E1766" s="1" t="s">
        <v>8236</v>
      </c>
      <c r="F1766" s="4" t="s">
        <v>17</v>
      </c>
      <c r="G1766" s="1" t="s">
        <v>18</v>
      </c>
      <c r="H1766" s="1" t="s">
        <v>19</v>
      </c>
      <c r="I1766" s="1" t="s">
        <v>20</v>
      </c>
      <c r="J1766" s="1" t="s">
        <v>8237</v>
      </c>
      <c r="K1766" s="1" t="s">
        <v>22</v>
      </c>
      <c r="L1766" s="1" t="str">
        <f>HYPERLINK("https://files.afu.se/Downloads/Transcripts/0%20-%20Government/USA%20-%20NASA/2015 12 15 - NASA - New Crew Welcomed to the Space Station_dOw6SF_NKu0 - transcript (automated).pdf","Transcript Link")</f>
        <v>Transcript Link</v>
      </c>
      <c r="M1766" s="2" t="str">
        <f>HYPERLINK("https://files.afu.se/Downloads/Transcripts/0%20-%20Government/USA%20-%20NASA/2015 12 15 - NASA - New Crew Welcomed to the Space Station_dOw6SF_NKu0 - transcript (automated).pdf","Transcript Link")</f>
        <v>Transcript Link</v>
      </c>
    </row>
    <row r="1767" ht="165" spans="1:13">
      <c r="A1767" s="1" t="s">
        <v>8233</v>
      </c>
      <c r="B1767" s="1" t="s">
        <v>13</v>
      </c>
      <c r="C1767" s="4" t="s">
        <v>8238</v>
      </c>
      <c r="D1767" s="1" t="s">
        <v>8239</v>
      </c>
      <c r="E1767" s="1" t="s">
        <v>8240</v>
      </c>
      <c r="F1767" s="4" t="s">
        <v>17</v>
      </c>
      <c r="G1767" s="1" t="s">
        <v>18</v>
      </c>
      <c r="H1767" s="1" t="s">
        <v>19</v>
      </c>
      <c r="I1767" s="1" t="s">
        <v>20</v>
      </c>
      <c r="J1767" s="1" t="s">
        <v>8241</v>
      </c>
      <c r="K1767" s="1" t="s">
        <v>22</v>
      </c>
      <c r="L1767" s="1" t="str">
        <f>HYPERLINK("https://files.afu.se/Downloads/Transcripts/0%20-%20Government/USA%20-%20NASA/2015 12 15 - NASA - Sewing Machines, Balloons, and Rocket Fuel_ORq6dFgf1oQ - transcript (automated).pdf","Transcript Link")</f>
        <v>Transcript Link</v>
      </c>
      <c r="M1767" s="2" t="str">
        <f>HYPERLINK("https://files.afu.se/Downloads/Transcripts/0%20-%20Government/USA%20-%20NASA/2015 12 15 - NASA - Sewing Machines, Balloons, and Rocket Fuel_ORq6dFgf1oQ - transcript (automated).pdf","Transcript Link")</f>
        <v>Transcript Link</v>
      </c>
    </row>
    <row r="1768" ht="165" spans="1:13">
      <c r="A1768" s="1" t="s">
        <v>8233</v>
      </c>
      <c r="B1768" s="1" t="s">
        <v>13</v>
      </c>
      <c r="C1768" s="4" t="s">
        <v>8242</v>
      </c>
      <c r="D1768" s="1" t="s">
        <v>8243</v>
      </c>
      <c r="E1768" s="1" t="s">
        <v>8244</v>
      </c>
      <c r="F1768" s="4" t="s">
        <v>17</v>
      </c>
      <c r="G1768" s="1" t="s">
        <v>18</v>
      </c>
      <c r="H1768" s="1" t="s">
        <v>19</v>
      </c>
      <c r="I1768" s="1" t="s">
        <v>20</v>
      </c>
      <c r="J1768" s="1" t="s">
        <v>8245</v>
      </c>
      <c r="K1768" s="1" t="s">
        <v>22</v>
      </c>
      <c r="L1768" s="1" t="str">
        <f>HYPERLINK("https://files.afu.se/Downloads/Transcripts/0%20-%20Government/USA%20-%20NASA/2015 12 15 - NASA - New Crew Docks to the Space Station_4g93chKghGc - transcript (automated).pdf","Transcript Link")</f>
        <v>Transcript Link</v>
      </c>
      <c r="M1768" s="2" t="str">
        <f>HYPERLINK("https://files.afu.se/Downloads/Transcripts/0%20-%20Government/USA%20-%20NASA/2015 12 15 - NASA - New Crew Docks to the Space Station_4g93chKghGc - transcript (automated).pdf","Transcript Link")</f>
        <v>Transcript Link</v>
      </c>
    </row>
    <row r="1769" ht="165" spans="1:13">
      <c r="A1769" s="1" t="s">
        <v>8233</v>
      </c>
      <c r="B1769" s="1" t="s">
        <v>13</v>
      </c>
      <c r="C1769" s="4" t="s">
        <v>8246</v>
      </c>
      <c r="D1769" s="1" t="s">
        <v>8247</v>
      </c>
      <c r="E1769" s="1" t="s">
        <v>8248</v>
      </c>
      <c r="F1769" s="4" t="s">
        <v>17</v>
      </c>
      <c r="G1769" s="1" t="s">
        <v>18</v>
      </c>
      <c r="H1769" s="1" t="s">
        <v>19</v>
      </c>
      <c r="I1769" s="1" t="s">
        <v>20</v>
      </c>
      <c r="J1769" s="1" t="s">
        <v>8249</v>
      </c>
      <c r="K1769" s="1" t="s">
        <v>22</v>
      </c>
      <c r="L1769" s="1" t="str">
        <f>HYPERLINK("https://files.afu.se/Downloads/Transcripts/0%20-%20Government/USA%20-%20NASA/2015 12 15 - NASA - A Look back at Launch Day for New Space Station Crew_P6iPwysLiCo - transcript (automated).pdf","Transcript Link")</f>
        <v>Transcript Link</v>
      </c>
      <c r="M1769" s="2" t="str">
        <f>HYPERLINK("https://files.afu.se/Downloads/Transcripts/0%20-%20Government/USA%20-%20NASA/2015 12 15 - NASA - A Look back at Launch Day for New Space Station Crew_P6iPwysLiCo - transcript (automated).pdf","Transcript Link")</f>
        <v>Transcript Link</v>
      </c>
    </row>
    <row r="1770" ht="165" spans="1:13">
      <c r="A1770" s="1" t="s">
        <v>8233</v>
      </c>
      <c r="B1770" s="1" t="s">
        <v>13</v>
      </c>
      <c r="C1770" s="4" t="s">
        <v>8250</v>
      </c>
      <c r="D1770" s="1" t="s">
        <v>7826</v>
      </c>
      <c r="E1770" s="1" t="s">
        <v>8251</v>
      </c>
      <c r="F1770" s="4" t="s">
        <v>17</v>
      </c>
      <c r="G1770" s="1" t="s">
        <v>18</v>
      </c>
      <c r="H1770" s="1" t="s">
        <v>19</v>
      </c>
      <c r="I1770" s="1" t="s">
        <v>20</v>
      </c>
      <c r="J1770" s="1" t="s">
        <v>8252</v>
      </c>
      <c r="K1770" s="1" t="s">
        <v>22</v>
      </c>
      <c r="L1770" s="1" t="str">
        <f>HYPERLINK("https://files.afu.se/Downloads/Transcripts/0%20-%20Government/USA%20-%20NASA/2015 12 15 - NASA - New Crew Launches to the Space Station_dRsiUztBhkc - transcript (automated).pdf","Transcript Link")</f>
        <v>Transcript Link</v>
      </c>
      <c r="M1770" s="2" t="str">
        <f>HYPERLINK("https://files.afu.se/Downloads/Transcripts/0%20-%20Government/USA%20-%20NASA/2015 12 15 - NASA - New Crew Launches to the Space Station_dRsiUztBhkc - transcript (automated).pdf","Transcript Link")</f>
        <v>Transcript Link</v>
      </c>
    </row>
    <row r="1771" ht="165" spans="1:13">
      <c r="A1771" s="1" t="s">
        <v>8253</v>
      </c>
      <c r="B1771" s="1" t="s">
        <v>13</v>
      </c>
      <c r="C1771" s="4" t="s">
        <v>8254</v>
      </c>
      <c r="D1771" s="1" t="s">
        <v>8255</v>
      </c>
      <c r="E1771" s="1" t="s">
        <v>8256</v>
      </c>
      <c r="F1771" s="4" t="s">
        <v>17</v>
      </c>
      <c r="G1771" s="1" t="s">
        <v>18</v>
      </c>
      <c r="H1771" s="1" t="s">
        <v>19</v>
      </c>
      <c r="I1771" s="1" t="s">
        <v>20</v>
      </c>
      <c r="J1771" s="1" t="s">
        <v>8257</v>
      </c>
      <c r="K1771" s="1" t="s">
        <v>22</v>
      </c>
      <c r="L1771" s="1" t="str">
        <f>HYPERLINK("https://files.afu.se/Downloads/Transcripts/0%20-%20Government/USA%20-%20NASA/2015 12 14 - NASA - Next Space Station Crew Meets Officials on Eve of Launch_0kLGyxX8SOM - transcript (automated).pdf","Transcript Link")</f>
        <v>Transcript Link</v>
      </c>
      <c r="M1771" s="2" t="str">
        <f>HYPERLINK("https://files.afu.se/Downloads/Transcripts/0%20-%20Government/USA%20-%20NASA/2015 12 14 - NASA - Next Space Station Crew Meets Officials on Eve of Launch_0kLGyxX8SOM - transcript (automated).pdf","Transcript Link")</f>
        <v>Transcript Link</v>
      </c>
    </row>
    <row r="1772" ht="165" spans="1:13">
      <c r="A1772" s="1" t="s">
        <v>8253</v>
      </c>
      <c r="B1772" s="1" t="s">
        <v>13</v>
      </c>
      <c r="C1772" s="4" t="s">
        <v>8258</v>
      </c>
      <c r="D1772" s="1" t="s">
        <v>8259</v>
      </c>
      <c r="E1772" s="1" t="s">
        <v>8260</v>
      </c>
      <c r="F1772" s="4" t="s">
        <v>17</v>
      </c>
      <c r="G1772" s="1" t="s">
        <v>18</v>
      </c>
      <c r="H1772" s="1" t="s">
        <v>19</v>
      </c>
      <c r="I1772" s="1" t="s">
        <v>20</v>
      </c>
      <c r="J1772" s="1" t="s">
        <v>8261</v>
      </c>
      <c r="K1772" s="1" t="s">
        <v>22</v>
      </c>
      <c r="L1772" s="1" t="str">
        <f>HYPERLINK("https://files.afu.se/Downloads/Transcripts/0%20-%20Government/USA%20-%20NASA/2015 12 14 - NASA - Astronaut Recruitment Starts Today_Ke1IhvMbqJE - transcript (automated).pdf","Transcript Link")</f>
        <v>Transcript Link</v>
      </c>
      <c r="M1772" s="2" t="str">
        <f>HYPERLINK("https://files.afu.se/Downloads/Transcripts/0%20-%20Government/USA%20-%20NASA/2015 12 14 - NASA - Astronaut Recruitment Starts Today_Ke1IhvMbqJE - transcript (automated).pdf","Transcript Link")</f>
        <v>Transcript Link</v>
      </c>
    </row>
    <row r="1773" ht="165" spans="1:13">
      <c r="A1773" s="1" t="s">
        <v>8262</v>
      </c>
      <c r="B1773" s="1" t="s">
        <v>13</v>
      </c>
      <c r="C1773" s="4" t="s">
        <v>8263</v>
      </c>
      <c r="D1773" s="1" t="s">
        <v>8264</v>
      </c>
      <c r="E1773" s="1" t="s">
        <v>8265</v>
      </c>
      <c r="F1773" s="4" t="s">
        <v>17</v>
      </c>
      <c r="G1773" s="1" t="s">
        <v>18</v>
      </c>
      <c r="H1773" s="1" t="s">
        <v>19</v>
      </c>
      <c r="I1773" s="1" t="s">
        <v>20</v>
      </c>
      <c r="J1773" s="1" t="s">
        <v>8266</v>
      </c>
      <c r="K1773" s="1" t="s">
        <v>22</v>
      </c>
      <c r="L1773" s="1" t="str">
        <f>HYPERLINK("https://files.afu.se/Downloads/Transcripts/0%20-%20Government/USA%20-%20NASA/2015 12 11 - NASA - Space Station Astronauts Return Safely to Earth on This Week @NASA – December 11, 2015_4tw5uwHD0PE - transcript (automated).pdf","Transcript Link")</f>
        <v>Transcript Link</v>
      </c>
      <c r="M1773" s="2" t="str">
        <f>HYPERLINK("https://files.afu.se/Downloads/Transcripts/0%20-%20Government/USA%20-%20NASA/2015 12 11 - NASA - Space Station Astronauts Return Safely to Earth on This Week @NASA – December 11, 2015_4tw5uwHD0PE - transcript (automated).pdf","Transcript Link")</f>
        <v>Transcript Link</v>
      </c>
    </row>
    <row r="1774" ht="165" spans="1:13">
      <c r="A1774" s="1" t="s">
        <v>8262</v>
      </c>
      <c r="B1774" s="1" t="s">
        <v>13</v>
      </c>
      <c r="C1774" s="4" t="s">
        <v>8267</v>
      </c>
      <c r="D1774" s="1" t="s">
        <v>7332</v>
      </c>
      <c r="E1774" s="1" t="s">
        <v>8268</v>
      </c>
      <c r="F1774" s="4" t="s">
        <v>17</v>
      </c>
      <c r="G1774" s="1" t="s">
        <v>18</v>
      </c>
      <c r="H1774" s="1" t="s">
        <v>19</v>
      </c>
      <c r="I1774" s="1" t="s">
        <v>20</v>
      </c>
      <c r="J1774" s="1" t="s">
        <v>8269</v>
      </c>
      <c r="K1774" s="1" t="s">
        <v>22</v>
      </c>
      <c r="L1774" s="1" t="str">
        <f>HYPERLINK("https://files.afu.se/Downloads/Transcripts/0%20-%20Government/USA%20-%20NASA/2015 12 11 - NASA - Welcome Back to Earth__A5vjE_uNrs - transcript (automated).pdf","Transcript Link")</f>
        <v>Transcript Link</v>
      </c>
      <c r="M1774" s="2" t="str">
        <f>HYPERLINK("https://files.afu.se/Downloads/Transcripts/0%20-%20Government/USA%20-%20NASA/2015 12 11 - NASA - Welcome Back to Earth__A5vjE_uNrs - transcript (automated).pdf","Transcript Link")</f>
        <v>Transcript Link</v>
      </c>
    </row>
    <row r="1775" ht="165" spans="1:13">
      <c r="A1775" s="1" t="s">
        <v>8262</v>
      </c>
      <c r="B1775" s="1" t="s">
        <v>13</v>
      </c>
      <c r="C1775" s="4" t="s">
        <v>8270</v>
      </c>
      <c r="D1775" s="1" t="s">
        <v>8271</v>
      </c>
      <c r="E1775" s="1" t="s">
        <v>8272</v>
      </c>
      <c r="F1775" s="4" t="s">
        <v>17</v>
      </c>
      <c r="G1775" s="1" t="s">
        <v>18</v>
      </c>
      <c r="H1775" s="1" t="s">
        <v>19</v>
      </c>
      <c r="I1775" s="1" t="s">
        <v>20</v>
      </c>
      <c r="J1775" s="1" t="s">
        <v>8273</v>
      </c>
      <c r="K1775" s="1" t="s">
        <v>22</v>
      </c>
      <c r="L1775" s="1" t="str">
        <f>HYPERLINK("https://files.afu.se/Downloads/Transcripts/0%20-%20Government/USA%20-%20NASA/2015 12 11 - NASA - Expedition 45 Crew Lands Safely in Kazakhstan_9JfsdiGSsrc - transcript (automated).pdf","Transcript Link")</f>
        <v>Transcript Link</v>
      </c>
      <c r="M1775" s="2" t="str">
        <f>HYPERLINK("https://files.afu.se/Downloads/Transcripts/0%20-%20Government/USA%20-%20NASA/2015 12 11 - NASA - Expedition 45 Crew Lands Safely in Kazakhstan_9JfsdiGSsrc - transcript (automated).pdf","Transcript Link")</f>
        <v>Transcript Link</v>
      </c>
    </row>
    <row r="1776" ht="165" spans="1:13">
      <c r="A1776" s="1" t="s">
        <v>8262</v>
      </c>
      <c r="B1776" s="1" t="s">
        <v>13</v>
      </c>
      <c r="C1776" s="4" t="s">
        <v>8274</v>
      </c>
      <c r="D1776" s="1" t="s">
        <v>8275</v>
      </c>
      <c r="E1776" s="1" t="s">
        <v>8276</v>
      </c>
      <c r="F1776" s="4" t="s">
        <v>17</v>
      </c>
      <c r="G1776" s="1" t="s">
        <v>18</v>
      </c>
      <c r="H1776" s="1" t="s">
        <v>19</v>
      </c>
      <c r="I1776" s="1" t="s">
        <v>20</v>
      </c>
      <c r="J1776" s="1" t="s">
        <v>8277</v>
      </c>
      <c r="K1776" s="1" t="s">
        <v>22</v>
      </c>
      <c r="L1776" s="1" t="str">
        <f>HYPERLINK("https://files.afu.se/Downloads/Transcripts/0%20-%20Government/USA%20-%20NASA/2015 12 11 - NASA - Space Station Crew Members Head Back to Earth_9U7LAoFEFqg - transcript (automated).pdf","Transcript Link")</f>
        <v>Transcript Link</v>
      </c>
      <c r="M1776" s="2" t="str">
        <f>HYPERLINK("https://files.afu.se/Downloads/Transcripts/0%20-%20Government/USA%20-%20NASA/2015 12 11 - NASA - Space Station Crew Members Head Back to Earth_9U7LAoFEFqg - transcript (automated).pdf","Transcript Link")</f>
        <v>Transcript Link</v>
      </c>
    </row>
    <row r="1777" ht="165" spans="1:13">
      <c r="A1777" s="1" t="s">
        <v>8262</v>
      </c>
      <c r="B1777" s="1" t="s">
        <v>13</v>
      </c>
      <c r="C1777" s="4" t="s">
        <v>8278</v>
      </c>
      <c r="D1777" s="1" t="s">
        <v>8279</v>
      </c>
      <c r="E1777" s="1" t="s">
        <v>8280</v>
      </c>
      <c r="F1777" s="4" t="s">
        <v>17</v>
      </c>
      <c r="G1777" s="1" t="s">
        <v>18</v>
      </c>
      <c r="H1777" s="1" t="s">
        <v>19</v>
      </c>
      <c r="I1777" s="1" t="s">
        <v>20</v>
      </c>
      <c r="J1777" s="1" t="s">
        <v>8281</v>
      </c>
      <c r="K1777" s="1" t="s">
        <v>22</v>
      </c>
      <c r="L1777" s="1" t="str">
        <f>HYPERLINK("https://files.afu.se/Downloads/Transcripts/0%20-%20Government/USA%20-%20NASA/2015 12 11 - NASA - Job Well Done Aboard The Space Station_Q5Tu_5SG-1g - transcript (automated).pdf","Transcript Link")</f>
        <v>Transcript Link</v>
      </c>
      <c r="M1777" s="2" t="str">
        <f>HYPERLINK("https://files.afu.se/Downloads/Transcripts/0%20-%20Government/USA%20-%20NASA/2015 12 11 - NASA - Job Well Done Aboard The Space Station_Q5Tu_5SG-1g - transcript (automated).pdf","Transcript Link")</f>
        <v>Transcript Link</v>
      </c>
    </row>
    <row r="1778" ht="165" spans="1:13">
      <c r="A1778" s="1" t="s">
        <v>8282</v>
      </c>
      <c r="B1778" s="1" t="s">
        <v>13</v>
      </c>
      <c r="C1778" s="4" t="s">
        <v>8283</v>
      </c>
      <c r="D1778" s="1" t="s">
        <v>8284</v>
      </c>
      <c r="E1778" s="1" t="s">
        <v>8285</v>
      </c>
      <c r="F1778" s="4" t="s">
        <v>17</v>
      </c>
      <c r="G1778" s="1" t="s">
        <v>18</v>
      </c>
      <c r="H1778" s="1" t="s">
        <v>19</v>
      </c>
      <c r="I1778" s="1" t="s">
        <v>20</v>
      </c>
      <c r="J1778" s="1" t="s">
        <v>8286</v>
      </c>
      <c r="K1778" s="1" t="s">
        <v>22</v>
      </c>
      <c r="L1778" s="1" t="str">
        <f>HYPERLINK("https://files.afu.se/Downloads/Transcripts/0%20-%20Government/USA%20-%20NASA/2015 12 10 - NASA - Launch Approaches for Next Space Station Crew_12QBkuWFtlI - transcript (automated).pdf","Transcript Link")</f>
        <v>Transcript Link</v>
      </c>
      <c r="M1778" s="2" t="str">
        <f>HYPERLINK("https://files.afu.se/Downloads/Transcripts/0%20-%20Government/USA%20-%20NASA/2015 12 10 - NASA - Launch Approaches for Next Space Station Crew_12QBkuWFtlI - transcript (automated).pdf","Transcript Link")</f>
        <v>Transcript Link</v>
      </c>
    </row>
    <row r="1779" ht="240" spans="1:13">
      <c r="A1779" s="1" t="s">
        <v>8287</v>
      </c>
      <c r="B1779" s="1" t="s">
        <v>13</v>
      </c>
      <c r="C1779" s="4" t="s">
        <v>8288</v>
      </c>
      <c r="D1779" s="1" t="s">
        <v>8289</v>
      </c>
      <c r="E1779" s="1" t="s">
        <v>8290</v>
      </c>
      <c r="F1779" s="4" t="s">
        <v>17</v>
      </c>
      <c r="G1779" s="1" t="s">
        <v>18</v>
      </c>
      <c r="H1779" s="1" t="s">
        <v>19</v>
      </c>
      <c r="I1779" s="1" t="s">
        <v>20</v>
      </c>
      <c r="J1779" s="1" t="s">
        <v>8291</v>
      </c>
      <c r="K1779" s="1" t="s">
        <v>22</v>
      </c>
      <c r="L1779" s="1" t="str">
        <f>HYPERLINK("https://files.afu.se/Downloads/Transcripts/0%20-%20Government/USA%20-%20NASA/2015 12 09 - NASA - NASA Launches Go Ultra-High Definition_wZYa9ZKZeDk - transcript (automated).pdf","Transcript Link")</f>
        <v>Transcript Link</v>
      </c>
      <c r="M1779" s="2" t="str">
        <f>HYPERLINK("https://files.afu.se/Downloads/Transcripts/0%20-%20Government/USA%20-%20NASA/2015 12 09 - NASA - NASA Launches Go Ultra-High Definition_wZYa9ZKZeDk - transcript (automated).pdf","Transcript Link")</f>
        <v>Transcript Link</v>
      </c>
    </row>
    <row r="1780" ht="165" spans="1:13">
      <c r="A1780" s="1" t="s">
        <v>8287</v>
      </c>
      <c r="B1780" s="1" t="s">
        <v>13</v>
      </c>
      <c r="C1780" s="4" t="s">
        <v>8292</v>
      </c>
      <c r="D1780" s="1" t="s">
        <v>8293</v>
      </c>
      <c r="E1780" s="1" t="s">
        <v>8294</v>
      </c>
      <c r="F1780" s="4" t="s">
        <v>17</v>
      </c>
      <c r="G1780" s="1" t="s">
        <v>18</v>
      </c>
      <c r="H1780" s="1" t="s">
        <v>19</v>
      </c>
      <c r="I1780" s="1" t="s">
        <v>20</v>
      </c>
      <c r="J1780" s="1" t="s">
        <v>8295</v>
      </c>
      <c r="K1780" s="1" t="s">
        <v>22</v>
      </c>
      <c r="L1780" s="1" t="str">
        <f>HYPERLINK("https://files.afu.se/Downloads/Transcripts/0%20-%20Government/USA%20-%20NASA/2015 12 09 - NASA - Space Station One Year Crew Members Share Thoughts About Mission_m-jx_DAw5uw - transcript (automated).pdf","Transcript Link")</f>
        <v>Transcript Link</v>
      </c>
      <c r="M1780" s="2" t="str">
        <f>HYPERLINK("https://files.afu.se/Downloads/Transcripts/0%20-%20Government/USA%20-%20NASA/2015 12 09 - NASA - Space Station One Year Crew Members Share Thoughts About Mission_m-jx_DAw5uw - transcript (automated).pdf","Transcript Link")</f>
        <v>Transcript Link</v>
      </c>
    </row>
    <row r="1781" ht="165" spans="1:13">
      <c r="A1781" s="1" t="s">
        <v>8287</v>
      </c>
      <c r="B1781" s="1" t="s">
        <v>13</v>
      </c>
      <c r="C1781" s="4" t="s">
        <v>8296</v>
      </c>
      <c r="D1781" s="1" t="s">
        <v>8297</v>
      </c>
      <c r="E1781" s="1" t="s">
        <v>8298</v>
      </c>
      <c r="F1781" s="4" t="s">
        <v>17</v>
      </c>
      <c r="G1781" s="1" t="s">
        <v>18</v>
      </c>
      <c r="H1781" s="1" t="s">
        <v>19</v>
      </c>
      <c r="I1781" s="1" t="s">
        <v>20</v>
      </c>
      <c r="J1781" s="1" t="s">
        <v>8299</v>
      </c>
      <c r="K1781" s="1" t="s">
        <v>22</v>
      </c>
      <c r="L1781" s="1" t="str">
        <f>HYPERLINK("https://files.afu.se/Downloads/Transcripts/0%20-%20Government/USA%20-%20NASA/2015 12 09 - NASA - U.S. Supply Ship Attached to the Space Station_Yz2t39XVStA - transcript (automated).pdf","Transcript Link")</f>
        <v>Transcript Link</v>
      </c>
      <c r="M1781" s="2" t="str">
        <f>HYPERLINK("https://files.afu.se/Downloads/Transcripts/0%20-%20Government/USA%20-%20NASA/2015 12 09 - NASA - U.S. Supply Ship Attached to the Space Station_Yz2t39XVStA - transcript (automated).pdf","Transcript Link")</f>
        <v>Transcript Link</v>
      </c>
    </row>
    <row r="1782" ht="165" spans="1:13">
      <c r="A1782" s="1" t="s">
        <v>8287</v>
      </c>
      <c r="B1782" s="1" t="s">
        <v>13</v>
      </c>
      <c r="C1782" s="4" t="s">
        <v>8300</v>
      </c>
      <c r="D1782" s="1" t="s">
        <v>8301</v>
      </c>
      <c r="E1782" s="1" t="s">
        <v>8302</v>
      </c>
      <c r="F1782" s="4" t="s">
        <v>17</v>
      </c>
      <c r="G1782" s="1" t="s">
        <v>18</v>
      </c>
      <c r="H1782" s="1" t="s">
        <v>19</v>
      </c>
      <c r="I1782" s="1" t="s">
        <v>20</v>
      </c>
      <c r="J1782" s="1" t="s">
        <v>8303</v>
      </c>
      <c r="K1782" s="1" t="s">
        <v>22</v>
      </c>
      <c r="L1782" s="1" t="str">
        <f>HYPERLINK("https://files.afu.se/Downloads/Transcripts/0%20-%20Government/USA%20-%20NASA/2015 12 09 - NASA - U.S. Cargo Craft Arrives at Space Station_whifN2A2aqE - transcript (automated).pdf","Transcript Link")</f>
        <v>Transcript Link</v>
      </c>
      <c r="M1782" s="2" t="str">
        <f>HYPERLINK("https://files.afu.se/Downloads/Transcripts/0%20-%20Government/USA%20-%20NASA/2015 12 09 - NASA - U.S. Cargo Craft Arrives at Space Station_whifN2A2aqE - transcript (automated).pdf","Transcript Link")</f>
        <v>Transcript Link</v>
      </c>
    </row>
    <row r="1783" ht="165" spans="1:13">
      <c r="A1783" s="1" t="s">
        <v>8304</v>
      </c>
      <c r="B1783" s="1" t="s">
        <v>13</v>
      </c>
      <c r="C1783" s="4" t="s">
        <v>8305</v>
      </c>
      <c r="D1783" s="1" t="s">
        <v>8306</v>
      </c>
      <c r="E1783" s="1" t="s">
        <v>8307</v>
      </c>
      <c r="F1783" s="4" t="s">
        <v>17</v>
      </c>
      <c r="G1783" s="1" t="s">
        <v>18</v>
      </c>
      <c r="H1783" s="1" t="s">
        <v>19</v>
      </c>
      <c r="I1783" s="1" t="s">
        <v>20</v>
      </c>
      <c r="J1783" s="1" t="s">
        <v>8308</v>
      </c>
      <c r="K1783" s="1" t="s">
        <v>22</v>
      </c>
      <c r="L1783" s="1" t="str">
        <f>HYPERLINK("https://files.afu.se/Downloads/Transcripts/0%20-%20Government/USA%20-%20NASA/2015 12 08 - NASA - Station Commander Spends Time with Students at the Museum_3G8x_g__Lbs - transcript (automated).pdf","Transcript Link")</f>
        <v>Transcript Link</v>
      </c>
      <c r="M1783" s="2" t="str">
        <f>HYPERLINK("https://files.afu.se/Downloads/Transcripts/0%20-%20Government/USA%20-%20NASA/2015 12 08 - NASA - Station Commander Spends Time with Students at the Museum_3G8x_g__Lbs - transcript (automated).pdf","Transcript Link")</f>
        <v>Transcript Link</v>
      </c>
    </row>
    <row r="1784" ht="409.5" spans="1:13">
      <c r="A1784" s="1" t="s">
        <v>8304</v>
      </c>
      <c r="B1784" s="1" t="s">
        <v>13</v>
      </c>
      <c r="C1784" s="4" t="s">
        <v>8309</v>
      </c>
      <c r="D1784" s="1" t="s">
        <v>8310</v>
      </c>
      <c r="E1784" s="1" t="s">
        <v>8311</v>
      </c>
      <c r="F1784" s="4" t="s">
        <v>17</v>
      </c>
      <c r="G1784" s="1" t="s">
        <v>18</v>
      </c>
      <c r="H1784" s="1" t="s">
        <v>19</v>
      </c>
      <c r="I1784" s="1" t="s">
        <v>20</v>
      </c>
      <c r="J1784" s="1" t="s">
        <v>8312</v>
      </c>
      <c r="K1784" s="1" t="s">
        <v>22</v>
      </c>
      <c r="L1784" s="1" t="str">
        <f>HYPERLINK("https://files.afu.se/Downloads/Transcripts/0%20-%20Government/USA%20-%20NASA/2015 12 08 - NASA - The Best Place to Work, Four Years in a Row_zbhdq2P7gZo - transcript (automated).pdf","Transcript Link")</f>
        <v>Transcript Link</v>
      </c>
      <c r="M1784" s="2" t="str">
        <f>HYPERLINK("https://files.afu.se/Downloads/Transcripts/0%20-%20Government/USA%20-%20NASA/2015 12 08 - NASA - The Best Place to Work, Four Years in a Row_zbhdq2P7gZo - transcript (automated).pdf","Transcript Link")</f>
        <v>Transcript Link</v>
      </c>
    </row>
    <row r="1785" ht="165" spans="1:13">
      <c r="A1785" s="1" t="s">
        <v>8313</v>
      </c>
      <c r="B1785" s="1" t="s">
        <v>13</v>
      </c>
      <c r="C1785" s="4" t="s">
        <v>8314</v>
      </c>
      <c r="D1785" s="1" t="s">
        <v>8315</v>
      </c>
      <c r="E1785" s="1" t="s">
        <v>8316</v>
      </c>
      <c r="F1785" s="4" t="s">
        <v>17</v>
      </c>
      <c r="G1785" s="1" t="s">
        <v>18</v>
      </c>
      <c r="H1785" s="1" t="s">
        <v>19</v>
      </c>
      <c r="I1785" s="1" t="s">
        <v>20</v>
      </c>
      <c r="J1785" s="1" t="s">
        <v>8317</v>
      </c>
      <c r="K1785" s="1" t="s">
        <v>22</v>
      </c>
      <c r="L1785" s="1" t="str">
        <f>HYPERLINK("https://files.afu.se/Downloads/Transcripts/0%20-%20Government/USA%20-%20NASA/2015 12 07 - NASA - Post-launch Status of Supply Mission to the Space Station_CtiPOsC2Vzg - transcript (automated).pdf","Transcript Link")</f>
        <v>Transcript Link</v>
      </c>
      <c r="M1785" s="2" t="str">
        <f>HYPERLINK("https://files.afu.se/Downloads/Transcripts/0%20-%20Government/USA%20-%20NASA/2015 12 07 - NASA - Post-launch Status of Supply Mission to the Space Station_CtiPOsC2Vzg - transcript (automated).pdf","Transcript Link")</f>
        <v>Transcript Link</v>
      </c>
    </row>
    <row r="1786" ht="165" spans="1:13">
      <c r="A1786" s="1" t="s">
        <v>8313</v>
      </c>
      <c r="B1786" s="1" t="s">
        <v>13</v>
      </c>
      <c r="C1786" s="4" t="s">
        <v>8318</v>
      </c>
      <c r="D1786" s="1" t="s">
        <v>8319</v>
      </c>
      <c r="E1786" s="1" t="s">
        <v>8320</v>
      </c>
      <c r="F1786" s="4" t="s">
        <v>17</v>
      </c>
      <c r="G1786" s="1" t="s">
        <v>18</v>
      </c>
      <c r="H1786" s="1" t="s">
        <v>19</v>
      </c>
      <c r="I1786" s="1" t="s">
        <v>20</v>
      </c>
      <c r="J1786" s="1" t="s">
        <v>8321</v>
      </c>
      <c r="K1786" s="1" t="s">
        <v>22</v>
      </c>
      <c r="L1786" s="1" t="str">
        <f>HYPERLINK("https://files.afu.se/Downloads/Transcripts/0%20-%20Government/USA%20-%20NASA/2015 12 07 - NASA - Cargo Spacecraft Spreads its “Wings”_v_hCIk-zSKs - transcript (automated).pdf","Transcript Link")</f>
        <v>Transcript Link</v>
      </c>
      <c r="M1786" s="2" t="str">
        <f>HYPERLINK("https://files.afu.se/Downloads/Transcripts/0%20-%20Government/USA%20-%20NASA/2015 12 07 - NASA - Cargo Spacecraft Spreads its “Wings”_v_hCIk-zSKs - transcript (automated).pdf","Transcript Link")</f>
        <v>Transcript Link</v>
      </c>
    </row>
    <row r="1787" ht="165" spans="1:13">
      <c r="A1787" s="1" t="s">
        <v>8322</v>
      </c>
      <c r="B1787" s="1" t="s">
        <v>13</v>
      </c>
      <c r="C1787" s="4" t="s">
        <v>8323</v>
      </c>
      <c r="D1787" s="1" t="s">
        <v>8324</v>
      </c>
      <c r="E1787" s="1" t="s">
        <v>8325</v>
      </c>
      <c r="F1787" s="4" t="s">
        <v>17</v>
      </c>
      <c r="G1787" s="1" t="s">
        <v>18</v>
      </c>
      <c r="H1787" s="1" t="s">
        <v>19</v>
      </c>
      <c r="I1787" s="1" t="s">
        <v>20</v>
      </c>
      <c r="J1787" s="1" t="s">
        <v>8326</v>
      </c>
      <c r="K1787" s="1" t="s">
        <v>22</v>
      </c>
      <c r="L1787" s="1" t="str">
        <f>HYPERLINK("https://files.afu.se/Downloads/Transcripts/0%20-%20Government/USA%20-%20NASA/2015 12 06 - NASA - Supply Spacecraft Launches to the Space Station_Uh5YnXyjT5c - transcript (automated).pdf","Transcript Link")</f>
        <v>Transcript Link</v>
      </c>
      <c r="M1787" s="2" t="str">
        <f>HYPERLINK("https://files.afu.se/Downloads/Transcripts/0%20-%20Government/USA%20-%20NASA/2015 12 06 - NASA - Supply Spacecraft Launches to the Space Station_Uh5YnXyjT5c - transcript (automated).pdf","Transcript Link")</f>
        <v>Transcript Link</v>
      </c>
    </row>
    <row r="1788" ht="225" spans="1:13">
      <c r="A1788" s="1" t="s">
        <v>8327</v>
      </c>
      <c r="B1788" s="1" t="s">
        <v>13</v>
      </c>
      <c r="C1788" s="4" t="s">
        <v>8328</v>
      </c>
      <c r="D1788" s="1" t="s">
        <v>8329</v>
      </c>
      <c r="E1788" s="1" t="s">
        <v>8330</v>
      </c>
      <c r="F1788" s="4" t="s">
        <v>17</v>
      </c>
      <c r="G1788" s="1" t="s">
        <v>18</v>
      </c>
      <c r="H1788" s="1" t="s">
        <v>19</v>
      </c>
      <c r="I1788" s="1" t="s">
        <v>20</v>
      </c>
      <c r="J1788" s="1" t="s">
        <v>8331</v>
      </c>
      <c r="K1788" s="1" t="s">
        <v>22</v>
      </c>
      <c r="L1788" s="1" t="str">
        <f>HYPERLINK("https://files.afu.se/Downloads/Transcripts/0%20-%20Government/USA%20-%20NASA/2015 12 05 - NASA - A chat with Congress, from space on This Week @NASA – December 4, 2015_fBvoIUDGPIM - transcript (automated).pdf","Transcript Link")</f>
        <v>Transcript Link</v>
      </c>
      <c r="M1788" s="2" t="str">
        <f>HYPERLINK("https://files.afu.se/Downloads/Transcripts/0%20-%20Government/USA%20-%20NASA/2015 12 05 - NASA - A chat with Congress, from space on This Week @NASA – December 4, 2015_fBvoIUDGPIM - transcript (automated).pdf","Transcript Link")</f>
        <v>Transcript Link</v>
      </c>
    </row>
    <row r="1789" ht="165" spans="1:13">
      <c r="A1789" s="1" t="s">
        <v>8332</v>
      </c>
      <c r="B1789" s="1" t="s">
        <v>13</v>
      </c>
      <c r="C1789" s="4" t="s">
        <v>8333</v>
      </c>
      <c r="D1789" s="1" t="s">
        <v>8334</v>
      </c>
      <c r="E1789" s="1" t="s">
        <v>8335</v>
      </c>
      <c r="F1789" s="4" t="s">
        <v>17</v>
      </c>
      <c r="G1789" s="1" t="s">
        <v>18</v>
      </c>
      <c r="H1789" s="1" t="s">
        <v>19</v>
      </c>
      <c r="I1789" s="1" t="s">
        <v>20</v>
      </c>
      <c r="J1789" s="1" t="s">
        <v>8336</v>
      </c>
      <c r="K1789" s="1" t="s">
        <v>22</v>
      </c>
      <c r="L1789" s="1" t="str">
        <f>HYPERLINK("https://files.afu.se/Downloads/Transcripts/0%20-%20Government/USA%20-%20NASA/2015 12 02 - NASA - Prelaunch Status of Next Supply Mission to the Space Station_B2HeIfuqZzw - transcript (automated).pdf","Transcript Link")</f>
        <v>Transcript Link</v>
      </c>
      <c r="M1789" s="2" t="str">
        <f>HYPERLINK("https://files.afu.se/Downloads/Transcripts/0%20-%20Government/USA%20-%20NASA/2015 12 02 - NASA - Prelaunch Status of Next Supply Mission to the Space Station_B2HeIfuqZzw - transcript (automated).pdf","Transcript Link")</f>
        <v>Transcript Link</v>
      </c>
    </row>
    <row r="1790" ht="165" spans="1:13">
      <c r="A1790" s="1" t="s">
        <v>8332</v>
      </c>
      <c r="B1790" s="1" t="s">
        <v>13</v>
      </c>
      <c r="C1790" s="4" t="s">
        <v>8337</v>
      </c>
      <c r="D1790" s="1" t="s">
        <v>8338</v>
      </c>
      <c r="E1790" s="1" t="s">
        <v>8339</v>
      </c>
      <c r="F1790" s="4" t="s">
        <v>17</v>
      </c>
      <c r="G1790" s="1" t="s">
        <v>18</v>
      </c>
      <c r="H1790" s="1" t="s">
        <v>19</v>
      </c>
      <c r="I1790" s="1" t="s">
        <v>20</v>
      </c>
      <c r="J1790" s="1" t="s">
        <v>8340</v>
      </c>
      <c r="K1790" s="1" t="s">
        <v>22</v>
      </c>
      <c r="L1790" s="1" t="str">
        <f>HYPERLINK("https://files.afu.se/Downloads/Transcripts/0%20-%20Government/USA%20-%20NASA/2015 12 02 - NASA - The Science, Research and Tech Headed to the Space Station_hnyOH4Ega2c - transcript (automated).pdf","Transcript Link")</f>
        <v>Transcript Link</v>
      </c>
      <c r="M1790" s="2" t="str">
        <f>HYPERLINK("https://files.afu.se/Downloads/Transcripts/0%20-%20Government/USA%20-%20NASA/2015 12 02 - NASA - The Science, Research and Tech Headed to the Space Station_hnyOH4Ega2c - transcript (automated).pdf","Transcript Link")</f>
        <v>Transcript Link</v>
      </c>
    </row>
    <row r="1791" ht="165" spans="1:13">
      <c r="A1791" s="1" t="s">
        <v>8332</v>
      </c>
      <c r="B1791" s="1" t="s">
        <v>13</v>
      </c>
      <c r="C1791" s="4" t="s">
        <v>8341</v>
      </c>
      <c r="D1791" s="1" t="s">
        <v>8342</v>
      </c>
      <c r="E1791" s="1" t="s">
        <v>8343</v>
      </c>
      <c r="F1791" s="4" t="s">
        <v>17</v>
      </c>
      <c r="G1791" s="1" t="s">
        <v>18</v>
      </c>
      <c r="H1791" s="1" t="s">
        <v>19</v>
      </c>
      <c r="I1791" s="1" t="s">
        <v>20</v>
      </c>
      <c r="J1791" s="1" t="s">
        <v>8344</v>
      </c>
      <c r="K1791" s="1" t="s">
        <v>22</v>
      </c>
      <c r="L1791" s="1" t="str">
        <f>HYPERLINK("https://files.afu.se/Downloads/Transcripts/0%20-%20Government/USA%20-%20NASA/2015 12 02 - NASA - A Social Look at the Next Supply Mission to the Space Station_2i8AlqomBwo - transcript (automated).pdf","Transcript Link")</f>
        <v>Transcript Link</v>
      </c>
      <c r="M1791" s="2" t="str">
        <f>HYPERLINK("https://files.afu.se/Downloads/Transcripts/0%20-%20Government/USA%20-%20NASA/2015 12 02 - NASA - A Social Look at the Next Supply Mission to the Space Station_2i8AlqomBwo - transcript (automated).pdf","Transcript Link")</f>
        <v>Transcript Link</v>
      </c>
    </row>
    <row r="1792" ht="165" spans="1:13">
      <c r="A1792" s="1" t="s">
        <v>8332</v>
      </c>
      <c r="B1792" s="1" t="s">
        <v>13</v>
      </c>
      <c r="C1792" s="4" t="s">
        <v>8345</v>
      </c>
      <c r="D1792" s="1" t="s">
        <v>8346</v>
      </c>
      <c r="E1792" s="1" t="s">
        <v>8347</v>
      </c>
      <c r="F1792" s="4" t="s">
        <v>17</v>
      </c>
      <c r="G1792" s="1" t="s">
        <v>18</v>
      </c>
      <c r="H1792" s="1" t="s">
        <v>19</v>
      </c>
      <c r="I1792" s="1" t="s">
        <v>20</v>
      </c>
      <c r="J1792" s="1" t="s">
        <v>8348</v>
      </c>
      <c r="K1792" s="1" t="s">
        <v>22</v>
      </c>
      <c r="L1792" s="1" t="str">
        <f>HYPERLINK("https://files.afu.se/Downloads/Transcripts/0%20-%20Government/USA%20-%20NASA/2015 12 02 - NASA - Space Station Crew Discusses Activities with Congress_x5pbUj3Arpg - transcript (automated).pdf","Transcript Link")</f>
        <v>Transcript Link</v>
      </c>
      <c r="M1792" s="2" t="str">
        <f>HYPERLINK("https://files.afu.se/Downloads/Transcripts/0%20-%20Government/USA%20-%20NASA/2015 12 02 - NASA - Space Station Crew Discusses Activities with Congress_x5pbUj3Arpg - transcript (automated).pdf","Transcript Link")</f>
        <v>Transcript Link</v>
      </c>
    </row>
    <row r="1793" ht="165" spans="1:13">
      <c r="A1793" s="1" t="s">
        <v>8349</v>
      </c>
      <c r="B1793" s="1" t="s">
        <v>13</v>
      </c>
      <c r="C1793" s="4" t="s">
        <v>8350</v>
      </c>
      <c r="D1793" s="1" t="s">
        <v>8351</v>
      </c>
      <c r="E1793" s="1" t="s">
        <v>8352</v>
      </c>
      <c r="F1793" s="4" t="s">
        <v>17</v>
      </c>
      <c r="G1793" s="1" t="s">
        <v>18</v>
      </c>
      <c r="H1793" s="1" t="s">
        <v>19</v>
      </c>
      <c r="I1793" s="1" t="s">
        <v>20</v>
      </c>
      <c r="J1793" s="1" t="s">
        <v>8353</v>
      </c>
      <c r="K1793" s="1" t="s">
        <v>22</v>
      </c>
      <c r="L1793" s="1" t="str">
        <f>HYPERLINK("https://files.afu.se/Downloads/Transcripts/0%20-%20Government/USA%20-%20NASA/2015 12 01 - NASA - Space to Ground Conversation with Students in Japan_FHbUvQl4EYA - transcript (automated).pdf","Transcript Link")</f>
        <v>Transcript Link</v>
      </c>
      <c r="M1793" s="2" t="str">
        <f>HYPERLINK("https://files.afu.se/Downloads/Transcripts/0%20-%20Government/USA%20-%20NASA/2015 12 01 - NASA - Space to Ground Conversation with Students in Japan_FHbUvQl4EYA - transcript (automated).pdf","Transcript Link")</f>
        <v>Transcript Link</v>
      </c>
    </row>
    <row r="1794" ht="165" spans="1:13">
      <c r="A1794" s="1" t="s">
        <v>8354</v>
      </c>
      <c r="B1794" s="1" t="s">
        <v>13</v>
      </c>
      <c r="C1794" s="4" t="s">
        <v>8355</v>
      </c>
      <c r="D1794" s="1" t="s">
        <v>8356</v>
      </c>
      <c r="E1794" s="1" t="s">
        <v>8357</v>
      </c>
      <c r="F1794" s="4" t="s">
        <v>17</v>
      </c>
      <c r="G1794" s="1" t="s">
        <v>18</v>
      </c>
      <c r="H1794" s="1" t="s">
        <v>19</v>
      </c>
      <c r="I1794" s="1" t="s">
        <v>20</v>
      </c>
      <c r="J1794" s="1" t="s">
        <v>8358</v>
      </c>
      <c r="K1794" s="1" t="s">
        <v>22</v>
      </c>
      <c r="L1794" s="1" t="str">
        <f>HYPERLINK("https://files.afu.se/Downloads/Transcripts/0%20-%20Government/USA%20-%20NASA/2015 11 30 - NASA - Plum Brook Welcomes Orion’s Powerhouse_PVuXLBG52F4 - transcript (automated).pdf","Transcript Link")</f>
        <v>Transcript Link</v>
      </c>
      <c r="M1794" s="2" t="str">
        <f>HYPERLINK("https://files.afu.se/Downloads/Transcripts/0%20-%20Government/USA%20-%20NASA/2015 11 30 - NASA - Plum Brook Welcomes Orion’s Powerhouse_PVuXLBG52F4 - transcript (automated).pdf","Transcript Link")</f>
        <v>Transcript Link</v>
      </c>
    </row>
    <row r="1795" ht="165" spans="1:13">
      <c r="A1795" s="1" t="s">
        <v>8354</v>
      </c>
      <c r="B1795" s="1" t="s">
        <v>13</v>
      </c>
      <c r="C1795" s="4" t="s">
        <v>8359</v>
      </c>
      <c r="D1795" s="1" t="s">
        <v>8360</v>
      </c>
      <c r="E1795" s="1" t="s">
        <v>8361</v>
      </c>
      <c r="F1795" s="4" t="s">
        <v>17</v>
      </c>
      <c r="G1795" s="1" t="s">
        <v>18</v>
      </c>
      <c r="H1795" s="1" t="s">
        <v>19</v>
      </c>
      <c r="I1795" s="1" t="s">
        <v>20</v>
      </c>
      <c r="J1795" s="1" t="s">
        <v>8362</v>
      </c>
      <c r="K1795" s="1" t="s">
        <v>22</v>
      </c>
      <c r="L1795" s="1" t="str">
        <f>HYPERLINK("https://files.afu.se/Downloads/Transcripts/0%20-%20Government/USA%20-%20NASA/2015 11 30 - NASA - Next Space Station Crew Heads to Launch Site_e3ypBgB2R3E - transcript (automated).pdf","Transcript Link")</f>
        <v>Transcript Link</v>
      </c>
      <c r="M1795" s="2" t="str">
        <f>HYPERLINK("https://files.afu.se/Downloads/Transcripts/0%20-%20Government/USA%20-%20NASA/2015 11 30 - NASA - Next Space Station Crew Heads to Launch Site_e3ypBgB2R3E - transcript (automated).pdf","Transcript Link")</f>
        <v>Transcript Link</v>
      </c>
    </row>
    <row r="1796" ht="165" spans="1:13">
      <c r="A1796" s="1" t="s">
        <v>8363</v>
      </c>
      <c r="B1796" s="1" t="s">
        <v>13</v>
      </c>
      <c r="C1796" s="4" t="s">
        <v>8364</v>
      </c>
      <c r="D1796" s="1" t="s">
        <v>8365</v>
      </c>
      <c r="E1796" s="1" t="s">
        <v>8366</v>
      </c>
      <c r="F1796" s="4" t="s">
        <v>17</v>
      </c>
      <c r="G1796" s="1" t="s">
        <v>18</v>
      </c>
      <c r="H1796" s="1" t="s">
        <v>19</v>
      </c>
      <c r="I1796" s="1" t="s">
        <v>20</v>
      </c>
      <c r="J1796" s="1" t="s">
        <v>8367</v>
      </c>
      <c r="K1796" s="1" t="s">
        <v>22</v>
      </c>
      <c r="L1796" s="1" t="str">
        <f>HYPERLINK("https://files.afu.se/Downloads/Transcripts/0%20-%20Government/USA%20-%20NASA/2015 11 27 - NASA - Small Business Saturday_PCzJkulsjbE - transcript (automated).pdf","Transcript Link")</f>
        <v>Transcript Link</v>
      </c>
      <c r="M1796" s="2" t="str">
        <f>HYPERLINK("https://files.afu.se/Downloads/Transcripts/0%20-%20Government/USA%20-%20NASA/2015 11 27 - NASA - Small Business Saturday_PCzJkulsjbE - transcript (automated).pdf","Transcript Link")</f>
        <v>Transcript Link</v>
      </c>
    </row>
    <row r="1797" ht="270" spans="1:13">
      <c r="A1797" s="1" t="s">
        <v>8363</v>
      </c>
      <c r="B1797" s="1" t="s">
        <v>13</v>
      </c>
      <c r="C1797" s="4" t="s">
        <v>8368</v>
      </c>
      <c r="D1797" s="1" t="s">
        <v>8369</v>
      </c>
      <c r="E1797" s="1" t="s">
        <v>8370</v>
      </c>
      <c r="F1797" s="4" t="s">
        <v>17</v>
      </c>
      <c r="G1797" s="1" t="s">
        <v>18</v>
      </c>
      <c r="H1797" s="1" t="s">
        <v>19</v>
      </c>
      <c r="I1797" s="1" t="s">
        <v>20</v>
      </c>
      <c r="J1797" s="1" t="s">
        <v>8371</v>
      </c>
      <c r="K1797" s="1" t="s">
        <v>22</v>
      </c>
      <c r="L1797" s="1" t="str">
        <f>HYPERLINK("https://files.afu.se/Downloads/Transcripts/0%20-%20Government/USA%20-%20NASA/2015 11 27 - NASA - Presidential Medal of Freedom ceremony on This Week @NASA – November 27, 2015_hw5ATY1arkM - transcript (automated).pdf","Transcript Link")</f>
        <v>Transcript Link</v>
      </c>
      <c r="M1797" s="2" t="str">
        <f>HYPERLINK("https://files.afu.se/Downloads/Transcripts/0%20-%20Government/USA%20-%20NASA/2015 11 27 - NASA - Presidential Medal of Freedom ceremony on This Week @NASA – November 27, 2015_hw5ATY1arkM - transcript (automated).pdf","Transcript Link")</f>
        <v>Transcript Link</v>
      </c>
    </row>
    <row r="1798" ht="165" spans="1:13">
      <c r="A1798" s="1" t="s">
        <v>8372</v>
      </c>
      <c r="B1798" s="1" t="s">
        <v>13</v>
      </c>
      <c r="C1798" s="4" t="s">
        <v>8373</v>
      </c>
      <c r="D1798" s="1" t="s">
        <v>3051</v>
      </c>
      <c r="E1798" s="1" t="s">
        <v>8374</v>
      </c>
      <c r="F1798" s="4" t="s">
        <v>17</v>
      </c>
      <c r="G1798" s="1" t="s">
        <v>18</v>
      </c>
      <c r="H1798" s="1" t="s">
        <v>19</v>
      </c>
      <c r="I1798" s="1" t="s">
        <v>20</v>
      </c>
      <c r="J1798" s="1" t="s">
        <v>8375</v>
      </c>
      <c r="K1798" s="1" t="s">
        <v>22</v>
      </c>
      <c r="L1798" s="1" t="str">
        <f>HYPERLINK("https://files.afu.se/Downloads/Transcripts/0%20-%20Government/USA%20-%20NASA/2015 11 25 - NASA - Happy Thanksgiving from NASA_wSqgaRhgTmc - transcript (automated).pdf","Transcript Link")</f>
        <v>Transcript Link</v>
      </c>
      <c r="M1798" s="2" t="str">
        <f>HYPERLINK("https://files.afu.se/Downloads/Transcripts/0%20-%20Government/USA%20-%20NASA/2015 11 25 - NASA - Happy Thanksgiving from NASA_wSqgaRhgTmc - transcript (automated).pdf","Transcript Link")</f>
        <v>Transcript Link</v>
      </c>
    </row>
    <row r="1799" ht="165" spans="1:13">
      <c r="A1799" s="1" t="s">
        <v>8376</v>
      </c>
      <c r="B1799" s="1" t="s">
        <v>13</v>
      </c>
      <c r="C1799" s="4" t="s">
        <v>8377</v>
      </c>
      <c r="D1799" s="1" t="s">
        <v>8378</v>
      </c>
      <c r="E1799" s="1" t="s">
        <v>8379</v>
      </c>
      <c r="F1799" s="4" t="s">
        <v>17</v>
      </c>
      <c r="G1799" s="1" t="s">
        <v>18</v>
      </c>
      <c r="H1799" s="1" t="s">
        <v>19</v>
      </c>
      <c r="I1799" s="1" t="s">
        <v>20</v>
      </c>
      <c r="J1799" s="1" t="s">
        <v>8380</v>
      </c>
      <c r="K1799" s="1" t="s">
        <v>22</v>
      </c>
      <c r="L1799" s="1" t="str">
        <f>HYPERLINK("https://files.afu.se/Downloads/Transcripts/0%20-%20Government/USA%20-%20NASA/2015 11 24 - NASA - NASA Congratulates Barbara Mikulski on Presidential Medal of Freedom_B_em-FMhqHo - transcript (automated).pdf","Transcript Link")</f>
        <v>Transcript Link</v>
      </c>
      <c r="M1799" s="2" t="str">
        <f>HYPERLINK("https://files.afu.se/Downloads/Transcripts/0%20-%20Government/USA%20-%20NASA/2015 11 24 - NASA - NASA Congratulates Barbara Mikulski on Presidential Medal of Freedom_B_em-FMhqHo - transcript (automated).pdf","Transcript Link")</f>
        <v>Transcript Link</v>
      </c>
    </row>
    <row r="1800" ht="165" spans="1:13">
      <c r="A1800" s="1" t="s">
        <v>8376</v>
      </c>
      <c r="B1800" s="1" t="s">
        <v>13</v>
      </c>
      <c r="C1800" s="4" t="s">
        <v>8381</v>
      </c>
      <c r="D1800" s="1" t="s">
        <v>8382</v>
      </c>
      <c r="E1800" s="1" t="s">
        <v>8383</v>
      </c>
      <c r="F1800" s="4" t="s">
        <v>17</v>
      </c>
      <c r="G1800" s="1" t="s">
        <v>18</v>
      </c>
      <c r="H1800" s="1" t="s">
        <v>19</v>
      </c>
      <c r="I1800" s="1" t="s">
        <v>20</v>
      </c>
      <c r="J1800" s="1" t="s">
        <v>8384</v>
      </c>
      <c r="K1800" s="1" t="s">
        <v>22</v>
      </c>
      <c r="L1800" s="1" t="str">
        <f>HYPERLINK("https://files.afu.se/Downloads/Transcripts/0%20-%20Government/USA%20-%20NASA/2015 11 24 - NASA - NASA Mathematician, Recipient of Nations Highest Civilian Honor_bLgzHutK1wo - transcript (automated).pdf","Transcript Link")</f>
        <v>Transcript Link</v>
      </c>
      <c r="M1800" s="2" t="str">
        <f>HYPERLINK("https://files.afu.se/Downloads/Transcripts/0%20-%20Government/USA%20-%20NASA/2015 11 24 - NASA - NASA Mathematician, Recipient of Nations Highest Civilian Honor_bLgzHutK1wo - transcript (automated).pdf","Transcript Link")</f>
        <v>Transcript Link</v>
      </c>
    </row>
    <row r="1801" ht="165" spans="1:13">
      <c r="A1801" s="1" t="s">
        <v>8376</v>
      </c>
      <c r="B1801" s="1" t="s">
        <v>13</v>
      </c>
      <c r="C1801" s="4" t="s">
        <v>8385</v>
      </c>
      <c r="D1801" s="1" t="s">
        <v>8386</v>
      </c>
      <c r="E1801" s="1" t="s">
        <v>8387</v>
      </c>
      <c r="F1801" s="4" t="s">
        <v>17</v>
      </c>
      <c r="G1801" s="1" t="s">
        <v>18</v>
      </c>
      <c r="H1801" s="1" t="s">
        <v>19</v>
      </c>
      <c r="I1801" s="1" t="s">
        <v>20</v>
      </c>
      <c r="J1801" s="1" t="s">
        <v>8388</v>
      </c>
      <c r="K1801" s="1" t="s">
        <v>22</v>
      </c>
      <c r="L1801" s="1" t="str">
        <f>HYPERLINK("https://files.afu.se/Downloads/Transcripts/0%20-%20Government/USA%20-%20NASA/2015 11 24 - NASA - Aspiring Reporter Interviews Bolden about NASA's Journey to Mars_RoTJIzeLtGI - transcript (automated).pdf","Transcript Link")</f>
        <v>Transcript Link</v>
      </c>
      <c r="M1801" s="2" t="str">
        <f>HYPERLINK("https://files.afu.se/Downloads/Transcripts/0%20-%20Government/USA%20-%20NASA/2015 11 24 - NASA - Aspiring Reporter Interviews Bolden about NASA's Journey to Mars_RoTJIzeLtGI - transcript (automated).pdf","Transcript Link")</f>
        <v>Transcript Link</v>
      </c>
    </row>
    <row r="1802" ht="195" spans="1:13">
      <c r="A1802" s="1" t="s">
        <v>8389</v>
      </c>
      <c r="B1802" s="1" t="s">
        <v>13</v>
      </c>
      <c r="C1802" s="4" t="s">
        <v>8390</v>
      </c>
      <c r="D1802" s="1" t="s">
        <v>8391</v>
      </c>
      <c r="E1802" s="1" t="s">
        <v>8392</v>
      </c>
      <c r="F1802" s="4" t="s">
        <v>17</v>
      </c>
      <c r="G1802" s="1" t="s">
        <v>18</v>
      </c>
      <c r="H1802" s="1" t="s">
        <v>19</v>
      </c>
      <c r="I1802" s="1" t="s">
        <v>20</v>
      </c>
      <c r="J1802" s="1" t="s">
        <v>8393</v>
      </c>
      <c r="K1802" s="1" t="s">
        <v>22</v>
      </c>
      <c r="L1802" s="1" t="str">
        <f>HYPERLINK("https://files.afu.se/Downloads/Transcripts/0%20-%20Government/USA%20-%20NASA/2015 11 23 - NASA - Preflight activities in Russia for next space station crew_A5HTJVMOh_g - transcript (automated).pdf","Transcript Link")</f>
        <v>Transcript Link</v>
      </c>
      <c r="M1802" s="2" t="str">
        <f>HYPERLINK("https://files.afu.se/Downloads/Transcripts/0%20-%20Government/USA%20-%20NASA/2015 11 23 - NASA - Preflight activities in Russia for next space station crew_A5HTJVMOh_g - transcript (automated).pdf","Transcript Link")</f>
        <v>Transcript Link</v>
      </c>
    </row>
    <row r="1803" ht="165" spans="1:13">
      <c r="A1803" s="1" t="s">
        <v>8389</v>
      </c>
      <c r="B1803" s="1" t="s">
        <v>13</v>
      </c>
      <c r="C1803" s="4" t="s">
        <v>8394</v>
      </c>
      <c r="D1803" s="1" t="s">
        <v>8395</v>
      </c>
      <c r="E1803" s="1" t="s">
        <v>8396</v>
      </c>
      <c r="F1803" s="4" t="s">
        <v>17</v>
      </c>
      <c r="G1803" s="1" t="s">
        <v>18</v>
      </c>
      <c r="H1803" s="1" t="s">
        <v>19</v>
      </c>
      <c r="I1803" s="1" t="s">
        <v>20</v>
      </c>
      <c r="J1803" s="1" t="s">
        <v>8397</v>
      </c>
      <c r="K1803" s="1" t="s">
        <v>22</v>
      </c>
      <c r="L1803" s="1" t="str">
        <f>HYPERLINK("https://files.afu.se/Downloads/Transcripts/0%20-%20Government/USA%20-%20NASA/2015 11 23 - NASA - Next space station crew meets the Press_2Sdxb-YSTvc - transcript (automated).pdf","Transcript Link")</f>
        <v>Transcript Link</v>
      </c>
      <c r="M1803" s="2" t="str">
        <f>HYPERLINK("https://files.afu.se/Downloads/Transcripts/0%20-%20Government/USA%20-%20NASA/2015 11 23 - NASA - Next space station crew meets the Press_2Sdxb-YSTvc - transcript (automated).pdf","Transcript Link")</f>
        <v>Transcript Link</v>
      </c>
    </row>
    <row r="1804" ht="165" spans="1:13">
      <c r="A1804" s="1" t="s">
        <v>8389</v>
      </c>
      <c r="B1804" s="1" t="s">
        <v>13</v>
      </c>
      <c r="C1804" s="4" t="s">
        <v>8398</v>
      </c>
      <c r="D1804" s="1" t="s">
        <v>8399</v>
      </c>
      <c r="E1804" s="1" t="s">
        <v>8400</v>
      </c>
      <c r="F1804" s="4" t="s">
        <v>17</v>
      </c>
      <c r="G1804" s="1" t="s">
        <v>18</v>
      </c>
      <c r="H1804" s="1" t="s">
        <v>19</v>
      </c>
      <c r="I1804" s="1" t="s">
        <v>20</v>
      </c>
      <c r="J1804" s="1" t="s">
        <v>8401</v>
      </c>
      <c r="K1804" s="1" t="s">
        <v>22</v>
      </c>
      <c r="L1804" s="1" t="str">
        <f>HYPERLINK("https://files.afu.se/Downloads/Transcripts/0%20-%20Government/USA%20-%20NASA/2015 11 23 - NASA - Happy Thanksgiving, From Space!_3XQchueaE6k - transcript (automated).pdf","Transcript Link")</f>
        <v>Transcript Link</v>
      </c>
      <c r="M1804" s="2" t="str">
        <f>HYPERLINK("https://files.afu.se/Downloads/Transcripts/0%20-%20Government/USA%20-%20NASA/2015 11 23 - NASA - Happy Thanksgiving, From Space!_3XQchueaE6k - transcript (automated).pdf","Transcript Link")</f>
        <v>Transcript Link</v>
      </c>
    </row>
    <row r="1805" ht="165" spans="1:13">
      <c r="A1805" s="1" t="s">
        <v>8402</v>
      </c>
      <c r="B1805" s="1" t="s">
        <v>13</v>
      </c>
      <c r="C1805" s="4" t="s">
        <v>8403</v>
      </c>
      <c r="D1805" s="1" t="s">
        <v>8404</v>
      </c>
      <c r="E1805" s="1" t="s">
        <v>8405</v>
      </c>
      <c r="F1805" s="4" t="s">
        <v>17</v>
      </c>
      <c r="G1805" s="1" t="s">
        <v>18</v>
      </c>
      <c r="H1805" s="1" t="s">
        <v>19</v>
      </c>
      <c r="I1805" s="1" t="s">
        <v>20</v>
      </c>
      <c r="J1805" s="1" t="s">
        <v>8406</v>
      </c>
      <c r="K1805" s="1" t="s">
        <v>22</v>
      </c>
      <c r="L1805" s="1" t="str">
        <f>HYPERLINK("https://files.afu.se/Downloads/Transcripts/0%20-%20Government/USA%20-%20NASA/2015 11 21 - NASA - Lola and NASA Television_Lxyp5IIGO48 - transcript (automated).pdf","Transcript Link")</f>
        <v>Transcript Link</v>
      </c>
      <c r="M1805" s="2" t="str">
        <f>HYPERLINK("https://files.afu.se/Downloads/Transcripts/0%20-%20Government/USA%20-%20NASA/2015 11 21 - NASA - Lola and NASA Television_Lxyp5IIGO48 - transcript (automated).pdf","Transcript Link")</f>
        <v>Transcript Link</v>
      </c>
    </row>
    <row r="1806" ht="165" spans="1:13">
      <c r="A1806" s="1" t="s">
        <v>8402</v>
      </c>
      <c r="B1806" s="1" t="s">
        <v>13</v>
      </c>
      <c r="C1806" s="4" t="s">
        <v>8407</v>
      </c>
      <c r="D1806" s="1" t="s">
        <v>8408</v>
      </c>
      <c r="E1806" s="1" t="s">
        <v>8405</v>
      </c>
      <c r="F1806" s="4" t="s">
        <v>17</v>
      </c>
      <c r="G1806" s="1" t="s">
        <v>18</v>
      </c>
      <c r="H1806" s="1" t="s">
        <v>19</v>
      </c>
      <c r="I1806" s="1" t="s">
        <v>20</v>
      </c>
      <c r="J1806" s="1" t="s">
        <v>8409</v>
      </c>
      <c r="K1806" s="1" t="s">
        <v>22</v>
      </c>
      <c r="L1806" s="1" t="str">
        <f>HYPERLINK("https://files.afu.se/Downloads/Transcripts/0%20-%20Government/USA%20-%20NASA/2015 11 21 - NASA - Lola and NASA Television (En español)_HvNbzQu-r80 - transcript (automated).pdf","Transcript Link")</f>
        <v>Transcript Link</v>
      </c>
      <c r="M1806" s="2" t="str">
        <f>HYPERLINK("https://files.afu.se/Downloads/Transcripts/0%20-%20Government/USA%20-%20NASA/2015 11 21 - NASA - Lola and NASA Television (En español)_HvNbzQu-r80 - transcript (automated).pdf","Transcript Link")</f>
        <v>Transcript Link</v>
      </c>
    </row>
    <row r="1807" ht="165" spans="1:13">
      <c r="A1807" s="1" t="s">
        <v>8410</v>
      </c>
      <c r="B1807" s="1" t="s">
        <v>13</v>
      </c>
      <c r="C1807" s="4" t="s">
        <v>8411</v>
      </c>
      <c r="D1807" s="1" t="s">
        <v>8412</v>
      </c>
      <c r="E1807" s="1" t="s">
        <v>8413</v>
      </c>
      <c r="F1807" s="4" t="s">
        <v>17</v>
      </c>
      <c r="G1807" s="1" t="s">
        <v>18</v>
      </c>
      <c r="H1807" s="1" t="s">
        <v>19</v>
      </c>
      <c r="I1807" s="1" t="s">
        <v>20</v>
      </c>
      <c r="J1807" s="1" t="s">
        <v>8414</v>
      </c>
      <c r="K1807" s="1" t="s">
        <v>22</v>
      </c>
      <c r="L1807" s="1" t="str">
        <f>HYPERLINK("https://files.afu.se/Downloads/Transcripts/0%20-%20Government/USA%20-%20NASA/2015 11 20 - NASA - Curiosity heads to active Martian dunes on This Week @NASA – November 20, 2015_t3_5ahJ0-Lw - transcript (automated).pdf","Transcript Link")</f>
        <v>Transcript Link</v>
      </c>
      <c r="M1807" s="2" t="str">
        <f>HYPERLINK("https://files.afu.se/Downloads/Transcripts/0%20-%20Government/USA%20-%20NASA/2015 11 20 - NASA - Curiosity heads to active Martian dunes on This Week @NASA – November 20, 2015_t3_5ahJ0-Lw - transcript (automated).pdf","Transcript Link")</f>
        <v>Transcript Link</v>
      </c>
    </row>
    <row r="1808" ht="165" spans="1:13">
      <c r="A1808" s="1" t="s">
        <v>8410</v>
      </c>
      <c r="B1808" s="1" t="s">
        <v>13</v>
      </c>
      <c r="C1808" s="4" t="s">
        <v>8415</v>
      </c>
      <c r="D1808" s="1" t="s">
        <v>8416</v>
      </c>
      <c r="E1808" s="1" t="s">
        <v>8417</v>
      </c>
      <c r="F1808" s="4" t="s">
        <v>17</v>
      </c>
      <c r="G1808" s="1" t="s">
        <v>18</v>
      </c>
      <c r="H1808" s="1" t="s">
        <v>19</v>
      </c>
      <c r="I1808" s="1" t="s">
        <v>20</v>
      </c>
      <c r="J1808" s="1" t="s">
        <v>8418</v>
      </c>
      <c r="K1808" s="1" t="s">
        <v>22</v>
      </c>
      <c r="L1808" s="1" t="str">
        <f>HYPERLINK("https://files.afu.se/Downloads/Transcripts/0%20-%20Government/USA%20-%20NASA/2015 11 20 - NASA - Preparing for Life Aboard the Space Station__4NNAN3ffRU - transcript (automated).pdf","Transcript Link")</f>
        <v>Transcript Link</v>
      </c>
      <c r="M1808" s="2" t="str">
        <f>HYPERLINK("https://files.afu.se/Downloads/Transcripts/0%20-%20Government/USA%20-%20NASA/2015 11 20 - NASA - Preparing for Life Aboard the Space Station__4NNAN3ffRU - transcript (automated).pdf","Transcript Link")</f>
        <v>Transcript Link</v>
      </c>
    </row>
    <row r="1809" ht="165" spans="1:13">
      <c r="A1809" s="1" t="s">
        <v>8419</v>
      </c>
      <c r="B1809" s="1" t="s">
        <v>13</v>
      </c>
      <c r="C1809" s="4" t="s">
        <v>8420</v>
      </c>
      <c r="D1809" s="1" t="s">
        <v>8421</v>
      </c>
      <c r="F1809" s="4" t="s">
        <v>17</v>
      </c>
      <c r="G1809" s="1" t="s">
        <v>18</v>
      </c>
      <c r="H1809" s="1" t="s">
        <v>19</v>
      </c>
      <c r="I1809" s="1" t="s">
        <v>20</v>
      </c>
      <c r="J1809" s="1" t="s">
        <v>8422</v>
      </c>
      <c r="K1809" s="1" t="s">
        <v>22</v>
      </c>
      <c r="L1809" s="1" t="str">
        <f>HYPERLINK("https://files.afu.se/Downloads/Transcripts/0%20-%20Government/USA%20-%20NASA/2015 11 19 - NASA - Spending TIME Aboard the Space Station_NBJfVzvLIQ0 - transcript (automated).pdf","Transcript Link")</f>
        <v>Transcript Link</v>
      </c>
      <c r="M1809" s="2" t="str">
        <f>HYPERLINK("https://files.afu.se/Downloads/Transcripts/0%20-%20Government/USA%20-%20NASA/2015 11 19 - NASA - Spending TIME Aboard the Space Station_NBJfVzvLIQ0 - transcript (automated).pdf","Transcript Link")</f>
        <v>Transcript Link</v>
      </c>
    </row>
    <row r="1810" ht="165" spans="1:13">
      <c r="A1810" s="1" t="s">
        <v>8423</v>
      </c>
      <c r="B1810" s="1" t="s">
        <v>13</v>
      </c>
      <c r="C1810" s="4" t="s">
        <v>8424</v>
      </c>
      <c r="D1810" s="1" t="s">
        <v>8425</v>
      </c>
      <c r="E1810" s="1" t="s">
        <v>8426</v>
      </c>
      <c r="F1810" s="4" t="s">
        <v>17</v>
      </c>
      <c r="G1810" s="1" t="s">
        <v>18</v>
      </c>
      <c r="H1810" s="1" t="s">
        <v>19</v>
      </c>
      <c r="I1810" s="1" t="s">
        <v>20</v>
      </c>
      <c r="J1810" s="1" t="s">
        <v>8427</v>
      </c>
      <c r="K1810" s="1" t="s">
        <v>22</v>
      </c>
      <c r="L1810" s="1" t="str">
        <f>HYPERLINK("https://files.afu.se/Downloads/Transcripts/0%20-%20Government/USA%20-%20NASA/2015 11 18 - NASA - STEM in 30 - 15 Years of Humans in Space_K351HVQwpr8 - transcript (automated).pdf","Transcript Link")</f>
        <v>Transcript Link</v>
      </c>
      <c r="M1810" s="2" t="str">
        <f>HYPERLINK("https://files.afu.se/Downloads/Transcripts/0%20-%20Government/USA%20-%20NASA/2015 11 18 - NASA - STEM in 30 - 15 Years of Humans in Space_K351HVQwpr8 - transcript (automated).pdf","Transcript Link")</f>
        <v>Transcript Link</v>
      </c>
    </row>
    <row r="1811" ht="165" spans="1:13">
      <c r="A1811" s="1" t="s">
        <v>8428</v>
      </c>
      <c r="B1811" s="1" t="s">
        <v>13</v>
      </c>
      <c r="C1811" s="4" t="s">
        <v>8429</v>
      </c>
      <c r="D1811" s="1" t="s">
        <v>8430</v>
      </c>
      <c r="E1811" s="1" t="s">
        <v>8431</v>
      </c>
      <c r="F1811" s="4" t="s">
        <v>17</v>
      </c>
      <c r="G1811" s="1" t="s">
        <v>18</v>
      </c>
      <c r="H1811" s="1" t="s">
        <v>19</v>
      </c>
      <c r="I1811" s="1" t="s">
        <v>20</v>
      </c>
      <c r="J1811" s="1" t="s">
        <v>8432</v>
      </c>
      <c r="K1811" s="1" t="s">
        <v>22</v>
      </c>
      <c r="L1811" s="1" t="str">
        <f>HYPERLINK("https://files.afu.se/Downloads/Transcripts/0%20-%20Government/USA%20-%20NASA/2015 11 17 - NASA - One Year in Space, Many Benefits_i4sMFq2CNGE - transcript (automated).pdf","Transcript Link")</f>
        <v>Transcript Link</v>
      </c>
      <c r="M1811" s="2" t="str">
        <f>HYPERLINK("https://files.afu.se/Downloads/Transcripts/0%20-%20Government/USA%20-%20NASA/2015 11 17 - NASA - One Year in Space, Many Benefits_i4sMFq2CNGE - transcript (automated).pdf","Transcript Link")</f>
        <v>Transcript Link</v>
      </c>
    </row>
    <row r="1812" ht="165" spans="1:13">
      <c r="A1812" s="1" t="s">
        <v>8433</v>
      </c>
      <c r="B1812" s="1" t="s">
        <v>13</v>
      </c>
      <c r="C1812" s="4" t="s">
        <v>8434</v>
      </c>
      <c r="D1812" s="1" t="s">
        <v>8435</v>
      </c>
      <c r="E1812" s="1" t="s">
        <v>8436</v>
      </c>
      <c r="F1812" s="4" t="s">
        <v>17</v>
      </c>
      <c r="G1812" s="1" t="s">
        <v>18</v>
      </c>
      <c r="H1812" s="1" t="s">
        <v>19</v>
      </c>
      <c r="I1812" s="1" t="s">
        <v>20</v>
      </c>
      <c r="J1812" s="1" t="s">
        <v>8437</v>
      </c>
      <c r="K1812" s="1" t="s">
        <v>22</v>
      </c>
      <c r="L1812" s="1" t="str">
        <f>HYPERLINK("https://files.afu.se/Downloads/Transcripts/0%20-%20Government/USA%20-%20NASA/2015 11 16 - NASA - Minute of Silence Aboard Space Station for Paris Terrorist Victims_M9WsTr29hNE - transcript (automated).pdf","Transcript Link")</f>
        <v>Transcript Link</v>
      </c>
      <c r="M1812" s="2" t="str">
        <f>HYPERLINK("https://files.afu.se/Downloads/Transcripts/0%20-%20Government/USA%20-%20NASA/2015 11 16 - NASA - Minute of Silence Aboard Space Station for Paris Terrorist Victims_M9WsTr29hNE - transcript (automated).pdf","Transcript Link")</f>
        <v>Transcript Link</v>
      </c>
    </row>
    <row r="1813" ht="225" spans="1:13">
      <c r="A1813" s="1" t="s">
        <v>8438</v>
      </c>
      <c r="B1813" s="1" t="s">
        <v>13</v>
      </c>
      <c r="C1813" s="4" t="s">
        <v>8439</v>
      </c>
      <c r="D1813" s="1" t="s">
        <v>8440</v>
      </c>
      <c r="E1813" s="1" t="s">
        <v>8441</v>
      </c>
      <c r="F1813" s="4" t="s">
        <v>17</v>
      </c>
      <c r="G1813" s="1" t="s">
        <v>18</v>
      </c>
      <c r="H1813" s="1" t="s">
        <v>19</v>
      </c>
      <c r="I1813" s="1" t="s">
        <v>20</v>
      </c>
      <c r="J1813" s="1" t="s">
        <v>8442</v>
      </c>
      <c r="K1813" s="1" t="s">
        <v>22</v>
      </c>
      <c r="L1813" s="1" t="str">
        <f>HYPERLINK("https://files.afu.se/Downloads/Transcripts/0%20-%20Government/USA%20-%20NASA/2015 11 13 - NASA - Carbon and Earth’s future climate on This Week @NASA – November 13, 2015_4iaScOqvI64 - transcript (automated).pdf","Transcript Link")</f>
        <v>Transcript Link</v>
      </c>
      <c r="M1813" s="2" t="str">
        <f>HYPERLINK("https://files.afu.se/Downloads/Transcripts/0%20-%20Government/USA%20-%20NASA/2015 11 13 - NASA - Carbon and Earth’s future climate on This Week @NASA – November 13, 2015_4iaScOqvI64 - transcript (automated).pdf","Transcript Link")</f>
        <v>Transcript Link</v>
      </c>
    </row>
    <row r="1814" ht="165" spans="1:13">
      <c r="A1814" s="1" t="s">
        <v>8443</v>
      </c>
      <c r="B1814" s="1" t="s">
        <v>13</v>
      </c>
      <c r="C1814" s="4" t="s">
        <v>8444</v>
      </c>
      <c r="D1814" s="1" t="s">
        <v>8445</v>
      </c>
      <c r="E1814" s="1" t="s">
        <v>8446</v>
      </c>
      <c r="F1814" s="4" t="s">
        <v>17</v>
      </c>
      <c r="G1814" s="1" t="s">
        <v>18</v>
      </c>
      <c r="H1814" s="1" t="s">
        <v>19</v>
      </c>
      <c r="I1814" s="1" t="s">
        <v>20</v>
      </c>
      <c r="J1814" s="1" t="s">
        <v>8447</v>
      </c>
      <c r="K1814" s="1" t="s">
        <v>22</v>
      </c>
      <c r="L1814" s="1" t="str">
        <f>HYPERLINK("https://files.afu.se/Downloads/Transcripts/0%20-%20Government/USA%20-%20NASA/2015 11 10 - NASA - Highlighting Life in Space for Students in Japan_4JDZQrnKkGo - transcript (automated).pdf","Transcript Link")</f>
        <v>Transcript Link</v>
      </c>
      <c r="M1814" s="2" t="str">
        <f>HYPERLINK("https://files.afu.se/Downloads/Transcripts/0%20-%20Government/USA%20-%20NASA/2015 11 10 - NASA - Highlighting Life in Space for Students in Japan_4JDZQrnKkGo - transcript (automated).pdf","Transcript Link")</f>
        <v>Transcript Link</v>
      </c>
    </row>
    <row r="1815" ht="165" spans="1:13">
      <c r="A1815" s="1" t="s">
        <v>8443</v>
      </c>
      <c r="B1815" s="1" t="s">
        <v>13</v>
      </c>
      <c r="C1815" s="4" t="s">
        <v>8448</v>
      </c>
      <c r="D1815" s="1" t="s">
        <v>8449</v>
      </c>
      <c r="E1815" s="1" t="s">
        <v>8450</v>
      </c>
      <c r="F1815" s="4" t="s">
        <v>17</v>
      </c>
      <c r="G1815" s="1" t="s">
        <v>18</v>
      </c>
      <c r="H1815" s="1" t="s">
        <v>19</v>
      </c>
      <c r="I1815" s="1" t="s">
        <v>20</v>
      </c>
      <c r="J1815" s="1" t="s">
        <v>8451</v>
      </c>
      <c r="K1815" s="1" t="s">
        <v>22</v>
      </c>
      <c r="L1815" s="1" t="str">
        <f>HYPERLINK("https://files.afu.se/Downloads/Transcripts/0%20-%20Government/USA%20-%20NASA/2015 11 10 - NASA - Stepping Out For The First Time_nq08YGDFu0w - transcript (automated).pdf","Transcript Link")</f>
        <v>Transcript Link</v>
      </c>
      <c r="M1815" s="2" t="str">
        <f>HYPERLINK("https://files.afu.se/Downloads/Transcripts/0%20-%20Government/USA%20-%20NASA/2015 11 10 - NASA - Stepping Out For The First Time_nq08YGDFu0w - transcript (automated).pdf","Transcript Link")</f>
        <v>Transcript Link</v>
      </c>
    </row>
    <row r="1816" ht="165" spans="1:13">
      <c r="A1816" s="1" t="s">
        <v>8452</v>
      </c>
      <c r="B1816" s="1" t="s">
        <v>13</v>
      </c>
      <c r="C1816" s="4" t="s">
        <v>8453</v>
      </c>
      <c r="D1816" s="1" t="s">
        <v>8454</v>
      </c>
      <c r="E1816" s="1" t="s">
        <v>8455</v>
      </c>
      <c r="F1816" s="4" t="s">
        <v>17</v>
      </c>
      <c r="G1816" s="1" t="s">
        <v>18</v>
      </c>
      <c r="H1816" s="1" t="s">
        <v>19</v>
      </c>
      <c r="I1816" s="1" t="s">
        <v>20</v>
      </c>
      <c r="J1816" s="1" t="s">
        <v>8456</v>
      </c>
      <c r="K1816" s="1" t="s">
        <v>22</v>
      </c>
      <c r="L1816" s="1" t="str">
        <f>HYPERLINK("https://files.afu.se/Downloads/Transcripts/0%20-%20Government/USA%20-%20NASA/2015 11 09 - NASA - Scott Kelly Discusses Benefits of One-Year in Space Mission_knN06v6UGUE - transcript (automated).pdf","Transcript Link")</f>
        <v>Transcript Link</v>
      </c>
      <c r="M1816" s="2" t="str">
        <f>HYPERLINK("https://files.afu.se/Downloads/Transcripts/0%20-%20Government/USA%20-%20NASA/2015 11 09 - NASA - Scott Kelly Discusses Benefits of One-Year in Space Mission_knN06v6UGUE - transcript (automated).pdf","Transcript Link")</f>
        <v>Transcript Link</v>
      </c>
    </row>
    <row r="1817" ht="165" spans="1:13">
      <c r="A1817" s="1" t="s">
        <v>8457</v>
      </c>
      <c r="B1817" s="1" t="s">
        <v>13</v>
      </c>
      <c r="C1817" s="4" t="s">
        <v>8458</v>
      </c>
      <c r="D1817" s="1" t="s">
        <v>8459</v>
      </c>
      <c r="E1817" s="1" t="s">
        <v>8460</v>
      </c>
      <c r="F1817" s="4" t="s">
        <v>17</v>
      </c>
      <c r="G1817" s="1" t="s">
        <v>18</v>
      </c>
      <c r="H1817" s="1" t="s">
        <v>19</v>
      </c>
      <c r="I1817" s="1" t="s">
        <v>20</v>
      </c>
      <c r="J1817" s="1" t="s">
        <v>8461</v>
      </c>
      <c r="K1817" s="1" t="s">
        <v>22</v>
      </c>
      <c r="L1817" s="1" t="str">
        <f>HYPERLINK("https://files.afu.se/Downloads/Transcripts/0%20-%20Government/USA%20-%20NASA/2015 11 06 - NASA - Outdoor Activity on the Space Station_FBboATdhxww - transcript (automated).pdf","Transcript Link")</f>
        <v>Transcript Link</v>
      </c>
      <c r="M1817" s="2" t="str">
        <f>HYPERLINK("https://files.afu.se/Downloads/Transcripts/0%20-%20Government/USA%20-%20NASA/2015 11 06 - NASA - Outdoor Activity on the Space Station_FBboATdhxww - transcript (automated).pdf","Transcript Link")</f>
        <v>Transcript Link</v>
      </c>
    </row>
    <row r="1818" ht="210" spans="1:13">
      <c r="A1818" s="1" t="s">
        <v>8457</v>
      </c>
      <c r="B1818" s="1" t="s">
        <v>13</v>
      </c>
      <c r="C1818" s="4" t="s">
        <v>8462</v>
      </c>
      <c r="D1818" s="1" t="s">
        <v>8463</v>
      </c>
      <c r="E1818" s="1" t="s">
        <v>8464</v>
      </c>
      <c r="F1818" s="4" t="s">
        <v>17</v>
      </c>
      <c r="G1818" s="1" t="s">
        <v>18</v>
      </c>
      <c r="H1818" s="1" t="s">
        <v>19</v>
      </c>
      <c r="I1818" s="1" t="s">
        <v>20</v>
      </c>
      <c r="J1818" s="1" t="s">
        <v>8465</v>
      </c>
      <c r="K1818" s="1" t="s">
        <v>22</v>
      </c>
      <c r="L1818" s="1" t="str">
        <f>HYPERLINK("https://files.afu.se/Downloads/Transcripts/0%20-%20Government/USA%20-%20NASA/2015 11 06 - NASA - How Mars is losing its atmosphere on This Week @NASA – November 6, 2015_NPLPmdFx2yw - transcript (automated).pdf","Transcript Link")</f>
        <v>Transcript Link</v>
      </c>
      <c r="M1818" s="2" t="str">
        <f>HYPERLINK("https://files.afu.se/Downloads/Transcripts/0%20-%20Government/USA%20-%20NASA/2015 11 06 - NASA - How Mars is losing its atmosphere on This Week @NASA – November 6, 2015_NPLPmdFx2yw - transcript (automated).pdf","Transcript Link")</f>
        <v>Transcript Link</v>
      </c>
    </row>
    <row r="1819" ht="165" spans="1:13">
      <c r="A1819" s="1" t="s">
        <v>8466</v>
      </c>
      <c r="B1819" s="1" t="s">
        <v>13</v>
      </c>
      <c r="C1819" s="4" t="s">
        <v>8467</v>
      </c>
      <c r="D1819" s="1" t="s">
        <v>8468</v>
      </c>
      <c r="E1819" s="1" t="s">
        <v>8469</v>
      </c>
      <c r="F1819" s="4" t="s">
        <v>17</v>
      </c>
      <c r="G1819" s="1" t="s">
        <v>18</v>
      </c>
      <c r="H1819" s="1" t="s">
        <v>19</v>
      </c>
      <c r="I1819" s="1" t="s">
        <v>20</v>
      </c>
      <c r="J1819" s="1" t="s">
        <v>8470</v>
      </c>
      <c r="K1819" s="1" t="s">
        <v>22</v>
      </c>
      <c r="L1819" s="1" t="str">
        <f>HYPERLINK("https://files.afu.se/Downloads/Transcripts/0%20-%20Government/USA%20-%20NASA/2015 11 05 - NASA - Measuring Mars' Atmospheric Loss_GpwvOnC-Sl8 - transcript (automated).pdf","Transcript Link")</f>
        <v>Transcript Link</v>
      </c>
      <c r="M1819" s="2" t="str">
        <f>HYPERLINK("https://files.afu.se/Downloads/Transcripts/0%20-%20Government/USA%20-%20NASA/2015 11 05 - NASA - Measuring Mars' Atmospheric Loss_GpwvOnC-Sl8 - transcript (automated).pdf","Transcript Link")</f>
        <v>Transcript Link</v>
      </c>
    </row>
    <row r="1820" ht="165" spans="1:13">
      <c r="A1820" s="1" t="s">
        <v>8471</v>
      </c>
      <c r="B1820" s="1" t="s">
        <v>13</v>
      </c>
      <c r="C1820" s="4" t="s">
        <v>8472</v>
      </c>
      <c r="D1820" s="1" t="s">
        <v>8473</v>
      </c>
      <c r="E1820" s="1" t="s">
        <v>8474</v>
      </c>
      <c r="F1820" s="4" t="s">
        <v>17</v>
      </c>
      <c r="G1820" s="1" t="s">
        <v>18</v>
      </c>
      <c r="H1820" s="1" t="s">
        <v>19</v>
      </c>
      <c r="I1820" s="1" t="s">
        <v>20</v>
      </c>
      <c r="J1820" s="1" t="s">
        <v>8475</v>
      </c>
      <c r="K1820" s="1" t="s">
        <v>22</v>
      </c>
      <c r="L1820" s="1" t="str">
        <f>HYPERLINK("https://files.afu.se/Downloads/Transcripts/0%20-%20Government/USA%20-%20NASA/2015 11 04 - NASA - Astronaut Recruitment_QjECZVitU00 - transcript (automated).pdf","Transcript Link")</f>
        <v>Transcript Link</v>
      </c>
      <c r="M1820" s="2" t="str">
        <f>HYPERLINK("https://files.afu.se/Downloads/Transcripts/0%20-%20Government/USA%20-%20NASA/2015 11 04 - NASA - Astronaut Recruitment_QjECZVitU00 - transcript (automated).pdf","Transcript Link")</f>
        <v>Transcript Link</v>
      </c>
    </row>
    <row r="1821" ht="165" spans="1:13">
      <c r="A1821" s="1" t="s">
        <v>8476</v>
      </c>
      <c r="B1821" s="1" t="s">
        <v>13</v>
      </c>
      <c r="C1821" s="4" t="s">
        <v>8477</v>
      </c>
      <c r="D1821" s="1" t="s">
        <v>8478</v>
      </c>
      <c r="E1821" s="1" t="s">
        <v>8479</v>
      </c>
      <c r="F1821" s="4" t="s">
        <v>17</v>
      </c>
      <c r="G1821" s="1" t="s">
        <v>18</v>
      </c>
      <c r="H1821" s="1" t="s">
        <v>19</v>
      </c>
      <c r="I1821" s="1" t="s">
        <v>20</v>
      </c>
      <c r="J1821" s="1" t="s">
        <v>8480</v>
      </c>
      <c r="K1821" s="1" t="s">
        <v>22</v>
      </c>
      <c r="L1821" s="1" t="str">
        <f>HYPERLINK("https://files.afu.se/Downloads/Transcripts/0%20-%20Government/USA%20-%20NASA/2015 11 03 - NASA - Q &amp; A with Commander Kelly_UCO-lwho1oU - transcript (automated).pdf","Transcript Link")</f>
        <v>Transcript Link</v>
      </c>
      <c r="M1821" s="2" t="str">
        <f>HYPERLINK("https://files.afu.se/Downloads/Transcripts/0%20-%20Government/USA%20-%20NASA/2015 11 03 - NASA - Q &amp; A with Commander Kelly_UCO-lwho1oU - transcript (automated).pdf","Transcript Link")</f>
        <v>Transcript Link</v>
      </c>
    </row>
    <row r="1822" ht="165" spans="1:13">
      <c r="A1822" s="1" t="s">
        <v>8481</v>
      </c>
      <c r="B1822" s="1" t="s">
        <v>13</v>
      </c>
      <c r="C1822" s="4" t="s">
        <v>8482</v>
      </c>
      <c r="D1822" s="1" t="s">
        <v>8483</v>
      </c>
      <c r="E1822" s="1" t="s">
        <v>8484</v>
      </c>
      <c r="F1822" s="4" t="s">
        <v>17</v>
      </c>
      <c r="G1822" s="1" t="s">
        <v>18</v>
      </c>
      <c r="H1822" s="1" t="s">
        <v>19</v>
      </c>
      <c r="I1822" s="1" t="s">
        <v>20</v>
      </c>
      <c r="J1822" s="1" t="s">
        <v>8485</v>
      </c>
      <c r="K1822" s="1" t="s">
        <v>22</v>
      </c>
      <c r="L1822" s="1" t="str">
        <f>HYPERLINK("https://files.afu.se/Downloads/Transcripts/0%20-%20Government/USA%20-%20NASA/2015 11 02 - NASA - 15 Years and Counting!_jSPrEuDVf6U - transcript (automated).pdf","Transcript Link")</f>
        <v>Transcript Link</v>
      </c>
      <c r="M1822" s="2" t="str">
        <f>HYPERLINK("https://files.afu.se/Downloads/Transcripts/0%20-%20Government/USA%20-%20NASA/2015 11 02 - NASA - 15 Years and Counting!_jSPrEuDVf6U - transcript (automated).pdf","Transcript Link")</f>
        <v>Transcript Link</v>
      </c>
    </row>
    <row r="1823" ht="165" spans="1:13">
      <c r="A1823" s="1" t="s">
        <v>8486</v>
      </c>
      <c r="B1823" s="1" t="s">
        <v>13</v>
      </c>
      <c r="C1823" s="4" t="s">
        <v>8487</v>
      </c>
      <c r="D1823" s="1" t="s">
        <v>8488</v>
      </c>
      <c r="E1823" s="1" t="s">
        <v>8489</v>
      </c>
      <c r="F1823" s="4" t="s">
        <v>17</v>
      </c>
      <c r="G1823" s="1" t="s">
        <v>18</v>
      </c>
      <c r="H1823" s="1" t="s">
        <v>19</v>
      </c>
      <c r="I1823" s="1" t="s">
        <v>20</v>
      </c>
      <c r="J1823" s="1" t="s">
        <v>8490</v>
      </c>
      <c r="K1823" s="1" t="s">
        <v>22</v>
      </c>
      <c r="L1823" s="1" t="str">
        <f>HYPERLINK("https://files.afu.se/Downloads/Transcripts/0%20-%20Government/USA%20-%20NASA/2015 10 30 - NASA - Make Space For Cosmic Treats This Halloween_hlILijzVbLc - transcript (automated).pdf","Transcript Link")</f>
        <v>Transcript Link</v>
      </c>
      <c r="M1823" s="2" t="str">
        <f>HYPERLINK("https://files.afu.se/Downloads/Transcripts/0%20-%20Government/USA%20-%20NASA/2015 10 30 - NASA - Make Space For Cosmic Treats This Halloween_hlILijzVbLc - transcript (automated).pdf","Transcript Link")</f>
        <v>Transcript Link</v>
      </c>
    </row>
    <row r="1824" ht="195" spans="1:13">
      <c r="A1824" s="1" t="s">
        <v>8486</v>
      </c>
      <c r="B1824" s="1" t="s">
        <v>13</v>
      </c>
      <c r="C1824" s="4" t="s">
        <v>8491</v>
      </c>
      <c r="D1824" s="1" t="s">
        <v>8492</v>
      </c>
      <c r="E1824" s="1" t="s">
        <v>8493</v>
      </c>
      <c r="F1824" s="4" t="s">
        <v>17</v>
      </c>
      <c r="G1824" s="1" t="s">
        <v>18</v>
      </c>
      <c r="H1824" s="1" t="s">
        <v>19</v>
      </c>
      <c r="I1824" s="1" t="s">
        <v>20</v>
      </c>
      <c r="J1824" s="1" t="s">
        <v>8494</v>
      </c>
      <c r="K1824" s="1" t="s">
        <v>22</v>
      </c>
      <c r="L1824" s="1" t="str">
        <f>HYPERLINK("https://files.afu.se/Downloads/Transcripts/0%20-%20Government/USA%20-%20NASA/2015 10 30 - NASA - Advancing the Journey to Mars on This Week @NASA – October 30, 2015__a9og3pAqxY - transcript (automated).pdf","Transcript Link")</f>
        <v>Transcript Link</v>
      </c>
      <c r="M1824" s="2" t="str">
        <f>HYPERLINK("https://files.afu.se/Downloads/Transcripts/0%20-%20Government/USA%20-%20NASA/2015 10 30 - NASA - Advancing the Journey to Mars on This Week @NASA – October 30, 2015__a9og3pAqxY - transcript (automated).pdf","Transcript Link")</f>
        <v>Transcript Link</v>
      </c>
    </row>
    <row r="1825" ht="255" spans="1:13">
      <c r="A1825" s="1" t="s">
        <v>8486</v>
      </c>
      <c r="B1825" s="1" t="s">
        <v>13</v>
      </c>
      <c r="C1825" s="4" t="s">
        <v>8495</v>
      </c>
      <c r="D1825" s="1" t="s">
        <v>8496</v>
      </c>
      <c r="E1825" s="1" t="s">
        <v>8497</v>
      </c>
      <c r="F1825" s="4" t="s">
        <v>17</v>
      </c>
      <c r="G1825" s="1" t="s">
        <v>18</v>
      </c>
      <c r="H1825" s="1" t="s">
        <v>19</v>
      </c>
      <c r="I1825" s="1" t="s">
        <v>20</v>
      </c>
      <c r="J1825" s="1" t="s">
        <v>8498</v>
      </c>
      <c r="K1825" s="1" t="s">
        <v>22</v>
      </c>
      <c r="L1825" s="1" t="str">
        <f>HYPERLINK("https://files.afu.se/Downloads/Transcripts/0%20-%20Government/USA%20-%20NASA/2015 10 30 - NASA - Third Rock Radio - Radio Powered with NASA_At3CwMW2flg - transcript (automated).pdf","Transcript Link")</f>
        <v>Transcript Link</v>
      </c>
      <c r="M1825" s="2" t="str">
        <f>HYPERLINK("https://files.afu.se/Downloads/Transcripts/0%20-%20Government/USA%20-%20NASA/2015 10 30 - NASA - Third Rock Radio - Radio Powered with NASA_At3CwMW2flg - transcript (automated).pdf","Transcript Link")</f>
        <v>Transcript Link</v>
      </c>
    </row>
    <row r="1826" ht="165" spans="1:13">
      <c r="A1826" s="1" t="s">
        <v>8499</v>
      </c>
      <c r="B1826" s="1" t="s">
        <v>13</v>
      </c>
      <c r="C1826" s="4" t="s">
        <v>8500</v>
      </c>
      <c r="D1826" s="1" t="s">
        <v>8501</v>
      </c>
      <c r="E1826" s="1" t="s">
        <v>8502</v>
      </c>
      <c r="F1826" s="4" t="s">
        <v>17</v>
      </c>
      <c r="G1826" s="1" t="s">
        <v>18</v>
      </c>
      <c r="H1826" s="1" t="s">
        <v>19</v>
      </c>
      <c r="I1826" s="1" t="s">
        <v>20</v>
      </c>
      <c r="J1826" s="1" t="s">
        <v>8503</v>
      </c>
      <c r="K1826" s="1" t="s">
        <v>22</v>
      </c>
      <c r="L1826" s="1" t="str">
        <f>HYPERLINK("https://files.afu.se/Downloads/Transcripts/0%20-%20Government/USA%20-%20NASA/2015 10 29 - NASA - Space Station Commander Talks About View of Space from New Perspective_y3vnhqOFMmI - transcript (automated).pdf","Transcript Link")</f>
        <v>Transcript Link</v>
      </c>
      <c r="M1826" s="2" t="str">
        <f>HYPERLINK("https://files.afu.se/Downloads/Transcripts/0%20-%20Government/USA%20-%20NASA/2015 10 29 - NASA - Space Station Commander Talks About View of Space from New Perspective_y3vnhqOFMmI - transcript (automated).pdf","Transcript Link")</f>
        <v>Transcript Link</v>
      </c>
    </row>
    <row r="1827" ht="165" spans="1:13">
      <c r="A1827" s="1" t="s">
        <v>8499</v>
      </c>
      <c r="B1827" s="1" t="s">
        <v>13</v>
      </c>
      <c r="C1827" s="4" t="s">
        <v>8504</v>
      </c>
      <c r="D1827" s="1" t="s">
        <v>8505</v>
      </c>
      <c r="E1827" s="1" t="s">
        <v>8506</v>
      </c>
      <c r="F1827" s="4" t="s">
        <v>17</v>
      </c>
      <c r="G1827" s="1" t="s">
        <v>18</v>
      </c>
      <c r="H1827" s="1" t="s">
        <v>19</v>
      </c>
      <c r="I1827" s="1" t="s">
        <v>20</v>
      </c>
      <c r="J1827" s="1" t="s">
        <v>8507</v>
      </c>
      <c r="K1827" s="1" t="s">
        <v>22</v>
      </c>
      <c r="L1827" s="1" t="str">
        <f>HYPERLINK("https://files.afu.se/Downloads/Transcripts/0%20-%20Government/USA%20-%20NASA/2015 10 29 - NASA - Real Martians Moment  Have Rock Will Travel_jqwqLTDhVXk - transcript (automated).pdf","Transcript Link")</f>
        <v>Transcript Link</v>
      </c>
      <c r="M1827" s="2" t="str">
        <f>HYPERLINK("https://files.afu.se/Downloads/Transcripts/0%20-%20Government/USA%20-%20NASA/2015 10 29 - NASA - Real Martians Moment  Have Rock Will Travel_jqwqLTDhVXk - transcript (automated).pdf","Transcript Link")</f>
        <v>Transcript Link</v>
      </c>
    </row>
    <row r="1828" ht="165" spans="1:13">
      <c r="A1828" s="1" t="s">
        <v>8499</v>
      </c>
      <c r="B1828" s="1" t="s">
        <v>13</v>
      </c>
      <c r="C1828" s="4" t="s">
        <v>8508</v>
      </c>
      <c r="D1828" s="1" t="s">
        <v>8509</v>
      </c>
      <c r="E1828" s="1" t="s">
        <v>8510</v>
      </c>
      <c r="F1828" s="4" t="s">
        <v>17</v>
      </c>
      <c r="G1828" s="1" t="s">
        <v>18</v>
      </c>
      <c r="H1828" s="1" t="s">
        <v>19</v>
      </c>
      <c r="I1828" s="1" t="s">
        <v>20</v>
      </c>
      <c r="J1828" s="1" t="s">
        <v>8511</v>
      </c>
      <c r="K1828" s="1" t="s">
        <v>22</v>
      </c>
      <c r="L1828" s="1" t="str">
        <f>HYPERLINK("https://files.afu.se/Downloads/Transcripts/0%20-%20Government/USA%20-%20NASA/2015 10 29 - NASA - Real Martians Moment  The Push for the Future_-s8Ovg04xL8 - transcript (automated).pdf","Transcript Link")</f>
        <v>Transcript Link</v>
      </c>
      <c r="M1828" s="2" t="str">
        <f>HYPERLINK("https://files.afu.se/Downloads/Transcripts/0%20-%20Government/USA%20-%20NASA/2015 10 29 - NASA - Real Martians Moment  The Push for the Future_-s8Ovg04xL8 - transcript (automated).pdf","Transcript Link")</f>
        <v>Transcript Link</v>
      </c>
    </row>
    <row r="1829" ht="165" spans="1:13">
      <c r="A1829" s="1" t="s">
        <v>8499</v>
      </c>
      <c r="B1829" s="1" t="s">
        <v>13</v>
      </c>
      <c r="C1829" s="4" t="s">
        <v>8512</v>
      </c>
      <c r="D1829" s="1" t="s">
        <v>8513</v>
      </c>
      <c r="E1829" s="1" t="s">
        <v>8514</v>
      </c>
      <c r="F1829" s="4" t="s">
        <v>17</v>
      </c>
      <c r="G1829" s="1" t="s">
        <v>18</v>
      </c>
      <c r="H1829" s="1" t="s">
        <v>19</v>
      </c>
      <c r="I1829" s="1" t="s">
        <v>20</v>
      </c>
      <c r="J1829" s="1" t="s">
        <v>8515</v>
      </c>
      <c r="K1829" s="1" t="s">
        <v>22</v>
      </c>
      <c r="L1829" s="1" t="str">
        <f>HYPERLINK("https://files.afu.se/Downloads/Transcripts/0%20-%20Government/USA%20-%20NASA/2015 10 29 - NASA - Real Martians Moment  From Terror to Tame_HpV9uNUztvI - transcript (automated).pdf","Transcript Link")</f>
        <v>Transcript Link</v>
      </c>
      <c r="M1829" s="2" t="str">
        <f>HYPERLINK("https://files.afu.se/Downloads/Transcripts/0%20-%20Government/USA%20-%20NASA/2015 10 29 - NASA - Real Martians Moment  From Terror to Tame_HpV9uNUztvI - transcript (automated).pdf","Transcript Link")</f>
        <v>Transcript Link</v>
      </c>
    </row>
    <row r="1830" ht="225" spans="1:13">
      <c r="A1830" s="1" t="s">
        <v>8499</v>
      </c>
      <c r="B1830" s="1" t="s">
        <v>13</v>
      </c>
      <c r="C1830" s="4" t="s">
        <v>8516</v>
      </c>
      <c r="D1830" s="1" t="s">
        <v>8517</v>
      </c>
      <c r="E1830" s="1" t="s">
        <v>8518</v>
      </c>
      <c r="F1830" s="4" t="s">
        <v>17</v>
      </c>
      <c r="G1830" s="1" t="s">
        <v>18</v>
      </c>
      <c r="H1830" s="1" t="s">
        <v>19</v>
      </c>
      <c r="I1830" s="1" t="s">
        <v>20</v>
      </c>
      <c r="J1830" s="1" t="s">
        <v>8519</v>
      </c>
      <c r="K1830" s="1" t="s">
        <v>22</v>
      </c>
      <c r="L1830" s="1" t="str">
        <f>HYPERLINK("https://files.afu.se/Downloads/Transcripts/0%20-%20Government/USA%20-%20NASA/2015 10 29 - NASA - Real Martians Moment  The Heat is On_KycR4kguSII - transcript (automated).pdf","Transcript Link")</f>
        <v>Transcript Link</v>
      </c>
      <c r="M1830" s="2" t="str">
        <f>HYPERLINK("https://files.afu.se/Downloads/Transcripts/0%20-%20Government/USA%20-%20NASA/2015 10 29 - NASA - Real Martians Moment  The Heat is On_KycR4kguSII - transcript (automated).pdf","Transcript Link")</f>
        <v>Transcript Link</v>
      </c>
    </row>
    <row r="1831" ht="180" spans="1:13">
      <c r="A1831" s="1" t="s">
        <v>8499</v>
      </c>
      <c r="B1831" s="1" t="s">
        <v>13</v>
      </c>
      <c r="C1831" s="4" t="s">
        <v>8520</v>
      </c>
      <c r="D1831" s="1" t="s">
        <v>8521</v>
      </c>
      <c r="E1831" s="1" t="s">
        <v>8522</v>
      </c>
      <c r="F1831" s="4" t="s">
        <v>17</v>
      </c>
      <c r="G1831" s="1" t="s">
        <v>18</v>
      </c>
      <c r="H1831" s="1" t="s">
        <v>19</v>
      </c>
      <c r="I1831" s="1" t="s">
        <v>20</v>
      </c>
      <c r="J1831" s="1" t="s">
        <v>8523</v>
      </c>
      <c r="K1831" s="1" t="s">
        <v>22</v>
      </c>
      <c r="L1831" s="1" t="str">
        <f>HYPERLINK("https://files.afu.se/Downloads/Transcripts/0%20-%20Government/USA%20-%20NASA/2015 10 29 - NASA - Real Martians Moment  Technology Drives Exploration_MPWzw-oTnm4 - transcript (automated).pdf","Transcript Link")</f>
        <v>Transcript Link</v>
      </c>
      <c r="M1831" s="2" t="str">
        <f>HYPERLINK("https://files.afu.se/Downloads/Transcripts/0%20-%20Government/USA%20-%20NASA/2015 10 29 - NASA - Real Martians Moment  Technology Drives Exploration_MPWzw-oTnm4 - transcript (automated).pdf","Transcript Link")</f>
        <v>Transcript Link</v>
      </c>
    </row>
    <row r="1832" ht="210" spans="1:13">
      <c r="A1832" s="1" t="s">
        <v>8499</v>
      </c>
      <c r="B1832" s="1" t="s">
        <v>13</v>
      </c>
      <c r="C1832" s="4" t="s">
        <v>8524</v>
      </c>
      <c r="D1832" s="1" t="s">
        <v>8525</v>
      </c>
      <c r="E1832" s="1" t="s">
        <v>8526</v>
      </c>
      <c r="F1832" s="4" t="s">
        <v>17</v>
      </c>
      <c r="G1832" s="1" t="s">
        <v>18</v>
      </c>
      <c r="H1832" s="1" t="s">
        <v>19</v>
      </c>
      <c r="I1832" s="1" t="s">
        <v>20</v>
      </c>
      <c r="J1832" s="1" t="s">
        <v>8527</v>
      </c>
      <c r="K1832" s="1" t="s">
        <v>22</v>
      </c>
      <c r="L1832" s="1" t="str">
        <f>HYPERLINK("https://files.afu.se/Downloads/Transcripts/0%20-%20Government/USA%20-%20NASA/2015 10 29 - NASA - Real Martians Moment  Testing for Success_PGy8vt3o5Oo - transcript (automated).pdf","Transcript Link")</f>
        <v>Transcript Link</v>
      </c>
      <c r="M1832" s="2" t="str">
        <f>HYPERLINK("https://files.afu.se/Downloads/Transcripts/0%20-%20Government/USA%20-%20NASA/2015 10 29 - NASA - Real Martians Moment  Testing for Success_PGy8vt3o5Oo - transcript (automated).pdf","Transcript Link")</f>
        <v>Transcript Link</v>
      </c>
    </row>
    <row r="1833" ht="180" spans="1:13">
      <c r="A1833" s="1" t="s">
        <v>8499</v>
      </c>
      <c r="B1833" s="1" t="s">
        <v>13</v>
      </c>
      <c r="C1833" s="4" t="s">
        <v>8528</v>
      </c>
      <c r="D1833" s="1" t="s">
        <v>8529</v>
      </c>
      <c r="E1833" s="1" t="s">
        <v>8530</v>
      </c>
      <c r="F1833" s="4" t="s">
        <v>17</v>
      </c>
      <c r="G1833" s="1" t="s">
        <v>18</v>
      </c>
      <c r="H1833" s="1" t="s">
        <v>19</v>
      </c>
      <c r="I1833" s="1" t="s">
        <v>20</v>
      </c>
      <c r="J1833" s="1" t="s">
        <v>8531</v>
      </c>
      <c r="K1833" s="1" t="s">
        <v>22</v>
      </c>
      <c r="L1833" s="1" t="str">
        <f>HYPERLINK("https://files.afu.se/Downloads/Transcripts/0%20-%20Government/USA%20-%20NASA/2015 10 29 - NASA - Real Martians Moment  Waste Not, Want Not_LOhMLodA3AI - transcript (automated).pdf","Transcript Link")</f>
        <v>Transcript Link</v>
      </c>
      <c r="M1833" s="2" t="str">
        <f>HYPERLINK("https://files.afu.se/Downloads/Transcripts/0%20-%20Government/USA%20-%20NASA/2015 10 29 - NASA - Real Martians Moment  Waste Not, Want Not_LOhMLodA3AI - transcript (automated).pdf","Transcript Link")</f>
        <v>Transcript Link</v>
      </c>
    </row>
    <row r="1834" ht="165" spans="1:13">
      <c r="A1834" s="1" t="s">
        <v>8532</v>
      </c>
      <c r="B1834" s="1" t="s">
        <v>13</v>
      </c>
      <c r="C1834" s="4" t="s">
        <v>8533</v>
      </c>
      <c r="D1834" s="1" t="s">
        <v>8534</v>
      </c>
      <c r="E1834" s="1" t="s">
        <v>8535</v>
      </c>
      <c r="F1834" s="4" t="s">
        <v>17</v>
      </c>
      <c r="G1834" s="1" t="s">
        <v>18</v>
      </c>
      <c r="H1834" s="1" t="s">
        <v>19</v>
      </c>
      <c r="I1834" s="1" t="s">
        <v>20</v>
      </c>
      <c r="J1834" s="1" t="s">
        <v>8536</v>
      </c>
      <c r="K1834" s="1" t="s">
        <v>22</v>
      </c>
      <c r="L1834" s="1" t="str">
        <f>HYPERLINK("https://files.afu.se/Downloads/Transcripts/0%20-%20Government/USA%20-%20NASA/2015 10 28 - NASA - Advancing the Journey to Mars_rpHLa2njn98 - transcript (automated).pdf","Transcript Link")</f>
        <v>Transcript Link</v>
      </c>
      <c r="M1834" s="2" t="str">
        <f>HYPERLINK("https://files.afu.se/Downloads/Transcripts/0%20-%20Government/USA%20-%20NASA/2015 10 28 - NASA - Advancing the Journey to Mars_rpHLa2njn98 - transcript (automated).pdf","Transcript Link")</f>
        <v>Transcript Link</v>
      </c>
    </row>
    <row r="1835" ht="195" spans="1:13">
      <c r="A1835" s="1" t="s">
        <v>8537</v>
      </c>
      <c r="B1835" s="1" t="s">
        <v>13</v>
      </c>
      <c r="C1835" s="4" t="s">
        <v>8538</v>
      </c>
      <c r="D1835" s="1" t="s">
        <v>8539</v>
      </c>
      <c r="E1835" s="1" t="s">
        <v>8540</v>
      </c>
      <c r="F1835" s="4" t="s">
        <v>17</v>
      </c>
      <c r="G1835" s="1" t="s">
        <v>18</v>
      </c>
      <c r="H1835" s="1" t="s">
        <v>19</v>
      </c>
      <c r="I1835" s="1" t="s">
        <v>20</v>
      </c>
      <c r="J1835" s="1" t="s">
        <v>8541</v>
      </c>
      <c r="K1835" s="1" t="s">
        <v>22</v>
      </c>
      <c r="L1835" s="1" t="str">
        <f>HYPERLINK("https://files.afu.se/Downloads/Transcripts/0%20-%20Government/USA%20-%20NASA/2015 10 23 - NASA - Astronomy Night at the White House on This Week @NASA – October 23, 2015_z0y52W3TyQg - transcript (automated).pdf","Transcript Link")</f>
        <v>Transcript Link</v>
      </c>
      <c r="M1835" s="2" t="str">
        <f>HYPERLINK("https://files.afu.se/Downloads/Transcripts/0%20-%20Government/USA%20-%20NASA/2015 10 23 - NASA - Astronomy Night at the White House on This Week @NASA – October 23, 2015_z0y52W3TyQg - transcript (automated).pdf","Transcript Link")</f>
        <v>Transcript Link</v>
      </c>
    </row>
    <row r="1836" ht="165" spans="1:13">
      <c r="A1836" s="1" t="s">
        <v>8537</v>
      </c>
      <c r="B1836" s="1" t="s">
        <v>13</v>
      </c>
      <c r="C1836" s="4" t="s">
        <v>8542</v>
      </c>
      <c r="D1836" s="1" t="s">
        <v>8543</v>
      </c>
      <c r="E1836" s="1" t="s">
        <v>8544</v>
      </c>
      <c r="F1836" s="4" t="s">
        <v>17</v>
      </c>
      <c r="G1836" s="1" t="s">
        <v>18</v>
      </c>
      <c r="H1836" s="1" t="s">
        <v>19</v>
      </c>
      <c r="I1836" s="1" t="s">
        <v>20</v>
      </c>
      <c r="J1836" s="1" t="s">
        <v>8545</v>
      </c>
      <c r="K1836" s="1" t="s">
        <v>22</v>
      </c>
      <c r="L1836" s="1" t="str">
        <f>HYPERLINK("https://files.afu.se/Downloads/Transcripts/0%20-%20Government/USA%20-%20NASA/2015 10 23 - NASA - Space Station One-Year Crew Talks to Students_nEJ0TVgRbC8 - transcript (automated).pdf","Transcript Link")</f>
        <v>Transcript Link</v>
      </c>
      <c r="M1836" s="2" t="str">
        <f>HYPERLINK("https://files.afu.se/Downloads/Transcripts/0%20-%20Government/USA%20-%20NASA/2015 10 23 - NASA - Space Station One-Year Crew Talks to Students_nEJ0TVgRbC8 - transcript (automated).pdf","Transcript Link")</f>
        <v>Transcript Link</v>
      </c>
    </row>
    <row r="1837" ht="165" spans="1:13">
      <c r="A1837" s="1" t="s">
        <v>8546</v>
      </c>
      <c r="B1837" s="1" t="s">
        <v>13</v>
      </c>
      <c r="C1837" s="4" t="s">
        <v>8547</v>
      </c>
      <c r="D1837" s="1" t="s">
        <v>8548</v>
      </c>
      <c r="E1837" s="1" t="s">
        <v>8549</v>
      </c>
      <c r="F1837" s="4" t="s">
        <v>17</v>
      </c>
      <c r="G1837" s="1" t="s">
        <v>18</v>
      </c>
      <c r="H1837" s="1" t="s">
        <v>19</v>
      </c>
      <c r="I1837" s="1" t="s">
        <v>20</v>
      </c>
      <c r="J1837" s="1" t="s">
        <v>8550</v>
      </c>
      <c r="K1837" s="1" t="s">
        <v>22</v>
      </c>
      <c r="L1837" s="1" t="str">
        <f>HYPERLINK("https://files.afu.se/Downloads/Transcripts/0%20-%20Government/USA%20-%20NASA/2015 10 22 - NASA - Next U.S. Spacewalks Previewed_jl0hZmvS35c - transcript (automated).pdf","Transcript Link")</f>
        <v>Transcript Link</v>
      </c>
      <c r="M1837" s="2" t="str">
        <f>HYPERLINK("https://files.afu.se/Downloads/Transcripts/0%20-%20Government/USA%20-%20NASA/2015 10 22 - NASA - Next U.S. Spacewalks Previewed_jl0hZmvS35c - transcript (automated).pdf","Transcript Link")</f>
        <v>Transcript Link</v>
      </c>
    </row>
    <row r="1838" ht="210" spans="1:13">
      <c r="A1838" s="1" t="s">
        <v>8546</v>
      </c>
      <c r="B1838" s="1" t="s">
        <v>13</v>
      </c>
      <c r="C1838" s="4" t="s">
        <v>8551</v>
      </c>
      <c r="D1838" s="1" t="s">
        <v>8552</v>
      </c>
      <c r="E1838" s="1" t="s">
        <v>8553</v>
      </c>
      <c r="F1838" s="4" t="s">
        <v>17</v>
      </c>
      <c r="G1838" s="1" t="s">
        <v>18</v>
      </c>
      <c r="H1838" s="1" t="s">
        <v>19</v>
      </c>
      <c r="I1838" s="1" t="s">
        <v>20</v>
      </c>
      <c r="J1838" s="1" t="s">
        <v>8554</v>
      </c>
      <c r="K1838" s="1" t="s">
        <v>22</v>
      </c>
      <c r="L1838" s="1" t="str">
        <f>HYPERLINK("https://files.afu.se/Downloads/Transcripts/0%20-%20Government/USA%20-%20NASA/2015 10 22 - NASA - NASA Astronauts Discuss Life in Space_ySMLYiJZBHc - transcript (automated).pdf","Transcript Link")</f>
        <v>Transcript Link</v>
      </c>
      <c r="M1838" s="2" t="str">
        <f>HYPERLINK("https://files.afu.se/Downloads/Transcripts/0%20-%20Government/USA%20-%20NASA/2015 10 22 - NASA - NASA Astronauts Discuss Life in Space_ySMLYiJZBHc - transcript (automated).pdf","Transcript Link")</f>
        <v>Transcript Link</v>
      </c>
    </row>
    <row r="1839" ht="165" spans="1:13">
      <c r="A1839" s="1" t="s">
        <v>8555</v>
      </c>
      <c r="B1839" s="1" t="s">
        <v>13</v>
      </c>
      <c r="C1839" s="4" t="s">
        <v>8556</v>
      </c>
      <c r="D1839" s="1" t="s">
        <v>8557</v>
      </c>
      <c r="E1839" s="1" t="s">
        <v>8558</v>
      </c>
      <c r="F1839" s="4" t="s">
        <v>17</v>
      </c>
      <c r="G1839" s="1" t="s">
        <v>18</v>
      </c>
      <c r="H1839" s="1" t="s">
        <v>19</v>
      </c>
      <c r="I1839" s="1" t="s">
        <v>20</v>
      </c>
      <c r="J1839" s="1" t="s">
        <v>8559</v>
      </c>
      <c r="K1839" s="1" t="s">
        <v>22</v>
      </c>
      <c r="L1839" s="1" t="str">
        <f>HYPERLINK("https://files.afu.se/Downloads/Transcripts/0%20-%20Government/USA%20-%20NASA/2015 10 21 - NASA - STEM in 30 – Bound for Mars_hghjwQXdNco - transcript (automated).pdf","Transcript Link")</f>
        <v>Transcript Link</v>
      </c>
      <c r="M1839" s="2" t="str">
        <f>HYPERLINK("https://files.afu.se/Downloads/Transcripts/0%20-%20Government/USA%20-%20NASA/2015 10 21 - NASA - STEM in 30 – Bound for Mars_hghjwQXdNco - transcript (automated).pdf","Transcript Link")</f>
        <v>Transcript Link</v>
      </c>
    </row>
    <row r="1840" ht="180" spans="1:13">
      <c r="A1840" s="1" t="s">
        <v>8555</v>
      </c>
      <c r="B1840" s="1" t="s">
        <v>13</v>
      </c>
      <c r="C1840" s="4" t="s">
        <v>8560</v>
      </c>
      <c r="D1840" s="1" t="s">
        <v>8561</v>
      </c>
      <c r="E1840" s="1" t="s">
        <v>8562</v>
      </c>
      <c r="F1840" s="4" t="s">
        <v>17</v>
      </c>
      <c r="G1840" s="1" t="s">
        <v>18</v>
      </c>
      <c r="H1840" s="1" t="s">
        <v>19</v>
      </c>
      <c r="I1840" s="1" t="s">
        <v>20</v>
      </c>
      <c r="J1840" s="1" t="s">
        <v>8563</v>
      </c>
      <c r="K1840" s="1" t="s">
        <v>22</v>
      </c>
      <c r="L1840" s="1" t="str">
        <f>HYPERLINK("https://files.afu.se/Downloads/Transcripts/0%20-%20Government/USA%20-%20NASA/2015 10 21 - NASA - Commercial Crew Comes to Washington_VustKdXRG6w - transcript (automated).pdf","Transcript Link")</f>
        <v>Transcript Link</v>
      </c>
      <c r="M1840" s="2" t="str">
        <f>HYPERLINK("https://files.afu.se/Downloads/Transcripts/0%20-%20Government/USA%20-%20NASA/2015 10 21 - NASA - Commercial Crew Comes to Washington_VustKdXRG6w - transcript (automated).pdf","Transcript Link")</f>
        <v>Transcript Link</v>
      </c>
    </row>
    <row r="1841" ht="165" spans="1:13">
      <c r="A1841" s="1" t="s">
        <v>8555</v>
      </c>
      <c r="B1841" s="1" t="s">
        <v>13</v>
      </c>
      <c r="C1841" s="4" t="s">
        <v>8564</v>
      </c>
      <c r="D1841" s="1" t="s">
        <v>8565</v>
      </c>
      <c r="E1841" s="1" t="s">
        <v>8566</v>
      </c>
      <c r="F1841" s="4" t="s">
        <v>17</v>
      </c>
      <c r="G1841" s="1" t="s">
        <v>18</v>
      </c>
      <c r="H1841" s="1" t="s">
        <v>19</v>
      </c>
      <c r="I1841" s="1" t="s">
        <v>20</v>
      </c>
      <c r="J1841" s="1" t="s">
        <v>8567</v>
      </c>
      <c r="K1841" s="1" t="s">
        <v>22</v>
      </c>
      <c r="L1841" s="1" t="str">
        <f>HYPERLINK("https://files.afu.se/Downloads/Transcripts/0%20-%20Government/USA%20-%20NASA/2015 10 21 - NASA - NASA and the Combined Federal Campaign_55dZyCBGEu4 - transcript (automated).pdf","Transcript Link")</f>
        <v>Transcript Link</v>
      </c>
      <c r="M1841" s="2" t="str">
        <f>HYPERLINK("https://files.afu.se/Downloads/Transcripts/0%20-%20Government/USA%20-%20NASA/2015 10 21 - NASA - NASA and the Combined Federal Campaign_55dZyCBGEu4 - transcript (automated).pdf","Transcript Link")</f>
        <v>Transcript Link</v>
      </c>
    </row>
    <row r="1842" ht="165" spans="1:13">
      <c r="A1842" s="1" t="s">
        <v>8568</v>
      </c>
      <c r="B1842" s="1" t="s">
        <v>13</v>
      </c>
      <c r="C1842" s="4" t="s">
        <v>8569</v>
      </c>
      <c r="D1842" s="1" t="s">
        <v>8570</v>
      </c>
      <c r="E1842" s="1" t="s">
        <v>8571</v>
      </c>
      <c r="F1842" s="4" t="s">
        <v>17</v>
      </c>
      <c r="G1842" s="1" t="s">
        <v>18</v>
      </c>
      <c r="H1842" s="1" t="s">
        <v>19</v>
      </c>
      <c r="I1842" s="1" t="s">
        <v>20</v>
      </c>
      <c r="J1842" s="1" t="s">
        <v>8572</v>
      </c>
      <c r="K1842" s="1" t="s">
        <v>22</v>
      </c>
      <c r="L1842" s="1" t="str">
        <f>HYPERLINK("https://files.afu.se/Downloads/Transcripts/0%20-%20Government/USA%20-%20NASA/2015 10 20 - NASA - A Conversation About Work on the Space Station_bAw6Ajt-jpY - transcript (automated).pdf","Transcript Link")</f>
        <v>Transcript Link</v>
      </c>
      <c r="M1842" s="2" t="str">
        <f>HYPERLINK("https://files.afu.se/Downloads/Transcripts/0%20-%20Government/USA%20-%20NASA/2015 10 20 - NASA - A Conversation About Work on the Space Station_bAw6Ajt-jpY - transcript (automated).pdf","Transcript Link")</f>
        <v>Transcript Link</v>
      </c>
    </row>
    <row r="1843" ht="165" spans="1:13">
      <c r="A1843" s="1" t="s">
        <v>8568</v>
      </c>
      <c r="B1843" s="1" t="s">
        <v>13</v>
      </c>
      <c r="C1843" s="4" t="s">
        <v>8573</v>
      </c>
      <c r="D1843" s="1" t="s">
        <v>8574</v>
      </c>
      <c r="E1843" s="1" t="s">
        <v>8575</v>
      </c>
      <c r="F1843" s="4" t="s">
        <v>17</v>
      </c>
      <c r="G1843" s="1" t="s">
        <v>18</v>
      </c>
      <c r="H1843" s="1" t="s">
        <v>19</v>
      </c>
      <c r="I1843" s="1" t="s">
        <v>20</v>
      </c>
      <c r="J1843" s="1" t="s">
        <v>8576</v>
      </c>
      <c r="K1843" s="1" t="s">
        <v>22</v>
      </c>
      <c r="L1843" s="1" t="str">
        <f>HYPERLINK("https://files.afu.se/Downloads/Transcripts/0%20-%20Government/USA%20-%20NASA/2015 10 20 - NASA - Focusing in on Other Worlds_vyq7wZrRCHo - transcript (automated).pdf","Transcript Link")</f>
        <v>Transcript Link</v>
      </c>
      <c r="M1843" s="2" t="str">
        <f>HYPERLINK("https://files.afu.se/Downloads/Transcripts/0%20-%20Government/USA%20-%20NASA/2015 10 20 - NASA - Focusing in on Other Worlds_vyq7wZrRCHo - transcript (automated).pdf","Transcript Link")</f>
        <v>Transcript Link</v>
      </c>
    </row>
    <row r="1844" ht="255" spans="1:13">
      <c r="A1844" s="1" t="s">
        <v>8568</v>
      </c>
      <c r="B1844" s="1" t="s">
        <v>13</v>
      </c>
      <c r="C1844" s="4" t="s">
        <v>8577</v>
      </c>
      <c r="D1844" s="1" t="s">
        <v>8578</v>
      </c>
      <c r="E1844" s="1" t="s">
        <v>8579</v>
      </c>
      <c r="F1844" s="4" t="s">
        <v>17</v>
      </c>
      <c r="G1844" s="1" t="s">
        <v>18</v>
      </c>
      <c r="H1844" s="1" t="s">
        <v>19</v>
      </c>
      <c r="I1844" s="1" t="s">
        <v>20</v>
      </c>
      <c r="J1844" s="1" t="s">
        <v>8580</v>
      </c>
      <c r="K1844" s="1" t="s">
        <v>22</v>
      </c>
      <c r="L1844" s="1" t="str">
        <f>HYPERLINK("https://files.afu.se/Downloads/Transcripts/0%20-%20Government/USA%20-%20NASA/2015 10 20 - NASA - A Night of Stargazing_-Hmq3PEuvhI - transcript (automated).pdf","Transcript Link")</f>
        <v>Transcript Link</v>
      </c>
      <c r="M1844" s="2" t="str">
        <f>HYPERLINK("https://files.afu.se/Downloads/Transcripts/0%20-%20Government/USA%20-%20NASA/2015 10 20 - NASA - A Night of Stargazing_-Hmq3PEuvhI - transcript (automated).pdf","Transcript Link")</f>
        <v>Transcript Link</v>
      </c>
    </row>
    <row r="1845" ht="165" spans="1:13">
      <c r="A1845" s="1" t="s">
        <v>8581</v>
      </c>
      <c r="B1845" s="1" t="s">
        <v>13</v>
      </c>
      <c r="C1845" s="4" t="s">
        <v>8582</v>
      </c>
      <c r="D1845" s="1" t="s">
        <v>8583</v>
      </c>
      <c r="E1845" s="1" t="s">
        <v>8584</v>
      </c>
      <c r="F1845" s="4" t="s">
        <v>17</v>
      </c>
      <c r="G1845" s="1" t="s">
        <v>18</v>
      </c>
      <c r="H1845" s="1" t="s">
        <v>19</v>
      </c>
      <c r="I1845" s="1" t="s">
        <v>20</v>
      </c>
      <c r="J1845" s="1" t="s">
        <v>8585</v>
      </c>
      <c r="K1845" s="1" t="s">
        <v>22</v>
      </c>
      <c r="L1845" s="1" t="str">
        <f>HYPERLINK("https://files.afu.se/Downloads/Transcripts/0%20-%20Government/USA%20-%20NASA/2015 10 19 - NASA - The Right Stuff for The Next Giant Leap_OlugY_yg1HE - transcript (automated).pdf","Transcript Link")</f>
        <v>Transcript Link</v>
      </c>
      <c r="M1845" s="2" t="str">
        <f>HYPERLINK("https://files.afu.se/Downloads/Transcripts/0%20-%20Government/USA%20-%20NASA/2015 10 19 - NASA - The Right Stuff for The Next Giant Leap_OlugY_yg1HE - transcript (automated).pdf","Transcript Link")</f>
        <v>Transcript Link</v>
      </c>
    </row>
    <row r="1846" ht="165" spans="1:13">
      <c r="A1846" s="1" t="s">
        <v>8581</v>
      </c>
      <c r="B1846" s="1" t="s">
        <v>13</v>
      </c>
      <c r="C1846" s="4" t="s">
        <v>8586</v>
      </c>
      <c r="D1846" s="1" t="s">
        <v>8587</v>
      </c>
      <c r="E1846" s="1" t="s">
        <v>8588</v>
      </c>
      <c r="F1846" s="4" t="s">
        <v>17</v>
      </c>
      <c r="G1846" s="1" t="s">
        <v>18</v>
      </c>
      <c r="H1846" s="1" t="s">
        <v>19</v>
      </c>
      <c r="I1846" s="1" t="s">
        <v>20</v>
      </c>
      <c r="J1846" s="1" t="s">
        <v>8589</v>
      </c>
      <c r="K1846" s="1" t="s">
        <v>22</v>
      </c>
      <c r="L1846" s="1" t="str">
        <f>HYPERLINK("https://files.afu.se/Downloads/Transcripts/0%20-%20Government/USA%20-%20NASA/2015 10 19 - NASA - Real Martians Moment  MOMA-Digging Below the Martian Surface_cUTiS_L3bXQ - transcript (automated).pdf","Transcript Link")</f>
        <v>Transcript Link</v>
      </c>
      <c r="M1846" s="2" t="str">
        <f>HYPERLINK("https://files.afu.se/Downloads/Transcripts/0%20-%20Government/USA%20-%20NASA/2015 10 19 - NASA - Real Martians Moment  MOMA-Digging Below the Martian Surface_cUTiS_L3bXQ - transcript (automated).pdf","Transcript Link")</f>
        <v>Transcript Link</v>
      </c>
    </row>
    <row r="1847" ht="165" spans="1:13">
      <c r="A1847" s="1" t="s">
        <v>8581</v>
      </c>
      <c r="B1847" s="1" t="s">
        <v>13</v>
      </c>
      <c r="C1847" s="4" t="s">
        <v>8590</v>
      </c>
      <c r="D1847" s="1" t="s">
        <v>8591</v>
      </c>
      <c r="E1847" s="1" t="s">
        <v>8592</v>
      </c>
      <c r="F1847" s="4" t="s">
        <v>17</v>
      </c>
      <c r="G1847" s="1" t="s">
        <v>18</v>
      </c>
      <c r="H1847" s="1" t="s">
        <v>19</v>
      </c>
      <c r="I1847" s="1" t="s">
        <v>20</v>
      </c>
      <c r="J1847" s="1" t="s">
        <v>8593</v>
      </c>
      <c r="K1847" s="1" t="s">
        <v>22</v>
      </c>
      <c r="L1847" s="1" t="str">
        <f>HYPERLINK("https://files.afu.se/Downloads/Transcripts/0%20-%20Government/USA%20-%20NASA/2015 10 19 - NASA - Real Martians Moment  Developing Technologies for Morpheus - ALHAT_1L4Ag603fiU - transcript (automated).pdf","Transcript Link")</f>
        <v>Transcript Link</v>
      </c>
      <c r="M1847" s="2" t="str">
        <f>HYPERLINK("https://files.afu.se/Downloads/Transcripts/0%20-%20Government/USA%20-%20NASA/2015 10 19 - NASA - Real Martians Moment  Developing Technologies for Morpheus - ALHAT_1L4Ag603fiU - transcript (automated).pdf","Transcript Link")</f>
        <v>Transcript Link</v>
      </c>
    </row>
    <row r="1848" ht="195" spans="1:13">
      <c r="A1848" s="1" t="s">
        <v>8594</v>
      </c>
      <c r="B1848" s="1" t="s">
        <v>13</v>
      </c>
      <c r="C1848" s="4" t="s">
        <v>8595</v>
      </c>
      <c r="D1848" s="1" t="s">
        <v>8596</v>
      </c>
      <c r="E1848" s="1" t="s">
        <v>8597</v>
      </c>
      <c r="F1848" s="4" t="s">
        <v>17</v>
      </c>
      <c r="G1848" s="1" t="s">
        <v>18</v>
      </c>
      <c r="H1848" s="1" t="s">
        <v>19</v>
      </c>
      <c r="I1848" s="1" t="s">
        <v>20</v>
      </c>
      <c r="J1848" s="1" t="s">
        <v>8598</v>
      </c>
      <c r="K1848" s="1" t="s">
        <v>22</v>
      </c>
      <c r="L1848" s="1" t="str">
        <f>HYPERLINK("https://files.afu.se/Downloads/Transcripts/0%20-%20Government/USA%20-%20NASA/2015 10 16 - NASA - Journey to Mars  An international effort on This Week @NASA – October 16, 2015_BOZC6Y9h0V4 - transcript (automated).pdf","Transcript Link")</f>
        <v>Transcript Link</v>
      </c>
      <c r="M1848" s="2" t="str">
        <f>HYPERLINK("https://files.afu.se/Downloads/Transcripts/0%20-%20Government/USA%20-%20NASA/2015 10 16 - NASA - Journey to Mars  An international effort on This Week @NASA – October 16, 2015_BOZC6Y9h0V4 - transcript (automated).pdf","Transcript Link")</f>
        <v>Transcript Link</v>
      </c>
    </row>
    <row r="1849" ht="165" spans="1:13">
      <c r="A1849" s="1" t="s">
        <v>8594</v>
      </c>
      <c r="B1849" s="1" t="s">
        <v>13</v>
      </c>
      <c r="C1849" s="4" t="s">
        <v>8599</v>
      </c>
      <c r="D1849" s="1" t="s">
        <v>8600</v>
      </c>
      <c r="E1849" s="1" t="s">
        <v>8601</v>
      </c>
      <c r="F1849" s="4" t="s">
        <v>17</v>
      </c>
      <c r="G1849" s="1" t="s">
        <v>18</v>
      </c>
      <c r="H1849" s="1" t="s">
        <v>19</v>
      </c>
      <c r="I1849" s="1" t="s">
        <v>20</v>
      </c>
      <c r="J1849" s="1" t="s">
        <v>8602</v>
      </c>
      <c r="K1849" s="1" t="s">
        <v>22</v>
      </c>
      <c r="L1849" s="1" t="str">
        <f>HYPERLINK("https://files.afu.se/Downloads/Transcripts/0%20-%20Government/USA%20-%20NASA/2015 10 16 - NASA - Real Martians Moment  Solar Powering Cargo and Astronauts to Mars_4DvyHJq9j-c - transcript (automated).pdf","Transcript Link")</f>
        <v>Transcript Link</v>
      </c>
      <c r="M1849" s="2" t="str">
        <f>HYPERLINK("https://files.afu.se/Downloads/Transcripts/0%20-%20Government/USA%20-%20NASA/2015 10 16 - NASA - Real Martians Moment  Solar Powering Cargo and Astronauts to Mars_4DvyHJq9j-c - transcript (automated).pdf","Transcript Link")</f>
        <v>Transcript Link</v>
      </c>
    </row>
    <row r="1850" ht="165" spans="1:13">
      <c r="A1850" s="1" t="s">
        <v>8594</v>
      </c>
      <c r="B1850" s="1" t="s">
        <v>13</v>
      </c>
      <c r="C1850" s="4" t="s">
        <v>8603</v>
      </c>
      <c r="D1850" s="1" t="s">
        <v>8604</v>
      </c>
      <c r="E1850" s="1" t="s">
        <v>8605</v>
      </c>
      <c r="F1850" s="4" t="s">
        <v>17</v>
      </c>
      <c r="G1850" s="1" t="s">
        <v>18</v>
      </c>
      <c r="H1850" s="1" t="s">
        <v>19</v>
      </c>
      <c r="I1850" s="1" t="s">
        <v>20</v>
      </c>
      <c r="J1850" s="1" t="s">
        <v>8606</v>
      </c>
      <c r="K1850" s="1" t="s">
        <v>22</v>
      </c>
      <c r="L1850" s="1" t="str">
        <f>HYPERLINK("https://files.afu.se/Downloads/Transcripts/0%20-%20Government/USA%20-%20NASA/2015 10 16 - NASA - Real Martians Moment  Morpheus - Landing on Mars_WOXFg61hfbA - transcript (automated).pdf","Transcript Link")</f>
        <v>Transcript Link</v>
      </c>
      <c r="M1850" s="2" t="str">
        <f>HYPERLINK("https://files.afu.se/Downloads/Transcripts/0%20-%20Government/USA%20-%20NASA/2015 10 16 - NASA - Real Martians Moment  Morpheus - Landing on Mars_WOXFg61hfbA - transcript (automated).pdf","Transcript Link")</f>
        <v>Transcript Link</v>
      </c>
    </row>
    <row r="1851" ht="165" spans="1:13">
      <c r="A1851" s="1" t="s">
        <v>8607</v>
      </c>
      <c r="B1851" s="1" t="s">
        <v>13</v>
      </c>
      <c r="C1851" s="4" t="s">
        <v>8608</v>
      </c>
      <c r="D1851" s="1" t="s">
        <v>8609</v>
      </c>
      <c r="E1851" s="1" t="s">
        <v>8610</v>
      </c>
      <c r="F1851" s="4" t="s">
        <v>17</v>
      </c>
      <c r="G1851" s="1" t="s">
        <v>18</v>
      </c>
      <c r="H1851" s="1" t="s">
        <v>19</v>
      </c>
      <c r="I1851" s="1" t="s">
        <v>20</v>
      </c>
      <c r="J1851" s="1" t="s">
        <v>8611</v>
      </c>
      <c r="K1851" s="1" t="s">
        <v>22</v>
      </c>
      <c r="L1851" s="1" t="str">
        <f>HYPERLINK("https://files.afu.se/Downloads/Transcripts/0%20-%20Government/USA%20-%20NASA/2015 10 15 - NASA - Real Martians Moment  Training like an Astronaut_HBzUyuAXr_U - transcript (automated).pdf","Transcript Link")</f>
        <v>Transcript Link</v>
      </c>
      <c r="M1851" s="2" t="str">
        <f>HYPERLINK("https://files.afu.se/Downloads/Transcripts/0%20-%20Government/USA%20-%20NASA/2015 10 15 - NASA - Real Martians Moment  Training like an Astronaut_HBzUyuAXr_U - transcript (automated).pdf","Transcript Link")</f>
        <v>Transcript Link</v>
      </c>
    </row>
    <row r="1852" ht="165" spans="1:13">
      <c r="A1852" s="1" t="s">
        <v>8607</v>
      </c>
      <c r="B1852" s="1" t="s">
        <v>13</v>
      </c>
      <c r="C1852" s="4" t="s">
        <v>8612</v>
      </c>
      <c r="D1852" s="1" t="s">
        <v>8613</v>
      </c>
      <c r="E1852" s="1" t="s">
        <v>8614</v>
      </c>
      <c r="F1852" s="4" t="s">
        <v>17</v>
      </c>
      <c r="G1852" s="1" t="s">
        <v>18</v>
      </c>
      <c r="H1852" s="1" t="s">
        <v>19</v>
      </c>
      <c r="I1852" s="1" t="s">
        <v>20</v>
      </c>
      <c r="J1852" s="1" t="s">
        <v>8615</v>
      </c>
      <c r="K1852" s="1" t="s">
        <v>22</v>
      </c>
      <c r="L1852" s="1" t="str">
        <f>HYPERLINK("https://files.afu.se/Downloads/Transcripts/0%20-%20Government/USA%20-%20NASA/2015 10 15 - NASA - NASA Astronaut Talks About Life and Work on the Space Station_pmzHbrv_fJ0 - transcript (automated).pdf","Transcript Link")</f>
        <v>Transcript Link</v>
      </c>
      <c r="M1852" s="2" t="str">
        <f>HYPERLINK("https://files.afu.se/Downloads/Transcripts/0%20-%20Government/USA%20-%20NASA/2015 10 15 - NASA - NASA Astronaut Talks About Life and Work on the Space Station_pmzHbrv_fJ0 - transcript (automated).pdf","Transcript Link")</f>
        <v>Transcript Link</v>
      </c>
    </row>
    <row r="1853" ht="165" spans="1:13">
      <c r="A1853" s="1" t="s">
        <v>8616</v>
      </c>
      <c r="B1853" s="1" t="s">
        <v>13</v>
      </c>
      <c r="C1853" s="4" t="s">
        <v>8617</v>
      </c>
      <c r="D1853" s="1" t="s">
        <v>8618</v>
      </c>
      <c r="E1853" s="1" t="s">
        <v>8619</v>
      </c>
      <c r="F1853" s="4" t="s">
        <v>17</v>
      </c>
      <c r="G1853" s="1" t="s">
        <v>18</v>
      </c>
      <c r="H1853" s="1" t="s">
        <v>19</v>
      </c>
      <c r="I1853" s="1" t="s">
        <v>20</v>
      </c>
      <c r="J1853" s="1" t="s">
        <v>8620</v>
      </c>
      <c r="K1853" s="1" t="s">
        <v>22</v>
      </c>
      <c r="L1853" s="1" t="str">
        <f>HYPERLINK("https://files.afu.se/Downloads/Transcripts/0%20-%20Government/USA%20-%20NASA/2015 10 14 - NASA - New Vehicles for New Ventures_i0NeYaRZwos - transcript (automated).pdf","Transcript Link")</f>
        <v>Transcript Link</v>
      </c>
      <c r="M1853" s="2" t="str">
        <f>HYPERLINK("https://files.afu.se/Downloads/Transcripts/0%20-%20Government/USA%20-%20NASA/2015 10 14 - NASA - New Vehicles for New Ventures_i0NeYaRZwos - transcript (automated).pdf","Transcript Link")</f>
        <v>Transcript Link</v>
      </c>
    </row>
    <row r="1854" ht="165" spans="1:13">
      <c r="A1854" s="1" t="s">
        <v>8616</v>
      </c>
      <c r="B1854" s="1" t="s">
        <v>13</v>
      </c>
      <c r="C1854" s="4" t="s">
        <v>8621</v>
      </c>
      <c r="D1854" s="1" t="s">
        <v>8622</v>
      </c>
      <c r="E1854" s="1" t="s">
        <v>8623</v>
      </c>
      <c r="F1854" s="4" t="s">
        <v>17</v>
      </c>
      <c r="G1854" s="1" t="s">
        <v>18</v>
      </c>
      <c r="H1854" s="1" t="s">
        <v>19</v>
      </c>
      <c r="I1854" s="1" t="s">
        <v>20</v>
      </c>
      <c r="J1854" s="1" t="s">
        <v>8624</v>
      </c>
      <c r="K1854" s="1" t="s">
        <v>22</v>
      </c>
      <c r="L1854" s="1" t="str">
        <f>HYPERLINK("https://files.afu.se/Downloads/Transcripts/0%20-%20Government/USA%20-%20NASA/2015 10 14 - NASA - Real Martians Moment  The Launch Abort System; Keeping Our Astronauts Safe_tG_SbgWe1to - transcript (automated).pdf","Transcript Link")</f>
        <v>Transcript Link</v>
      </c>
      <c r="M1854" s="2" t="str">
        <f>HYPERLINK("https://files.afu.se/Downloads/Transcripts/0%20-%20Government/USA%20-%20NASA/2015 10 14 - NASA - Real Martians Moment  The Launch Abort System; Keeping Our Astronauts Safe_tG_SbgWe1to - transcript (automated).pdf","Transcript Link")</f>
        <v>Transcript Link</v>
      </c>
    </row>
    <row r="1855" ht="165" spans="1:13">
      <c r="A1855" s="1" t="s">
        <v>8616</v>
      </c>
      <c r="B1855" s="1" t="s">
        <v>13</v>
      </c>
      <c r="C1855" s="4" t="s">
        <v>8625</v>
      </c>
      <c r="D1855" s="1" t="s">
        <v>8626</v>
      </c>
      <c r="E1855" s="1" t="s">
        <v>8627</v>
      </c>
      <c r="F1855" s="4" t="s">
        <v>17</v>
      </c>
      <c r="G1855" s="1" t="s">
        <v>18</v>
      </c>
      <c r="H1855" s="1" t="s">
        <v>19</v>
      </c>
      <c r="I1855" s="1" t="s">
        <v>20</v>
      </c>
      <c r="J1855" s="1" t="s">
        <v>8628</v>
      </c>
      <c r="K1855" s="1" t="s">
        <v>22</v>
      </c>
      <c r="L1855" s="1" t="str">
        <f>HYPERLINK("https://files.afu.se/Downloads/Transcripts/0%20-%20Government/USA%20-%20NASA/2015 10 14 - NASA - Real Martians Moment  Testing the RS-25_a7iflFfHQLw - transcript (automated).pdf","Transcript Link")</f>
        <v>Transcript Link</v>
      </c>
      <c r="M1855" s="2" t="str">
        <f>HYPERLINK("https://files.afu.se/Downloads/Transcripts/0%20-%20Government/USA%20-%20NASA/2015 10 14 - NASA - Real Martians Moment  Testing the RS-25_a7iflFfHQLw - transcript (automated).pdf","Transcript Link")</f>
        <v>Transcript Link</v>
      </c>
    </row>
    <row r="1856" ht="165" spans="1:13">
      <c r="A1856" s="1" t="s">
        <v>8629</v>
      </c>
      <c r="B1856" s="1" t="s">
        <v>13</v>
      </c>
      <c r="C1856" s="4" t="s">
        <v>8630</v>
      </c>
      <c r="D1856" s="1" t="s">
        <v>8631</v>
      </c>
      <c r="E1856" s="1" t="s">
        <v>8632</v>
      </c>
      <c r="F1856" s="4" t="s">
        <v>17</v>
      </c>
      <c r="G1856" s="1" t="s">
        <v>18</v>
      </c>
      <c r="H1856" s="1" t="s">
        <v>19</v>
      </c>
      <c r="I1856" s="1" t="s">
        <v>20</v>
      </c>
      <c r="J1856" s="1" t="s">
        <v>8633</v>
      </c>
      <c r="K1856" s="1" t="s">
        <v>22</v>
      </c>
      <c r="L1856" s="1" t="str">
        <f>HYPERLINK("https://files.afu.se/Downloads/Transcripts/0%20-%20Government/USA%20-%20NASA/2015 10 13 - NASA - Real Martians Moment  Mars 2020 and Astrobiology_idA4Pq5Tchk - transcript (automated).pdf","Transcript Link")</f>
        <v>Transcript Link</v>
      </c>
      <c r="M1856" s="2" t="str">
        <f>HYPERLINK("https://files.afu.se/Downloads/Transcripts/0%20-%20Government/USA%20-%20NASA/2015 10 13 - NASA - Real Martians Moment  Mars 2020 and Astrobiology_idA4Pq5Tchk - transcript (automated).pdf","Transcript Link")</f>
        <v>Transcript Link</v>
      </c>
    </row>
    <row r="1857" ht="165" spans="1:13">
      <c r="A1857" s="1" t="s">
        <v>8634</v>
      </c>
      <c r="B1857" s="1" t="s">
        <v>13</v>
      </c>
      <c r="C1857" s="4" t="s">
        <v>8635</v>
      </c>
      <c r="D1857" s="1" t="s">
        <v>8636</v>
      </c>
      <c r="E1857" s="1" t="s">
        <v>8637</v>
      </c>
      <c r="F1857" s="4" t="s">
        <v>17</v>
      </c>
      <c r="G1857" s="1" t="s">
        <v>18</v>
      </c>
      <c r="H1857" s="1" t="s">
        <v>19</v>
      </c>
      <c r="I1857" s="1" t="s">
        <v>20</v>
      </c>
      <c r="J1857" s="1" t="s">
        <v>8638</v>
      </c>
      <c r="K1857" s="1" t="s">
        <v>22</v>
      </c>
      <c r="L1857" s="1" t="str">
        <f>HYPERLINK("https://files.afu.se/Downloads/Transcripts/0%20-%20Government/USA%20-%20NASA/2015 10 12 - NASA - Real Martian Moments  Designing Orion_QMs7sWGm9q0 - transcript (automated).pdf","Transcript Link")</f>
        <v>Transcript Link</v>
      </c>
      <c r="M1857" s="2" t="str">
        <f>HYPERLINK("https://files.afu.se/Downloads/Transcripts/0%20-%20Government/USA%20-%20NASA/2015 10 12 - NASA - Real Martian Moments  Designing Orion_QMs7sWGm9q0 - transcript (automated).pdf","Transcript Link")</f>
        <v>Transcript Link</v>
      </c>
    </row>
    <row r="1858" ht="210" spans="1:13">
      <c r="A1858" s="1" t="s">
        <v>8639</v>
      </c>
      <c r="B1858" s="1" t="s">
        <v>13</v>
      </c>
      <c r="C1858" s="4" t="s">
        <v>8640</v>
      </c>
      <c r="D1858" s="1" t="s">
        <v>8641</v>
      </c>
      <c r="E1858" s="1" t="s">
        <v>8642</v>
      </c>
      <c r="F1858" s="4" t="s">
        <v>17</v>
      </c>
      <c r="G1858" s="1" t="s">
        <v>18</v>
      </c>
      <c r="H1858" s="1" t="s">
        <v>19</v>
      </c>
      <c r="I1858" s="1" t="s">
        <v>20</v>
      </c>
      <c r="J1858" s="1" t="s">
        <v>8643</v>
      </c>
      <c r="K1858" s="1" t="s">
        <v>22</v>
      </c>
      <c r="L1858" s="1" t="str">
        <f>HYPERLINK("https://files.afu.se/Downloads/Transcripts/0%20-%20Government/USA%20-%20NASA/2015 10 09 - NASA - NASA &amp; USDA teams to plant seeds Today on This Week @NASA – October 9, 2015_tWOiU2oJMSA - transcript (automated).pdf","Transcript Link")</f>
        <v>Transcript Link</v>
      </c>
      <c r="M1858" s="2" t="str">
        <f>HYPERLINK("https://files.afu.se/Downloads/Transcripts/0%20-%20Government/USA%20-%20NASA/2015 10 09 - NASA - NASA &amp; USDA teams to plant seeds Today on This Week @NASA – October 9, 2015_tWOiU2oJMSA - transcript (automated).pdf","Transcript Link")</f>
        <v>Transcript Link</v>
      </c>
    </row>
    <row r="1859" ht="165" spans="1:13">
      <c r="A1859" s="1" t="s">
        <v>8639</v>
      </c>
      <c r="B1859" s="1" t="s">
        <v>13</v>
      </c>
      <c r="C1859" s="4" t="s">
        <v>8644</v>
      </c>
      <c r="D1859" s="1" t="s">
        <v>8645</v>
      </c>
      <c r="E1859" s="1" t="s">
        <v>8646</v>
      </c>
      <c r="F1859" s="4" t="s">
        <v>17</v>
      </c>
      <c r="G1859" s="1" t="s">
        <v>18</v>
      </c>
      <c r="H1859" s="1" t="s">
        <v>19</v>
      </c>
      <c r="I1859" s="1" t="s">
        <v>20</v>
      </c>
      <c r="J1859" s="1" t="s">
        <v>8647</v>
      </c>
      <c r="K1859" s="1" t="s">
        <v>22</v>
      </c>
      <c r="L1859" s="1" t="str">
        <f>HYPERLINK("https://files.afu.se/Downloads/Transcripts/0%20-%20Government/USA%20-%20NASA/2015 10 09 - NASA - Real Martians Moments  Advanced Research_gByLBHIsD6E - transcript (automated).pdf","Transcript Link")</f>
        <v>Transcript Link</v>
      </c>
      <c r="M1859" s="2" t="str">
        <f>HYPERLINK("https://files.afu.se/Downloads/Transcripts/0%20-%20Government/USA%20-%20NASA/2015 10 09 - NASA - Real Martians Moments  Advanced Research_gByLBHIsD6E - transcript (automated).pdf","Transcript Link")</f>
        <v>Transcript Link</v>
      </c>
    </row>
    <row r="1860" ht="165" spans="1:13">
      <c r="A1860" s="1" t="s">
        <v>8648</v>
      </c>
      <c r="B1860" s="1" t="s">
        <v>13</v>
      </c>
      <c r="C1860" s="4" t="s">
        <v>8649</v>
      </c>
      <c r="D1860" s="1" t="s">
        <v>8650</v>
      </c>
      <c r="E1860" s="1" t="s">
        <v>8651</v>
      </c>
      <c r="F1860" s="4" t="s">
        <v>17</v>
      </c>
      <c r="G1860" s="1" t="s">
        <v>18</v>
      </c>
      <c r="H1860" s="1" t="s">
        <v>19</v>
      </c>
      <c r="I1860" s="1" t="s">
        <v>20</v>
      </c>
      <c r="J1860" s="1" t="s">
        <v>8652</v>
      </c>
      <c r="K1860" s="1" t="s">
        <v>22</v>
      </c>
      <c r="L1860" s="1" t="str">
        <f>HYPERLINK("https://files.afu.se/Downloads/Transcripts/0%20-%20Government/USA%20-%20NASA/2015 10 08 - NASA - Real Martians Moment  Robotics-Improving The Way That Humans Work in Space_3mL6C3SxaPw - transcript (automated).pdf","Transcript Link")</f>
        <v>Transcript Link</v>
      </c>
      <c r="M1860" s="2" t="str">
        <f>HYPERLINK("https://files.afu.se/Downloads/Transcripts/0%20-%20Government/USA%20-%20NASA/2015 10 08 - NASA - Real Martians Moment  Robotics-Improving The Way That Humans Work in Space_3mL6C3SxaPw - transcript (automated).pdf","Transcript Link")</f>
        <v>Transcript Link</v>
      </c>
    </row>
    <row r="1861" ht="165" spans="1:13">
      <c r="A1861" s="1" t="s">
        <v>8648</v>
      </c>
      <c r="B1861" s="1" t="s">
        <v>13</v>
      </c>
      <c r="C1861" s="4" t="s">
        <v>8653</v>
      </c>
      <c r="D1861" s="1" t="s">
        <v>8654</v>
      </c>
      <c r="E1861" s="1" t="s">
        <v>8655</v>
      </c>
      <c r="F1861" s="4" t="s">
        <v>17</v>
      </c>
      <c r="G1861" s="1" t="s">
        <v>18</v>
      </c>
      <c r="H1861" s="1" t="s">
        <v>19</v>
      </c>
      <c r="I1861" s="1" t="s">
        <v>20</v>
      </c>
      <c r="J1861" s="1" t="s">
        <v>8656</v>
      </c>
      <c r="K1861" s="1" t="s">
        <v>22</v>
      </c>
      <c r="L1861" s="1" t="str">
        <f>HYPERLINK("https://files.afu.se/Downloads/Transcripts/0%20-%20Government/USA%20-%20NASA/2015 10 08 - NASA - Real Martians Moments  Technology Drives Exploration_8uHgmYKVpGQ - transcript (automated).pdf","Transcript Link")</f>
        <v>Transcript Link</v>
      </c>
      <c r="M1861" s="2" t="str">
        <f>HYPERLINK("https://files.afu.se/Downloads/Transcripts/0%20-%20Government/USA%20-%20NASA/2015 10 08 - NASA - Real Martians Moments  Technology Drives Exploration_8uHgmYKVpGQ - transcript (automated).pdf","Transcript Link")</f>
        <v>Transcript Link</v>
      </c>
    </row>
    <row r="1862" ht="165" spans="1:13">
      <c r="A1862" s="1" t="s">
        <v>8648</v>
      </c>
      <c r="B1862" s="1" t="s">
        <v>13</v>
      </c>
      <c r="C1862" s="4" t="s">
        <v>8657</v>
      </c>
      <c r="D1862" s="1" t="s">
        <v>8658</v>
      </c>
      <c r="E1862" s="1" t="s">
        <v>8659</v>
      </c>
      <c r="F1862" s="4" t="s">
        <v>17</v>
      </c>
      <c r="G1862" s="1" t="s">
        <v>18</v>
      </c>
      <c r="H1862" s="1" t="s">
        <v>19</v>
      </c>
      <c r="I1862" s="1" t="s">
        <v>20</v>
      </c>
      <c r="J1862" s="1" t="s">
        <v>8660</v>
      </c>
      <c r="K1862" s="1" t="s">
        <v>22</v>
      </c>
      <c r="L1862" s="1" t="str">
        <f>HYPERLINK("https://files.afu.se/Downloads/Transcripts/0%20-%20Government/USA%20-%20NASA/2015 10 08 - NASA - Space Station Commander gives Insight Into Life in Space_vGr8FH92cXc - transcript (automated).pdf","Transcript Link")</f>
        <v>Transcript Link</v>
      </c>
      <c r="M1862" s="2" t="str">
        <f>HYPERLINK("https://files.afu.se/Downloads/Transcripts/0%20-%20Government/USA%20-%20NASA/2015 10 08 - NASA - Space Station Commander gives Insight Into Life in Space_vGr8FH92cXc - transcript (automated).pdf","Transcript Link")</f>
        <v>Transcript Link</v>
      </c>
    </row>
    <row r="1863" ht="165" spans="1:13">
      <c r="A1863" s="1" t="s">
        <v>8648</v>
      </c>
      <c r="B1863" s="1" t="s">
        <v>13</v>
      </c>
      <c r="C1863" s="4" t="s">
        <v>8661</v>
      </c>
      <c r="D1863" s="1" t="s">
        <v>8662</v>
      </c>
      <c r="E1863" s="1" t="s">
        <v>8663</v>
      </c>
      <c r="F1863" s="4" t="s">
        <v>17</v>
      </c>
      <c r="G1863" s="1" t="s">
        <v>18</v>
      </c>
      <c r="H1863" s="1" t="s">
        <v>19</v>
      </c>
      <c r="I1863" s="1" t="s">
        <v>20</v>
      </c>
      <c r="J1863" s="1" t="s">
        <v>8664</v>
      </c>
      <c r="K1863" s="1" t="s">
        <v>22</v>
      </c>
      <c r="L1863" s="1" t="str">
        <f>HYPERLINK("https://files.afu.se/Downloads/Transcripts/0%20-%20Government/USA%20-%20NASA/2015 10 08 - NASA - NASA Hispanic Heritage Month Profile - Oscar Murillo, Armstrong Flight Research Center_oNufd4QWdjY - transcript (automated).pdf","Transcript Link")</f>
        <v>Transcript Link</v>
      </c>
      <c r="M1863" s="2" t="str">
        <f>HYPERLINK("https://files.afu.se/Downloads/Transcripts/0%20-%20Government/USA%20-%20NASA/2015 10 08 - NASA - NASA Hispanic Heritage Month Profile - Oscar Murillo, Armstrong Flight Research Center_oNufd4QWdjY - transcript (automated).pdf","Transcript Link")</f>
        <v>Transcript Link</v>
      </c>
    </row>
    <row r="1864" ht="165" spans="1:13">
      <c r="A1864" s="1" t="s">
        <v>8648</v>
      </c>
      <c r="B1864" s="1" t="s">
        <v>13</v>
      </c>
      <c r="C1864" s="4" t="s">
        <v>8665</v>
      </c>
      <c r="D1864" s="1" t="s">
        <v>8666</v>
      </c>
      <c r="E1864" s="1" t="s">
        <v>8667</v>
      </c>
      <c r="F1864" s="4" t="s">
        <v>17</v>
      </c>
      <c r="G1864" s="1" t="s">
        <v>18</v>
      </c>
      <c r="H1864" s="1" t="s">
        <v>19</v>
      </c>
      <c r="I1864" s="1" t="s">
        <v>20</v>
      </c>
      <c r="J1864" s="1" t="s">
        <v>8668</v>
      </c>
      <c r="K1864" s="1" t="s">
        <v>22</v>
      </c>
      <c r="L1864" s="1" t="str">
        <f>HYPERLINK("https://files.afu.se/Downloads/Transcripts/0%20-%20Government/USA%20-%20NASA/2015 10 08 - NASA - Real Martians Moment  Kennedy Space Center Tour_b-0WOnjPndM - transcript (automated).pdf","Transcript Link")</f>
        <v>Transcript Link</v>
      </c>
      <c r="M1864" s="2" t="str">
        <f>HYPERLINK("https://files.afu.se/Downloads/Transcripts/0%20-%20Government/USA%20-%20NASA/2015 10 08 - NASA - Real Martians Moment  Kennedy Space Center Tour_b-0WOnjPndM - transcript (automated).pdf","Transcript Link")</f>
        <v>Transcript Link</v>
      </c>
    </row>
    <row r="1865" ht="165" spans="1:13">
      <c r="A1865" s="1" t="s">
        <v>8648</v>
      </c>
      <c r="B1865" s="1" t="s">
        <v>13</v>
      </c>
      <c r="C1865" s="4" t="s">
        <v>8669</v>
      </c>
      <c r="D1865" s="1" t="s">
        <v>8670</v>
      </c>
      <c r="E1865" s="1" t="s">
        <v>8671</v>
      </c>
      <c r="F1865" s="4" t="s">
        <v>17</v>
      </c>
      <c r="G1865" s="1" t="s">
        <v>18</v>
      </c>
      <c r="H1865" s="1" t="s">
        <v>19</v>
      </c>
      <c r="I1865" s="1" t="s">
        <v>20</v>
      </c>
      <c r="J1865" s="1" t="s">
        <v>8672</v>
      </c>
      <c r="K1865" s="1" t="s">
        <v>22</v>
      </c>
      <c r="L1865" s="1" t="str">
        <f>HYPERLINK("https://files.afu.se/Downloads/Transcripts/0%20-%20Government/USA%20-%20NASA/2015 10 08 - NASA - SmallSats Launched to Test New Tech_c2MOF0tobOo - transcript (automated).pdf","Transcript Link")</f>
        <v>Transcript Link</v>
      </c>
      <c r="M1865" s="2" t="str">
        <f>HYPERLINK("https://files.afu.se/Downloads/Transcripts/0%20-%20Government/USA%20-%20NASA/2015 10 08 - NASA - SmallSats Launched to Test New Tech_c2MOF0tobOo - transcript (automated).pdf","Transcript Link")</f>
        <v>Transcript Link</v>
      </c>
    </row>
    <row r="1866" ht="165" spans="1:13">
      <c r="A1866" s="1" t="s">
        <v>8673</v>
      </c>
      <c r="B1866" s="1" t="s">
        <v>13</v>
      </c>
      <c r="C1866" s="4" t="s">
        <v>8674</v>
      </c>
      <c r="D1866" s="1" t="s">
        <v>8675</v>
      </c>
      <c r="E1866" s="1" t="s">
        <v>8676</v>
      </c>
      <c r="F1866" s="4" t="s">
        <v>17</v>
      </c>
      <c r="G1866" s="1" t="s">
        <v>18</v>
      </c>
      <c r="H1866" s="1" t="s">
        <v>19</v>
      </c>
      <c r="I1866" s="1" t="s">
        <v>20</v>
      </c>
      <c r="J1866" s="1" t="s">
        <v>8677</v>
      </c>
      <c r="K1866" s="1" t="s">
        <v>22</v>
      </c>
      <c r="L1866" s="1" t="str">
        <f>HYPERLINK("https://files.afu.se/Downloads/Transcripts/0%20-%20Government/USA%20-%20NASA/2015 10 07 - NASA - NASA Hispanic Heritage Month Profile -- Miguel De Jesus, Marshall Space Flight Center_WTMXkpL59Nw - transcript (automated).pdf","Transcript Link")</f>
        <v>Transcript Link</v>
      </c>
      <c r="M1866" s="2" t="str">
        <f>HYPERLINK("https://files.afu.se/Downloads/Transcripts/0%20-%20Government/USA%20-%20NASA/2015 10 07 - NASA - NASA Hispanic Heritage Month Profile -- Miguel De Jesus, Marshall Space Flight Center_WTMXkpL59Nw - transcript (automated).pdf","Transcript Link")</f>
        <v>Transcript Link</v>
      </c>
    </row>
    <row r="1867" ht="165" spans="1:13">
      <c r="A1867" s="1" t="s">
        <v>8673</v>
      </c>
      <c r="B1867" s="1" t="s">
        <v>13</v>
      </c>
      <c r="C1867" s="4" t="s">
        <v>8678</v>
      </c>
      <c r="D1867" s="1" t="s">
        <v>8679</v>
      </c>
      <c r="E1867" s="1" t="s">
        <v>8680</v>
      </c>
      <c r="F1867" s="4" t="s">
        <v>17</v>
      </c>
      <c r="G1867" s="1" t="s">
        <v>18</v>
      </c>
      <c r="H1867" s="1" t="s">
        <v>19</v>
      </c>
      <c r="I1867" s="1" t="s">
        <v>20</v>
      </c>
      <c r="J1867" s="1" t="s">
        <v>8681</v>
      </c>
      <c r="K1867" s="1" t="s">
        <v>22</v>
      </c>
      <c r="L1867" s="1" t="str">
        <f>HYPERLINK("https://files.afu.se/Downloads/Transcripts/0%20-%20Government/USA%20-%20NASA/2015 10 07 - NASA - A Chat with the One-Year Crew_kR0US6JEGRU - transcript (automated).pdf","Transcript Link")</f>
        <v>Transcript Link</v>
      </c>
      <c r="M1867" s="2" t="str">
        <f>HYPERLINK("https://files.afu.se/Downloads/Transcripts/0%20-%20Government/USA%20-%20NASA/2015 10 07 - NASA - A Chat with the One-Year Crew_kR0US6JEGRU - transcript (automated).pdf","Transcript Link")</f>
        <v>Transcript Link</v>
      </c>
    </row>
    <row r="1868" ht="165" spans="1:13">
      <c r="A1868" s="1" t="s">
        <v>8673</v>
      </c>
      <c r="B1868" s="1" t="s">
        <v>13</v>
      </c>
      <c r="C1868" s="4" t="s">
        <v>8682</v>
      </c>
      <c r="D1868" s="1" t="s">
        <v>8683</v>
      </c>
      <c r="E1868" s="1" t="s">
        <v>8684</v>
      </c>
      <c r="F1868" s="4" t="s">
        <v>17</v>
      </c>
      <c r="G1868" s="1" t="s">
        <v>18</v>
      </c>
      <c r="H1868" s="1" t="s">
        <v>19</v>
      </c>
      <c r="I1868" s="1" t="s">
        <v>20</v>
      </c>
      <c r="J1868" s="1" t="s">
        <v>8685</v>
      </c>
      <c r="K1868" s="1" t="s">
        <v>22</v>
      </c>
      <c r="L1868" s="1" t="str">
        <f>HYPERLINK("https://files.afu.se/Downloads/Transcripts/0%20-%20Government/USA%20-%20NASA/2015 10 07 - NASA - CubeSats on a Mission!_b6duPV3BwcY - transcript (automated).pdf","Transcript Link")</f>
        <v>Transcript Link</v>
      </c>
      <c r="M1868" s="2" t="str">
        <f>HYPERLINK("https://files.afu.se/Downloads/Transcripts/0%20-%20Government/USA%20-%20NASA/2015 10 07 - NASA - CubeSats on a Mission!_b6duPV3BwcY - transcript (automated).pdf","Transcript Link")</f>
        <v>Transcript Link</v>
      </c>
    </row>
    <row r="1869" ht="165" spans="1:13">
      <c r="A1869" s="1" t="s">
        <v>8673</v>
      </c>
      <c r="B1869" s="1" t="s">
        <v>13</v>
      </c>
      <c r="C1869" s="4" t="s">
        <v>8686</v>
      </c>
      <c r="D1869" s="1" t="s">
        <v>8687</v>
      </c>
      <c r="E1869" s="1" t="s">
        <v>8688</v>
      </c>
      <c r="F1869" s="4" t="s">
        <v>17</v>
      </c>
      <c r="G1869" s="1" t="s">
        <v>18</v>
      </c>
      <c r="H1869" s="1" t="s">
        <v>19</v>
      </c>
      <c r="I1869" s="1" t="s">
        <v>20</v>
      </c>
      <c r="J1869" s="1" t="s">
        <v>8689</v>
      </c>
      <c r="K1869" s="1" t="s">
        <v>22</v>
      </c>
      <c r="L1869" s="1" t="str">
        <f>HYPERLINK("https://files.afu.se/Downloads/Transcripts/0%20-%20Government/USA%20-%20NASA/2015 10 07 - NASA - SmallSats Testing Big Technology_iOdJ8-my7ls - transcript (automated).pdf","Transcript Link")</f>
        <v>Transcript Link</v>
      </c>
      <c r="M1869" s="2" t="str">
        <f>HYPERLINK("https://files.afu.se/Downloads/Transcripts/0%20-%20Government/USA%20-%20NASA/2015 10 07 - NASA - SmallSats Testing Big Technology_iOdJ8-my7ls - transcript (automated).pdf","Transcript Link")</f>
        <v>Transcript Link</v>
      </c>
    </row>
    <row r="1870" ht="180" spans="1:13">
      <c r="A1870" s="1" t="s">
        <v>8673</v>
      </c>
      <c r="B1870" s="1" t="s">
        <v>13</v>
      </c>
      <c r="C1870" s="4" t="s">
        <v>8690</v>
      </c>
      <c r="D1870" s="1" t="s">
        <v>8691</v>
      </c>
      <c r="E1870" s="1" t="s">
        <v>8692</v>
      </c>
      <c r="F1870" s="4" t="s">
        <v>17</v>
      </c>
      <c r="G1870" s="1" t="s">
        <v>18</v>
      </c>
      <c r="H1870" s="1" t="s">
        <v>19</v>
      </c>
      <c r="I1870" s="1" t="s">
        <v>20</v>
      </c>
      <c r="J1870" s="1" t="s">
        <v>8693</v>
      </c>
      <c r="K1870" s="1" t="s">
        <v>22</v>
      </c>
      <c r="L1870" s="1" t="str">
        <f>HYPERLINK("https://files.afu.se/Downloads/Transcripts/0%20-%20Government/USA%20-%20NASA/2015 10 07 - NASA - Real Martians Moment  Location, Location, Location_5HfIxhkFFBg - transcript (automated).pdf","Transcript Link")</f>
        <v>Transcript Link</v>
      </c>
      <c r="M1870" s="2" t="str">
        <f>HYPERLINK("https://files.afu.se/Downloads/Transcripts/0%20-%20Government/USA%20-%20NASA/2015 10 07 - NASA - Real Martians Moment  Location, Location, Location_5HfIxhkFFBg - transcript (automated).pdf","Transcript Link")</f>
        <v>Transcript Link</v>
      </c>
    </row>
    <row r="1871" ht="225" spans="1:13">
      <c r="A1871" s="1" t="s">
        <v>8673</v>
      </c>
      <c r="B1871" s="1" t="s">
        <v>13</v>
      </c>
      <c r="C1871" s="4" t="s">
        <v>8694</v>
      </c>
      <c r="D1871" s="1" t="s">
        <v>8695</v>
      </c>
      <c r="E1871" s="1" t="s">
        <v>8696</v>
      </c>
      <c r="F1871" s="4" t="s">
        <v>17</v>
      </c>
      <c r="G1871" s="1" t="s">
        <v>18</v>
      </c>
      <c r="H1871" s="1" t="s">
        <v>19</v>
      </c>
      <c r="I1871" s="1" t="s">
        <v>20</v>
      </c>
      <c r="J1871" s="1" t="s">
        <v>8697</v>
      </c>
      <c r="K1871" s="1" t="s">
        <v>22</v>
      </c>
      <c r="L1871" s="1" t="str">
        <f>HYPERLINK("https://files.afu.se/Downloads/Transcripts/0%20-%20Government/USA%20-%20NASA/2015 10 07 - NASA - The Real Martians Moment  Where We’ve Never Been_WYhQ70Bl8U4 - transcript (automated).pdf","Transcript Link")</f>
        <v>Transcript Link</v>
      </c>
      <c r="M1871" s="2" t="str">
        <f>HYPERLINK("https://files.afu.se/Downloads/Transcripts/0%20-%20Government/USA%20-%20NASA/2015 10 07 - NASA - The Real Martians Moment  Where We’ve Never Been_WYhQ70Bl8U4 - transcript (automated).pdf","Transcript Link")</f>
        <v>Transcript Link</v>
      </c>
    </row>
    <row r="1872" ht="165" spans="1:13">
      <c r="A1872" s="1" t="s">
        <v>8698</v>
      </c>
      <c r="B1872" s="1" t="s">
        <v>13</v>
      </c>
      <c r="C1872" s="4" t="s">
        <v>8699</v>
      </c>
      <c r="D1872" s="1" t="s">
        <v>8700</v>
      </c>
      <c r="E1872" s="1" t="s">
        <v>8701</v>
      </c>
      <c r="F1872" s="4" t="s">
        <v>17</v>
      </c>
      <c r="G1872" s="1" t="s">
        <v>18</v>
      </c>
      <c r="H1872" s="1" t="s">
        <v>19</v>
      </c>
      <c r="I1872" s="1" t="s">
        <v>20</v>
      </c>
      <c r="J1872" s="1" t="s">
        <v>8702</v>
      </c>
      <c r="K1872" s="1" t="s">
        <v>22</v>
      </c>
      <c r="L1872" s="1" t="str">
        <f>HYPERLINK("https://files.afu.se/Downloads/Transcripts/0%20-%20Government/USA%20-%20NASA/2015 10 06 - NASA - Sally Ride  Curating Her Life_8PnKBILf_4I - transcript (automated).pdf","Transcript Link")</f>
        <v>Transcript Link</v>
      </c>
      <c r="M1872" s="2" t="str">
        <f>HYPERLINK("https://files.afu.se/Downloads/Transcripts/0%20-%20Government/USA%20-%20NASA/2015 10 06 - NASA - Sally Ride  Curating Her Life_8PnKBILf_4I - transcript (automated).pdf","Transcript Link")</f>
        <v>Transcript Link</v>
      </c>
    </row>
    <row r="1873" ht="165" spans="1:13">
      <c r="A1873" s="1" t="s">
        <v>8698</v>
      </c>
      <c r="B1873" s="1" t="s">
        <v>13</v>
      </c>
      <c r="C1873" s="4" t="s">
        <v>8703</v>
      </c>
      <c r="D1873" s="1" t="s">
        <v>8704</v>
      </c>
      <c r="E1873" s="1" t="s">
        <v>8705</v>
      </c>
      <c r="F1873" s="4" t="s">
        <v>17</v>
      </c>
      <c r="G1873" s="1" t="s">
        <v>18</v>
      </c>
      <c r="H1873" s="1" t="s">
        <v>19</v>
      </c>
      <c r="I1873" s="1" t="s">
        <v>20</v>
      </c>
      <c r="J1873" s="1" t="s">
        <v>8706</v>
      </c>
      <c r="K1873" s="1" t="s">
        <v>22</v>
      </c>
      <c r="L1873" s="1" t="str">
        <f>HYPERLINK("https://files.afu.se/Downloads/Transcripts/0%20-%20Government/USA%20-%20NASA/2015 10 06 - NASA - Real Martians Moment  Behind the Scenes with Dr. Jim Green_wkyTzL3DZgI - transcript (automated).pdf","Transcript Link")</f>
        <v>Transcript Link</v>
      </c>
      <c r="M1873" s="2" t="str">
        <f>HYPERLINK("https://files.afu.se/Downloads/Transcripts/0%20-%20Government/USA%20-%20NASA/2015 10 06 - NASA - Real Martians Moment  Behind the Scenes with Dr. Jim Green_wkyTzL3DZgI - transcript (automated).pdf","Transcript Link")</f>
        <v>Transcript Link</v>
      </c>
    </row>
    <row r="1874" ht="165" spans="1:13">
      <c r="A1874" s="1" t="s">
        <v>8707</v>
      </c>
      <c r="B1874" s="1" t="s">
        <v>13</v>
      </c>
      <c r="C1874" s="4" t="s">
        <v>8708</v>
      </c>
      <c r="D1874" s="1" t="s">
        <v>8709</v>
      </c>
      <c r="E1874" s="1" t="s">
        <v>8710</v>
      </c>
      <c r="F1874" s="4" t="s">
        <v>17</v>
      </c>
      <c r="G1874" s="1" t="s">
        <v>18</v>
      </c>
      <c r="H1874" s="1" t="s">
        <v>19</v>
      </c>
      <c r="I1874" s="1" t="s">
        <v>20</v>
      </c>
      <c r="J1874" s="1" t="s">
        <v>8711</v>
      </c>
      <c r="K1874" s="1" t="s">
        <v>22</v>
      </c>
      <c r="L1874" s="1" t="str">
        <f>HYPERLINK("https://files.afu.se/Downloads/Transcripts/0%20-%20Government/USA%20-%20NASA/2015 10 05 - NASA - NASA Astronauts to Students  Aim High!_bEzxBZL7clc - transcript (automated).pdf","Transcript Link")</f>
        <v>Transcript Link</v>
      </c>
      <c r="M1874" s="2" t="str">
        <f>HYPERLINK("https://files.afu.se/Downloads/Transcripts/0%20-%20Government/USA%20-%20NASA/2015 10 05 - NASA - NASA Astronauts to Students  Aim High!_bEzxBZL7clc - transcript (automated).pdf","Transcript Link")</f>
        <v>Transcript Link</v>
      </c>
    </row>
    <row r="1875" ht="210" spans="1:13">
      <c r="A1875" s="1" t="s">
        <v>8707</v>
      </c>
      <c r="B1875" s="1" t="s">
        <v>13</v>
      </c>
      <c r="C1875" s="4" t="s">
        <v>8712</v>
      </c>
      <c r="D1875" s="1" t="s">
        <v>8713</v>
      </c>
      <c r="E1875" s="1" t="s">
        <v>8714</v>
      </c>
      <c r="F1875" s="4" t="s">
        <v>17</v>
      </c>
      <c r="G1875" s="1" t="s">
        <v>18</v>
      </c>
      <c r="H1875" s="1" t="s">
        <v>19</v>
      </c>
      <c r="I1875" s="1" t="s">
        <v>20</v>
      </c>
      <c r="J1875" s="1" t="s">
        <v>8715</v>
      </c>
      <c r="K1875" s="1" t="s">
        <v>22</v>
      </c>
      <c r="L1875" s="1" t="str">
        <f>HYPERLINK("https://files.afu.se/Downloads/Transcripts/0%20-%20Government/USA%20-%20NASA/2015 10 05 - NASA - Real Martians Moment  Fitness, “Above” All_ZLu4zEd9vpE - transcript (automated).pdf","Transcript Link")</f>
        <v>Transcript Link</v>
      </c>
      <c r="M1875" s="2" t="str">
        <f>HYPERLINK("https://files.afu.se/Downloads/Transcripts/0%20-%20Government/USA%20-%20NASA/2015 10 05 - NASA - Real Martians Moment  Fitness, “Above” All_ZLu4zEd9vpE - transcript (automated).pdf","Transcript Link")</f>
        <v>Transcript Link</v>
      </c>
    </row>
    <row r="1876" ht="225" spans="1:13">
      <c r="A1876" s="1" t="s">
        <v>8716</v>
      </c>
      <c r="B1876" s="1" t="s">
        <v>13</v>
      </c>
      <c r="C1876" s="4" t="s">
        <v>8717</v>
      </c>
      <c r="D1876" s="1" t="s">
        <v>8718</v>
      </c>
      <c r="E1876" s="1" t="s">
        <v>8719</v>
      </c>
      <c r="F1876" s="4" t="s">
        <v>17</v>
      </c>
      <c r="G1876" s="1" t="s">
        <v>18</v>
      </c>
      <c r="H1876" s="1" t="s">
        <v>19</v>
      </c>
      <c r="I1876" s="1" t="s">
        <v>20</v>
      </c>
      <c r="J1876" s="1" t="s">
        <v>8720</v>
      </c>
      <c r="K1876" s="1" t="s">
        <v>22</v>
      </c>
      <c r="L1876" s="1" t="str">
        <f>HYPERLINK("https://files.afu.se/Downloads/Transcripts/0%20-%20Government/USA%20-%20NASA/2015 10 02 - NASA - Water Flowing on Mars Today on This Week @NASA – October 2, 2015_H4kmBX0J3K8 - transcript (automated).pdf","Transcript Link")</f>
        <v>Transcript Link</v>
      </c>
      <c r="M1876" s="2" t="str">
        <f>HYPERLINK("https://files.afu.se/Downloads/Transcripts/0%20-%20Government/USA%20-%20NASA/2015 10 02 - NASA - Water Flowing on Mars Today on This Week @NASA – October 2, 2015_H4kmBX0J3K8 - transcript (automated).pdf","Transcript Link")</f>
        <v>Transcript Link</v>
      </c>
    </row>
    <row r="1877" ht="180" spans="1:13">
      <c r="A1877" s="1" t="s">
        <v>8716</v>
      </c>
      <c r="B1877" s="1" t="s">
        <v>13</v>
      </c>
      <c r="C1877" s="4" t="s">
        <v>8721</v>
      </c>
      <c r="D1877" s="1" t="s">
        <v>8722</v>
      </c>
      <c r="E1877" s="1" t="s">
        <v>8723</v>
      </c>
      <c r="F1877" s="4" t="s">
        <v>17</v>
      </c>
      <c r="G1877" s="1" t="s">
        <v>18</v>
      </c>
      <c r="H1877" s="1" t="s">
        <v>19</v>
      </c>
      <c r="I1877" s="1" t="s">
        <v>20</v>
      </c>
      <c r="J1877" s="1" t="s">
        <v>8724</v>
      </c>
      <c r="K1877" s="1" t="s">
        <v>22</v>
      </c>
      <c r="L1877" s="1" t="str">
        <f>HYPERLINK("https://files.afu.se/Downloads/Transcripts/0%20-%20Government/USA%20-%20NASA/2015 10 02 - NASA - Space Station Commander Discusses Life in Space with CBS’ Internet Outlet_zof3HiB-_x8 - transcript (automated).pdf","Transcript Link")</f>
        <v>Transcript Link</v>
      </c>
      <c r="M1877" s="2" t="str">
        <f>HYPERLINK("https://files.afu.se/Downloads/Transcripts/0%20-%20Government/USA%20-%20NASA/2015 10 02 - NASA - Space Station Commander Discusses Life in Space with CBS’ Internet Outlet_zof3HiB-_x8 - transcript (automated).pdf","Transcript Link")</f>
        <v>Transcript Link</v>
      </c>
    </row>
    <row r="1878" ht="210" spans="1:13">
      <c r="A1878" s="1" t="s">
        <v>8716</v>
      </c>
      <c r="B1878" s="1" t="s">
        <v>13</v>
      </c>
      <c r="C1878" s="4" t="s">
        <v>8725</v>
      </c>
      <c r="D1878" s="1" t="s">
        <v>8726</v>
      </c>
      <c r="E1878" s="1" t="s">
        <v>8727</v>
      </c>
      <c r="F1878" s="4" t="s">
        <v>17</v>
      </c>
      <c r="G1878" s="1" t="s">
        <v>18</v>
      </c>
      <c r="H1878" s="1" t="s">
        <v>19</v>
      </c>
      <c r="I1878" s="1" t="s">
        <v>20</v>
      </c>
      <c r="J1878" s="1" t="s">
        <v>8728</v>
      </c>
      <c r="K1878" s="1" t="s">
        <v>22</v>
      </c>
      <c r="L1878" s="1" t="str">
        <f>HYPERLINK("https://files.afu.se/Downloads/Transcripts/0%20-%20Government/USA%20-%20NASA/2015 10 02 - NASA - Real Martians Moment  This Stuff Never Gets Old!_Q28LzAhEz9k - transcript (automated).pdf","Transcript Link")</f>
        <v>Transcript Link</v>
      </c>
      <c r="M1878" s="2" t="str">
        <f>HYPERLINK("https://files.afu.se/Downloads/Transcripts/0%20-%20Government/USA%20-%20NASA/2015 10 02 - NASA - Real Martians Moment  This Stuff Never Gets Old!_Q28LzAhEz9k - transcript (automated).pdf","Transcript Link")</f>
        <v>Transcript Link</v>
      </c>
    </row>
    <row r="1879" ht="165" spans="1:13">
      <c r="A1879" s="1" t="s">
        <v>8716</v>
      </c>
      <c r="B1879" s="1" t="s">
        <v>13</v>
      </c>
      <c r="C1879" s="4" t="s">
        <v>8729</v>
      </c>
      <c r="D1879" s="1" t="s">
        <v>8730</v>
      </c>
      <c r="E1879" s="1" t="s">
        <v>8731</v>
      </c>
      <c r="F1879" s="4" t="s">
        <v>17</v>
      </c>
      <c r="G1879" s="1" t="s">
        <v>18</v>
      </c>
      <c r="H1879" s="1" t="s">
        <v>19</v>
      </c>
      <c r="I1879" s="1" t="s">
        <v>20</v>
      </c>
      <c r="J1879" s="1" t="s">
        <v>8732</v>
      </c>
      <c r="K1879" s="1" t="s">
        <v>22</v>
      </c>
      <c r="L1879" s="1" t="str">
        <f>HYPERLINK("https://files.afu.se/Downloads/Transcripts/0%20-%20Government/USA%20-%20NASA/2015 10 02 - NASA - Real Martians Moment  Not Your Daddy's Dune Buggy_fQTOx7fpsCM - transcript (automated).pdf","Transcript Link")</f>
        <v>Transcript Link</v>
      </c>
      <c r="M1879" s="2" t="str">
        <f>HYPERLINK("https://files.afu.se/Downloads/Transcripts/0%20-%20Government/USA%20-%20NASA/2015 10 02 - NASA - Real Martians Moment  Not Your Daddy's Dune Buggy_fQTOx7fpsCM - transcript (automated).pdf","Transcript Link")</f>
        <v>Transcript Link</v>
      </c>
    </row>
    <row r="1880" ht="165" spans="1:13">
      <c r="A1880" s="1" t="s">
        <v>8716</v>
      </c>
      <c r="B1880" s="1" t="s">
        <v>13</v>
      </c>
      <c r="C1880" s="4" t="s">
        <v>8733</v>
      </c>
      <c r="D1880" s="1" t="s">
        <v>8734</v>
      </c>
      <c r="E1880" s="1" t="s">
        <v>8735</v>
      </c>
      <c r="F1880" s="4" t="s">
        <v>17</v>
      </c>
      <c r="G1880" s="1" t="s">
        <v>18</v>
      </c>
      <c r="H1880" s="1" t="s">
        <v>19</v>
      </c>
      <c r="I1880" s="1" t="s">
        <v>20</v>
      </c>
      <c r="J1880" s="1" t="s">
        <v>8736</v>
      </c>
      <c r="K1880" s="1" t="s">
        <v>22</v>
      </c>
      <c r="L1880" s="1" t="str">
        <f>HYPERLINK("https://files.afu.se/Downloads/Transcripts/0%20-%20Government/USA%20-%20NASA/2015 10 02 - NASA - Real Martians Moment  Getting Ready to Rumble!_XQ-S-7SVqqQ - transcript (automated).pdf","Transcript Link")</f>
        <v>Transcript Link</v>
      </c>
      <c r="M1880" s="2" t="str">
        <f>HYPERLINK("https://files.afu.se/Downloads/Transcripts/0%20-%20Government/USA%20-%20NASA/2015 10 02 - NASA - Real Martians Moment  Getting Ready to Rumble!_XQ-S-7SVqqQ - transcript (automated).pdf","Transcript Link")</f>
        <v>Transcript Link</v>
      </c>
    </row>
    <row r="1881" ht="165" spans="1:13">
      <c r="A1881" s="1" t="s">
        <v>8737</v>
      </c>
      <c r="B1881" s="1" t="s">
        <v>13</v>
      </c>
      <c r="C1881" s="4" t="s">
        <v>8738</v>
      </c>
      <c r="D1881" s="1" t="s">
        <v>8739</v>
      </c>
      <c r="E1881" s="1" t="s">
        <v>8740</v>
      </c>
      <c r="F1881" s="4" t="s">
        <v>17</v>
      </c>
      <c r="G1881" s="1" t="s">
        <v>18</v>
      </c>
      <c r="H1881" s="1" t="s">
        <v>19</v>
      </c>
      <c r="I1881" s="1" t="s">
        <v>20</v>
      </c>
      <c r="J1881" s="1" t="s">
        <v>8741</v>
      </c>
      <c r="K1881" s="1" t="s">
        <v>22</v>
      </c>
      <c r="L1881" s="1" t="str">
        <f>HYPERLINK("https://files.afu.se/Downloads/Transcripts/0%20-%20Government/USA%20-%20NASA/2015 10 01 - NASA - Russian Cargo Ship Arrives at the International Space Station_ekXCaUwfSg0 - transcript (automated).pdf","Transcript Link")</f>
        <v>Transcript Link</v>
      </c>
      <c r="M1881" s="2" t="str">
        <f>HYPERLINK("https://files.afu.se/Downloads/Transcripts/0%20-%20Government/USA%20-%20NASA/2015 10 01 - NASA - Russian Cargo Ship Arrives at the International Space Station_ekXCaUwfSg0 - transcript (automated).pdf","Transcript Link")</f>
        <v>Transcript Link</v>
      </c>
    </row>
    <row r="1882" ht="165" spans="1:13">
      <c r="A1882" s="1" t="s">
        <v>8737</v>
      </c>
      <c r="B1882" s="1" t="s">
        <v>13</v>
      </c>
      <c r="C1882" s="4" t="s">
        <v>8742</v>
      </c>
      <c r="D1882" s="1" t="s">
        <v>8743</v>
      </c>
      <c r="E1882" s="1" t="s">
        <v>8744</v>
      </c>
      <c r="F1882" s="4" t="s">
        <v>17</v>
      </c>
      <c r="G1882" s="1" t="s">
        <v>18</v>
      </c>
      <c r="H1882" s="1" t="s">
        <v>19</v>
      </c>
      <c r="I1882" s="1" t="s">
        <v>20</v>
      </c>
      <c r="J1882" s="1" t="s">
        <v>8745</v>
      </c>
      <c r="K1882" s="1" t="s">
        <v>22</v>
      </c>
      <c r="L1882" s="1" t="str">
        <f>HYPERLINK("https://files.afu.se/Downloads/Transcripts/0%20-%20Government/USA%20-%20NASA/2015 10 01 - NASA - So You Want to Be a Martian _I3fsdHEOPes - transcript (automated).pdf","Transcript Link")</f>
        <v>Transcript Link</v>
      </c>
      <c r="M1882" s="2" t="str">
        <f>HYPERLINK("https://files.afu.se/Downloads/Transcripts/0%20-%20Government/USA%20-%20NASA/2015 10 01 - NASA - So You Want to Be a Martian _I3fsdHEOPes - transcript (automated).pdf","Transcript Link")</f>
        <v>Transcript Link</v>
      </c>
    </row>
    <row r="1883" ht="165" spans="1:13">
      <c r="A1883" s="1" t="s">
        <v>8737</v>
      </c>
      <c r="B1883" s="1" t="s">
        <v>13</v>
      </c>
      <c r="C1883" s="4" t="s">
        <v>8746</v>
      </c>
      <c r="D1883" s="1" t="s">
        <v>8747</v>
      </c>
      <c r="E1883" s="1" t="s">
        <v>8748</v>
      </c>
      <c r="F1883" s="4" t="s">
        <v>17</v>
      </c>
      <c r="G1883" s="1" t="s">
        <v>18</v>
      </c>
      <c r="H1883" s="1" t="s">
        <v>19</v>
      </c>
      <c r="I1883" s="1" t="s">
        <v>20</v>
      </c>
      <c r="J1883" s="1" t="s">
        <v>8749</v>
      </c>
      <c r="K1883" s="1" t="s">
        <v>22</v>
      </c>
      <c r="L1883" s="1" t="str">
        <f>HYPERLINK("https://files.afu.se/Downloads/Transcripts/0%20-%20Government/USA%20-%20NASA/2015 10 01 - NASA - Russian Cargo Ship Sets Sail for the Space Station_QuTBkWRyiCI - transcript (automated).pdf","Transcript Link")</f>
        <v>Transcript Link</v>
      </c>
      <c r="M1883" s="2" t="str">
        <f>HYPERLINK("https://files.afu.se/Downloads/Transcripts/0%20-%20Government/USA%20-%20NASA/2015 10 01 - NASA - Russian Cargo Ship Sets Sail for the Space Station_QuTBkWRyiCI - transcript (automated).pdf","Transcript Link")</f>
        <v>Transcript Link</v>
      </c>
    </row>
    <row r="1884" ht="165" spans="1:13">
      <c r="A1884" s="1" t="s">
        <v>8737</v>
      </c>
      <c r="B1884" s="1" t="s">
        <v>13</v>
      </c>
      <c r="C1884" s="4" t="s">
        <v>8750</v>
      </c>
      <c r="D1884" s="1" t="s">
        <v>8751</v>
      </c>
      <c r="E1884" s="1" t="s">
        <v>8752</v>
      </c>
      <c r="F1884" s="4" t="s">
        <v>17</v>
      </c>
      <c r="G1884" s="1" t="s">
        <v>18</v>
      </c>
      <c r="H1884" s="1" t="s">
        <v>19</v>
      </c>
      <c r="I1884" s="1" t="s">
        <v>20</v>
      </c>
      <c r="J1884" s="1" t="s">
        <v>8753</v>
      </c>
      <c r="K1884" s="1" t="s">
        <v>22</v>
      </c>
      <c r="L1884" s="1" t="str">
        <f>HYPERLINK("https://files.afu.se/Downloads/Transcripts/0%20-%20Government/USA%20-%20NASA/2015 10 01 - NASA - Real Martians Moment  An Amazing Analog_Jivcn4_ccMQ - transcript (automated).pdf","Transcript Link")</f>
        <v>Transcript Link</v>
      </c>
      <c r="M1884" s="2" t="str">
        <f>HYPERLINK("https://files.afu.se/Downloads/Transcripts/0%20-%20Government/USA%20-%20NASA/2015 10 01 - NASA - Real Martians Moment  An Amazing Analog_Jivcn4_ccMQ - transcript (automated).pdf","Transcript Link")</f>
        <v>Transcript Link</v>
      </c>
    </row>
    <row r="1885" ht="165" spans="1:13">
      <c r="A1885" s="1" t="s">
        <v>8737</v>
      </c>
      <c r="B1885" s="1" t="s">
        <v>13</v>
      </c>
      <c r="C1885" s="4" t="s">
        <v>8754</v>
      </c>
      <c r="D1885" s="1" t="s">
        <v>8755</v>
      </c>
      <c r="E1885" s="1" t="s">
        <v>8756</v>
      </c>
      <c r="F1885" s="4" t="s">
        <v>17</v>
      </c>
      <c r="G1885" s="1" t="s">
        <v>18</v>
      </c>
      <c r="H1885" s="1" t="s">
        <v>19</v>
      </c>
      <c r="I1885" s="1" t="s">
        <v>20</v>
      </c>
      <c r="J1885" s="1" t="s">
        <v>8757</v>
      </c>
      <c r="K1885" s="1" t="s">
        <v>22</v>
      </c>
      <c r="L1885" s="1" t="str">
        <f>HYPERLINK("https://files.afu.se/Downloads/Transcripts/0%20-%20Government/USA%20-%20NASA/2015 10 01 - NASA - Jessica Chastain Talks  The Martian _ZkeSAlRV4a4 - transcript (automated).pdf","Transcript Link")</f>
        <v>Transcript Link</v>
      </c>
      <c r="M1885" s="2" t="str">
        <f>HYPERLINK("https://files.afu.se/Downloads/Transcripts/0%20-%20Government/USA%20-%20NASA/2015 10 01 - NASA - Jessica Chastain Talks  The Martian _ZkeSAlRV4a4 - transcript (automated).pdf","Transcript Link")</f>
        <v>Transcript Link</v>
      </c>
    </row>
    <row r="1886" ht="165" spans="1:13">
      <c r="A1886" s="1" t="s">
        <v>8758</v>
      </c>
      <c r="B1886" s="1" t="s">
        <v>13</v>
      </c>
      <c r="C1886" s="4" t="s">
        <v>8759</v>
      </c>
      <c r="D1886" s="1" t="s">
        <v>8760</v>
      </c>
      <c r="E1886" s="1" t="s">
        <v>8761</v>
      </c>
      <c r="F1886" s="4" t="s">
        <v>17</v>
      </c>
      <c r="G1886" s="1" t="s">
        <v>18</v>
      </c>
      <c r="H1886" s="1" t="s">
        <v>19</v>
      </c>
      <c r="I1886" s="1" t="s">
        <v>20</v>
      </c>
      <c r="J1886" s="1" t="s">
        <v>8762</v>
      </c>
      <c r="K1886" s="1" t="s">
        <v>22</v>
      </c>
      <c r="L1886" s="1" t="str">
        <f>HYPERLINK("https://files.afu.se/Downloads/Transcripts/0%20-%20Government/USA%20-%20NASA/2015 09 30 - NASA - The Martian  Space Q&amp;A_F2sR8_Kku3o - transcript (automated).pdf","Transcript Link")</f>
        <v>Transcript Link</v>
      </c>
      <c r="M1886" s="2" t="str">
        <f>HYPERLINK("https://files.afu.se/Downloads/Transcripts/0%20-%20Government/USA%20-%20NASA/2015 09 30 - NASA - The Martian  Space Q&amp;A_F2sR8_Kku3o - transcript (automated).pdf","Transcript Link")</f>
        <v>Transcript Link</v>
      </c>
    </row>
    <row r="1887" ht="165" spans="1:13">
      <c r="A1887" s="1" t="s">
        <v>8758</v>
      </c>
      <c r="B1887" s="1" t="s">
        <v>13</v>
      </c>
      <c r="C1887" s="4" t="s">
        <v>8763</v>
      </c>
      <c r="D1887" s="1" t="s">
        <v>8764</v>
      </c>
      <c r="E1887" s="1" t="s">
        <v>8765</v>
      </c>
      <c r="F1887" s="4" t="s">
        <v>17</v>
      </c>
      <c r="G1887" s="1" t="s">
        <v>18</v>
      </c>
      <c r="H1887" s="1" t="s">
        <v>19</v>
      </c>
      <c r="I1887" s="1" t="s">
        <v>20</v>
      </c>
      <c r="J1887" s="1" t="s">
        <v>8766</v>
      </c>
      <c r="K1887" s="1" t="s">
        <v>22</v>
      </c>
      <c r="L1887" s="1" t="str">
        <f>HYPERLINK("https://files.afu.se/Downloads/Transcripts/0%20-%20Government/USA%20-%20NASA/2015 09 30 - NASA - Real Martians Moment  Testing Close to Earth for the Journey to Mars_0liQYolMJAc - transcript (automated).pdf","Transcript Link")</f>
        <v>Transcript Link</v>
      </c>
      <c r="M1887" s="2" t="str">
        <f>HYPERLINK("https://files.afu.se/Downloads/Transcripts/0%20-%20Government/USA%20-%20NASA/2015 09 30 - NASA - Real Martians Moment  Testing Close to Earth for the Journey to Mars_0liQYolMJAc - transcript (automated).pdf","Transcript Link")</f>
        <v>Transcript Link</v>
      </c>
    </row>
    <row r="1888" ht="165" spans="1:13">
      <c r="A1888" s="1" t="s">
        <v>8758</v>
      </c>
      <c r="B1888" s="1" t="s">
        <v>13</v>
      </c>
      <c r="C1888" s="4" t="s">
        <v>8767</v>
      </c>
      <c r="D1888" s="1" t="s">
        <v>8768</v>
      </c>
      <c r="E1888" s="1" t="s">
        <v>8769</v>
      </c>
      <c r="F1888" s="4" t="s">
        <v>17</v>
      </c>
      <c r="G1888" s="1" t="s">
        <v>18</v>
      </c>
      <c r="H1888" s="1" t="s">
        <v>19</v>
      </c>
      <c r="I1888" s="1" t="s">
        <v>20</v>
      </c>
      <c r="J1888" s="1" t="s">
        <v>8770</v>
      </c>
      <c r="K1888" s="1" t="s">
        <v>22</v>
      </c>
      <c r="L1888" s="1" t="str">
        <f>HYPERLINK("https://files.afu.se/Downloads/Transcripts/0%20-%20Government/USA%20-%20NASA/2015 09 30 - NASA - Real Martians Moment  Orion's Thermal Protection System_XOFug-P5LXw - transcript (automated).pdf","Transcript Link")</f>
        <v>Transcript Link</v>
      </c>
      <c r="M1888" s="2" t="str">
        <f>HYPERLINK("https://files.afu.se/Downloads/Transcripts/0%20-%20Government/USA%20-%20NASA/2015 09 30 - NASA - Real Martians Moment  Orion's Thermal Protection System_XOFug-P5LXw - transcript (automated).pdf","Transcript Link")</f>
        <v>Transcript Link</v>
      </c>
    </row>
    <row r="1889" ht="165" spans="1:13">
      <c r="A1889" s="1" t="s">
        <v>8771</v>
      </c>
      <c r="B1889" s="1" t="s">
        <v>13</v>
      </c>
      <c r="C1889" s="4" t="s">
        <v>8772</v>
      </c>
      <c r="D1889" s="1" t="s">
        <v>8773</v>
      </c>
      <c r="E1889" s="1" t="s">
        <v>8774</v>
      </c>
      <c r="F1889" s="4" t="s">
        <v>17</v>
      </c>
      <c r="G1889" s="1" t="s">
        <v>18</v>
      </c>
      <c r="H1889" s="1" t="s">
        <v>19</v>
      </c>
      <c r="I1889" s="1" t="s">
        <v>20</v>
      </c>
      <c r="J1889" s="1" t="s">
        <v>8775</v>
      </c>
      <c r="K1889" s="1" t="s">
        <v>22</v>
      </c>
      <c r="L1889" s="1" t="str">
        <f>HYPERLINK("https://files.afu.se/Downloads/Transcripts/0%20-%20Government/USA%20-%20NASA/2015 09 29 - NASA - Space Station Crew Bids Sayonara to Japanese Cargo Ship_saDz7gZfF_0 - transcript (automated).pdf","Transcript Link")</f>
        <v>Transcript Link</v>
      </c>
      <c r="M1889" s="2" t="str">
        <f>HYPERLINK("https://files.afu.se/Downloads/Transcripts/0%20-%20Government/USA%20-%20NASA/2015 09 29 - NASA - Space Station Crew Bids Sayonara to Japanese Cargo Ship_saDz7gZfF_0 - transcript (automated).pdf","Transcript Link")</f>
        <v>Transcript Link</v>
      </c>
    </row>
    <row r="1890" ht="165" spans="1:13">
      <c r="A1890" s="1" t="s">
        <v>8771</v>
      </c>
      <c r="B1890" s="1" t="s">
        <v>13</v>
      </c>
      <c r="C1890" s="4" t="s">
        <v>8776</v>
      </c>
      <c r="D1890" s="1" t="s">
        <v>8777</v>
      </c>
      <c r="E1890" s="1" t="s">
        <v>8778</v>
      </c>
      <c r="F1890" s="4" t="s">
        <v>17</v>
      </c>
      <c r="G1890" s="1" t="s">
        <v>18</v>
      </c>
      <c r="H1890" s="1" t="s">
        <v>19</v>
      </c>
      <c r="I1890" s="1" t="s">
        <v>20</v>
      </c>
      <c r="J1890" s="1" t="s">
        <v>8779</v>
      </c>
      <c r="K1890" s="1" t="s">
        <v>22</v>
      </c>
      <c r="L1890" s="1" t="str">
        <f>HYPERLINK("https://files.afu.se/Downloads/Transcripts/0%20-%20Government/USA%20-%20NASA/2015 09 29 - NASA - Real Martians Moment  Modular Robotic Vehicle_flzGF6dkir0 - transcript (automated).pdf","Transcript Link")</f>
        <v>Transcript Link</v>
      </c>
      <c r="M1890" s="2" t="str">
        <f>HYPERLINK("https://files.afu.se/Downloads/Transcripts/0%20-%20Government/USA%20-%20NASA/2015 09 29 - NASA - Real Martians Moment  Modular Robotic Vehicle_flzGF6dkir0 - transcript (automated).pdf","Transcript Link")</f>
        <v>Transcript Link</v>
      </c>
    </row>
    <row r="1891" ht="165" spans="1:13">
      <c r="A1891" s="1" t="s">
        <v>8771</v>
      </c>
      <c r="B1891" s="1" t="s">
        <v>13</v>
      </c>
      <c r="C1891" s="4" t="s">
        <v>8780</v>
      </c>
      <c r="D1891" s="1" t="s">
        <v>8781</v>
      </c>
      <c r="E1891" s="1" t="s">
        <v>8782</v>
      </c>
      <c r="F1891" s="4" t="s">
        <v>17</v>
      </c>
      <c r="G1891" s="1" t="s">
        <v>18</v>
      </c>
      <c r="H1891" s="1" t="s">
        <v>19</v>
      </c>
      <c r="I1891" s="1" t="s">
        <v>20</v>
      </c>
      <c r="J1891" s="1" t="s">
        <v>8783</v>
      </c>
      <c r="K1891" s="1" t="s">
        <v>22</v>
      </c>
      <c r="L1891" s="1" t="str">
        <f>HYPERLINK("https://files.afu.se/Downloads/Transcripts/0%20-%20Government/USA%20-%20NASA/2015 09 29 - NASA - Space Station Crew Member Talks to Hometown Residents In Japan_P_5PUbFhFN4 - transcript (automated).pdf","Transcript Link")</f>
        <v>Transcript Link</v>
      </c>
      <c r="M1891" s="2" t="str">
        <f>HYPERLINK("https://files.afu.se/Downloads/Transcripts/0%20-%20Government/USA%20-%20NASA/2015 09 29 - NASA - Space Station Crew Member Talks to Hometown Residents In Japan_P_5PUbFhFN4 - transcript (automated).pdf","Transcript Link")</f>
        <v>Transcript Link</v>
      </c>
    </row>
    <row r="1892" ht="165" spans="1:13">
      <c r="A1892" s="1" t="s">
        <v>8784</v>
      </c>
      <c r="B1892" s="1" t="s">
        <v>13</v>
      </c>
      <c r="C1892" s="4" t="s">
        <v>8785</v>
      </c>
      <c r="D1892" s="1" t="s">
        <v>8786</v>
      </c>
      <c r="E1892" s="1" t="s">
        <v>8787</v>
      </c>
      <c r="F1892" s="4" t="s">
        <v>17</v>
      </c>
      <c r="G1892" s="1" t="s">
        <v>18</v>
      </c>
      <c r="H1892" s="1" t="s">
        <v>19</v>
      </c>
      <c r="I1892" s="1" t="s">
        <v>20</v>
      </c>
      <c r="J1892" s="1" t="s">
        <v>8788</v>
      </c>
      <c r="K1892" s="1" t="s">
        <v>22</v>
      </c>
      <c r="L1892" s="1" t="str">
        <f>HYPERLINK("https://files.afu.se/Downloads/Transcripts/0%20-%20Government/USA%20-%20NASA/2015 09 28 - NASA - Water Flowing on Present-Day Mars_MRQ5B_ik2dU - transcript (automated).pdf","Transcript Link")</f>
        <v>Transcript Link</v>
      </c>
      <c r="M1892" s="2" t="str">
        <f>HYPERLINK("https://files.afu.se/Downloads/Transcripts/0%20-%20Government/USA%20-%20NASA/2015 09 28 - NASA - Water Flowing on Present-Day Mars_MRQ5B_ik2dU - transcript (automated).pdf","Transcript Link")</f>
        <v>Transcript Link</v>
      </c>
    </row>
    <row r="1893" ht="165" spans="1:13">
      <c r="A1893" s="1" t="s">
        <v>8784</v>
      </c>
      <c r="B1893" s="1" t="s">
        <v>13</v>
      </c>
      <c r="C1893" s="4" t="s">
        <v>8789</v>
      </c>
      <c r="D1893" s="1" t="s">
        <v>8790</v>
      </c>
      <c r="E1893" s="1" t="s">
        <v>8791</v>
      </c>
      <c r="F1893" s="4" t="s">
        <v>17</v>
      </c>
      <c r="G1893" s="1" t="s">
        <v>18</v>
      </c>
      <c r="H1893" s="1" t="s">
        <v>19</v>
      </c>
      <c r="I1893" s="1" t="s">
        <v>20</v>
      </c>
      <c r="J1893" s="1" t="s">
        <v>8792</v>
      </c>
      <c r="K1893" s="1" t="s">
        <v>22</v>
      </c>
      <c r="L1893" s="1" t="str">
        <f>HYPERLINK("https://files.afu.se/Downloads/Transcripts/0%20-%20Government/USA%20-%20NASA/2015 09 28 - NASA - Real Martians Moment  The Dirt On Making Oxygen On Mars_fbAinSTa37k - transcript (automated).pdf","Transcript Link")</f>
        <v>Transcript Link</v>
      </c>
      <c r="M1893" s="2" t="str">
        <f>HYPERLINK("https://files.afu.se/Downloads/Transcripts/0%20-%20Government/USA%20-%20NASA/2015 09 28 - NASA - Real Martians Moment  The Dirt On Making Oxygen On Mars_fbAinSTa37k - transcript (automated).pdf","Transcript Link")</f>
        <v>Transcript Link</v>
      </c>
    </row>
    <row r="1894" ht="165" spans="1:13">
      <c r="A1894" s="1" t="s">
        <v>8784</v>
      </c>
      <c r="B1894" s="1" t="s">
        <v>13</v>
      </c>
      <c r="C1894" s="4" t="s">
        <v>8793</v>
      </c>
      <c r="D1894" s="1" t="s">
        <v>8794</v>
      </c>
      <c r="E1894" s="1" t="s">
        <v>8795</v>
      </c>
      <c r="F1894" s="4" t="s">
        <v>17</v>
      </c>
      <c r="G1894" s="1" t="s">
        <v>18</v>
      </c>
      <c r="H1894" s="1" t="s">
        <v>19</v>
      </c>
      <c r="I1894" s="1" t="s">
        <v>20</v>
      </c>
      <c r="J1894" s="1" t="s">
        <v>8796</v>
      </c>
      <c r="K1894" s="1" t="s">
        <v>22</v>
      </c>
      <c r="L1894" s="1" t="str">
        <f>HYPERLINK("https://files.afu.se/Downloads/Transcripts/0%20-%20Government/USA%20-%20NASA/2015 09 28 - NASA - Real Martians Moment  What’s Up With The Martian Atmosphere _RBxQuxYvaXk - transcript (automated).pdf","Transcript Link")</f>
        <v>Transcript Link</v>
      </c>
      <c r="M1894" s="2" t="str">
        <f>HYPERLINK("https://files.afu.se/Downloads/Transcripts/0%20-%20Government/USA%20-%20NASA/2015 09 28 - NASA - Real Martians Moment  What’s Up With The Martian Atmosphere _RBxQuxYvaXk - transcript (automated).pdf","Transcript Link")</f>
        <v>Transcript Link</v>
      </c>
    </row>
    <row r="1895" ht="165" spans="1:13">
      <c r="A1895" s="1" t="s">
        <v>8784</v>
      </c>
      <c r="B1895" s="1" t="s">
        <v>13</v>
      </c>
      <c r="C1895" s="4" t="s">
        <v>8797</v>
      </c>
      <c r="D1895" s="1" t="s">
        <v>8798</v>
      </c>
      <c r="E1895" s="1" t="s">
        <v>8799</v>
      </c>
      <c r="F1895" s="4" t="s">
        <v>17</v>
      </c>
      <c r="G1895" s="1" t="s">
        <v>18</v>
      </c>
      <c r="H1895" s="1" t="s">
        <v>19</v>
      </c>
      <c r="I1895" s="1" t="s">
        <v>20</v>
      </c>
      <c r="J1895" s="1" t="s">
        <v>8800</v>
      </c>
      <c r="K1895" s="1" t="s">
        <v>22</v>
      </c>
      <c r="L1895" s="1" t="str">
        <f>HYPERLINK("https://files.afu.se/Downloads/Transcripts/0%20-%20Government/USA%20-%20NASA/2015 09 28 - NASA - Rare double celestial treat_M04J1_HYNgM - transcript (automated).pdf","Transcript Link")</f>
        <v>Transcript Link</v>
      </c>
      <c r="M1895" s="2" t="str">
        <f>HYPERLINK("https://files.afu.se/Downloads/Transcripts/0%20-%20Government/USA%20-%20NASA/2015 09 28 - NASA - Rare double celestial treat_M04J1_HYNgM - transcript (automated).pdf","Transcript Link")</f>
        <v>Transcript Link</v>
      </c>
    </row>
    <row r="1896" ht="165" spans="1:13">
      <c r="A1896" s="1" t="s">
        <v>8801</v>
      </c>
      <c r="B1896" s="1" t="s">
        <v>13</v>
      </c>
      <c r="C1896" s="4" t="s">
        <v>8802</v>
      </c>
      <c r="D1896" s="1" t="s">
        <v>8803</v>
      </c>
      <c r="E1896" s="1" t="s">
        <v>8804</v>
      </c>
      <c r="F1896" s="4" t="s">
        <v>17</v>
      </c>
      <c r="G1896" s="1" t="s">
        <v>18</v>
      </c>
      <c r="H1896" s="1" t="s">
        <v>19</v>
      </c>
      <c r="I1896" s="1" t="s">
        <v>20</v>
      </c>
      <c r="J1896" s="1" t="s">
        <v>8805</v>
      </c>
      <c r="K1896" s="1" t="s">
        <v>22</v>
      </c>
      <c r="L1896" s="1" t="str">
        <f>HYPERLINK("https://files.afu.se/Downloads/Transcripts/0%20-%20Government/USA%20-%20NASA/2015 09 25 - NASA - Next space station crew discusses mission on This Week @NASA – September 25, 2015_Pl3P51HNXeg - transcript (automated).pdf","Transcript Link")</f>
        <v>Transcript Link</v>
      </c>
      <c r="M1896" s="2" t="str">
        <f>HYPERLINK("https://files.afu.se/Downloads/Transcripts/0%20-%20Government/USA%20-%20NASA/2015 09 25 - NASA - Next space station crew discusses mission on This Week @NASA – September 25, 2015_Pl3P51HNXeg - transcript (automated).pdf","Transcript Link")</f>
        <v>Transcript Link</v>
      </c>
    </row>
    <row r="1897" ht="180" spans="1:13">
      <c r="A1897" s="1" t="s">
        <v>8801</v>
      </c>
      <c r="B1897" s="1" t="s">
        <v>13</v>
      </c>
      <c r="C1897" s="4" t="s">
        <v>8806</v>
      </c>
      <c r="D1897" s="1" t="s">
        <v>8807</v>
      </c>
      <c r="E1897" s="1" t="s">
        <v>8808</v>
      </c>
      <c r="F1897" s="4" t="s">
        <v>17</v>
      </c>
      <c r="G1897" s="1" t="s">
        <v>18</v>
      </c>
      <c r="H1897" s="1" t="s">
        <v>19</v>
      </c>
      <c r="I1897" s="1" t="s">
        <v>20</v>
      </c>
      <c r="J1897" s="1" t="s">
        <v>8809</v>
      </c>
      <c r="K1897" s="1" t="s">
        <v>22</v>
      </c>
      <c r="L1897" s="1" t="str">
        <f>HYPERLINK("https://files.afu.se/Downloads/Transcripts/0%20-%20Government/USA%20-%20NASA/2015 09 25 - NASA - Real Martians Moment  Space Station Science for The Journey to Mars_tEJwLvTtULE - transcript (automated).pdf","Transcript Link")</f>
        <v>Transcript Link</v>
      </c>
      <c r="M1897" s="2" t="str">
        <f>HYPERLINK("https://files.afu.se/Downloads/Transcripts/0%20-%20Government/USA%20-%20NASA/2015 09 25 - NASA - Real Martians Moment  Space Station Science for The Journey to Mars_tEJwLvTtULE - transcript (automated).pdf","Transcript Link")</f>
        <v>Transcript Link</v>
      </c>
    </row>
    <row r="1898" ht="165" spans="1:13">
      <c r="A1898" s="1" t="s">
        <v>8801</v>
      </c>
      <c r="B1898" s="1" t="s">
        <v>13</v>
      </c>
      <c r="C1898" s="4" t="s">
        <v>8810</v>
      </c>
      <c r="D1898" s="1" t="s">
        <v>8811</v>
      </c>
      <c r="E1898" s="1" t="s">
        <v>8812</v>
      </c>
      <c r="F1898" s="4" t="s">
        <v>17</v>
      </c>
      <c r="G1898" s="1" t="s">
        <v>18</v>
      </c>
      <c r="H1898" s="1" t="s">
        <v>19</v>
      </c>
      <c r="I1898" s="1" t="s">
        <v>20</v>
      </c>
      <c r="J1898" s="1" t="s">
        <v>8813</v>
      </c>
      <c r="K1898" s="1" t="s">
        <v>22</v>
      </c>
      <c r="L1898" s="1" t="str">
        <f>HYPERLINK("https://files.afu.se/Downloads/Transcripts/0%20-%20Government/USA%20-%20NASA/2015 09 25 - NASA - Real Martians Moment  Hypersonic Inflatable Aerodynamic Decelerator … What a Drag!_E3tYOINjIsA - transcript (automated).pdf","Transcript Link")</f>
        <v>Transcript Link</v>
      </c>
      <c r="M1898" s="2" t="str">
        <f>HYPERLINK("https://files.afu.se/Downloads/Transcripts/0%20-%20Government/USA%20-%20NASA/2015 09 25 - NASA - Real Martians Moment  Hypersonic Inflatable Aerodynamic Decelerator … What a Drag!_E3tYOINjIsA - transcript (automated).pdf","Transcript Link")</f>
        <v>Transcript Link</v>
      </c>
    </row>
    <row r="1899" ht="165" spans="1:13">
      <c r="A1899" s="1" t="s">
        <v>8814</v>
      </c>
      <c r="B1899" s="1" t="s">
        <v>13</v>
      </c>
      <c r="C1899" s="4" t="s">
        <v>8815</v>
      </c>
      <c r="D1899" s="1" t="s">
        <v>8816</v>
      </c>
      <c r="E1899" s="1" t="s">
        <v>8817</v>
      </c>
      <c r="F1899" s="4" t="s">
        <v>17</v>
      </c>
      <c r="G1899" s="1" t="s">
        <v>18</v>
      </c>
      <c r="H1899" s="1" t="s">
        <v>19</v>
      </c>
      <c r="I1899" s="1" t="s">
        <v>20</v>
      </c>
      <c r="J1899" s="1" t="s">
        <v>8818</v>
      </c>
      <c r="K1899" s="1" t="s">
        <v>22</v>
      </c>
      <c r="L1899" s="1" t="str">
        <f>HYPERLINK("https://files.afu.se/Downloads/Transcripts/0%20-%20Government/USA%20-%20NASA/2015 09 24 - NASA - Next Space Station Crew Discusses Mission_9UtpbPY5kwo - transcript (automated).pdf","Transcript Link")</f>
        <v>Transcript Link</v>
      </c>
      <c r="M1899" s="2" t="str">
        <f>HYPERLINK("https://files.afu.se/Downloads/Transcripts/0%20-%20Government/USA%20-%20NASA/2015 09 24 - NASA - Next Space Station Crew Discusses Mission_9UtpbPY5kwo - transcript (automated).pdf","Transcript Link")</f>
        <v>Transcript Link</v>
      </c>
    </row>
    <row r="1900" ht="165" spans="1:13">
      <c r="A1900" s="1" t="s">
        <v>8814</v>
      </c>
      <c r="B1900" s="1" t="s">
        <v>13</v>
      </c>
      <c r="C1900" s="4" t="s">
        <v>8819</v>
      </c>
      <c r="D1900" s="1" t="s">
        <v>8820</v>
      </c>
      <c r="E1900" s="1" t="s">
        <v>8821</v>
      </c>
      <c r="F1900" s="4" t="s">
        <v>17</v>
      </c>
      <c r="G1900" s="1" t="s">
        <v>18</v>
      </c>
      <c r="H1900" s="1" t="s">
        <v>19</v>
      </c>
      <c r="I1900" s="1" t="s">
        <v>20</v>
      </c>
      <c r="J1900" s="1" t="s">
        <v>8822</v>
      </c>
      <c r="K1900" s="1" t="s">
        <v>22</v>
      </c>
      <c r="L1900" s="1" t="str">
        <f>HYPERLINK("https://files.afu.se/Downloads/Transcripts/0%20-%20Government/USA%20-%20NASA/2015 09 24 - NASA - Next Space Station Crew Trains for Mission_HemD0zQ_jFY - transcript (automated).pdf","Transcript Link")</f>
        <v>Transcript Link</v>
      </c>
      <c r="M1900" s="2" t="str">
        <f>HYPERLINK("https://files.afu.se/Downloads/Transcripts/0%20-%20Government/USA%20-%20NASA/2015 09 24 - NASA - Next Space Station Crew Trains for Mission_HemD0zQ_jFY - transcript (automated).pdf","Transcript Link")</f>
        <v>Transcript Link</v>
      </c>
    </row>
    <row r="1901" ht="165" spans="1:13">
      <c r="A1901" s="1" t="s">
        <v>8814</v>
      </c>
      <c r="B1901" s="1" t="s">
        <v>13</v>
      </c>
      <c r="C1901" s="4" t="s">
        <v>8823</v>
      </c>
      <c r="D1901" s="1" t="s">
        <v>8824</v>
      </c>
      <c r="E1901" s="1" t="s">
        <v>8825</v>
      </c>
      <c r="F1901" s="4" t="s">
        <v>17</v>
      </c>
      <c r="G1901" s="1" t="s">
        <v>18</v>
      </c>
      <c r="H1901" s="1" t="s">
        <v>19</v>
      </c>
      <c r="I1901" s="1" t="s">
        <v>20</v>
      </c>
      <c r="J1901" s="1" t="s">
        <v>8826</v>
      </c>
      <c r="K1901" s="1" t="s">
        <v>22</v>
      </c>
      <c r="L1901" s="1" t="str">
        <f>HYPERLINK("https://files.afu.se/Downloads/Transcripts/0%20-%20Government/USA%20-%20NASA/2015 09 24 - NASA - Real Martians Moment  Curious about Curiosity_9tIZfLDUWfc - transcript (automated).pdf","Transcript Link")</f>
        <v>Transcript Link</v>
      </c>
      <c r="M1901" s="2" t="str">
        <f>HYPERLINK("https://files.afu.se/Downloads/Transcripts/0%20-%20Government/USA%20-%20NASA/2015 09 24 - NASA - Real Martians Moment  Curious about Curiosity_9tIZfLDUWfc - transcript (automated).pdf","Transcript Link")</f>
        <v>Transcript Link</v>
      </c>
    </row>
    <row r="1902" ht="165" spans="1:13">
      <c r="A1902" s="1" t="s">
        <v>8827</v>
      </c>
      <c r="B1902" s="1" t="s">
        <v>13</v>
      </c>
      <c r="C1902" s="4" t="s">
        <v>8828</v>
      </c>
      <c r="D1902" s="1" t="s">
        <v>8829</v>
      </c>
      <c r="E1902" s="1" t="s">
        <v>8830</v>
      </c>
      <c r="F1902" s="4" t="s">
        <v>17</v>
      </c>
      <c r="G1902" s="1" t="s">
        <v>18</v>
      </c>
      <c r="H1902" s="1" t="s">
        <v>19</v>
      </c>
      <c r="I1902" s="1" t="s">
        <v>20</v>
      </c>
      <c r="J1902" s="1" t="s">
        <v>8831</v>
      </c>
      <c r="K1902" s="1" t="s">
        <v>22</v>
      </c>
      <c r="L1902" s="1" t="str">
        <f>HYPERLINK("https://files.afu.se/Downloads/Transcripts/0%20-%20Government/USA%20-%20NASA/2015 09 23 - NASA - STEM in 30 – Asteroid Redirect Mission__qZMHSbYNFY - transcript (automated).pdf","Transcript Link")</f>
        <v>Transcript Link</v>
      </c>
      <c r="M1902" s="2" t="str">
        <f>HYPERLINK("https://files.afu.se/Downloads/Transcripts/0%20-%20Government/USA%20-%20NASA/2015 09 23 - NASA - STEM in 30 – Asteroid Redirect Mission__qZMHSbYNFY - transcript (automated).pdf","Transcript Link")</f>
        <v>Transcript Link</v>
      </c>
    </row>
    <row r="1903" ht="165" spans="1:13">
      <c r="A1903" s="1" t="s">
        <v>8827</v>
      </c>
      <c r="B1903" s="1" t="s">
        <v>13</v>
      </c>
      <c r="C1903" s="4" t="s">
        <v>8832</v>
      </c>
      <c r="D1903" s="1" t="s">
        <v>8833</v>
      </c>
      <c r="E1903" s="1" t="s">
        <v>8834</v>
      </c>
      <c r="F1903" s="4" t="s">
        <v>17</v>
      </c>
      <c r="G1903" s="1" t="s">
        <v>18</v>
      </c>
      <c r="H1903" s="1" t="s">
        <v>19</v>
      </c>
      <c r="I1903" s="1" t="s">
        <v>20</v>
      </c>
      <c r="J1903" s="1" t="s">
        <v>8835</v>
      </c>
      <c r="K1903" s="1" t="s">
        <v>22</v>
      </c>
      <c r="L1903" s="1" t="str">
        <f>HYPERLINK("https://files.afu.se/Downloads/Transcripts/0%20-%20Government/USA%20-%20NASA/2015 09 23 - NASA - Real Martians Moment  Low Density Supersonic Decelerator_QjLkOZMUjOs - transcript (automated).pdf","Transcript Link")</f>
        <v>Transcript Link</v>
      </c>
      <c r="M1903" s="2" t="str">
        <f>HYPERLINK("https://files.afu.se/Downloads/Transcripts/0%20-%20Government/USA%20-%20NASA/2015 09 23 - NASA - Real Martians Moment  Low Density Supersonic Decelerator_QjLkOZMUjOs - transcript (automated).pdf","Transcript Link")</f>
        <v>Transcript Link</v>
      </c>
    </row>
    <row r="1904" ht="165" spans="1:13">
      <c r="A1904" s="1" t="s">
        <v>8827</v>
      </c>
      <c r="B1904" s="1" t="s">
        <v>13</v>
      </c>
      <c r="C1904" s="4" t="s">
        <v>8836</v>
      </c>
      <c r="D1904" s="1" t="s">
        <v>8837</v>
      </c>
      <c r="E1904" s="1" t="s">
        <v>8838</v>
      </c>
      <c r="F1904" s="4" t="s">
        <v>17</v>
      </c>
      <c r="G1904" s="1" t="s">
        <v>18</v>
      </c>
      <c r="H1904" s="1" t="s">
        <v>19</v>
      </c>
      <c r="I1904" s="1" t="s">
        <v>20</v>
      </c>
      <c r="J1904" s="1" t="s">
        <v>8839</v>
      </c>
      <c r="K1904" s="1" t="s">
        <v>22</v>
      </c>
      <c r="L1904" s="1" t="str">
        <f>HYPERLINK("https://files.afu.se/Downloads/Transcripts/0%20-%20Government/USA%20-%20NASA/2015 09 23 - NASA - Real Martians Moment  No Space for Radiation on Journey to Mars_fSVlc1sKdw0 - transcript (automated).pdf","Transcript Link")</f>
        <v>Transcript Link</v>
      </c>
      <c r="M1904" s="2" t="str">
        <f>HYPERLINK("https://files.afu.se/Downloads/Transcripts/0%20-%20Government/USA%20-%20NASA/2015 09 23 - NASA - Real Martians Moment  No Space for Radiation on Journey to Mars_fSVlc1sKdw0 - transcript (automated).pdf","Transcript Link")</f>
        <v>Transcript Link</v>
      </c>
    </row>
    <row r="1905" ht="165" spans="1:13">
      <c r="A1905" s="1" t="s">
        <v>8840</v>
      </c>
      <c r="B1905" s="1" t="s">
        <v>13</v>
      </c>
      <c r="C1905" s="4" t="s">
        <v>8841</v>
      </c>
      <c r="D1905" s="1" t="s">
        <v>8842</v>
      </c>
      <c r="E1905" s="1" t="s">
        <v>8843</v>
      </c>
      <c r="F1905" s="4" t="s">
        <v>17</v>
      </c>
      <c r="G1905" s="1" t="s">
        <v>18</v>
      </c>
      <c r="H1905" s="1" t="s">
        <v>19</v>
      </c>
      <c r="I1905" s="1" t="s">
        <v>20</v>
      </c>
      <c r="J1905" s="1" t="s">
        <v>8844</v>
      </c>
      <c r="K1905" s="1" t="s">
        <v>22</v>
      </c>
      <c r="L1905" s="1" t="str">
        <f>HYPERLINK("https://files.afu.se/Downloads/Transcripts/0%20-%20Government/USA%20-%20NASA/2015 09 22 - NASA - Real Martians Moment  Space Station Crew Talks Mars_-mykqdwInMg - transcript (automated).pdf","Transcript Link")</f>
        <v>Transcript Link</v>
      </c>
      <c r="M1905" s="2" t="str">
        <f>HYPERLINK("https://files.afu.se/Downloads/Transcripts/0%20-%20Government/USA%20-%20NASA/2015 09 22 - NASA - Real Martians Moment  Space Station Crew Talks Mars_-mykqdwInMg - transcript (automated).pdf","Transcript Link")</f>
        <v>Transcript Link</v>
      </c>
    </row>
    <row r="1906" ht="165" spans="1:13">
      <c r="A1906" s="1" t="s">
        <v>8845</v>
      </c>
      <c r="B1906" s="1" t="s">
        <v>13</v>
      </c>
      <c r="C1906" s="4" t="s">
        <v>8846</v>
      </c>
      <c r="D1906" s="1" t="s">
        <v>8847</v>
      </c>
      <c r="E1906" s="1" t="s">
        <v>8848</v>
      </c>
      <c r="F1906" s="4" t="s">
        <v>17</v>
      </c>
      <c r="G1906" s="1" t="s">
        <v>18</v>
      </c>
      <c r="H1906" s="1" t="s">
        <v>19</v>
      </c>
      <c r="I1906" s="1" t="s">
        <v>20</v>
      </c>
      <c r="J1906" s="1" t="s">
        <v>8849</v>
      </c>
      <c r="K1906" s="1" t="s">
        <v>22</v>
      </c>
      <c r="L1906" s="1" t="str">
        <f>HYPERLINK("https://files.afu.se/Downloads/Transcripts/0%20-%20Government/USA%20-%20NASA/2015 09 21 - NASA - Real Martians Moment  Mars Trek_4uP4pV-0fjA - transcript (automated).pdf","Transcript Link")</f>
        <v>Transcript Link</v>
      </c>
      <c r="M1906" s="2" t="str">
        <f>HYPERLINK("https://files.afu.se/Downloads/Transcripts/0%20-%20Government/USA%20-%20NASA/2015 09 21 - NASA - Real Martians Moment  Mars Trek_4uP4pV-0fjA - transcript (automated).pdf","Transcript Link")</f>
        <v>Transcript Link</v>
      </c>
    </row>
    <row r="1907" ht="165" spans="1:13">
      <c r="A1907" s="1" t="s">
        <v>8845</v>
      </c>
      <c r="B1907" s="1" t="s">
        <v>13</v>
      </c>
      <c r="C1907" s="4" t="s">
        <v>8850</v>
      </c>
      <c r="D1907" s="1" t="s">
        <v>8851</v>
      </c>
      <c r="E1907" s="1" t="s">
        <v>8852</v>
      </c>
      <c r="F1907" s="4" t="s">
        <v>17</v>
      </c>
      <c r="G1907" s="1" t="s">
        <v>18</v>
      </c>
      <c r="H1907" s="1" t="s">
        <v>19</v>
      </c>
      <c r="I1907" s="1" t="s">
        <v>20</v>
      </c>
      <c r="J1907" s="1" t="s">
        <v>8853</v>
      </c>
      <c r="K1907" s="1" t="s">
        <v>22</v>
      </c>
      <c r="L1907" s="1" t="str">
        <f>HYPERLINK("https://files.afu.se/Downloads/Transcripts/0%20-%20Government/USA%20-%20NASA/2015 09 21 - NASA - Real Martians Moment  Space Launch System Trajectory_rYYfcFdI6SU - transcript (automated).pdf","Transcript Link")</f>
        <v>Transcript Link</v>
      </c>
      <c r="M1907" s="2" t="str">
        <f>HYPERLINK("https://files.afu.se/Downloads/Transcripts/0%20-%20Government/USA%20-%20NASA/2015 09 21 - NASA - Real Martians Moment  Space Launch System Trajectory_rYYfcFdI6SU - transcript (automated).pdf","Transcript Link")</f>
        <v>Transcript Link</v>
      </c>
    </row>
    <row r="1908" ht="195" spans="1:13">
      <c r="A1908" s="1" t="s">
        <v>8854</v>
      </c>
      <c r="B1908" s="1" t="s">
        <v>13</v>
      </c>
      <c r="C1908" s="4" t="s">
        <v>8855</v>
      </c>
      <c r="D1908" s="1" t="s">
        <v>8856</v>
      </c>
      <c r="E1908" s="1" t="s">
        <v>8857</v>
      </c>
      <c r="F1908" s="4" t="s">
        <v>17</v>
      </c>
      <c r="G1908" s="1" t="s">
        <v>18</v>
      </c>
      <c r="H1908" s="1" t="s">
        <v>19</v>
      </c>
      <c r="I1908" s="1" t="s">
        <v>20</v>
      </c>
      <c r="J1908" s="1" t="s">
        <v>8858</v>
      </c>
      <c r="K1908" s="1" t="s">
        <v>22</v>
      </c>
      <c r="L1908" s="1" t="str">
        <f>HYPERLINK("https://files.afu.se/Downloads/Transcripts/0%20-%20Government/USA%20-%20NASA/2015 09 18 - NASA - Halfway point of the one year mission on This Week @NASA – September 18, 2015__ssL65V-QME - transcript (automated).pdf","Transcript Link")</f>
        <v>Transcript Link</v>
      </c>
      <c r="M1908" s="2" t="str">
        <f>HYPERLINK("https://files.afu.se/Downloads/Transcripts/0%20-%20Government/USA%20-%20NASA/2015 09 18 - NASA - Halfway point of the one year mission on This Week @NASA – September 18, 2015__ssL65V-QME - transcript (automated).pdf","Transcript Link")</f>
        <v>Transcript Link</v>
      </c>
    </row>
    <row r="1909" ht="165" spans="1:13">
      <c r="A1909" s="1" t="s">
        <v>8854</v>
      </c>
      <c r="B1909" s="1" t="s">
        <v>13</v>
      </c>
      <c r="C1909" s="4" t="s">
        <v>8859</v>
      </c>
      <c r="D1909" s="1" t="s">
        <v>8860</v>
      </c>
      <c r="E1909" s="1" t="s">
        <v>8861</v>
      </c>
      <c r="F1909" s="4" t="s">
        <v>17</v>
      </c>
      <c r="G1909" s="1" t="s">
        <v>18</v>
      </c>
      <c r="H1909" s="1" t="s">
        <v>19</v>
      </c>
      <c r="I1909" s="1" t="s">
        <v>20</v>
      </c>
      <c r="J1909" s="1" t="s">
        <v>8862</v>
      </c>
      <c r="K1909" s="1" t="s">
        <v>22</v>
      </c>
      <c r="L1909" s="1" t="str">
        <f>HYPERLINK("https://files.afu.se/Downloads/Transcripts/0%20-%20Government/USA%20-%20NASA/2015 09 18 - NASA - Real Martians Moment  We All Need Water_I26FFbTnvM8 - transcript (automated).pdf","Transcript Link")</f>
        <v>Transcript Link</v>
      </c>
      <c r="M1909" s="2" t="str">
        <f>HYPERLINK("https://files.afu.se/Downloads/Transcripts/0%20-%20Government/USA%20-%20NASA/2015 09 18 - NASA - Real Martians Moment  We All Need Water_I26FFbTnvM8 - transcript (automated).pdf","Transcript Link")</f>
        <v>Transcript Link</v>
      </c>
    </row>
    <row r="1910" ht="165" spans="1:13">
      <c r="A1910" s="1" t="s">
        <v>8854</v>
      </c>
      <c r="B1910" s="1" t="s">
        <v>13</v>
      </c>
      <c r="C1910" s="4" t="s">
        <v>8863</v>
      </c>
      <c r="D1910" s="1" t="s">
        <v>8864</v>
      </c>
      <c r="E1910" s="1" t="s">
        <v>8865</v>
      </c>
      <c r="F1910" s="4" t="s">
        <v>17</v>
      </c>
      <c r="G1910" s="1" t="s">
        <v>18</v>
      </c>
      <c r="H1910" s="1" t="s">
        <v>19</v>
      </c>
      <c r="I1910" s="1" t="s">
        <v>20</v>
      </c>
      <c r="J1910" s="1" t="s">
        <v>8866</v>
      </c>
      <c r="K1910" s="1" t="s">
        <v>22</v>
      </c>
      <c r="L1910" s="1" t="str">
        <f>HYPERLINK("https://files.afu.se/Downloads/Transcripts/0%20-%20Government/USA%20-%20NASA/2015 09 18 - NASA - Real Martians Moment  Need More Power_VvW0LrmTuj0 - transcript (automated).pdf","Transcript Link")</f>
        <v>Transcript Link</v>
      </c>
      <c r="M1910" s="2" t="str">
        <f>HYPERLINK("https://files.afu.se/Downloads/Transcripts/0%20-%20Government/USA%20-%20NASA/2015 09 18 - NASA - Real Martians Moment  Need More Power_VvW0LrmTuj0 - transcript (automated).pdf","Transcript Link")</f>
        <v>Transcript Link</v>
      </c>
    </row>
    <row r="1911" ht="165" spans="1:13">
      <c r="A1911" s="1" t="s">
        <v>8854</v>
      </c>
      <c r="B1911" s="1" t="s">
        <v>13</v>
      </c>
      <c r="C1911" s="4" t="s">
        <v>8867</v>
      </c>
      <c r="D1911" s="1" t="s">
        <v>8868</v>
      </c>
      <c r="E1911" s="1" t="s">
        <v>8869</v>
      </c>
      <c r="F1911" s="4" t="s">
        <v>17</v>
      </c>
      <c r="G1911" s="1" t="s">
        <v>18</v>
      </c>
      <c r="H1911" s="1" t="s">
        <v>19</v>
      </c>
      <c r="I1911" s="1" t="s">
        <v>20</v>
      </c>
      <c r="J1911" s="1" t="s">
        <v>8870</v>
      </c>
      <c r="K1911" s="1" t="s">
        <v>22</v>
      </c>
      <c r="L1911" s="1" t="str">
        <f>HYPERLINK("https://files.afu.se/Downloads/Transcripts/0%20-%20Government/USA%20-%20NASA/2015 09 18 - NASA - Connecting Space to Village_ud2YwBnuu18 - transcript (automated).pdf","Transcript Link")</f>
        <v>Transcript Link</v>
      </c>
      <c r="M1911" s="2" t="str">
        <f>HYPERLINK("https://files.afu.se/Downloads/Transcripts/0%20-%20Government/USA%20-%20NASA/2015 09 18 - NASA - Connecting Space to Village_ud2YwBnuu18 - transcript (automated).pdf","Transcript Link")</f>
        <v>Transcript Link</v>
      </c>
    </row>
    <row r="1912" ht="165" spans="1:13">
      <c r="A1912" s="1" t="s">
        <v>8854</v>
      </c>
      <c r="B1912" s="1" t="s">
        <v>13</v>
      </c>
      <c r="C1912" s="4" t="s">
        <v>8871</v>
      </c>
      <c r="D1912" s="1" t="s">
        <v>8872</v>
      </c>
      <c r="E1912" s="1" t="s">
        <v>8873</v>
      </c>
      <c r="F1912" s="4" t="s">
        <v>17</v>
      </c>
      <c r="G1912" s="1" t="s">
        <v>18</v>
      </c>
      <c r="H1912" s="1" t="s">
        <v>19</v>
      </c>
      <c r="I1912" s="1" t="s">
        <v>20</v>
      </c>
      <c r="J1912" s="1" t="s">
        <v>8874</v>
      </c>
      <c r="K1912" s="1" t="s">
        <v>22</v>
      </c>
      <c r="L1912" s="1" t="str">
        <f>HYPERLINK("https://files.afu.se/Downloads/Transcripts/0%20-%20Government/USA%20-%20NASA/2015 09 18 - NASA - Surviving on Mars_Qr5lpydoYF8 - transcript (automated).pdf","Transcript Link")</f>
        <v>Transcript Link</v>
      </c>
      <c r="M1912" s="2" t="str">
        <f>HYPERLINK("https://files.afu.se/Downloads/Transcripts/0%20-%20Government/USA%20-%20NASA/2015 09 18 - NASA - Surviving on Mars_Qr5lpydoYF8 - transcript (automated).pdf","Transcript Link")</f>
        <v>Transcript Link</v>
      </c>
    </row>
    <row r="1913" ht="165" spans="1:13">
      <c r="A1913" s="1" t="s">
        <v>8875</v>
      </c>
      <c r="B1913" s="1" t="s">
        <v>13</v>
      </c>
      <c r="C1913" s="4" t="s">
        <v>8876</v>
      </c>
      <c r="D1913" s="1" t="s">
        <v>8877</v>
      </c>
      <c r="E1913" s="1" t="s">
        <v>8878</v>
      </c>
      <c r="F1913" s="4" t="s">
        <v>17</v>
      </c>
      <c r="G1913" s="1" t="s">
        <v>18</v>
      </c>
      <c r="H1913" s="1" t="s">
        <v>19</v>
      </c>
      <c r="I1913" s="1" t="s">
        <v>20</v>
      </c>
      <c r="J1913" s="1" t="s">
        <v>8879</v>
      </c>
      <c r="K1913" s="1" t="s">
        <v>22</v>
      </c>
      <c r="L1913" s="1" t="str">
        <f>HYPERLINK("https://files.afu.se/Downloads/Transcripts/0%20-%20Government/USA%20-%20NASA/2015 09 17 - NASA - What’s New in Aerospace    Meet An Astronaut_695jneVQrlY - transcript (automated).pdf","Transcript Link")</f>
        <v>Transcript Link</v>
      </c>
      <c r="M1913" s="2" t="str">
        <f>HYPERLINK("https://files.afu.se/Downloads/Transcripts/0%20-%20Government/USA%20-%20NASA/2015 09 17 - NASA - What’s New in Aerospace    Meet An Astronaut_695jneVQrlY - transcript (automated).pdf","Transcript Link")</f>
        <v>Transcript Link</v>
      </c>
    </row>
    <row r="1914" ht="165" spans="1:13">
      <c r="A1914" s="1" t="s">
        <v>8875</v>
      </c>
      <c r="B1914" s="1" t="s">
        <v>13</v>
      </c>
      <c r="C1914" s="4" t="s">
        <v>8880</v>
      </c>
      <c r="D1914" s="1" t="s">
        <v>8881</v>
      </c>
      <c r="E1914" s="1" t="s">
        <v>8882</v>
      </c>
      <c r="F1914" s="4" t="s">
        <v>17</v>
      </c>
      <c r="G1914" s="1" t="s">
        <v>18</v>
      </c>
      <c r="H1914" s="1" t="s">
        <v>19</v>
      </c>
      <c r="I1914" s="1" t="s">
        <v>20</v>
      </c>
      <c r="J1914" s="1" t="s">
        <v>8883</v>
      </c>
      <c r="K1914" s="1" t="s">
        <v>22</v>
      </c>
      <c r="L1914" s="1" t="str">
        <f>HYPERLINK("https://files.afu.se/Downloads/Transcripts/0%20-%20Government/USA%20-%20NASA/2015 09 17 - NASA - The Real Martians_8GLpUbTHEMI - transcript (automated).pdf","Transcript Link")</f>
        <v>Transcript Link</v>
      </c>
      <c r="M1914" s="2" t="str">
        <f>HYPERLINK("https://files.afu.se/Downloads/Transcripts/0%20-%20Government/USA%20-%20NASA/2015 09 17 - NASA - The Real Martians_8GLpUbTHEMI - transcript (automated).pdf","Transcript Link")</f>
        <v>Transcript Link</v>
      </c>
    </row>
    <row r="1915" ht="165" spans="1:13">
      <c r="A1915" s="1" t="s">
        <v>8875</v>
      </c>
      <c r="B1915" s="1" t="s">
        <v>13</v>
      </c>
      <c r="C1915" s="4" t="s">
        <v>8884</v>
      </c>
      <c r="D1915" s="1" t="s">
        <v>8885</v>
      </c>
      <c r="F1915" s="4" t="s">
        <v>17</v>
      </c>
      <c r="G1915" s="1" t="s">
        <v>18</v>
      </c>
      <c r="H1915" s="1" t="s">
        <v>19</v>
      </c>
      <c r="I1915" s="1" t="s">
        <v>20</v>
      </c>
      <c r="J1915" s="1" t="s">
        <v>8886</v>
      </c>
      <c r="K1915" s="1" t="s">
        <v>22</v>
      </c>
      <c r="L1915" s="1" t="str">
        <f>HYPERLINK("https://files.afu.se/Downloads/Transcripts/0%20-%20Government/USA%20-%20NASA/2015 09 17 - NASA - 'The Martian' Star Matt Damon Discusses NASA's Journey to Mars_jTbVCgAsmks - transcript (automated).pdf","Transcript Link")</f>
        <v>Transcript Link</v>
      </c>
      <c r="M1915" s="2" t="str">
        <f>HYPERLINK("https://files.afu.se/Downloads/Transcripts/0%20-%20Government/USA%20-%20NASA/2015 09 17 - NASA - 'The Martian' Star Matt Damon Discusses NASA's Journey to Mars_jTbVCgAsmks - transcript (automated).pdf","Transcript Link")</f>
        <v>Transcript Link</v>
      </c>
    </row>
    <row r="1916" ht="165" spans="1:13">
      <c r="A1916" s="1" t="s">
        <v>8875</v>
      </c>
      <c r="B1916" s="1" t="s">
        <v>13</v>
      </c>
      <c r="C1916" s="4" t="s">
        <v>8887</v>
      </c>
      <c r="D1916" s="1" t="s">
        <v>8888</v>
      </c>
      <c r="E1916" s="1" t="s">
        <v>8889</v>
      </c>
      <c r="F1916" s="4" t="s">
        <v>17</v>
      </c>
      <c r="G1916" s="1" t="s">
        <v>18</v>
      </c>
      <c r="H1916" s="1" t="s">
        <v>19</v>
      </c>
      <c r="I1916" s="1" t="s">
        <v>20</v>
      </c>
      <c r="J1916" s="1" t="s">
        <v>8890</v>
      </c>
      <c r="K1916" s="1" t="s">
        <v>22</v>
      </c>
      <c r="L1916" s="1" t="str">
        <f>HYPERLINK("https://files.afu.se/Downloads/Transcripts/0%20-%20Government/USA%20-%20NASA/2015 09 17 - NASA - One-Year Space Station Crewmembers Discuss Life in Space with Time Magazine_LJaKlAGPWjk - transcript (automated).pdf","Transcript Link")</f>
        <v>Transcript Link</v>
      </c>
      <c r="M1916" s="2" t="str">
        <f>HYPERLINK("https://files.afu.se/Downloads/Transcripts/0%20-%20Government/USA%20-%20NASA/2015 09 17 - NASA - One-Year Space Station Crewmembers Discuss Life in Space with Time Magazine_LJaKlAGPWjk - transcript (automated).pdf","Transcript Link")</f>
        <v>Transcript Link</v>
      </c>
    </row>
    <row r="1917" ht="225" spans="1:13">
      <c r="A1917" s="1" t="s">
        <v>8875</v>
      </c>
      <c r="B1917" s="1" t="s">
        <v>13</v>
      </c>
      <c r="C1917" s="4" t="s">
        <v>8891</v>
      </c>
      <c r="D1917" s="1" t="s">
        <v>8892</v>
      </c>
      <c r="E1917" s="1" t="s">
        <v>8893</v>
      </c>
      <c r="F1917" s="4" t="s">
        <v>17</v>
      </c>
      <c r="G1917" s="1" t="s">
        <v>18</v>
      </c>
      <c r="H1917" s="1" t="s">
        <v>19</v>
      </c>
      <c r="I1917" s="1" t="s">
        <v>20</v>
      </c>
      <c r="J1917" s="1" t="s">
        <v>8894</v>
      </c>
      <c r="K1917" s="1" t="s">
        <v>22</v>
      </c>
      <c r="L1917" s="1" t="str">
        <f>HYPERLINK("https://files.afu.se/Downloads/Transcripts/0%20-%20Government/USA%20-%20NASA/2015 09 17 - NASA - Space Station Commander Pays Tribute to a “Hero of America”_2jOq1EsfZu8 - transcript (automated).pdf","Transcript Link")</f>
        <v>Transcript Link</v>
      </c>
      <c r="M1917" s="2" t="str">
        <f>HYPERLINK("https://files.afu.se/Downloads/Transcripts/0%20-%20Government/USA%20-%20NASA/2015 09 17 - NASA - Space Station Commander Pays Tribute to a “Hero of America”_2jOq1EsfZu8 - transcript (automated).pdf","Transcript Link")</f>
        <v>Transcript Link</v>
      </c>
    </row>
    <row r="1918" ht="300" spans="1:13">
      <c r="A1918" s="1" t="s">
        <v>8875</v>
      </c>
      <c r="B1918" s="1" t="s">
        <v>13</v>
      </c>
      <c r="C1918" s="4" t="s">
        <v>8895</v>
      </c>
      <c r="D1918" s="1" t="s">
        <v>8896</v>
      </c>
      <c r="E1918" s="1" t="s">
        <v>8897</v>
      </c>
      <c r="F1918" s="4" t="s">
        <v>17</v>
      </c>
      <c r="G1918" s="1" t="s">
        <v>18</v>
      </c>
      <c r="H1918" s="1" t="s">
        <v>19</v>
      </c>
      <c r="I1918" s="1" t="s">
        <v>20</v>
      </c>
      <c r="J1918" s="1" t="s">
        <v>8898</v>
      </c>
      <c r="K1918" s="1" t="s">
        <v>22</v>
      </c>
      <c r="L1918" s="1" t="str">
        <f>HYPERLINK("https://files.afu.se/Downloads/Transcripts/0%20-%20Government/USA%20-%20NASA/2015 09 17 - NASA - Real Martians Moment  The Journey to Mars Continues_ofq1v_eCbcg - transcript (automated).pdf","Transcript Link")</f>
        <v>Transcript Link</v>
      </c>
      <c r="M1918" s="2" t="str">
        <f>HYPERLINK("https://files.afu.se/Downloads/Transcripts/0%20-%20Government/USA%20-%20NASA/2015 09 17 - NASA - Real Martians Moment  The Journey to Mars Continues_ofq1v_eCbcg - transcript (automated).pdf","Transcript Link")</f>
        <v>Transcript Link</v>
      </c>
    </row>
    <row r="1919" ht="165" spans="1:13">
      <c r="A1919" s="1" t="s">
        <v>8899</v>
      </c>
      <c r="B1919" s="1" t="s">
        <v>13</v>
      </c>
      <c r="C1919" s="4" t="s">
        <v>8900</v>
      </c>
      <c r="D1919" s="1" t="s">
        <v>8901</v>
      </c>
      <c r="E1919" s="1" t="s">
        <v>8902</v>
      </c>
      <c r="F1919" s="4" t="s">
        <v>17</v>
      </c>
      <c r="G1919" s="1" t="s">
        <v>18</v>
      </c>
      <c r="H1919" s="1" t="s">
        <v>19</v>
      </c>
      <c r="I1919" s="1" t="s">
        <v>20</v>
      </c>
      <c r="J1919" s="1" t="s">
        <v>8903</v>
      </c>
      <c r="K1919" s="1" t="s">
        <v>22</v>
      </c>
      <c r="L1919" s="1" t="str">
        <f>HYPERLINK("https://files.afu.se/Downloads/Transcripts/0%20-%20Government/USA%20-%20NASA/2015 09 16 - NASA - Real Martians Moment  Next Generation Spacesuits_gg72loB2DAU - transcript (automated).pdf","Transcript Link")</f>
        <v>Transcript Link</v>
      </c>
      <c r="M1919" s="2" t="str">
        <f>HYPERLINK("https://files.afu.se/Downloads/Transcripts/0%20-%20Government/USA%20-%20NASA/2015 09 16 - NASA - Real Martians Moment  Next Generation Spacesuits_gg72loB2DAU - transcript (automated).pdf","Transcript Link")</f>
        <v>Transcript Link</v>
      </c>
    </row>
    <row r="1920" ht="165" spans="1:13">
      <c r="A1920" s="1" t="s">
        <v>8899</v>
      </c>
      <c r="B1920" s="1" t="s">
        <v>13</v>
      </c>
      <c r="C1920" s="4" t="s">
        <v>8904</v>
      </c>
      <c r="D1920" s="1" t="s">
        <v>8905</v>
      </c>
      <c r="E1920" s="1" t="s">
        <v>8906</v>
      </c>
      <c r="F1920" s="4" t="s">
        <v>17</v>
      </c>
      <c r="G1920" s="1" t="s">
        <v>18</v>
      </c>
      <c r="H1920" s="1" t="s">
        <v>19</v>
      </c>
      <c r="I1920" s="1" t="s">
        <v>20</v>
      </c>
      <c r="J1920" s="1" t="s">
        <v>8907</v>
      </c>
      <c r="K1920" s="1" t="s">
        <v>22</v>
      </c>
      <c r="L1920" s="1" t="str">
        <f>HYPERLINK("https://files.afu.se/Downloads/Transcripts/0%20-%20Government/USA%20-%20NASA/2015 09 16 - NASA - Real Martians Moment  Flight on Mars_SdJbkZMhWpE - transcript (automated).pdf","Transcript Link")</f>
        <v>Transcript Link</v>
      </c>
      <c r="M1920" s="2" t="str">
        <f>HYPERLINK("https://files.afu.se/Downloads/Transcripts/0%20-%20Government/USA%20-%20NASA/2015 09 16 - NASA - Real Martians Moment  Flight on Mars_SdJbkZMhWpE - transcript (automated).pdf","Transcript Link")</f>
        <v>Transcript Link</v>
      </c>
    </row>
    <row r="1921" ht="165" spans="1:13">
      <c r="A1921" s="1" t="s">
        <v>8899</v>
      </c>
      <c r="B1921" s="1" t="s">
        <v>13</v>
      </c>
      <c r="C1921" s="4" t="s">
        <v>8908</v>
      </c>
      <c r="D1921" s="1" t="s">
        <v>8909</v>
      </c>
      <c r="E1921" s="1" t="s">
        <v>8910</v>
      </c>
      <c r="F1921" s="4" t="s">
        <v>17</v>
      </c>
      <c r="G1921" s="1" t="s">
        <v>18</v>
      </c>
      <c r="H1921" s="1" t="s">
        <v>19</v>
      </c>
      <c r="I1921" s="1" t="s">
        <v>20</v>
      </c>
      <c r="J1921" s="1" t="s">
        <v>8911</v>
      </c>
      <c r="K1921" s="1" t="s">
        <v>22</v>
      </c>
      <c r="L1921" s="1" t="str">
        <f>HYPERLINK("https://files.afu.se/Downloads/Transcripts/0%20-%20Government/USA%20-%20NASA/2015 09 16 - NASA - Space Station Crew Member Discusses Life in Space with Baltimore Media_pHtdzWZoNfY - transcript (automated).pdf","Transcript Link")</f>
        <v>Transcript Link</v>
      </c>
      <c r="M1921" s="2" t="str">
        <f>HYPERLINK("https://files.afu.se/Downloads/Transcripts/0%20-%20Government/USA%20-%20NASA/2015 09 16 - NASA - Space Station Crew Member Discusses Life in Space with Baltimore Media_pHtdzWZoNfY - transcript (automated).pdf","Transcript Link")</f>
        <v>Transcript Link</v>
      </c>
    </row>
    <row r="1922" ht="165" spans="1:13">
      <c r="A1922" s="1" t="s">
        <v>8912</v>
      </c>
      <c r="B1922" s="1" t="s">
        <v>13</v>
      </c>
      <c r="C1922" s="4" t="s">
        <v>8913</v>
      </c>
      <c r="D1922" s="1" t="s">
        <v>8914</v>
      </c>
      <c r="E1922" s="1" t="s">
        <v>8915</v>
      </c>
      <c r="F1922" s="4" t="s">
        <v>17</v>
      </c>
      <c r="G1922" s="1" t="s">
        <v>18</v>
      </c>
      <c r="H1922" s="1" t="s">
        <v>19</v>
      </c>
      <c r="I1922" s="1" t="s">
        <v>20</v>
      </c>
      <c r="J1922" s="1" t="s">
        <v>8916</v>
      </c>
      <c r="K1922" s="1" t="s">
        <v>22</v>
      </c>
      <c r="L1922" s="1" t="str">
        <f>HYPERLINK("https://files.afu.se/Downloads/Transcripts/0%20-%20Government/USA%20-%20NASA/2015 09 15 - NASA - Real Martians Moment   Johnson Space Center Tour_oUhyF5r19ZE - transcript (automated).pdf","Transcript Link")</f>
        <v>Transcript Link</v>
      </c>
      <c r="M1922" s="2" t="str">
        <f>HYPERLINK("https://files.afu.se/Downloads/Transcripts/0%20-%20Government/USA%20-%20NASA/2015 09 15 - NASA - Real Martians Moment   Johnson Space Center Tour_oUhyF5r19ZE - transcript (automated).pdf","Transcript Link")</f>
        <v>Transcript Link</v>
      </c>
    </row>
    <row r="1923" ht="195" spans="1:13">
      <c r="A1923" s="1" t="s">
        <v>8912</v>
      </c>
      <c r="B1923" s="1" t="s">
        <v>13</v>
      </c>
      <c r="C1923" s="4" t="s">
        <v>8917</v>
      </c>
      <c r="D1923" s="1" t="s">
        <v>8918</v>
      </c>
      <c r="E1923" s="1" t="s">
        <v>8919</v>
      </c>
      <c r="F1923" s="4" t="s">
        <v>17</v>
      </c>
      <c r="G1923" s="1" t="s">
        <v>18</v>
      </c>
      <c r="H1923" s="1" t="s">
        <v>19</v>
      </c>
      <c r="I1923" s="1" t="s">
        <v>20</v>
      </c>
      <c r="J1923" s="1" t="s">
        <v>8920</v>
      </c>
      <c r="K1923" s="1" t="s">
        <v>22</v>
      </c>
      <c r="L1923" s="1" t="str">
        <f>HYPERLINK("https://files.afu.se/Downloads/Transcripts/0%20-%20Government/USA%20-%20NASA/2015 09 15 - NASA - Space Station Crew Members Talk to Cast of The Martian_hD4WX-X0hBc - transcript (automated).pdf","Transcript Link")</f>
        <v>Transcript Link</v>
      </c>
      <c r="M1923" s="2" t="str">
        <f>HYPERLINK("https://files.afu.se/Downloads/Transcripts/0%20-%20Government/USA%20-%20NASA/2015 09 15 - NASA - Space Station Crew Members Talk to Cast of The Martian_hD4WX-X0hBc - transcript (automated).pdf","Transcript Link")</f>
        <v>Transcript Link</v>
      </c>
    </row>
    <row r="1924" ht="165" spans="1:13">
      <c r="A1924" s="1" t="s">
        <v>8912</v>
      </c>
      <c r="B1924" s="1" t="s">
        <v>13</v>
      </c>
      <c r="C1924" s="4" t="s">
        <v>8921</v>
      </c>
      <c r="D1924" s="1" t="s">
        <v>8922</v>
      </c>
      <c r="E1924" s="1" t="s">
        <v>8923</v>
      </c>
      <c r="F1924" s="4" t="s">
        <v>17</v>
      </c>
      <c r="G1924" s="1" t="s">
        <v>18</v>
      </c>
      <c r="H1924" s="1" t="s">
        <v>19</v>
      </c>
      <c r="I1924" s="1" t="s">
        <v>20</v>
      </c>
      <c r="J1924" s="1" t="s">
        <v>8924</v>
      </c>
      <c r="K1924" s="1" t="s">
        <v>22</v>
      </c>
      <c r="L1924" s="1" t="str">
        <f>HYPERLINK("https://files.afu.se/Downloads/Transcripts/0%20-%20Government/USA%20-%20NASA/2015 09 15 - NASA -  The Martian  Visits JSC_edUI6xqFTMM - transcript (automated).pdf","Transcript Link")</f>
        <v>Transcript Link</v>
      </c>
      <c r="M1924" s="2" t="str">
        <f>HYPERLINK("https://files.afu.se/Downloads/Transcripts/0%20-%20Government/USA%20-%20NASA/2015 09 15 - NASA -  The Martian  Visits JSC_edUI6xqFTMM - transcript (automated).pdf","Transcript Link")</f>
        <v>Transcript Link</v>
      </c>
    </row>
    <row r="1925" ht="165" spans="1:13">
      <c r="A1925" s="1" t="s">
        <v>8912</v>
      </c>
      <c r="B1925" s="1" t="s">
        <v>13</v>
      </c>
      <c r="C1925" s="4" t="s">
        <v>8925</v>
      </c>
      <c r="D1925" s="1" t="s">
        <v>8926</v>
      </c>
      <c r="E1925" s="1" t="s">
        <v>8927</v>
      </c>
      <c r="F1925" s="4" t="s">
        <v>17</v>
      </c>
      <c r="G1925" s="1" t="s">
        <v>18</v>
      </c>
      <c r="H1925" s="1" t="s">
        <v>19</v>
      </c>
      <c r="I1925" s="1" t="s">
        <v>20</v>
      </c>
      <c r="J1925" s="1" t="s">
        <v>8928</v>
      </c>
      <c r="K1925" s="1" t="s">
        <v>22</v>
      </c>
      <c r="L1925" s="1" t="str">
        <f>HYPERLINK("https://files.afu.se/Downloads/Transcripts/0%20-%20Government/USA%20-%20NASA/2015 09 15 - NASA - Blue Origin, Coming to the Space Coast_HTh8tHpN-po - transcript (automated).pdf","Transcript Link")</f>
        <v>Transcript Link</v>
      </c>
      <c r="M1925" s="2" t="str">
        <f>HYPERLINK("https://files.afu.se/Downloads/Transcripts/0%20-%20Government/USA%20-%20NASA/2015 09 15 - NASA - Blue Origin, Coming to the Space Coast_HTh8tHpN-po - transcript (automated).pdf","Transcript Link")</f>
        <v>Transcript Link</v>
      </c>
    </row>
    <row r="1926" ht="210" spans="1:13">
      <c r="A1926" s="1" t="s">
        <v>8929</v>
      </c>
      <c r="B1926" s="1" t="s">
        <v>13</v>
      </c>
      <c r="C1926" s="4" t="s">
        <v>8930</v>
      </c>
      <c r="D1926" s="1" t="s">
        <v>8931</v>
      </c>
      <c r="E1926" s="1" t="s">
        <v>8932</v>
      </c>
      <c r="F1926" s="4" t="s">
        <v>17</v>
      </c>
      <c r="G1926" s="1" t="s">
        <v>18</v>
      </c>
      <c r="H1926" s="1" t="s">
        <v>19</v>
      </c>
      <c r="I1926" s="1" t="s">
        <v>20</v>
      </c>
      <c r="J1926" s="1" t="s">
        <v>8933</v>
      </c>
      <c r="K1926" s="1" t="s">
        <v>22</v>
      </c>
      <c r="L1926" s="1" t="str">
        <f>HYPERLINK("https://files.afu.se/Downloads/Transcripts/0%20-%20Government/USA%20-%20NASA/2015 09 14 - NASA - Imagine  A Year Off The Earth, For The Earth_GwfPDuW6G5U - transcript (automated).pdf","Transcript Link")</f>
        <v>Transcript Link</v>
      </c>
      <c r="M1926" s="2" t="str">
        <f>HYPERLINK("https://files.afu.se/Downloads/Transcripts/0%20-%20Government/USA%20-%20NASA/2015 09 14 - NASA - Imagine  A Year Off The Earth, For The Earth_GwfPDuW6G5U - transcript (automated).pdf","Transcript Link")</f>
        <v>Transcript Link</v>
      </c>
    </row>
    <row r="1927" ht="165" spans="1:13">
      <c r="A1927" s="1" t="s">
        <v>8929</v>
      </c>
      <c r="B1927" s="1" t="s">
        <v>13</v>
      </c>
      <c r="C1927" s="4" t="s">
        <v>8934</v>
      </c>
      <c r="D1927" s="1" t="s">
        <v>8935</v>
      </c>
      <c r="E1927" s="1" t="s">
        <v>8936</v>
      </c>
      <c r="F1927" s="4" t="s">
        <v>17</v>
      </c>
      <c r="G1927" s="1" t="s">
        <v>18</v>
      </c>
      <c r="H1927" s="1" t="s">
        <v>19</v>
      </c>
      <c r="I1927" s="1" t="s">
        <v>20</v>
      </c>
      <c r="J1927" s="1" t="s">
        <v>8937</v>
      </c>
      <c r="K1927" s="1" t="s">
        <v>22</v>
      </c>
      <c r="L1927" s="1" t="str">
        <f>HYPERLINK("https://files.afu.se/Downloads/Transcripts/0%20-%20Government/USA%20-%20NASA/2015 09 14 - NASA - 'The Martian' Director Ridley Scott Discusses NASA’s Journey to Mars_nTAhl1Ud5QY - transcript (automated).pdf","Transcript Link")</f>
        <v>Transcript Link</v>
      </c>
      <c r="M1927" s="2" t="str">
        <f>HYPERLINK("https://files.afu.se/Downloads/Transcripts/0%20-%20Government/USA%20-%20NASA/2015 09 14 - NASA - 'The Martian' Director Ridley Scott Discusses NASA’s Journey to Mars_nTAhl1Ud5QY - transcript (automated).pdf","Transcript Link")</f>
        <v>Transcript Link</v>
      </c>
    </row>
    <row r="1928" ht="165" spans="1:13">
      <c r="A1928" s="1" t="s">
        <v>8929</v>
      </c>
      <c r="B1928" s="1" t="s">
        <v>13</v>
      </c>
      <c r="C1928" s="4" t="s">
        <v>8938</v>
      </c>
      <c r="D1928" s="1" t="s">
        <v>8939</v>
      </c>
      <c r="E1928" s="1" t="s">
        <v>8940</v>
      </c>
      <c r="F1928" s="4" t="s">
        <v>17</v>
      </c>
      <c r="G1928" s="1" t="s">
        <v>18</v>
      </c>
      <c r="H1928" s="1" t="s">
        <v>19</v>
      </c>
      <c r="I1928" s="1" t="s">
        <v>20</v>
      </c>
      <c r="J1928" s="1" t="s">
        <v>8941</v>
      </c>
      <c r="K1928" s="1" t="s">
        <v>22</v>
      </c>
      <c r="L1928" s="1" t="str">
        <f>HYPERLINK("https://files.afu.se/Downloads/Transcripts/0%20-%20Government/USA%20-%20NASA/2015 09 14 - NASA - Real Martians Moment  Curiosity’s SAM_hhpBUJ1ft_o - transcript (automated).pdf","Transcript Link")</f>
        <v>Transcript Link</v>
      </c>
      <c r="M1928" s="2" t="str">
        <f>HYPERLINK("https://files.afu.se/Downloads/Transcripts/0%20-%20Government/USA%20-%20NASA/2015 09 14 - NASA - Real Martians Moment  Curiosity’s SAM_hhpBUJ1ft_o - transcript (automated).pdf","Transcript Link")</f>
        <v>Transcript Link</v>
      </c>
    </row>
    <row r="1929" ht="165" spans="1:13">
      <c r="A1929" s="1" t="s">
        <v>8929</v>
      </c>
      <c r="B1929" s="1" t="s">
        <v>13</v>
      </c>
      <c r="C1929" s="4" t="s">
        <v>8942</v>
      </c>
      <c r="D1929" s="1" t="s">
        <v>8943</v>
      </c>
      <c r="E1929" s="1" t="s">
        <v>8944</v>
      </c>
      <c r="F1929" s="4" t="s">
        <v>17</v>
      </c>
      <c r="G1929" s="1" t="s">
        <v>18</v>
      </c>
      <c r="H1929" s="1" t="s">
        <v>19</v>
      </c>
      <c r="I1929" s="1" t="s">
        <v>20</v>
      </c>
      <c r="J1929" s="1" t="s">
        <v>8945</v>
      </c>
      <c r="K1929" s="1" t="s">
        <v>22</v>
      </c>
      <c r="L1929" s="1" t="str">
        <f>HYPERLINK("https://files.afu.se/Downloads/Transcripts/0%20-%20Government/USA%20-%20NASA/2015 09 14 - NASA - Real Martians Moment  Mars Sample Return Mission_AQV6Za0kgfA - transcript (automated).pdf","Transcript Link")</f>
        <v>Transcript Link</v>
      </c>
      <c r="M1929" s="2" t="str">
        <f>HYPERLINK("https://files.afu.se/Downloads/Transcripts/0%20-%20Government/USA%20-%20NASA/2015 09 14 - NASA - Real Martians Moment  Mars Sample Return Mission_AQV6Za0kgfA - transcript (automated).pdf","Transcript Link")</f>
        <v>Transcript Link</v>
      </c>
    </row>
    <row r="1930" ht="180" spans="1:13">
      <c r="A1930" s="1" t="s">
        <v>8929</v>
      </c>
      <c r="B1930" s="1" t="s">
        <v>13</v>
      </c>
      <c r="C1930" s="4" t="s">
        <v>8946</v>
      </c>
      <c r="D1930" s="1" t="s">
        <v>8947</v>
      </c>
      <c r="E1930" s="1" t="s">
        <v>8948</v>
      </c>
      <c r="F1930" s="4" t="s">
        <v>17</v>
      </c>
      <c r="G1930" s="1" t="s">
        <v>18</v>
      </c>
      <c r="H1930" s="1" t="s">
        <v>19</v>
      </c>
      <c r="I1930" s="1" t="s">
        <v>20</v>
      </c>
      <c r="J1930" s="1" t="s">
        <v>8949</v>
      </c>
      <c r="K1930" s="1" t="s">
        <v>22</v>
      </c>
      <c r="L1930" s="1" t="str">
        <f>HYPERLINK("https://files.afu.se/Downloads/Transcripts/0%20-%20Government/USA%20-%20NASA/2015 09 14 - NASA - Expedition 44 Receives Warm Welcome Home_gymAPmChPMM - transcript (automated).pdf","Transcript Link")</f>
        <v>Transcript Link</v>
      </c>
      <c r="M1930" s="2" t="str">
        <f>HYPERLINK("https://files.afu.se/Downloads/Transcripts/0%20-%20Government/USA%20-%20NASA/2015 09 14 - NASA - Expedition 44 Receives Warm Welcome Home_gymAPmChPMM - transcript (automated).pdf","Transcript Link")</f>
        <v>Transcript Link</v>
      </c>
    </row>
    <row r="1931" ht="165" spans="1:13">
      <c r="A1931" s="1" t="s">
        <v>8929</v>
      </c>
      <c r="B1931" s="1" t="s">
        <v>13</v>
      </c>
      <c r="C1931" s="4" t="s">
        <v>8950</v>
      </c>
      <c r="D1931" s="1" t="s">
        <v>8951</v>
      </c>
      <c r="E1931" s="1" t="s">
        <v>8952</v>
      </c>
      <c r="F1931" s="4" t="s">
        <v>17</v>
      </c>
      <c r="G1931" s="1" t="s">
        <v>18</v>
      </c>
      <c r="H1931" s="1" t="s">
        <v>19</v>
      </c>
      <c r="I1931" s="1" t="s">
        <v>20</v>
      </c>
      <c r="J1931" s="1" t="s">
        <v>8953</v>
      </c>
      <c r="K1931" s="1" t="s">
        <v>22</v>
      </c>
      <c r="L1931" s="1" t="str">
        <f>HYPERLINK("https://files.afu.se/Downloads/Transcripts/0%20-%20Government/USA%20-%20NASA/2015 09 14 - NASA - Real Martians Moment  We're Learning More!_5dv0gYjVw2k - transcript (automated).pdf","Transcript Link")</f>
        <v>Transcript Link</v>
      </c>
      <c r="M1931" s="2" t="str">
        <f>HYPERLINK("https://files.afu.se/Downloads/Transcripts/0%20-%20Government/USA%20-%20NASA/2015 09 14 - NASA - Real Martians Moment  We're Learning More!_5dv0gYjVw2k - transcript (automated).pdf","Transcript Link")</f>
        <v>Transcript Link</v>
      </c>
    </row>
    <row r="1932" ht="165" spans="1:13">
      <c r="A1932" s="1" t="s">
        <v>8929</v>
      </c>
      <c r="B1932" s="1" t="s">
        <v>13</v>
      </c>
      <c r="C1932" s="4" t="s">
        <v>8954</v>
      </c>
      <c r="D1932" s="1" t="s">
        <v>8955</v>
      </c>
      <c r="E1932" s="1" t="s">
        <v>8956</v>
      </c>
      <c r="F1932" s="4" t="s">
        <v>17</v>
      </c>
      <c r="G1932" s="1" t="s">
        <v>18</v>
      </c>
      <c r="H1932" s="1" t="s">
        <v>19</v>
      </c>
      <c r="I1932" s="1" t="s">
        <v>20</v>
      </c>
      <c r="J1932" s="1" t="s">
        <v>8957</v>
      </c>
      <c r="K1932" s="1" t="s">
        <v>22</v>
      </c>
      <c r="L1932" s="1" t="str">
        <f>HYPERLINK("https://files.afu.se/Downloads/Transcripts/0%20-%20Government/USA%20-%20NASA/2015 09 14 - NASA - Halfway Through One Year Mission_t3Gw9uZc4IE - transcript (automated).pdf","Transcript Link")</f>
        <v>Transcript Link</v>
      </c>
      <c r="M1932" s="2" t="str">
        <f>HYPERLINK("https://files.afu.se/Downloads/Transcripts/0%20-%20Government/USA%20-%20NASA/2015 09 14 - NASA - Halfway Through One Year Mission_t3Gw9uZc4IE - transcript (automated).pdf","Transcript Link")</f>
        <v>Transcript Link</v>
      </c>
    </row>
    <row r="1933" ht="165" spans="1:13">
      <c r="A1933" s="1" t="s">
        <v>8958</v>
      </c>
      <c r="B1933" s="1" t="s">
        <v>13</v>
      </c>
      <c r="C1933" s="4" t="s">
        <v>8959</v>
      </c>
      <c r="D1933" s="1" t="s">
        <v>8960</v>
      </c>
      <c r="E1933" s="1" t="s">
        <v>8961</v>
      </c>
      <c r="F1933" s="4" t="s">
        <v>17</v>
      </c>
      <c r="G1933" s="1" t="s">
        <v>18</v>
      </c>
      <c r="H1933" s="1" t="s">
        <v>19</v>
      </c>
      <c r="I1933" s="1" t="s">
        <v>20</v>
      </c>
      <c r="J1933" s="1" t="s">
        <v>8962</v>
      </c>
      <c r="K1933" s="1" t="s">
        <v>22</v>
      </c>
      <c r="L1933" s="1" t="str">
        <f>HYPERLINK("https://files.afu.se/Downloads/Transcripts/0%20-%20Government/USA%20-%20NASA/2015 09 12 - NASA - Real Martians Moment  Toronto International Film Festival_kXY-rvHxcd0 - transcript (automated).pdf","Transcript Link")</f>
        <v>Transcript Link</v>
      </c>
      <c r="M1933" s="2" t="str">
        <f>HYPERLINK("https://files.afu.se/Downloads/Transcripts/0%20-%20Government/USA%20-%20NASA/2015 09 12 - NASA - Real Martians Moment  Toronto International Film Festival_kXY-rvHxcd0 - transcript (automated).pdf","Transcript Link")</f>
        <v>Transcript Link</v>
      </c>
    </row>
    <row r="1934" ht="180" spans="1:13">
      <c r="A1934" s="1" t="s">
        <v>8958</v>
      </c>
      <c r="B1934" s="1" t="s">
        <v>13</v>
      </c>
      <c r="C1934" s="4" t="s">
        <v>8963</v>
      </c>
      <c r="D1934" s="1" t="s">
        <v>8964</v>
      </c>
      <c r="E1934" s="1" t="s">
        <v>8965</v>
      </c>
      <c r="F1934" s="4" t="s">
        <v>17</v>
      </c>
      <c r="G1934" s="1" t="s">
        <v>18</v>
      </c>
      <c r="H1934" s="1" t="s">
        <v>19</v>
      </c>
      <c r="I1934" s="1" t="s">
        <v>20</v>
      </c>
      <c r="J1934" s="1" t="s">
        <v>8966</v>
      </c>
      <c r="K1934" s="1" t="s">
        <v>22</v>
      </c>
      <c r="L1934" s="1" t="str">
        <f>HYPERLINK("https://files.afu.se/Downloads/Transcripts/0%20-%20Government/USA%20-%20NASA/2015 09 12 - NASA - Soyuz Crew Lands in Kazakhstan_DeoQ4il7LQk - transcript (automated).pdf","Transcript Link")</f>
        <v>Transcript Link</v>
      </c>
      <c r="M1934" s="2" t="str">
        <f>HYPERLINK("https://files.afu.se/Downloads/Transcripts/0%20-%20Government/USA%20-%20NASA/2015 09 12 - NASA - Soyuz Crew Lands in Kazakhstan_DeoQ4il7LQk - transcript (automated).pdf","Transcript Link")</f>
        <v>Transcript Link</v>
      </c>
    </row>
    <row r="1935" ht="195" spans="1:13">
      <c r="A1935" s="1" t="s">
        <v>8958</v>
      </c>
      <c r="B1935" s="1" t="s">
        <v>13</v>
      </c>
      <c r="C1935" s="4" t="s">
        <v>8967</v>
      </c>
      <c r="D1935" s="1" t="s">
        <v>8968</v>
      </c>
      <c r="E1935" s="1" t="s">
        <v>8969</v>
      </c>
      <c r="F1935" s="4" t="s">
        <v>17</v>
      </c>
      <c r="G1935" s="1" t="s">
        <v>18</v>
      </c>
      <c r="H1935" s="1" t="s">
        <v>19</v>
      </c>
      <c r="I1935" s="1" t="s">
        <v>20</v>
      </c>
      <c r="J1935" s="1" t="s">
        <v>8970</v>
      </c>
      <c r="K1935" s="1" t="s">
        <v>22</v>
      </c>
      <c r="L1935" s="1" t="str">
        <f>HYPERLINK("https://files.afu.se/Downloads/Transcripts/0%20-%20Government/USA%20-%20NASA/2015 09 12 - NASA - Space Station Astronauts Make Safe Landing on This Week @NASA – September 11, 2015_wSlDQPys4CM - transcript (automated).pdf","Transcript Link")</f>
        <v>Transcript Link</v>
      </c>
      <c r="M1935" s="2" t="str">
        <f>HYPERLINK("https://files.afu.se/Downloads/Transcripts/0%20-%20Government/USA%20-%20NASA/2015 09 12 - NASA - Space Station Astronauts Make Safe Landing on This Week @NASA – September 11, 2015_wSlDQPys4CM - transcript (automated).pdf","Transcript Link")</f>
        <v>Transcript Link</v>
      </c>
    </row>
    <row r="1936" ht="165" spans="1:13">
      <c r="A1936" s="1" t="s">
        <v>8971</v>
      </c>
      <c r="B1936" s="1" t="s">
        <v>13</v>
      </c>
      <c r="C1936" s="4" t="s">
        <v>8972</v>
      </c>
      <c r="D1936" s="1" t="s">
        <v>8973</v>
      </c>
      <c r="E1936" s="1" t="s">
        <v>8974</v>
      </c>
      <c r="F1936" s="4" t="s">
        <v>17</v>
      </c>
      <c r="G1936" s="1" t="s">
        <v>18</v>
      </c>
      <c r="H1936" s="1" t="s">
        <v>19</v>
      </c>
      <c r="I1936" s="1" t="s">
        <v>20</v>
      </c>
      <c r="J1936" s="1" t="s">
        <v>8975</v>
      </c>
      <c r="K1936" s="1" t="s">
        <v>22</v>
      </c>
      <c r="L1936" s="1" t="str">
        <f>HYPERLINK("https://files.afu.se/Downloads/Transcripts/0%20-%20Government/USA%20-%20NASA/2015 09 11 - NASA - Soyuz Undocks from ISS_o1oKkLiJa4U - transcript (automated).pdf","Transcript Link")</f>
        <v>Transcript Link</v>
      </c>
      <c r="M1936" s="2" t="str">
        <f>HYPERLINK("https://files.afu.se/Downloads/Transcripts/0%20-%20Government/USA%20-%20NASA/2015 09 11 - NASA - Soyuz Undocks from ISS_o1oKkLiJa4U - transcript (automated).pdf","Transcript Link")</f>
        <v>Transcript Link</v>
      </c>
    </row>
    <row r="1937" ht="165" spans="1:13">
      <c r="A1937" s="1" t="s">
        <v>8971</v>
      </c>
      <c r="B1937" s="1" t="s">
        <v>13</v>
      </c>
      <c r="C1937" s="4" t="s">
        <v>8976</v>
      </c>
      <c r="D1937" s="1" t="s">
        <v>8977</v>
      </c>
      <c r="E1937" s="1" t="s">
        <v>8978</v>
      </c>
      <c r="F1937" s="4" t="s">
        <v>17</v>
      </c>
      <c r="G1937" s="1" t="s">
        <v>18</v>
      </c>
      <c r="H1937" s="1" t="s">
        <v>19</v>
      </c>
      <c r="I1937" s="1" t="s">
        <v>20</v>
      </c>
      <c r="J1937" s="1" t="s">
        <v>8979</v>
      </c>
      <c r="K1937" s="1" t="s">
        <v>22</v>
      </c>
      <c r="L1937" s="1" t="str">
        <f>HYPERLINK("https://files.afu.se/Downloads/Transcripts/0%20-%20Government/USA%20-%20NASA/2015 09 11 - NASA - Expedition 44 Visiting Soyuz Crew Bids Farewell to Space Station_vzNmGRPVoCo - transcript (automated).pdf","Transcript Link")</f>
        <v>Transcript Link</v>
      </c>
      <c r="M1937" s="2" t="str">
        <f>HYPERLINK("https://files.afu.se/Downloads/Transcripts/0%20-%20Government/USA%20-%20NASA/2015 09 11 - NASA - Expedition 44 Visiting Soyuz Crew Bids Farewell to Space Station_vzNmGRPVoCo - transcript (automated).pdf","Transcript Link")</f>
        <v>Transcript Link</v>
      </c>
    </row>
    <row r="1938" ht="180" spans="1:13">
      <c r="A1938" s="1" t="s">
        <v>8980</v>
      </c>
      <c r="B1938" s="1" t="s">
        <v>13</v>
      </c>
      <c r="C1938" s="4" t="s">
        <v>8981</v>
      </c>
      <c r="D1938" s="1" t="s">
        <v>8982</v>
      </c>
      <c r="E1938" s="1" t="s">
        <v>8983</v>
      </c>
      <c r="F1938" s="4" t="s">
        <v>17</v>
      </c>
      <c r="G1938" s="1" t="s">
        <v>18</v>
      </c>
      <c r="H1938" s="1" t="s">
        <v>19</v>
      </c>
      <c r="I1938" s="1" t="s">
        <v>20</v>
      </c>
      <c r="J1938" s="1" t="s">
        <v>8984</v>
      </c>
      <c r="K1938" s="1" t="s">
        <v>22</v>
      </c>
      <c r="L1938" s="1" t="str">
        <f>HYPERLINK("https://files.afu.se/Downloads/Transcripts/0%20-%20Government/USA%20-%20NASA/2015 09 09 - NASA - One-Year Space Station Crew Members Discuss Life in Space with New York Media_Vy9IzhbHxBY - transcript (automated).pdf","Transcript Link")</f>
        <v>Transcript Link</v>
      </c>
      <c r="M1938" s="2" t="str">
        <f>HYPERLINK("https://files.afu.se/Downloads/Transcripts/0%20-%20Government/USA%20-%20NASA/2015 09 09 - NASA - One-Year Space Station Crew Members Discuss Life in Space with New York Media_Vy9IzhbHxBY - transcript (automated).pdf","Transcript Link")</f>
        <v>Transcript Link</v>
      </c>
    </row>
    <row r="1939" ht="270" spans="1:13">
      <c r="A1939" s="1" t="s">
        <v>8985</v>
      </c>
      <c r="B1939" s="1" t="s">
        <v>13</v>
      </c>
      <c r="C1939" s="4" t="s">
        <v>8986</v>
      </c>
      <c r="D1939" s="1" t="s">
        <v>8987</v>
      </c>
      <c r="E1939" s="1" t="s">
        <v>8988</v>
      </c>
      <c r="F1939" s="4" t="s">
        <v>17</v>
      </c>
      <c r="G1939" s="1" t="s">
        <v>18</v>
      </c>
      <c r="H1939" s="1" t="s">
        <v>19</v>
      </c>
      <c r="I1939" s="1" t="s">
        <v>20</v>
      </c>
      <c r="J1939" s="1" t="s">
        <v>8989</v>
      </c>
      <c r="K1939" s="1" t="s">
        <v>22</v>
      </c>
      <c r="L1939" s="1" t="str">
        <f>HYPERLINK("https://files.afu.se/Downloads/Transcripts/0%20-%20Government/USA%20-%20NASA/2015 09 08 - NASA - Three Space Station Crews Answer Questions from the International Media_Dt6PRjH0T2A - transcript (automated).pdf","Transcript Link")</f>
        <v>Transcript Link</v>
      </c>
      <c r="M1939" s="2" t="str">
        <f>HYPERLINK("https://files.afu.se/Downloads/Transcripts/0%20-%20Government/USA%20-%20NASA/2015 09 08 - NASA - Three Space Station Crews Answer Questions from the International Media_Dt6PRjH0T2A - transcript (automated).pdf","Transcript Link")</f>
        <v>Transcript Link</v>
      </c>
    </row>
    <row r="1940" ht="210" spans="1:13">
      <c r="A1940" s="1" t="s">
        <v>8990</v>
      </c>
      <c r="B1940" s="1" t="s">
        <v>13</v>
      </c>
      <c r="C1940" s="4" t="s">
        <v>8991</v>
      </c>
      <c r="D1940" s="1" t="s">
        <v>8992</v>
      </c>
      <c r="E1940" s="1" t="s">
        <v>8993</v>
      </c>
      <c r="F1940" s="4" t="s">
        <v>17</v>
      </c>
      <c r="G1940" s="1" t="s">
        <v>18</v>
      </c>
      <c r="H1940" s="1" t="s">
        <v>19</v>
      </c>
      <c r="I1940" s="1" t="s">
        <v>20</v>
      </c>
      <c r="J1940" s="1" t="s">
        <v>8994</v>
      </c>
      <c r="K1940" s="1" t="s">
        <v>22</v>
      </c>
      <c r="L1940" s="1" t="str">
        <f>HYPERLINK("https://files.afu.se/Downloads/Transcripts/0%20-%20Government/USA%20-%20NASA/2015 09 05 - NASA - Expedition 44 Hands Over the Space Station to Expedition 45_ytHXbXNBTBk - transcript (automated).pdf","Transcript Link")</f>
        <v>Transcript Link</v>
      </c>
      <c r="M1940" s="2" t="str">
        <f>HYPERLINK("https://files.afu.se/Downloads/Transcripts/0%20-%20Government/USA%20-%20NASA/2015 09 05 - NASA - Expedition 44 Hands Over the Space Station to Expedition 45_ytHXbXNBTBk - transcript (automated).pdf","Transcript Link")</f>
        <v>Transcript Link</v>
      </c>
    </row>
    <row r="1941" ht="195" spans="1:13">
      <c r="A1941" s="1" t="s">
        <v>8995</v>
      </c>
      <c r="B1941" s="1" t="s">
        <v>13</v>
      </c>
      <c r="C1941" s="4" t="s">
        <v>8996</v>
      </c>
      <c r="D1941" s="1" t="s">
        <v>8997</v>
      </c>
      <c r="E1941" s="1" t="s">
        <v>8998</v>
      </c>
      <c r="F1941" s="4" t="s">
        <v>17</v>
      </c>
      <c r="G1941" s="1" t="s">
        <v>18</v>
      </c>
      <c r="H1941" s="1" t="s">
        <v>19</v>
      </c>
      <c r="I1941" s="1" t="s">
        <v>20</v>
      </c>
      <c r="J1941" s="1" t="s">
        <v>8999</v>
      </c>
      <c r="K1941" s="1" t="s">
        <v>22</v>
      </c>
      <c r="L1941" s="1" t="str">
        <f>HYPERLINK("https://files.afu.se/Downloads/Transcripts/0%20-%20Government/USA%20-%20NASA/2015 09 04 - NASA - Soyuz crew launches to space station on This Week @NASA – September 4, 2015_oj164sgu72Y - transcript (automated).pdf","Transcript Link")</f>
        <v>Transcript Link</v>
      </c>
      <c r="M1941" s="2" t="str">
        <f>HYPERLINK("https://files.afu.se/Downloads/Transcripts/0%20-%20Government/USA%20-%20NASA/2015 09 04 - NASA - Soyuz crew launches to space station on This Week @NASA – September 4, 2015_oj164sgu72Y - transcript (automated).pdf","Transcript Link")</f>
        <v>Transcript Link</v>
      </c>
    </row>
    <row r="1942" ht="195" spans="1:13">
      <c r="A1942" s="1" t="s">
        <v>8995</v>
      </c>
      <c r="B1942" s="1" t="s">
        <v>13</v>
      </c>
      <c r="C1942" s="4" t="s">
        <v>9000</v>
      </c>
      <c r="D1942" s="1" t="s">
        <v>9001</v>
      </c>
      <c r="E1942" s="1" t="s">
        <v>9002</v>
      </c>
      <c r="F1942" s="4" t="s">
        <v>17</v>
      </c>
      <c r="G1942" s="1" t="s">
        <v>18</v>
      </c>
      <c r="H1942" s="1" t="s">
        <v>19</v>
      </c>
      <c r="I1942" s="1" t="s">
        <v>20</v>
      </c>
      <c r="J1942" s="1" t="s">
        <v>9003</v>
      </c>
      <c r="K1942" s="1" t="s">
        <v>22</v>
      </c>
      <c r="L1942" s="1" t="str">
        <f>HYPERLINK("https://files.afu.se/Downloads/Transcripts/0%20-%20Government/USA%20-%20NASA/2015 09 04 - NASA - Boeing Debuts Commercial Crew Hardware_m1pno_CKpAw - transcript (automated).pdf","Transcript Link")</f>
        <v>Transcript Link</v>
      </c>
      <c r="M1942" s="2" t="str">
        <f>HYPERLINK("https://files.afu.se/Downloads/Transcripts/0%20-%20Government/USA%20-%20NASA/2015 09 04 - NASA - Boeing Debuts Commercial Crew Hardware_m1pno_CKpAw - transcript (automated).pdf","Transcript Link")</f>
        <v>Transcript Link</v>
      </c>
    </row>
    <row r="1943" ht="195" spans="1:13">
      <c r="A1943" s="1" t="s">
        <v>8995</v>
      </c>
      <c r="B1943" s="1" t="s">
        <v>13</v>
      </c>
      <c r="C1943" s="4" t="s">
        <v>9004</v>
      </c>
      <c r="D1943" s="1" t="s">
        <v>9005</v>
      </c>
      <c r="E1943" s="1" t="s">
        <v>9006</v>
      </c>
      <c r="F1943" s="4" t="s">
        <v>17</v>
      </c>
      <c r="G1943" s="1" t="s">
        <v>18</v>
      </c>
      <c r="H1943" s="1" t="s">
        <v>19</v>
      </c>
      <c r="I1943" s="1" t="s">
        <v>20</v>
      </c>
      <c r="J1943" s="1" t="s">
        <v>9007</v>
      </c>
      <c r="K1943" s="1" t="s">
        <v>22</v>
      </c>
      <c r="L1943" s="1" t="str">
        <f>HYPERLINK("https://files.afu.se/Downloads/Transcripts/0%20-%20Government/USA%20-%20NASA/2015 09 04 - NASA - Expedition 45 Visiting Crew Welcomed Aboard the Space Station_MiSkRYg_3wI - transcript (automated).pdf","Transcript Link")</f>
        <v>Transcript Link</v>
      </c>
      <c r="M1943" s="2" t="str">
        <f>HYPERLINK("https://files.afu.se/Downloads/Transcripts/0%20-%20Government/USA%20-%20NASA/2015 09 04 - NASA - Expedition 45 Visiting Crew Welcomed Aboard the Space Station_MiSkRYg_3wI - transcript (automated).pdf","Transcript Link")</f>
        <v>Transcript Link</v>
      </c>
    </row>
    <row r="1944" ht="165" spans="1:13">
      <c r="A1944" s="1" t="s">
        <v>8995</v>
      </c>
      <c r="B1944" s="1" t="s">
        <v>13</v>
      </c>
      <c r="C1944" s="4" t="s">
        <v>9008</v>
      </c>
      <c r="D1944" s="1" t="s">
        <v>9009</v>
      </c>
      <c r="E1944" s="1" t="s">
        <v>9010</v>
      </c>
      <c r="F1944" s="4" t="s">
        <v>17</v>
      </c>
      <c r="G1944" s="1" t="s">
        <v>18</v>
      </c>
      <c r="H1944" s="1" t="s">
        <v>19</v>
      </c>
      <c r="I1944" s="1" t="s">
        <v>20</v>
      </c>
      <c r="J1944" s="1" t="s">
        <v>9011</v>
      </c>
      <c r="K1944" s="1" t="s">
        <v>22</v>
      </c>
      <c r="L1944" s="1" t="str">
        <f>HYPERLINK("https://files.afu.se/Downloads/Transcripts/0%20-%20Government/USA%20-%20NASA/2015 09 04 - NASA - Expedition 45 Visiting Crew Docks to the Space Station_ukcZodM9j8E - transcript (automated).pdf","Transcript Link")</f>
        <v>Transcript Link</v>
      </c>
      <c r="M1944" s="2" t="str">
        <f>HYPERLINK("https://files.afu.se/Downloads/Transcripts/0%20-%20Government/USA%20-%20NASA/2015 09 04 - NASA - Expedition 45 Visiting Crew Docks to the Space Station_ukcZodM9j8E - transcript (automated).pdf","Transcript Link")</f>
        <v>Transcript Link</v>
      </c>
    </row>
    <row r="1945" ht="225" spans="1:13">
      <c r="A1945" s="1" t="s">
        <v>9012</v>
      </c>
      <c r="B1945" s="1" t="s">
        <v>13</v>
      </c>
      <c r="C1945" s="4" t="s">
        <v>9013</v>
      </c>
      <c r="D1945" s="1" t="s">
        <v>9014</v>
      </c>
      <c r="E1945" s="1" t="s">
        <v>9015</v>
      </c>
      <c r="F1945" s="4" t="s">
        <v>17</v>
      </c>
      <c r="G1945" s="1" t="s">
        <v>18</v>
      </c>
      <c r="H1945" s="1" t="s">
        <v>19</v>
      </c>
      <c r="I1945" s="1" t="s">
        <v>20</v>
      </c>
      <c r="J1945" s="1" t="s">
        <v>9016</v>
      </c>
      <c r="K1945" s="1" t="s">
        <v>22</v>
      </c>
      <c r="L1945" s="1" t="str">
        <f>HYPERLINK("https://files.afu.se/Downloads/Transcripts/0%20-%20Government/USA%20-%20NASA/2015 09 02 - NASA - Expedition 45 Visiting Crew Launches to the International Space Station_r2s1ZJjeQGI - transcript (automated).pdf","Transcript Link")</f>
        <v>Transcript Link</v>
      </c>
      <c r="M1945" s="2" t="str">
        <f>HYPERLINK("https://files.afu.se/Downloads/Transcripts/0%20-%20Government/USA%20-%20NASA/2015 09 02 - NASA - Expedition 45 Visiting Crew Launches to the International Space Station_r2s1ZJjeQGI - transcript (automated).pdf","Transcript Link")</f>
        <v>Transcript Link</v>
      </c>
    </row>
    <row r="1946" ht="195" spans="1:13">
      <c r="A1946" s="1" t="s">
        <v>9017</v>
      </c>
      <c r="B1946" s="1" t="s">
        <v>13</v>
      </c>
      <c r="C1946" s="4" t="s">
        <v>9018</v>
      </c>
      <c r="D1946" s="1" t="s">
        <v>9019</v>
      </c>
      <c r="E1946" s="1" t="s">
        <v>9020</v>
      </c>
      <c r="F1946" s="4" t="s">
        <v>17</v>
      </c>
      <c r="G1946" s="1" t="s">
        <v>18</v>
      </c>
      <c r="H1946" s="1" t="s">
        <v>19</v>
      </c>
      <c r="I1946" s="1" t="s">
        <v>20</v>
      </c>
      <c r="J1946" s="1" t="s">
        <v>9021</v>
      </c>
      <c r="K1946" s="1" t="s">
        <v>22</v>
      </c>
      <c r="L1946" s="1" t="str">
        <f>HYPERLINK("https://files.afu.se/Downloads/Transcripts/0%20-%20Government/USA%20-%20NASA/2015 09 01 - NASA - Expedition 45 Visiting Crew Meets Officials and Reporters as Launch Approaches_gHHVyXlkE1g - transcript (automated).pdf","Transcript Link")</f>
        <v>Transcript Link</v>
      </c>
      <c r="M1946" s="2" t="str">
        <f>HYPERLINK("https://files.afu.se/Downloads/Transcripts/0%20-%20Government/USA%20-%20NASA/2015 09 01 - NASA - Expedition 45 Visiting Crew Meets Officials and Reporters as Launch Approaches_gHHVyXlkE1g - transcript (automated).pdf","Transcript Link")</f>
        <v>Transcript Link</v>
      </c>
    </row>
    <row r="1947" ht="180" spans="1:13">
      <c r="A1947" s="1" t="s">
        <v>9022</v>
      </c>
      <c r="B1947" s="1" t="s">
        <v>13</v>
      </c>
      <c r="C1947" s="4" t="s">
        <v>9023</v>
      </c>
      <c r="D1947" s="1" t="s">
        <v>9024</v>
      </c>
      <c r="E1947" s="1" t="s">
        <v>9025</v>
      </c>
      <c r="F1947" s="4" t="s">
        <v>17</v>
      </c>
      <c r="G1947" s="1" t="s">
        <v>18</v>
      </c>
      <c r="H1947" s="1" t="s">
        <v>19</v>
      </c>
      <c r="I1947" s="1" t="s">
        <v>20</v>
      </c>
      <c r="J1947" s="1" t="s">
        <v>9026</v>
      </c>
      <c r="K1947" s="1" t="s">
        <v>22</v>
      </c>
      <c r="L1947" s="1" t="str">
        <f>HYPERLINK("https://files.afu.se/Downloads/Transcripts/0%20-%20Government/USA%20-%20NASA/2015 08 31 - NASA - The Expedition 45 Visiting Crew Soyuz Rocket Moved to Launch Pad_cBUxxH-hoKM - transcript (automated).pdf","Transcript Link")</f>
        <v>Transcript Link</v>
      </c>
      <c r="M1947" s="2" t="str">
        <f>HYPERLINK("https://files.afu.se/Downloads/Transcripts/0%20-%20Government/USA%20-%20NASA/2015 08 31 - NASA - The Expedition 45 Visiting Crew Soyuz Rocket Moved to Launch Pad_cBUxxH-hoKM - transcript (automated).pdf","Transcript Link")</f>
        <v>Transcript Link</v>
      </c>
    </row>
    <row r="1948" ht="165" spans="1:13">
      <c r="A1948" s="1" t="s">
        <v>9027</v>
      </c>
      <c r="B1948" s="1" t="s">
        <v>13</v>
      </c>
      <c r="C1948" s="4" t="s">
        <v>9028</v>
      </c>
      <c r="D1948" s="1" t="s">
        <v>9029</v>
      </c>
      <c r="E1948" s="1" t="s">
        <v>9030</v>
      </c>
      <c r="F1948" s="4" t="s">
        <v>17</v>
      </c>
      <c r="G1948" s="1" t="s">
        <v>18</v>
      </c>
      <c r="H1948" s="1" t="s">
        <v>19</v>
      </c>
      <c r="I1948" s="1" t="s">
        <v>20</v>
      </c>
      <c r="J1948" s="1" t="s">
        <v>9031</v>
      </c>
      <c r="K1948" s="1" t="s">
        <v>22</v>
      </c>
      <c r="L1948" s="1" t="str">
        <f>HYPERLINK("https://files.afu.se/Downloads/Transcripts/0%20-%20Government/USA%20-%20NASA/2015 08 28 - NASA - Japanese supply ship delivers to space station on This Week @NASA – August 28, 2015_4RyP8O_NO2c - transcript (automated).pdf","Transcript Link")</f>
        <v>Transcript Link</v>
      </c>
      <c r="M1948" s="2" t="str">
        <f>HYPERLINK("https://files.afu.se/Downloads/Transcripts/0%20-%20Government/USA%20-%20NASA/2015 08 28 - NASA - Japanese supply ship delivers to space station on This Week @NASA – August 28, 2015_4RyP8O_NO2c - transcript (automated).pdf","Transcript Link")</f>
        <v>Transcript Link</v>
      </c>
    </row>
    <row r="1949" ht="180" spans="1:13">
      <c r="A1949" s="1" t="s">
        <v>9027</v>
      </c>
      <c r="B1949" s="1" t="s">
        <v>13</v>
      </c>
      <c r="C1949" s="4" t="s">
        <v>9032</v>
      </c>
      <c r="D1949" s="1" t="s">
        <v>9033</v>
      </c>
      <c r="E1949" s="1" t="s">
        <v>9034</v>
      </c>
      <c r="F1949" s="4" t="s">
        <v>17</v>
      </c>
      <c r="G1949" s="1" t="s">
        <v>18</v>
      </c>
      <c r="H1949" s="1" t="s">
        <v>19</v>
      </c>
      <c r="I1949" s="1" t="s">
        <v>20</v>
      </c>
      <c r="J1949" s="1" t="s">
        <v>9035</v>
      </c>
      <c r="K1949" s="1" t="s">
        <v>22</v>
      </c>
      <c r="L1949" s="1" t="str">
        <f>HYPERLINK("https://files.afu.se/Downloads/Transcripts/0%20-%20Government/USA%20-%20NASA/2015 08 28 - NASA - Launch Approaches for Next Crew Headed to Space Station_i-VNc1cSSPk - transcript (automated).pdf","Transcript Link")</f>
        <v>Transcript Link</v>
      </c>
      <c r="M1949" s="2" t="str">
        <f>HYPERLINK("https://files.afu.se/Downloads/Transcripts/0%20-%20Government/USA%20-%20NASA/2015 08 28 - NASA - Launch Approaches for Next Crew Headed to Space Station_i-VNc1cSSPk - transcript (automated).pdf","Transcript Link")</f>
        <v>Transcript Link</v>
      </c>
    </row>
    <row r="1950" ht="165" spans="1:13">
      <c r="A1950" s="1" t="s">
        <v>9027</v>
      </c>
      <c r="B1950" s="1" t="s">
        <v>13</v>
      </c>
      <c r="C1950" s="4" t="s">
        <v>9036</v>
      </c>
      <c r="D1950" s="1" t="s">
        <v>9037</v>
      </c>
      <c r="E1950" s="1" t="s">
        <v>9038</v>
      </c>
      <c r="F1950" s="4" t="s">
        <v>17</v>
      </c>
      <c r="G1950" s="1" t="s">
        <v>18</v>
      </c>
      <c r="H1950" s="1" t="s">
        <v>19</v>
      </c>
      <c r="I1950" s="1" t="s">
        <v>20</v>
      </c>
      <c r="J1950" s="1" t="s">
        <v>9039</v>
      </c>
      <c r="K1950" s="1" t="s">
        <v>22</v>
      </c>
      <c r="L1950" s="1" t="str">
        <f>HYPERLINK("https://files.afu.se/Downloads/Transcripts/0%20-%20Government/USA%20-%20NASA/2015 08 28 - NASA - Soyuz Spacecraft Moved to a New Parking Place at the Space Station_ec15AZ1-Q1I - transcript (automated).pdf","Transcript Link")</f>
        <v>Transcript Link</v>
      </c>
      <c r="M1950" s="2" t="str">
        <f>HYPERLINK("https://files.afu.se/Downloads/Transcripts/0%20-%20Government/USA%20-%20NASA/2015 08 28 - NASA - Soyuz Spacecraft Moved to a New Parking Place at the Space Station_ec15AZ1-Q1I - transcript (automated).pdf","Transcript Link")</f>
        <v>Transcript Link</v>
      </c>
    </row>
    <row r="1951" ht="165" spans="1:13">
      <c r="A1951" s="1" t="s">
        <v>9040</v>
      </c>
      <c r="B1951" s="1" t="s">
        <v>13</v>
      </c>
      <c r="C1951" s="4" t="s">
        <v>9041</v>
      </c>
      <c r="D1951" s="1" t="s">
        <v>9042</v>
      </c>
      <c r="E1951" s="1" t="s">
        <v>9043</v>
      </c>
      <c r="F1951" s="4" t="s">
        <v>17</v>
      </c>
      <c r="G1951" s="1" t="s">
        <v>18</v>
      </c>
      <c r="H1951" s="1" t="s">
        <v>19</v>
      </c>
      <c r="I1951" s="1" t="s">
        <v>20</v>
      </c>
      <c r="J1951" s="1" t="s">
        <v>9044</v>
      </c>
      <c r="K1951" s="1" t="s">
        <v>22</v>
      </c>
      <c r="L1951" s="1" t="str">
        <f>HYPERLINK("https://files.afu.se/Downloads/Transcripts/0%20-%20Government/USA%20-%20NASA/2015 08 26 - NASA - NASA Crashes Plane to Test Emergency Devices_dDE5XgVvJxE - transcript (automated).pdf","Transcript Link")</f>
        <v>Transcript Link</v>
      </c>
      <c r="M1951" s="2" t="str">
        <f>HYPERLINK("https://files.afu.se/Downloads/Transcripts/0%20-%20Government/USA%20-%20NASA/2015 08 26 - NASA - NASA Crashes Plane to Test Emergency Devices_dDE5XgVvJxE - transcript (automated).pdf","Transcript Link")</f>
        <v>Transcript Link</v>
      </c>
    </row>
    <row r="1952" ht="195" spans="1:13">
      <c r="A1952" s="1" t="s">
        <v>9040</v>
      </c>
      <c r="B1952" s="1" t="s">
        <v>13</v>
      </c>
      <c r="C1952" s="4" t="s">
        <v>9045</v>
      </c>
      <c r="D1952" s="1" t="s">
        <v>9046</v>
      </c>
      <c r="E1952" s="1" t="s">
        <v>9047</v>
      </c>
      <c r="F1952" s="4" t="s">
        <v>17</v>
      </c>
      <c r="G1952" s="1" t="s">
        <v>18</v>
      </c>
      <c r="H1952" s="1" t="s">
        <v>19</v>
      </c>
      <c r="I1952" s="1" t="s">
        <v>20</v>
      </c>
      <c r="J1952" s="1" t="s">
        <v>9048</v>
      </c>
      <c r="K1952" s="1" t="s">
        <v>22</v>
      </c>
      <c r="L1952" s="1" t="str">
        <f>HYPERLINK("https://files.afu.se/Downloads/Transcripts/0%20-%20Government/USA%20-%20NASA/2015 08 26 - NASA - Space Station Crew Members Discuss Life in Space with Japan’s Prime Minister_CmohPIrfITw - transcript (automated).pdf","Transcript Link")</f>
        <v>Transcript Link</v>
      </c>
      <c r="M1952" s="2" t="str">
        <f>HYPERLINK("https://files.afu.se/Downloads/Transcripts/0%20-%20Government/USA%20-%20NASA/2015 08 26 - NASA - Space Station Crew Members Discuss Life in Space with Japan’s Prime Minister_CmohPIrfITw - transcript (automated).pdf","Transcript Link")</f>
        <v>Transcript Link</v>
      </c>
    </row>
    <row r="1953" ht="165" spans="1:13">
      <c r="A1953" s="1" t="s">
        <v>9049</v>
      </c>
      <c r="B1953" s="1" t="s">
        <v>13</v>
      </c>
      <c r="C1953" s="4" t="s">
        <v>9050</v>
      </c>
      <c r="D1953" s="1" t="s">
        <v>9051</v>
      </c>
      <c r="E1953" s="1" t="s">
        <v>9052</v>
      </c>
      <c r="F1953" s="4" t="s">
        <v>17</v>
      </c>
      <c r="G1953" s="1" t="s">
        <v>18</v>
      </c>
      <c r="H1953" s="1" t="s">
        <v>19</v>
      </c>
      <c r="I1953" s="1" t="s">
        <v>20</v>
      </c>
      <c r="J1953" s="1" t="s">
        <v>9053</v>
      </c>
      <c r="K1953" s="1" t="s">
        <v>22</v>
      </c>
      <c r="L1953" s="1" t="str">
        <f>HYPERLINK("https://files.afu.se/Downloads/Transcripts/0%20-%20Government/USA%20-%20NASA/2015 08 25 - NASA - Happy NASA_Na1pwRW4ZYc - transcript (automated).pdf","Transcript Link")</f>
        <v>Transcript Link</v>
      </c>
      <c r="M1953" s="2" t="str">
        <f>HYPERLINK("https://files.afu.se/Downloads/Transcripts/0%20-%20Government/USA%20-%20NASA/2015 08 25 - NASA - Happy NASA_Na1pwRW4ZYc - transcript (automated).pdf","Transcript Link")</f>
        <v>Transcript Link</v>
      </c>
    </row>
    <row r="1954" ht="165" spans="1:13">
      <c r="A1954" s="1" t="s">
        <v>9054</v>
      </c>
      <c r="B1954" s="1" t="s">
        <v>13</v>
      </c>
      <c r="C1954" s="4" t="s">
        <v>9055</v>
      </c>
      <c r="D1954" s="1" t="s">
        <v>9056</v>
      </c>
      <c r="E1954" s="1" t="s">
        <v>9057</v>
      </c>
      <c r="F1954" s="4" t="s">
        <v>17</v>
      </c>
      <c r="G1954" s="1" t="s">
        <v>18</v>
      </c>
      <c r="H1954" s="1" t="s">
        <v>19</v>
      </c>
      <c r="I1954" s="1" t="s">
        <v>20</v>
      </c>
      <c r="J1954" s="1" t="s">
        <v>9058</v>
      </c>
      <c r="K1954" s="1" t="s">
        <v>22</v>
      </c>
      <c r="L1954" s="1" t="str">
        <f>HYPERLINK("https://files.afu.se/Downloads/Transcripts/0%20-%20Government/USA%20-%20NASA/2015 08 24 - NASA - Japanese Cargo Ship Arrives at the Space Station_nBsYpLMeP1E - transcript (automated).pdf","Transcript Link")</f>
        <v>Transcript Link</v>
      </c>
      <c r="M1954" s="2" t="str">
        <f>HYPERLINK("https://files.afu.se/Downloads/Transcripts/0%20-%20Government/USA%20-%20NASA/2015 08 24 - NASA - Japanese Cargo Ship Arrives at the Space Station_nBsYpLMeP1E - transcript (automated).pdf","Transcript Link")</f>
        <v>Transcript Link</v>
      </c>
    </row>
    <row r="1955" ht="165" spans="1:13">
      <c r="A1955" s="1" t="s">
        <v>9059</v>
      </c>
      <c r="B1955" s="1" t="s">
        <v>13</v>
      </c>
      <c r="C1955" s="4" t="s">
        <v>9060</v>
      </c>
      <c r="D1955" s="1" t="s">
        <v>9061</v>
      </c>
      <c r="E1955" s="1" t="s">
        <v>9062</v>
      </c>
      <c r="F1955" s="4" t="s">
        <v>17</v>
      </c>
      <c r="G1955" s="1" t="s">
        <v>18</v>
      </c>
      <c r="H1955" s="1" t="s">
        <v>19</v>
      </c>
      <c r="I1955" s="1" t="s">
        <v>20</v>
      </c>
      <c r="J1955" s="1" t="s">
        <v>9063</v>
      </c>
      <c r="K1955" s="1" t="s">
        <v>22</v>
      </c>
      <c r="L1955" s="1" t="str">
        <f>HYPERLINK("https://files.afu.se/Downloads/Transcripts/0%20-%20Government/USA%20-%20NASA/2015 08 21 - NASA - Japanese Cargo Ship Launches to ISS on This Week @NASA -  August 21, 2015_hwQtcJjaB3o - transcript (automated).pdf","Transcript Link")</f>
        <v>Transcript Link</v>
      </c>
      <c r="M1955" s="2" t="str">
        <f>HYPERLINK("https://files.afu.se/Downloads/Transcripts/0%20-%20Government/USA%20-%20NASA/2015 08 21 - NASA - Japanese Cargo Ship Launches to ISS on This Week @NASA -  August 21, 2015_hwQtcJjaB3o - transcript (automated).pdf","Transcript Link")</f>
        <v>Transcript Link</v>
      </c>
    </row>
    <row r="1956" ht="165" spans="1:13">
      <c r="A1956" s="1" t="s">
        <v>9064</v>
      </c>
      <c r="B1956" s="1" t="s">
        <v>13</v>
      </c>
      <c r="C1956" s="4" t="s">
        <v>9065</v>
      </c>
      <c r="D1956" s="1" t="s">
        <v>9066</v>
      </c>
      <c r="E1956" s="1" t="s">
        <v>9067</v>
      </c>
      <c r="F1956" s="4" t="s">
        <v>17</v>
      </c>
      <c r="G1956" s="1" t="s">
        <v>18</v>
      </c>
      <c r="H1956" s="1" t="s">
        <v>19</v>
      </c>
      <c r="I1956" s="1" t="s">
        <v>20</v>
      </c>
      <c r="J1956" s="1" t="s">
        <v>9068</v>
      </c>
      <c r="K1956" s="1" t="s">
        <v>22</v>
      </c>
      <c r="L1956" s="1" t="str">
        <f>HYPERLINK("https://files.afu.se/Downloads/Transcripts/0%20-%20Government/USA%20-%20NASA/2015 08 19 - NASA - One Year International Space Station Crew Member Discusses Life In Space With The Media_a6LnPFtKeoE - transcript (automated).pdf","Transcript Link")</f>
        <v>Transcript Link</v>
      </c>
      <c r="M1956" s="2" t="str">
        <f>HYPERLINK("https://files.afu.se/Downloads/Transcripts/0%20-%20Government/USA%20-%20NASA/2015 08 19 - NASA - One Year International Space Station Crew Member Discusses Life In Space With The Media_a6LnPFtKeoE - transcript (automated).pdf","Transcript Link")</f>
        <v>Transcript Link</v>
      </c>
    </row>
    <row r="1957" ht="165" spans="1:13">
      <c r="A1957" s="1" t="s">
        <v>9064</v>
      </c>
      <c r="B1957" s="1" t="s">
        <v>13</v>
      </c>
      <c r="C1957" s="4" t="s">
        <v>9069</v>
      </c>
      <c r="D1957" s="1" t="s">
        <v>9070</v>
      </c>
      <c r="E1957" s="1" t="s">
        <v>9071</v>
      </c>
      <c r="F1957" s="4" t="s">
        <v>17</v>
      </c>
      <c r="G1957" s="1" t="s">
        <v>18</v>
      </c>
      <c r="H1957" s="1" t="s">
        <v>19</v>
      </c>
      <c r="I1957" s="1" t="s">
        <v>20</v>
      </c>
      <c r="J1957" s="1" t="s">
        <v>9072</v>
      </c>
      <c r="K1957" s="1" t="s">
        <v>22</v>
      </c>
      <c r="L1957" s="1" t="str">
        <f>HYPERLINK("https://files.afu.se/Downloads/Transcripts/0%20-%20Government/USA%20-%20NASA/2015 08 19 - NASA - Matt Damon at NASA’s Mars Mission Control Center_9wuPx1O6HQk - transcript (automated).pdf","Transcript Link")</f>
        <v>Transcript Link</v>
      </c>
      <c r="M1957" s="2" t="str">
        <f>HYPERLINK("https://files.afu.se/Downloads/Transcripts/0%20-%20Government/USA%20-%20NASA/2015 08 19 - NASA - Matt Damon at NASA’s Mars Mission Control Center_9wuPx1O6HQk - transcript (automated).pdf","Transcript Link")</f>
        <v>Transcript Link</v>
      </c>
    </row>
    <row r="1958" ht="165" spans="1:13">
      <c r="A1958" s="1" t="s">
        <v>9064</v>
      </c>
      <c r="B1958" s="1" t="s">
        <v>13</v>
      </c>
      <c r="C1958" s="4" t="s">
        <v>9073</v>
      </c>
      <c r="D1958" s="1" t="s">
        <v>9074</v>
      </c>
      <c r="E1958" s="1" t="s">
        <v>9075</v>
      </c>
      <c r="F1958" s="4" t="s">
        <v>17</v>
      </c>
      <c r="G1958" s="1" t="s">
        <v>18</v>
      </c>
      <c r="H1958" s="1" t="s">
        <v>19</v>
      </c>
      <c r="I1958" s="1" t="s">
        <v>20</v>
      </c>
      <c r="J1958" s="1" t="s">
        <v>9076</v>
      </c>
      <c r="K1958" s="1" t="s">
        <v>22</v>
      </c>
      <c r="L1958" s="1" t="str">
        <f>HYPERLINK("https://files.afu.se/Downloads/Transcripts/0%20-%20Government/USA%20-%20NASA/2015 08 19 - NASA - Jessica Chastain and Tracy Caldwell Dyson Discuss Space Exploration_yEh4INCjeGQ - transcript (automated).pdf","Transcript Link")</f>
        <v>Transcript Link</v>
      </c>
      <c r="M1958" s="2" t="str">
        <f>HYPERLINK("https://files.afu.se/Downloads/Transcripts/0%20-%20Government/USA%20-%20NASA/2015 08 19 - NASA - Jessica Chastain and Tracy Caldwell Dyson Discuss Space Exploration_yEh4INCjeGQ - transcript (automated).pdf","Transcript Link")</f>
        <v>Transcript Link</v>
      </c>
    </row>
    <row r="1959" ht="165" spans="1:13">
      <c r="A1959" s="1" t="s">
        <v>9064</v>
      </c>
      <c r="B1959" s="1" t="s">
        <v>13</v>
      </c>
      <c r="C1959" s="4" t="s">
        <v>9077</v>
      </c>
      <c r="D1959" s="1" t="s">
        <v>9078</v>
      </c>
      <c r="E1959" s="1" t="s">
        <v>9079</v>
      </c>
      <c r="F1959" s="4" t="s">
        <v>17</v>
      </c>
      <c r="G1959" s="1" t="s">
        <v>18</v>
      </c>
      <c r="H1959" s="1" t="s">
        <v>19</v>
      </c>
      <c r="I1959" s="1" t="s">
        <v>20</v>
      </c>
      <c r="J1959" s="1" t="s">
        <v>9080</v>
      </c>
      <c r="K1959" s="1" t="s">
        <v>22</v>
      </c>
      <c r="L1959" s="1" t="str">
        <f>HYPERLINK("https://files.afu.se/Downloads/Transcripts/0%20-%20Government/USA%20-%20NASA/2015 08 19 - NASA - Comic-Con  Journey to Mars and The Martian_m2bkJQah_dE - transcript (automated).pdf","Transcript Link")</f>
        <v>Transcript Link</v>
      </c>
      <c r="M1959" s="2" t="str">
        <f>HYPERLINK("https://files.afu.se/Downloads/Transcripts/0%20-%20Government/USA%20-%20NASA/2015 08 19 - NASA - Comic-Con  Journey to Mars and The Martian_m2bkJQah_dE - transcript (automated).pdf","Transcript Link")</f>
        <v>Transcript Link</v>
      </c>
    </row>
    <row r="1960" ht="165" spans="1:13">
      <c r="A1960" s="1" t="s">
        <v>9064</v>
      </c>
      <c r="B1960" s="1" t="s">
        <v>13</v>
      </c>
      <c r="C1960" s="4" t="s">
        <v>9081</v>
      </c>
      <c r="D1960" s="1" t="s">
        <v>9082</v>
      </c>
      <c r="E1960" s="1" t="s">
        <v>9079</v>
      </c>
      <c r="F1960" s="4" t="s">
        <v>17</v>
      </c>
      <c r="G1960" s="1" t="s">
        <v>18</v>
      </c>
      <c r="H1960" s="1" t="s">
        <v>19</v>
      </c>
      <c r="I1960" s="1" t="s">
        <v>20</v>
      </c>
      <c r="J1960" s="1" t="s">
        <v>9083</v>
      </c>
      <c r="K1960" s="1" t="s">
        <v>22</v>
      </c>
      <c r="L1960" s="1" t="str">
        <f>HYPERLINK("https://files.afu.se/Downloads/Transcripts/0%20-%20Government/USA%20-%20NASA/2015 08 19 - NASA - Comic-Con  Turning Science Fiction Into Science Fact_CRpUzeNWtIA - transcript (automated).pdf","Transcript Link")</f>
        <v>Transcript Link</v>
      </c>
      <c r="M1960" s="2" t="str">
        <f>HYPERLINK("https://files.afu.se/Downloads/Transcripts/0%20-%20Government/USA%20-%20NASA/2015 08 19 - NASA - Comic-Con  Turning Science Fiction Into Science Fact_CRpUzeNWtIA - transcript (automated).pdf","Transcript Link")</f>
        <v>Transcript Link</v>
      </c>
    </row>
    <row r="1961" ht="165" spans="1:13">
      <c r="A1961" s="1" t="s">
        <v>9064</v>
      </c>
      <c r="B1961" s="1" t="s">
        <v>13</v>
      </c>
      <c r="C1961" s="4" t="s">
        <v>9084</v>
      </c>
      <c r="D1961" s="1" t="s">
        <v>9085</v>
      </c>
      <c r="E1961" s="1" t="s">
        <v>9086</v>
      </c>
      <c r="F1961" s="4" t="s">
        <v>17</v>
      </c>
      <c r="G1961" s="1" t="s">
        <v>18</v>
      </c>
      <c r="H1961" s="1" t="s">
        <v>19</v>
      </c>
      <c r="I1961" s="1" t="s">
        <v>20</v>
      </c>
      <c r="J1961" s="1" t="s">
        <v>9087</v>
      </c>
      <c r="K1961" s="1" t="s">
        <v>22</v>
      </c>
      <c r="L1961" s="1" t="str">
        <f>HYPERLINK("https://files.afu.se/Downloads/Transcripts/0%20-%20Government/USA%20-%20NASA/2015 08 19 - NASA - We're going to Mars!_dLDU0Ow9M_U - transcript (automated).pdf","Transcript Link")</f>
        <v>Transcript Link</v>
      </c>
      <c r="M1961" s="2" t="str">
        <f>HYPERLINK("https://files.afu.se/Downloads/Transcripts/0%20-%20Government/USA%20-%20NASA/2015 08 19 - NASA - We're going to Mars!_dLDU0Ow9M_U - transcript (automated).pdf","Transcript Link")</f>
        <v>Transcript Link</v>
      </c>
    </row>
    <row r="1962" ht="165" spans="1:13">
      <c r="A1962" s="1" t="s">
        <v>9064</v>
      </c>
      <c r="B1962" s="1" t="s">
        <v>13</v>
      </c>
      <c r="C1962" s="4" t="s">
        <v>9088</v>
      </c>
      <c r="D1962" s="1" t="s">
        <v>9089</v>
      </c>
      <c r="E1962" s="1" t="s">
        <v>9090</v>
      </c>
      <c r="F1962" s="4" t="s">
        <v>17</v>
      </c>
      <c r="G1962" s="1" t="s">
        <v>18</v>
      </c>
      <c r="H1962" s="1" t="s">
        <v>19</v>
      </c>
      <c r="I1962" s="1" t="s">
        <v>20</v>
      </c>
      <c r="J1962" s="1" t="s">
        <v>9091</v>
      </c>
      <c r="K1962" s="1" t="s">
        <v>22</v>
      </c>
      <c r="L1962" s="1" t="str">
        <f>HYPERLINK("https://files.afu.se/Downloads/Transcripts/0%20-%20Government/USA%20-%20NASA/2015 08 19 - NASA - Science Fiction to Science Fact_7PoaG0yjIJM - transcript (automated).pdf","Transcript Link")</f>
        <v>Transcript Link</v>
      </c>
      <c r="M1962" s="2" t="str">
        <f>HYPERLINK("https://files.afu.se/Downloads/Transcripts/0%20-%20Government/USA%20-%20NASA/2015 08 19 - NASA - Science Fiction to Science Fact_7PoaG0yjIJM - transcript (automated).pdf","Transcript Link")</f>
        <v>Transcript Link</v>
      </c>
    </row>
    <row r="1963" ht="330" spans="1:13">
      <c r="A1963" s="1" t="s">
        <v>9064</v>
      </c>
      <c r="B1963" s="1" t="s">
        <v>13</v>
      </c>
      <c r="C1963" s="4" t="s">
        <v>9092</v>
      </c>
      <c r="D1963" s="1" t="s">
        <v>9093</v>
      </c>
      <c r="E1963" s="1" t="s">
        <v>9094</v>
      </c>
      <c r="F1963" s="4" t="s">
        <v>17</v>
      </c>
      <c r="G1963" s="1" t="s">
        <v>18</v>
      </c>
      <c r="H1963" s="1" t="s">
        <v>19</v>
      </c>
      <c r="I1963" s="1" t="s">
        <v>20</v>
      </c>
      <c r="J1963" s="1" t="s">
        <v>9095</v>
      </c>
      <c r="K1963" s="1" t="s">
        <v>22</v>
      </c>
      <c r="L1963" s="1" t="str">
        <f>HYPERLINK("https://files.afu.se/Downloads/Transcripts/0%20-%20Government/USA%20-%20NASA/2015 08 19 - NASA - Japanese Cargo Ship Sets Sail for the Space Station_nDQQUnyMtFM - transcript (automated).pdf","Transcript Link")</f>
        <v>Transcript Link</v>
      </c>
      <c r="M1963" s="2" t="str">
        <f>HYPERLINK("https://files.afu.se/Downloads/Transcripts/0%20-%20Government/USA%20-%20NASA/2015 08 19 - NASA - Japanese Cargo Ship Sets Sail for the Space Station_nDQQUnyMtFM - transcript (automated).pdf","Transcript Link")</f>
        <v>Transcript Link</v>
      </c>
    </row>
    <row r="1964" ht="165" spans="1:13">
      <c r="A1964" s="1" t="s">
        <v>9096</v>
      </c>
      <c r="B1964" s="1" t="s">
        <v>13</v>
      </c>
      <c r="C1964" s="4" t="s">
        <v>9097</v>
      </c>
      <c r="D1964" s="1" t="s">
        <v>9098</v>
      </c>
      <c r="E1964" s="1" t="s">
        <v>9099</v>
      </c>
      <c r="F1964" s="4" t="s">
        <v>17</v>
      </c>
      <c r="G1964" s="1" t="s">
        <v>18</v>
      </c>
      <c r="H1964" s="1" t="s">
        <v>19</v>
      </c>
      <c r="I1964" s="1" t="s">
        <v>20</v>
      </c>
      <c r="J1964" s="1" t="s">
        <v>9100</v>
      </c>
      <c r="K1964" s="1" t="s">
        <v>22</v>
      </c>
      <c r="L1964" s="1" t="str">
        <f>HYPERLINK("https://files.afu.se/Downloads/Transcripts/0%20-%20Government/USA%20-%20NASA/2015 08 18 - NASA - NASA Celebrates Aviation Day_zU8kz5fqrHA - transcript (automated).pdf","Transcript Link")</f>
        <v>Transcript Link</v>
      </c>
      <c r="M1964" s="2" t="str">
        <f>HYPERLINK("https://files.afu.se/Downloads/Transcripts/0%20-%20Government/USA%20-%20NASA/2015 08 18 - NASA - NASA Celebrates Aviation Day_zU8kz5fqrHA - transcript (automated).pdf","Transcript Link")</f>
        <v>Transcript Link</v>
      </c>
    </row>
    <row r="1965" ht="165" spans="1:13">
      <c r="A1965" s="1" t="s">
        <v>9096</v>
      </c>
      <c r="B1965" s="1" t="s">
        <v>13</v>
      </c>
      <c r="C1965" s="4" t="s">
        <v>9101</v>
      </c>
      <c r="D1965" s="1" t="s">
        <v>9102</v>
      </c>
      <c r="E1965" s="1" t="s">
        <v>9103</v>
      </c>
      <c r="F1965" s="4" t="s">
        <v>17</v>
      </c>
      <c r="G1965" s="1" t="s">
        <v>18</v>
      </c>
      <c r="H1965" s="1" t="s">
        <v>19</v>
      </c>
      <c r="I1965" s="1" t="s">
        <v>20</v>
      </c>
      <c r="J1965" s="1" t="s">
        <v>9104</v>
      </c>
      <c r="K1965" s="1" t="s">
        <v>22</v>
      </c>
      <c r="L1965" s="1" t="str">
        <f>HYPERLINK("https://files.afu.se/Downloads/Transcripts/0%20-%20Government/USA%20-%20NASA/2015 08 18 - NASA - Happy Aviation Day from Dava Newman_2oxlEUf0uD4 - transcript (automated).pdf","Transcript Link")</f>
        <v>Transcript Link</v>
      </c>
      <c r="M1965" s="2" t="str">
        <f>HYPERLINK("https://files.afu.se/Downloads/Transcripts/0%20-%20Government/USA%20-%20NASA/2015 08 18 - NASA - Happy Aviation Day from Dava Newman_2oxlEUf0uD4 - transcript (automated).pdf","Transcript Link")</f>
        <v>Transcript Link</v>
      </c>
    </row>
    <row r="1966" ht="225" spans="1:13">
      <c r="A1966" s="1" t="s">
        <v>9096</v>
      </c>
      <c r="B1966" s="1" t="s">
        <v>13</v>
      </c>
      <c r="C1966" s="4" t="s">
        <v>9105</v>
      </c>
      <c r="D1966" s="1" t="s">
        <v>9106</v>
      </c>
      <c r="E1966" s="1" t="s">
        <v>9107</v>
      </c>
      <c r="F1966" s="4" t="s">
        <v>17</v>
      </c>
      <c r="G1966" s="1" t="s">
        <v>18</v>
      </c>
      <c r="H1966" s="1" t="s">
        <v>19</v>
      </c>
      <c r="I1966" s="1" t="s">
        <v>20</v>
      </c>
      <c r="J1966" s="1" t="s">
        <v>9108</v>
      </c>
      <c r="K1966" s="1" t="s">
        <v>22</v>
      </c>
      <c r="L1966" s="1" t="str">
        <f>HYPERLINK("https://files.afu.se/Downloads/Transcripts/0%20-%20Government/USA%20-%20NASA/2015 08 18 - NASA - Expedition 45 Visiting Crew Departs for Kazakh Launch Site_i2LsMaEub2M - transcript (automated).pdf","Transcript Link")</f>
        <v>Transcript Link</v>
      </c>
      <c r="M1966" s="2" t="str">
        <f>HYPERLINK("https://files.afu.se/Downloads/Transcripts/0%20-%20Government/USA%20-%20NASA/2015 08 18 - NASA - Expedition 45 Visiting Crew Departs for Kazakh Launch Site_i2LsMaEub2M - transcript (automated).pdf","Transcript Link")</f>
        <v>Transcript Link</v>
      </c>
    </row>
    <row r="1967" ht="165" spans="1:13">
      <c r="A1967" s="1" t="s">
        <v>9109</v>
      </c>
      <c r="B1967" s="1" t="s">
        <v>13</v>
      </c>
      <c r="C1967" s="4" t="s">
        <v>9110</v>
      </c>
      <c r="D1967" s="1" t="s">
        <v>9111</v>
      </c>
      <c r="E1967" s="1" t="s">
        <v>9112</v>
      </c>
      <c r="F1967" s="4" t="s">
        <v>17</v>
      </c>
      <c r="G1967" s="1" t="s">
        <v>18</v>
      </c>
      <c r="H1967" s="1" t="s">
        <v>19</v>
      </c>
      <c r="I1967" s="1" t="s">
        <v>20</v>
      </c>
      <c r="J1967" s="1" t="s">
        <v>9113</v>
      </c>
      <c r="K1967" s="1" t="s">
        <v>22</v>
      </c>
      <c r="L1967" s="1" t="str">
        <f>HYPERLINK("https://files.afu.se/Downloads/Transcripts/0%20-%20Government/USA%20-%20NASA/2015 08 17 - NASA - NASA International Space Station Crew Discuss Life In Space With CBS Radio_30jRZe9Ss6M - transcript (automated).pdf","Transcript Link")</f>
        <v>Transcript Link</v>
      </c>
      <c r="M1967" s="2" t="str">
        <f>HYPERLINK("https://files.afu.se/Downloads/Transcripts/0%20-%20Government/USA%20-%20NASA/2015 08 17 - NASA - NASA International Space Station Crew Discuss Life In Space With CBS Radio_30jRZe9Ss6M - transcript (automated).pdf","Transcript Link")</f>
        <v>Transcript Link</v>
      </c>
    </row>
    <row r="1968" ht="165" spans="1:13">
      <c r="A1968" s="1" t="s">
        <v>9114</v>
      </c>
      <c r="B1968" s="1" t="s">
        <v>13</v>
      </c>
      <c r="C1968" s="4" t="s">
        <v>9115</v>
      </c>
      <c r="D1968" s="1" t="s">
        <v>9116</v>
      </c>
      <c r="E1968" s="1" t="s">
        <v>9117</v>
      </c>
      <c r="F1968" s="4" t="s">
        <v>17</v>
      </c>
      <c r="G1968" s="1" t="s">
        <v>18</v>
      </c>
      <c r="H1968" s="1" t="s">
        <v>19</v>
      </c>
      <c r="I1968" s="1" t="s">
        <v>20</v>
      </c>
      <c r="J1968" s="1" t="s">
        <v>9118</v>
      </c>
      <c r="K1968" s="1" t="s">
        <v>22</v>
      </c>
      <c r="L1968" s="1" t="str">
        <f>HYPERLINK("https://files.afu.se/Downloads/Transcripts/0%20-%20Government/USA%20-%20NASA/2015 08 14 - NASA - Smoke and fire Rocket-engine ablaze on This Week @NASA – August 14, 2015_TJ5e9O6yKlU - transcript (automated).pdf","Transcript Link")</f>
        <v>Transcript Link</v>
      </c>
      <c r="M1968" s="2" t="str">
        <f>HYPERLINK("https://files.afu.se/Downloads/Transcripts/0%20-%20Government/USA%20-%20NASA/2015 08 14 - NASA - Smoke and fire Rocket-engine ablaze on This Week @NASA – August 14, 2015_TJ5e9O6yKlU - transcript (automated).pdf","Transcript Link")</f>
        <v>Transcript Link</v>
      </c>
    </row>
    <row r="1969" ht="165" spans="1:13">
      <c r="A1969" s="1" t="s">
        <v>9114</v>
      </c>
      <c r="B1969" s="1" t="s">
        <v>13</v>
      </c>
      <c r="C1969" s="4" t="s">
        <v>9119</v>
      </c>
      <c r="D1969" s="1" t="s">
        <v>9120</v>
      </c>
      <c r="E1969" s="1" t="s">
        <v>9121</v>
      </c>
      <c r="F1969" s="4" t="s">
        <v>17</v>
      </c>
      <c r="G1969" s="1" t="s">
        <v>18</v>
      </c>
      <c r="H1969" s="1" t="s">
        <v>19</v>
      </c>
      <c r="I1969" s="1" t="s">
        <v>20</v>
      </c>
      <c r="J1969" s="1" t="s">
        <v>9122</v>
      </c>
      <c r="K1969" s="1" t="s">
        <v>22</v>
      </c>
      <c r="L1969" s="1" t="str">
        <f>HYPERLINK("https://files.afu.se/Downloads/Transcripts/0%20-%20Government/USA%20-%20NASA/2015 08 14 - NASA - Russian Space Station Supply Ship Departs ISS_KsItO5AwOK8 - transcript (automated).pdf","Transcript Link")</f>
        <v>Transcript Link</v>
      </c>
      <c r="M1969" s="2" t="str">
        <f>HYPERLINK("https://files.afu.se/Downloads/Transcripts/0%20-%20Government/USA%20-%20NASA/2015 08 14 - NASA - Russian Space Station Supply Ship Departs ISS_KsItO5AwOK8 - transcript (automated).pdf","Transcript Link")</f>
        <v>Transcript Link</v>
      </c>
    </row>
    <row r="1970" ht="165" spans="1:13">
      <c r="A1970" s="1" t="s">
        <v>9123</v>
      </c>
      <c r="B1970" s="1" t="s">
        <v>13</v>
      </c>
      <c r="C1970" s="4" t="s">
        <v>9124</v>
      </c>
      <c r="D1970" s="1" t="s">
        <v>9125</v>
      </c>
      <c r="E1970" s="1" t="s">
        <v>9126</v>
      </c>
      <c r="F1970" s="4" t="s">
        <v>17</v>
      </c>
      <c r="G1970" s="1" t="s">
        <v>18</v>
      </c>
      <c r="H1970" s="1" t="s">
        <v>19</v>
      </c>
      <c r="I1970" s="1" t="s">
        <v>20</v>
      </c>
      <c r="J1970" s="1" t="s">
        <v>9127</v>
      </c>
      <c r="K1970" s="1" t="s">
        <v>22</v>
      </c>
      <c r="L1970" s="1" t="str">
        <f>HYPERLINK("https://files.afu.se/Downloads/Transcripts/0%20-%20Government/USA%20-%20NASA/2015 08 13 - NASA - Smoke and fire RS 25 rocket engine test_fKCI7K2-NEE - transcript (automated).pdf","Transcript Link")</f>
        <v>Transcript Link</v>
      </c>
      <c r="M1970" s="2" t="str">
        <f>HYPERLINK("https://files.afu.se/Downloads/Transcripts/0%20-%20Government/USA%20-%20NASA/2015 08 13 - NASA - Smoke and fire RS 25 rocket engine test_fKCI7K2-NEE - transcript (automated).pdf","Transcript Link")</f>
        <v>Transcript Link</v>
      </c>
    </row>
    <row r="1971" ht="165" spans="1:13">
      <c r="A1971" s="1" t="s">
        <v>9123</v>
      </c>
      <c r="B1971" s="1" t="s">
        <v>13</v>
      </c>
      <c r="C1971" s="4" t="s">
        <v>9128</v>
      </c>
      <c r="D1971" s="1" t="s">
        <v>9129</v>
      </c>
      <c r="E1971" s="1" t="s">
        <v>9130</v>
      </c>
      <c r="F1971" s="4" t="s">
        <v>17</v>
      </c>
      <c r="G1971" s="1" t="s">
        <v>18</v>
      </c>
      <c r="H1971" s="1" t="s">
        <v>19</v>
      </c>
      <c r="I1971" s="1" t="s">
        <v>20</v>
      </c>
      <c r="J1971" s="1" t="s">
        <v>9131</v>
      </c>
      <c r="K1971" s="1" t="s">
        <v>22</v>
      </c>
      <c r="L1971" s="1" t="str">
        <f>HYPERLINK("https://files.afu.se/Downloads/Transcripts/0%20-%20Government/USA%20-%20NASA/2015 08 13 - NASA - NASA Social -  RS-25 Rocket Engine Test_pDWIu0YpHI0 - transcript (automated).pdf","Transcript Link")</f>
        <v>Transcript Link</v>
      </c>
      <c r="M1971" s="2" t="str">
        <f>HYPERLINK("https://files.afu.se/Downloads/Transcripts/0%20-%20Government/USA%20-%20NASA/2015 08 13 - NASA - NASA Social -  RS-25 Rocket Engine Test_pDWIu0YpHI0 - transcript (automated).pdf","Transcript Link")</f>
        <v>Transcript Link</v>
      </c>
    </row>
    <row r="1972" ht="165" spans="1:13">
      <c r="A1972" s="1" t="s">
        <v>9123</v>
      </c>
      <c r="B1972" s="1" t="s">
        <v>13</v>
      </c>
      <c r="C1972" s="4" t="s">
        <v>9132</v>
      </c>
      <c r="D1972" s="1" t="s">
        <v>9133</v>
      </c>
      <c r="E1972" s="1" t="s">
        <v>9134</v>
      </c>
      <c r="F1972" s="4" t="s">
        <v>17</v>
      </c>
      <c r="G1972" s="1" t="s">
        <v>18</v>
      </c>
      <c r="H1972" s="1" t="s">
        <v>19</v>
      </c>
      <c r="I1972" s="1" t="s">
        <v>20</v>
      </c>
      <c r="J1972" s="1" t="s">
        <v>9135</v>
      </c>
      <c r="K1972" s="1" t="s">
        <v>22</v>
      </c>
      <c r="L1972" s="1" t="str">
        <f>HYPERLINK("https://files.afu.se/Downloads/Transcripts/0%20-%20Government/USA%20-%20NASA/2015 08 13 - NASA - Space station crew members share experiences in space with Challenger Center students_-GTYaancYC8 - transcript (automated).pdf","Transcript Link")</f>
        <v>Transcript Link</v>
      </c>
      <c r="M1972" s="2" t="str">
        <f>HYPERLINK("https://files.afu.se/Downloads/Transcripts/0%20-%20Government/USA%20-%20NASA/2015 08 13 - NASA - Space station crew members share experiences in space with Challenger Center students_-GTYaancYC8 - transcript (automated).pdf","Transcript Link")</f>
        <v>Transcript Link</v>
      </c>
    </row>
    <row r="1973" ht="165" spans="1:13">
      <c r="A1973" s="1" t="s">
        <v>9123</v>
      </c>
      <c r="B1973" s="1" t="s">
        <v>13</v>
      </c>
      <c r="C1973" s="4" t="s">
        <v>9136</v>
      </c>
      <c r="D1973" s="1" t="s">
        <v>9137</v>
      </c>
      <c r="E1973" s="1" t="s">
        <v>9138</v>
      </c>
      <c r="F1973" s="4" t="s">
        <v>17</v>
      </c>
      <c r="G1973" s="1" t="s">
        <v>18</v>
      </c>
      <c r="H1973" s="1" t="s">
        <v>19</v>
      </c>
      <c r="I1973" s="1" t="s">
        <v>20</v>
      </c>
      <c r="J1973" s="1" t="s">
        <v>9139</v>
      </c>
      <c r="K1973" s="1" t="s">
        <v>22</v>
      </c>
      <c r="L1973" s="1" t="str">
        <f>HYPERLINK("https://files.afu.se/Downloads/Transcripts/0%20-%20Government/USA%20-%20NASA/2015 08 13 - NASA - Perseid meteor shower on NASA TV_DIvVLyltJe8 - transcript (automated).pdf","Transcript Link")</f>
        <v>Transcript Link</v>
      </c>
      <c r="M1973" s="2" t="str">
        <f>HYPERLINK("https://files.afu.se/Downloads/Transcripts/0%20-%20Government/USA%20-%20NASA/2015 08 13 - NASA - Perseid meteor shower on NASA TV_DIvVLyltJe8 - transcript (automated).pdf","Transcript Link")</f>
        <v>Transcript Link</v>
      </c>
    </row>
    <row r="1974" ht="180" spans="1:13">
      <c r="A1974" s="1" t="s">
        <v>9140</v>
      </c>
      <c r="B1974" s="1" t="s">
        <v>13</v>
      </c>
      <c r="C1974" s="4" t="s">
        <v>9141</v>
      </c>
      <c r="D1974" s="1" t="s">
        <v>9142</v>
      </c>
      <c r="E1974" s="1" t="s">
        <v>9143</v>
      </c>
      <c r="F1974" s="4" t="s">
        <v>17</v>
      </c>
      <c r="G1974" s="1" t="s">
        <v>18</v>
      </c>
      <c r="H1974" s="1" t="s">
        <v>19</v>
      </c>
      <c r="I1974" s="1" t="s">
        <v>20</v>
      </c>
      <c r="J1974" s="1" t="s">
        <v>9144</v>
      </c>
      <c r="K1974" s="1" t="s">
        <v>22</v>
      </c>
      <c r="L1974" s="1" t="str">
        <f>HYPERLINK("https://files.afu.se/Downloads/Transcripts/0%20-%20Government/USA%20-%20NASA/2015 08 11 - NASA - Expedition 45 Visiting Crew Conducts Traditional Ceremonies in Russia_zHxRPEaARBI - transcript (automated).pdf","Transcript Link")</f>
        <v>Transcript Link</v>
      </c>
      <c r="M1974" s="2" t="str">
        <f>HYPERLINK("https://files.afu.se/Downloads/Transcripts/0%20-%20Government/USA%20-%20NASA/2015 08 11 - NASA - Expedition 45 Visiting Crew Conducts Traditional Ceremonies in Russia_zHxRPEaARBI - transcript (automated).pdf","Transcript Link")</f>
        <v>Transcript Link</v>
      </c>
    </row>
    <row r="1975" ht="180" spans="1:13">
      <c r="A1975" s="1" t="s">
        <v>9140</v>
      </c>
      <c r="B1975" s="1" t="s">
        <v>13</v>
      </c>
      <c r="C1975" s="4" t="s">
        <v>9145</v>
      </c>
      <c r="D1975" s="1" t="s">
        <v>9146</v>
      </c>
      <c r="E1975" s="1" t="s">
        <v>9143</v>
      </c>
      <c r="F1975" s="4" t="s">
        <v>17</v>
      </c>
      <c r="G1975" s="1" t="s">
        <v>18</v>
      </c>
      <c r="H1975" s="1" t="s">
        <v>19</v>
      </c>
      <c r="I1975" s="1" t="s">
        <v>20</v>
      </c>
      <c r="J1975" s="1" t="s">
        <v>9147</v>
      </c>
      <c r="K1975" s="1" t="s">
        <v>22</v>
      </c>
      <c r="L1975" s="1" t="str">
        <f>HYPERLINK("https://files.afu.se/Downloads/Transcripts/0%20-%20Government/USA%20-%20NASA/2015 08 11 - NASA - Expedition 45 Visiting Crew Conducts News Conference in Russia_bcWJG54KCUI - transcript (automated).pdf","Transcript Link")</f>
        <v>Transcript Link</v>
      </c>
      <c r="M1975" s="2" t="str">
        <f>HYPERLINK("https://files.afu.se/Downloads/Transcripts/0%20-%20Government/USA%20-%20NASA/2015 08 11 - NASA - Expedition 45 Visiting Crew Conducts News Conference in Russia_bcWJG54KCUI - transcript (automated).pdf","Transcript Link")</f>
        <v>Transcript Link</v>
      </c>
    </row>
    <row r="1976" ht="165" spans="1:13">
      <c r="A1976" s="1" t="s">
        <v>9140</v>
      </c>
      <c r="B1976" s="1" t="s">
        <v>13</v>
      </c>
      <c r="C1976" s="4" t="s">
        <v>9148</v>
      </c>
      <c r="D1976" s="1" t="s">
        <v>9149</v>
      </c>
      <c r="E1976" s="1" t="s">
        <v>9150</v>
      </c>
      <c r="F1976" s="4" t="s">
        <v>17</v>
      </c>
      <c r="G1976" s="1" t="s">
        <v>18</v>
      </c>
      <c r="H1976" s="1" t="s">
        <v>19</v>
      </c>
      <c r="I1976" s="1" t="s">
        <v>20</v>
      </c>
      <c r="J1976" s="1" t="s">
        <v>9151</v>
      </c>
      <c r="K1976" s="1" t="s">
        <v>22</v>
      </c>
      <c r="L1976" s="1" t="str">
        <f>HYPERLINK("https://files.afu.se/Downloads/Transcripts/0%20-%20Government/USA%20-%20NASA/2015 08 11 - NASA - Space station crew member talks to Japanese media_yCBzeIiYnmY - transcript (automated).pdf","Transcript Link")</f>
        <v>Transcript Link</v>
      </c>
      <c r="M1976" s="2" t="str">
        <f>HYPERLINK("https://files.afu.se/Downloads/Transcripts/0%20-%20Government/USA%20-%20NASA/2015 08 11 - NASA - Space station crew member talks to Japanese media_yCBzeIiYnmY - transcript (automated).pdf","Transcript Link")</f>
        <v>Transcript Link</v>
      </c>
    </row>
    <row r="1977" ht="165" spans="1:13">
      <c r="A1977" s="1" t="s">
        <v>9152</v>
      </c>
      <c r="B1977" s="1" t="s">
        <v>13</v>
      </c>
      <c r="C1977" s="4" t="s">
        <v>9153</v>
      </c>
      <c r="D1977" s="1" t="s">
        <v>9154</v>
      </c>
      <c r="E1977" s="1" t="s">
        <v>9155</v>
      </c>
      <c r="F1977" s="4" t="s">
        <v>17</v>
      </c>
      <c r="G1977" s="1" t="s">
        <v>18</v>
      </c>
      <c r="H1977" s="1" t="s">
        <v>19</v>
      </c>
      <c r="I1977" s="1" t="s">
        <v>20</v>
      </c>
      <c r="J1977" s="1" t="s">
        <v>9156</v>
      </c>
      <c r="K1977" s="1" t="s">
        <v>22</v>
      </c>
      <c r="L1977" s="1" t="str">
        <f>HYPERLINK("https://files.afu.se/Downloads/Transcripts/0%20-%20Government/USA%20-%20NASA/2015 08 10 - NASA - Russian cosmonauts conduct spacewalk outside ISS_eFDVn2R3Edk - transcript (automated).pdf","Transcript Link")</f>
        <v>Transcript Link</v>
      </c>
      <c r="M1977" s="2" t="str">
        <f>HYPERLINK("https://files.afu.se/Downloads/Transcripts/0%20-%20Government/USA%20-%20NASA/2015 08 10 - NASA - Russian cosmonauts conduct spacewalk outside ISS_eFDVn2R3Edk - transcript (automated).pdf","Transcript Link")</f>
        <v>Transcript Link</v>
      </c>
    </row>
    <row r="1978" ht="270" spans="1:13">
      <c r="A1978" s="1" t="s">
        <v>9157</v>
      </c>
      <c r="B1978" s="1" t="s">
        <v>13</v>
      </c>
      <c r="C1978" s="4" t="s">
        <v>9158</v>
      </c>
      <c r="D1978" s="1" t="s">
        <v>9159</v>
      </c>
      <c r="E1978" s="1" t="s">
        <v>9160</v>
      </c>
      <c r="F1978" s="4" t="s">
        <v>17</v>
      </c>
      <c r="G1978" s="1" t="s">
        <v>18</v>
      </c>
      <c r="H1978" s="1" t="s">
        <v>19</v>
      </c>
      <c r="I1978" s="1" t="s">
        <v>20</v>
      </c>
      <c r="J1978" s="1" t="s">
        <v>9161</v>
      </c>
      <c r="K1978" s="1" t="s">
        <v>22</v>
      </c>
      <c r="L1978" s="1" t="str">
        <f>HYPERLINK("https://files.afu.se/Downloads/Transcripts/0%20-%20Government/USA%20-%20NASA/2015 08 07 - NASA - Making milestones on the journey to Mars on This Week @NASA – August 7, 2015_uWfBj8VhnQQ - transcript (automated).pdf","Transcript Link")</f>
        <v>Transcript Link</v>
      </c>
      <c r="M1978" s="2" t="str">
        <f>HYPERLINK("https://files.afu.se/Downloads/Transcripts/0%20-%20Government/USA%20-%20NASA/2015 08 07 - NASA - Making milestones on the journey to Mars on This Week @NASA – August 7, 2015_uWfBj8VhnQQ - transcript (automated).pdf","Transcript Link")</f>
        <v>Transcript Link</v>
      </c>
    </row>
    <row r="1979" ht="165" spans="1:13">
      <c r="A1979" s="1" t="s">
        <v>9157</v>
      </c>
      <c r="B1979" s="1" t="s">
        <v>13</v>
      </c>
      <c r="C1979" s="4" t="s">
        <v>9162</v>
      </c>
      <c r="D1979" s="1" t="s">
        <v>9163</v>
      </c>
      <c r="E1979" s="1" t="s">
        <v>9164</v>
      </c>
      <c r="F1979" s="4" t="s">
        <v>17</v>
      </c>
      <c r="G1979" s="1" t="s">
        <v>18</v>
      </c>
      <c r="H1979" s="1" t="s">
        <v>19</v>
      </c>
      <c r="I1979" s="1" t="s">
        <v>20</v>
      </c>
      <c r="J1979" s="1" t="s">
        <v>9165</v>
      </c>
      <c r="K1979" s="1" t="s">
        <v>22</v>
      </c>
      <c r="L1979" s="1" t="str">
        <f>HYPERLINK("https://files.afu.se/Downloads/Transcripts/0%20-%20Government/USA%20-%20NASA/2015 08 07 - NASA - International Space Station Crew Member Discusses Life in Space with Japanese Students_cFrTVYMHM44 - transcript (automated).pdf","Transcript Link")</f>
        <v>Transcript Link</v>
      </c>
      <c r="M1979" s="2" t="str">
        <f>HYPERLINK("https://files.afu.se/Downloads/Transcripts/0%20-%20Government/USA%20-%20NASA/2015 08 07 - NASA - International Space Station Crew Member Discusses Life in Space with Japanese Students_cFrTVYMHM44 - transcript (automated).pdf","Transcript Link")</f>
        <v>Transcript Link</v>
      </c>
    </row>
    <row r="1980" ht="180" spans="1:13">
      <c r="A1980" s="1" t="s">
        <v>9166</v>
      </c>
      <c r="B1980" s="1" t="s">
        <v>13</v>
      </c>
      <c r="C1980" s="4" t="s">
        <v>9167</v>
      </c>
      <c r="D1980" s="1" t="s">
        <v>9168</v>
      </c>
      <c r="E1980" s="1" t="s">
        <v>9169</v>
      </c>
      <c r="F1980" s="4" t="s">
        <v>17</v>
      </c>
      <c r="G1980" s="1" t="s">
        <v>18</v>
      </c>
      <c r="H1980" s="1" t="s">
        <v>19</v>
      </c>
      <c r="I1980" s="1" t="s">
        <v>20</v>
      </c>
      <c r="J1980" s="1" t="s">
        <v>9170</v>
      </c>
      <c r="K1980" s="1" t="s">
        <v>22</v>
      </c>
      <c r="L1980" s="1" t="str">
        <f>HYPERLINK("https://files.afu.se/Downloads/Transcripts/0%20-%20Government/USA%20-%20NASA/2015 08 06 - NASA - International Space Station Crew Members Discuss Life in Space with Denver Colorado Media_aPtFpKQaLSU - transcript (automated).pdf","Transcript Link")</f>
        <v>Transcript Link</v>
      </c>
      <c r="M1980" s="2" t="str">
        <f>HYPERLINK("https://files.afu.se/Downloads/Transcripts/0%20-%20Government/USA%20-%20NASA/2015 08 06 - NASA - International Space Station Crew Members Discuss Life in Space with Denver Colorado Media_aPtFpKQaLSU - transcript (automated).pdf","Transcript Link")</f>
        <v>Transcript Link</v>
      </c>
    </row>
    <row r="1981" ht="195" spans="1:13">
      <c r="A1981" s="1" t="s">
        <v>9171</v>
      </c>
      <c r="B1981" s="1" t="s">
        <v>13</v>
      </c>
      <c r="C1981" s="4" t="s">
        <v>9172</v>
      </c>
      <c r="D1981" s="1" t="s">
        <v>9173</v>
      </c>
      <c r="E1981" s="1" t="s">
        <v>9174</v>
      </c>
      <c r="F1981" s="4" t="s">
        <v>17</v>
      </c>
      <c r="G1981" s="1" t="s">
        <v>18</v>
      </c>
      <c r="H1981" s="1" t="s">
        <v>19</v>
      </c>
      <c r="I1981" s="1" t="s">
        <v>20</v>
      </c>
      <c r="J1981" s="1" t="s">
        <v>9175</v>
      </c>
      <c r="K1981" s="1" t="s">
        <v>22</v>
      </c>
      <c r="L1981" s="1" t="str">
        <f>HYPERLINK("https://files.afu.se/Downloads/Transcripts/0%20-%20Government/USA%20-%20NASA/2015 07 31 - NASA - Closest rocky exoplanet confirmed on This Week @NASA – July 31, 2015_8cA0tiWPO_c - transcript (automated).pdf","Transcript Link")</f>
        <v>Transcript Link</v>
      </c>
      <c r="M1981" s="2" t="str">
        <f>HYPERLINK("https://files.afu.se/Downloads/Transcripts/0%20-%20Government/USA%20-%20NASA/2015 07 31 - NASA - Closest rocky exoplanet confirmed on This Week @NASA – July 31, 2015_8cA0tiWPO_c - transcript (automated).pdf","Transcript Link")</f>
        <v>Transcript Link</v>
      </c>
    </row>
    <row r="1982" ht="165" spans="1:13">
      <c r="A1982" s="1" t="s">
        <v>9171</v>
      </c>
      <c r="B1982" s="1" t="s">
        <v>13</v>
      </c>
      <c r="C1982" s="4" t="s">
        <v>9176</v>
      </c>
      <c r="D1982" s="1" t="s">
        <v>9177</v>
      </c>
      <c r="E1982" s="1" t="s">
        <v>9178</v>
      </c>
      <c r="F1982" s="4" t="s">
        <v>17</v>
      </c>
      <c r="G1982" s="1" t="s">
        <v>18</v>
      </c>
      <c r="H1982" s="1" t="s">
        <v>19</v>
      </c>
      <c r="I1982" s="1" t="s">
        <v>20</v>
      </c>
      <c r="J1982" s="1" t="s">
        <v>9179</v>
      </c>
      <c r="K1982" s="1" t="s">
        <v>22</v>
      </c>
      <c r="L1982" s="1" t="str">
        <f>HYPERLINK("https://files.afu.se/Downloads/Transcripts/0%20-%20Government/USA%20-%20NASA/2015 07 31 - NASA - Space Station Crew Members Discuss Life in Space with Ohio Students_D5w74zXnbTU - transcript (automated).pdf","Transcript Link")</f>
        <v>Transcript Link</v>
      </c>
      <c r="M1982" s="2" t="str">
        <f>HYPERLINK("https://files.afu.se/Downloads/Transcripts/0%20-%20Government/USA%20-%20NASA/2015 07 31 - NASA - Space Station Crew Members Discuss Life in Space with Ohio Students_D5w74zXnbTU - transcript (automated).pdf","Transcript Link")</f>
        <v>Transcript Link</v>
      </c>
    </row>
    <row r="1983" ht="165" spans="1:13">
      <c r="A1983" s="1" t="s">
        <v>9180</v>
      </c>
      <c r="B1983" s="1" t="s">
        <v>13</v>
      </c>
      <c r="C1983" s="4" t="s">
        <v>9181</v>
      </c>
      <c r="D1983" s="1" t="s">
        <v>9182</v>
      </c>
      <c r="E1983" s="1" t="s">
        <v>9183</v>
      </c>
      <c r="F1983" s="4" t="s">
        <v>17</v>
      </c>
      <c r="G1983" s="1" t="s">
        <v>18</v>
      </c>
      <c r="H1983" s="1" t="s">
        <v>19</v>
      </c>
      <c r="I1983" s="1" t="s">
        <v>20</v>
      </c>
      <c r="J1983" s="1" t="s">
        <v>9184</v>
      </c>
      <c r="K1983" s="1" t="s">
        <v>22</v>
      </c>
      <c r="L1983" s="1" t="str">
        <f>HYPERLINK("https://files.afu.se/Downloads/Transcripts/0%20-%20Government/USA%20-%20NASA/2015 07 30 - NASA - One Year Mission Crew Members Discuss Life and Research in Space_g4JXRH-2OIQ - transcript (automated).pdf","Transcript Link")</f>
        <v>Transcript Link</v>
      </c>
      <c r="M1983" s="2" t="str">
        <f>HYPERLINK("https://files.afu.se/Downloads/Transcripts/0%20-%20Government/USA%20-%20NASA/2015 07 30 - NASA - One Year Mission Crew Members Discuss Life and Research in Space_g4JXRH-2OIQ - transcript (automated).pdf","Transcript Link")</f>
        <v>Transcript Link</v>
      </c>
    </row>
    <row r="1984" ht="390" spans="1:13">
      <c r="A1984" s="1" t="s">
        <v>9185</v>
      </c>
      <c r="B1984" s="1" t="s">
        <v>13</v>
      </c>
      <c r="C1984" s="4" t="s">
        <v>9186</v>
      </c>
      <c r="D1984" s="1" t="s">
        <v>9187</v>
      </c>
      <c r="E1984" s="1" t="s">
        <v>9188</v>
      </c>
      <c r="F1984" s="4" t="s">
        <v>17</v>
      </c>
      <c r="G1984" s="1" t="s">
        <v>18</v>
      </c>
      <c r="H1984" s="1" t="s">
        <v>19</v>
      </c>
      <c r="I1984" s="1" t="s">
        <v>20</v>
      </c>
      <c r="J1984" s="1" t="s">
        <v>9189</v>
      </c>
      <c r="K1984" s="1" t="s">
        <v>22</v>
      </c>
      <c r="L1984" s="1" t="str">
        <f>HYPERLINK("https://files.afu.se/Downloads/Transcripts/0%20-%20Government/USA%20-%20NASA/2015 07 29 - NASA - SOFIA Captures Pluto Occultation_8kz4_00l6m0 - transcript (automated).pdf","Transcript Link")</f>
        <v>Transcript Link</v>
      </c>
      <c r="M1984" s="2" t="str">
        <f>HYPERLINK("https://files.afu.se/Downloads/Transcripts/0%20-%20Government/USA%20-%20NASA/2015 07 29 - NASA - SOFIA Captures Pluto Occultation_8kz4_00l6m0 - transcript (automated).pdf","Transcript Link")</f>
        <v>Transcript Link</v>
      </c>
    </row>
    <row r="1985" ht="300" spans="1:13">
      <c r="A1985" s="1" t="s">
        <v>9190</v>
      </c>
      <c r="B1985" s="1" t="s">
        <v>13</v>
      </c>
      <c r="C1985" s="4" t="s">
        <v>9191</v>
      </c>
      <c r="D1985" s="1" t="s">
        <v>9192</v>
      </c>
      <c r="E1985" s="1" t="s">
        <v>9193</v>
      </c>
      <c r="F1985" s="4" t="s">
        <v>17</v>
      </c>
      <c r="G1985" s="1" t="s">
        <v>18</v>
      </c>
      <c r="H1985" s="1" t="s">
        <v>19</v>
      </c>
      <c r="I1985" s="1" t="s">
        <v>20</v>
      </c>
      <c r="J1985" s="1" t="s">
        <v>9194</v>
      </c>
      <c r="K1985" s="1" t="s">
        <v>22</v>
      </c>
      <c r="L1985" s="1" t="str">
        <f>HYPERLINK("https://files.afu.se/Downloads/Transcripts/0%20-%20Government/USA%20-%20NASA/2015 07 24 - NASA - NASA’s New Horizons Team Reveals New Scientific Findings on Pluto_dWr29KIs2Ns - transcript (automated).pdf","Transcript Link")</f>
        <v>Transcript Link</v>
      </c>
      <c r="M1985" s="2" t="str">
        <f>HYPERLINK("https://files.afu.se/Downloads/Transcripts/0%20-%20Government/USA%20-%20NASA/2015 07 24 - NASA - NASA’s New Horizons Team Reveals New Scientific Findings on Pluto_dWr29KIs2Ns - transcript (automated).pdf","Transcript Link")</f>
        <v>Transcript Link</v>
      </c>
    </row>
    <row r="1986" ht="165" spans="1:13">
      <c r="A1986" s="1" t="s">
        <v>9190</v>
      </c>
      <c r="B1986" s="1" t="s">
        <v>13</v>
      </c>
      <c r="C1986" s="4" t="s">
        <v>9195</v>
      </c>
      <c r="D1986" s="1" t="s">
        <v>9196</v>
      </c>
      <c r="E1986" s="1" t="s">
        <v>9197</v>
      </c>
      <c r="F1986" s="4" t="s">
        <v>17</v>
      </c>
      <c r="G1986" s="1" t="s">
        <v>18</v>
      </c>
      <c r="H1986" s="1" t="s">
        <v>19</v>
      </c>
      <c r="I1986" s="1" t="s">
        <v>20</v>
      </c>
      <c r="J1986" s="1" t="s">
        <v>9198</v>
      </c>
      <c r="K1986" s="1" t="s">
        <v>22</v>
      </c>
      <c r="L1986" s="1" t="str">
        <f>HYPERLINK("https://files.afu.se/Downloads/Transcripts/0%20-%20Government/USA%20-%20NASA/2015 07 24 - NASA - NASA’s New Horizons Team Discusses New Science Findings on Pluto_Emaa0gbyJWo - transcript (automated).pdf","Transcript Link")</f>
        <v>Transcript Link</v>
      </c>
      <c r="M1986" s="2" t="str">
        <f>HYPERLINK("https://files.afu.se/Downloads/Transcripts/0%20-%20Government/USA%20-%20NASA/2015 07 24 - NASA - NASA’s New Horizons Team Discusses New Science Findings on Pluto_Emaa0gbyJWo - transcript (automated).pdf","Transcript Link")</f>
        <v>Transcript Link</v>
      </c>
    </row>
    <row r="1987" ht="300" spans="1:13">
      <c r="A1987" s="1" t="s">
        <v>9190</v>
      </c>
      <c r="B1987" s="1" t="s">
        <v>13</v>
      </c>
      <c r="C1987" s="4" t="s">
        <v>9199</v>
      </c>
      <c r="D1987" s="1" t="s">
        <v>9200</v>
      </c>
      <c r="E1987" s="1" t="s">
        <v>9201</v>
      </c>
      <c r="F1987" s="4" t="s">
        <v>17</v>
      </c>
      <c r="G1987" s="1" t="s">
        <v>18</v>
      </c>
      <c r="H1987" s="1" t="s">
        <v>19</v>
      </c>
      <c r="I1987" s="1" t="s">
        <v>20</v>
      </c>
      <c r="J1987" s="1" t="s">
        <v>9202</v>
      </c>
      <c r="K1987" s="1" t="s">
        <v>22</v>
      </c>
      <c r="L1987" s="1" t="str">
        <f>HYPERLINK("https://files.afu.se/Downloads/Transcripts/0%20-%20Government/USA%20-%20NASA/2015 07 24 - NASA - New Horizons science update on This Week @NASA – July 24, 2015_-8kGByu_EZk - transcript (automated).pdf","Transcript Link")</f>
        <v>Transcript Link</v>
      </c>
      <c r="M1987" s="2" t="str">
        <f>HYPERLINK("https://files.afu.se/Downloads/Transcripts/0%20-%20Government/USA%20-%20NASA/2015 07 24 - NASA - New Horizons science update on This Week @NASA – July 24, 2015_-8kGByu_EZk - transcript (automated).pdf","Transcript Link")</f>
        <v>Transcript Link</v>
      </c>
    </row>
    <row r="1988" ht="165" spans="1:13">
      <c r="A1988" s="1" t="s">
        <v>9190</v>
      </c>
      <c r="B1988" s="1" t="s">
        <v>13</v>
      </c>
      <c r="C1988" s="4" t="s">
        <v>9203</v>
      </c>
      <c r="D1988" s="1" t="s">
        <v>9204</v>
      </c>
      <c r="E1988" s="1" t="s">
        <v>9205</v>
      </c>
      <c r="F1988" s="4" t="s">
        <v>17</v>
      </c>
      <c r="G1988" s="1" t="s">
        <v>18</v>
      </c>
      <c r="H1988" s="1" t="s">
        <v>19</v>
      </c>
      <c r="I1988" s="1" t="s">
        <v>20</v>
      </c>
      <c r="J1988" s="1" t="s">
        <v>9206</v>
      </c>
      <c r="K1988" s="1" t="s">
        <v>22</v>
      </c>
      <c r="L1988" s="1" t="str">
        <f>HYPERLINK("https://files.afu.se/Downloads/Transcripts/0%20-%20Government/USA%20-%20NASA/2015 07 24 - NASA - New Horizons  Congratulations from Brian May_PvOF5anPAwo - transcript (automated).pdf","Transcript Link")</f>
        <v>Transcript Link</v>
      </c>
      <c r="M1988" s="2" t="str">
        <f>HYPERLINK("https://files.afu.se/Downloads/Transcripts/0%20-%20Government/USA%20-%20NASA/2015 07 24 - NASA - New Horizons  Congratulations from Brian May_PvOF5anPAwo - transcript (automated).pdf","Transcript Link")</f>
        <v>Transcript Link</v>
      </c>
    </row>
    <row r="1989" ht="165" spans="1:13">
      <c r="A1989" s="1" t="s">
        <v>9207</v>
      </c>
      <c r="B1989" s="1" t="s">
        <v>13</v>
      </c>
      <c r="C1989" s="4" t="s">
        <v>9208</v>
      </c>
      <c r="D1989" s="1" t="s">
        <v>9209</v>
      </c>
      <c r="E1989" s="1" t="s">
        <v>9210</v>
      </c>
      <c r="F1989" s="4" t="s">
        <v>17</v>
      </c>
      <c r="G1989" s="1" t="s">
        <v>18</v>
      </c>
      <c r="H1989" s="1" t="s">
        <v>19</v>
      </c>
      <c r="I1989" s="1" t="s">
        <v>20</v>
      </c>
      <c r="J1989" s="1" t="s">
        <v>9211</v>
      </c>
      <c r="K1989" s="1" t="s">
        <v>22</v>
      </c>
      <c r="L1989" s="1" t="str">
        <f>HYPERLINK("https://files.afu.se/Downloads/Transcripts/0%20-%20Government/USA%20-%20NASA/2015 07 23 - NASA - Expedition 44 Crew Opens Hatch And Enters The International Space Station_lJJExh5U77c - transcript (automated).pdf","Transcript Link")</f>
        <v>Transcript Link</v>
      </c>
      <c r="M1989" s="2" t="str">
        <f>HYPERLINK("https://files.afu.se/Downloads/Transcripts/0%20-%20Government/USA%20-%20NASA/2015 07 23 - NASA - Expedition 44 Crew Opens Hatch And Enters The International Space Station_lJJExh5U77c - transcript (automated).pdf","Transcript Link")</f>
        <v>Transcript Link</v>
      </c>
    </row>
    <row r="1990" ht="165" spans="1:13">
      <c r="A1990" s="1" t="s">
        <v>9207</v>
      </c>
      <c r="B1990" s="1" t="s">
        <v>13</v>
      </c>
      <c r="C1990" s="4" t="s">
        <v>9212</v>
      </c>
      <c r="D1990" s="1" t="s">
        <v>9213</v>
      </c>
      <c r="E1990" s="1" t="s">
        <v>9214</v>
      </c>
      <c r="F1990" s="4" t="s">
        <v>17</v>
      </c>
      <c r="G1990" s="1" t="s">
        <v>18</v>
      </c>
      <c r="H1990" s="1" t="s">
        <v>19</v>
      </c>
      <c r="I1990" s="1" t="s">
        <v>20</v>
      </c>
      <c r="J1990" s="1" t="s">
        <v>9215</v>
      </c>
      <c r="K1990" s="1" t="s">
        <v>22</v>
      </c>
      <c r="L1990" s="1" t="str">
        <f>HYPERLINK("https://files.afu.se/Downloads/Transcripts/0%20-%20Government/USA%20-%20NASA/2015 07 23 - NASA - Expedition 44 Crew Docks To The International Space Station_1N7ybMx_F-4 - transcript (automated).pdf","Transcript Link")</f>
        <v>Transcript Link</v>
      </c>
      <c r="M1990" s="2" t="str">
        <f>HYPERLINK("https://files.afu.se/Downloads/Transcripts/0%20-%20Government/USA%20-%20NASA/2015 07 23 - NASA - Expedition 44 Crew Docks To The International Space Station_1N7ybMx_F-4 - transcript (automated).pdf","Transcript Link")</f>
        <v>Transcript Link</v>
      </c>
    </row>
    <row r="1991" ht="165" spans="1:13">
      <c r="A1991" s="1" t="s">
        <v>9216</v>
      </c>
      <c r="B1991" s="1" t="s">
        <v>13</v>
      </c>
      <c r="C1991" s="4" t="s">
        <v>9217</v>
      </c>
      <c r="D1991" s="1" t="s">
        <v>9218</v>
      </c>
      <c r="E1991" s="1" t="s">
        <v>9219</v>
      </c>
      <c r="F1991" s="4" t="s">
        <v>17</v>
      </c>
      <c r="G1991" s="1" t="s">
        <v>18</v>
      </c>
      <c r="H1991" s="1" t="s">
        <v>19</v>
      </c>
      <c r="I1991" s="1" t="s">
        <v>20</v>
      </c>
      <c r="J1991" s="1" t="s">
        <v>9220</v>
      </c>
      <c r="K1991" s="1" t="s">
        <v>22</v>
      </c>
      <c r="L1991" s="1" t="str">
        <f>HYPERLINK("https://files.afu.se/Downloads/Transcripts/0%20-%20Government/USA%20-%20NASA/2015 07 22 - NASA - Expedition 44 Launches To The International Space Station_IeYmvOx8x38 - transcript (automated).pdf","Transcript Link")</f>
        <v>Transcript Link</v>
      </c>
      <c r="M1991" s="2" t="str">
        <f>HYPERLINK("https://files.afu.se/Downloads/Transcripts/0%20-%20Government/USA%20-%20NASA/2015 07 22 - NASA - Expedition 44 Launches To The International Space Station_IeYmvOx8x38 - transcript (automated).pdf","Transcript Link")</f>
        <v>Transcript Link</v>
      </c>
    </row>
    <row r="1992" ht="165" spans="1:13">
      <c r="A1992" s="1" t="s">
        <v>9221</v>
      </c>
      <c r="B1992" s="1" t="s">
        <v>13</v>
      </c>
      <c r="C1992" s="4" t="s">
        <v>9222</v>
      </c>
      <c r="D1992" s="1" t="s">
        <v>9223</v>
      </c>
      <c r="E1992" s="1" t="s">
        <v>9219</v>
      </c>
      <c r="F1992" s="4" t="s">
        <v>17</v>
      </c>
      <c r="G1992" s="1" t="s">
        <v>18</v>
      </c>
      <c r="H1992" s="1" t="s">
        <v>19</v>
      </c>
      <c r="I1992" s="1" t="s">
        <v>20</v>
      </c>
      <c r="J1992" s="1" t="s">
        <v>9224</v>
      </c>
      <c r="K1992" s="1" t="s">
        <v>22</v>
      </c>
      <c r="L1992" s="1" t="str">
        <f>HYPERLINK("https://files.afu.se/Downloads/Transcripts/0%20-%20Government/USA%20-%20NASA/2015 07 21 - NASA - Expedition 44 Crew Meets Officials And Reporters As Launch Approaches__IdKkLO-W_Q - transcript (automated).pdf","Transcript Link")</f>
        <v>Transcript Link</v>
      </c>
      <c r="M1992" s="2" t="str">
        <f>HYPERLINK("https://files.afu.se/Downloads/Transcripts/0%20-%20Government/USA%20-%20NASA/2015 07 21 - NASA - Expedition 44 Crew Meets Officials And Reporters As Launch Approaches__IdKkLO-W_Q - transcript (automated).pdf","Transcript Link")</f>
        <v>Transcript Link</v>
      </c>
    </row>
    <row r="1993" ht="165" spans="1:13">
      <c r="A1993" s="1" t="s">
        <v>9221</v>
      </c>
      <c r="B1993" s="1" t="s">
        <v>13</v>
      </c>
      <c r="C1993" s="4" t="s">
        <v>9225</v>
      </c>
      <c r="D1993" s="1" t="s">
        <v>9226</v>
      </c>
      <c r="E1993" s="1" t="s">
        <v>9227</v>
      </c>
      <c r="F1993" s="4" t="s">
        <v>17</v>
      </c>
      <c r="G1993" s="1" t="s">
        <v>18</v>
      </c>
      <c r="H1993" s="1" t="s">
        <v>19</v>
      </c>
      <c r="I1993" s="1" t="s">
        <v>20</v>
      </c>
      <c r="J1993" s="1" t="s">
        <v>9228</v>
      </c>
      <c r="K1993" s="1" t="s">
        <v>22</v>
      </c>
      <c r="L1993" s="1" t="str">
        <f>HYPERLINK("https://files.afu.se/Downloads/Transcripts/0%20-%20Government/USA%20-%20NASA/2015 07 21 - NASA - One Year Space Station Crew Discusses Life In Space With The News Media_NRGjVDsrkA0 - transcript (automated).pdf","Transcript Link")</f>
        <v>Transcript Link</v>
      </c>
      <c r="M1993" s="2" t="str">
        <f>HYPERLINK("https://files.afu.se/Downloads/Transcripts/0%20-%20Government/USA%20-%20NASA/2015 07 21 - NASA - One Year Space Station Crew Discusses Life In Space With The News Media_NRGjVDsrkA0 - transcript (automated).pdf","Transcript Link")</f>
        <v>Transcript Link</v>
      </c>
    </row>
    <row r="1994" ht="240" spans="1:13">
      <c r="A1994" s="1" t="s">
        <v>9229</v>
      </c>
      <c r="B1994" s="1" t="s">
        <v>13</v>
      </c>
      <c r="C1994" s="4" t="s">
        <v>9230</v>
      </c>
      <c r="D1994" s="1" t="s">
        <v>9231</v>
      </c>
      <c r="E1994" s="1" t="s">
        <v>9232</v>
      </c>
      <c r="F1994" s="4" t="s">
        <v>17</v>
      </c>
      <c r="G1994" s="1" t="s">
        <v>18</v>
      </c>
      <c r="H1994" s="1" t="s">
        <v>19</v>
      </c>
      <c r="I1994" s="1" t="s">
        <v>20</v>
      </c>
      <c r="J1994" s="1" t="s">
        <v>9233</v>
      </c>
      <c r="K1994" s="1" t="s">
        <v>22</v>
      </c>
      <c r="L1994" s="1" t="str">
        <f>HYPERLINK("https://files.afu.se/Downloads/Transcripts/0%20-%20Government/USA%20-%20NASA/2015 07 20 - NASA - Expedition 44 Soyuz Rocket Moves to Its Launch Pad as the Crew Prepares for Launch_TgqwjUGJ9eE - transcript (automated).pdf","Transcript Link")</f>
        <v>Transcript Link</v>
      </c>
      <c r="M1994" s="2" t="str">
        <f>HYPERLINK("https://files.afu.se/Downloads/Transcripts/0%20-%20Government/USA%20-%20NASA/2015 07 20 - NASA - Expedition 44 Soyuz Rocket Moves to Its Launch Pad as the Crew Prepares for Launch_TgqwjUGJ9eE - transcript (automated).pdf","Transcript Link")</f>
        <v>Transcript Link</v>
      </c>
    </row>
    <row r="1995" ht="195" spans="1:13">
      <c r="A1995" s="1" t="s">
        <v>9234</v>
      </c>
      <c r="B1995" s="1" t="s">
        <v>13</v>
      </c>
      <c r="C1995" s="4" t="s">
        <v>9235</v>
      </c>
      <c r="D1995" s="1" t="s">
        <v>9236</v>
      </c>
      <c r="E1995" s="1" t="s">
        <v>9237</v>
      </c>
      <c r="F1995" s="4" t="s">
        <v>17</v>
      </c>
      <c r="G1995" s="1" t="s">
        <v>18</v>
      </c>
      <c r="H1995" s="1" t="s">
        <v>19</v>
      </c>
      <c r="I1995" s="1" t="s">
        <v>20</v>
      </c>
      <c r="J1995" s="1" t="s">
        <v>9238</v>
      </c>
      <c r="K1995" s="1" t="s">
        <v>22</v>
      </c>
      <c r="L1995" s="1" t="str">
        <f>HYPERLINK("https://files.afu.se/Downloads/Transcripts/0%20-%20Government/USA%20-%20NASA/2015 07 17 - NASA - New Horizons arrives at Pluto on This Week @NASA – July 17, 2015_qWPZTjd7Kk8 - transcript (automated).pdf","Transcript Link")</f>
        <v>Transcript Link</v>
      </c>
      <c r="M1995" s="2" t="str">
        <f>HYPERLINK("https://files.afu.se/Downloads/Transcripts/0%20-%20Government/USA%20-%20NASA/2015 07 17 - NASA - New Horizons arrives at Pluto on This Week @NASA – July 17, 2015_qWPZTjd7Kk8 - transcript (automated).pdf","Transcript Link")</f>
        <v>Transcript Link</v>
      </c>
    </row>
    <row r="1996" ht="165" spans="1:13">
      <c r="A1996" s="1" t="s">
        <v>9234</v>
      </c>
      <c r="B1996" s="1" t="s">
        <v>13</v>
      </c>
      <c r="C1996" s="4" t="s">
        <v>9239</v>
      </c>
      <c r="D1996" s="1" t="s">
        <v>9240</v>
      </c>
      <c r="E1996" s="1" t="s">
        <v>9241</v>
      </c>
      <c r="F1996" s="4" t="s">
        <v>17</v>
      </c>
      <c r="G1996" s="1" t="s">
        <v>18</v>
      </c>
      <c r="H1996" s="1" t="s">
        <v>19</v>
      </c>
      <c r="I1996" s="1" t="s">
        <v>20</v>
      </c>
      <c r="J1996" s="1" t="s">
        <v>9242</v>
      </c>
      <c r="K1996" s="1" t="s">
        <v>22</v>
      </c>
      <c r="L1996" s="1" t="str">
        <f>HYPERLINK("https://files.afu.se/Downloads/Transcripts/0%20-%20Government/USA%20-%20NASA/2015 07 17 - NASA - NASA News Conference on the New Horizons Mission_xAGwxl7FZWw - transcript (automated).pdf","Transcript Link")</f>
        <v>Transcript Link</v>
      </c>
      <c r="M1996" s="2" t="str">
        <f>HYPERLINK("https://files.afu.se/Downloads/Transcripts/0%20-%20Government/USA%20-%20NASA/2015 07 17 - NASA - NASA News Conference on the New Horizons Mission_xAGwxl7FZWw - transcript (automated).pdf","Transcript Link")</f>
        <v>Transcript Link</v>
      </c>
    </row>
    <row r="1997" ht="165" spans="1:13">
      <c r="A1997" s="1" t="s">
        <v>9243</v>
      </c>
      <c r="B1997" s="1" t="s">
        <v>13</v>
      </c>
      <c r="C1997" s="4" t="s">
        <v>9244</v>
      </c>
      <c r="D1997" s="1" t="s">
        <v>9245</v>
      </c>
      <c r="E1997" s="1" t="s">
        <v>9246</v>
      </c>
      <c r="F1997" s="4" t="s">
        <v>17</v>
      </c>
      <c r="G1997" s="1" t="s">
        <v>18</v>
      </c>
      <c r="H1997" s="1" t="s">
        <v>19</v>
      </c>
      <c r="I1997" s="1" t="s">
        <v>20</v>
      </c>
      <c r="J1997" s="1" t="s">
        <v>9247</v>
      </c>
      <c r="K1997" s="1" t="s">
        <v>22</v>
      </c>
      <c r="L1997" s="1" t="str">
        <f>HYPERLINK("https://files.afu.se/Downloads/Transcripts/0%20-%20Government/USA%20-%20NASA/2015 07 16 - NASA - Space Station Crew Talks About Life and Work on ISS_v64H35RDtR8 - transcript (automated).pdf","Transcript Link")</f>
        <v>Transcript Link</v>
      </c>
      <c r="M1997" s="2" t="str">
        <f>HYPERLINK("https://files.afu.se/Downloads/Transcripts/0%20-%20Government/USA%20-%20NASA/2015 07 16 - NASA - Space Station Crew Talks About Life and Work on ISS_v64H35RDtR8 - transcript (automated).pdf","Transcript Link")</f>
        <v>Transcript Link</v>
      </c>
    </row>
    <row r="1998" ht="165" spans="1:13">
      <c r="A1998" s="1" t="s">
        <v>9248</v>
      </c>
      <c r="B1998" s="1" t="s">
        <v>13</v>
      </c>
      <c r="C1998" s="4" t="s">
        <v>9249</v>
      </c>
      <c r="D1998" s="1" t="s">
        <v>9250</v>
      </c>
      <c r="E1998" s="1" t="s">
        <v>9251</v>
      </c>
      <c r="F1998" s="4" t="s">
        <v>17</v>
      </c>
      <c r="G1998" s="1" t="s">
        <v>18</v>
      </c>
      <c r="H1998" s="1" t="s">
        <v>19</v>
      </c>
      <c r="I1998" s="1" t="s">
        <v>20</v>
      </c>
      <c r="J1998" s="1" t="s">
        <v>9252</v>
      </c>
      <c r="K1998" s="1" t="s">
        <v>22</v>
      </c>
      <c r="L1998" s="1" t="str">
        <f>HYPERLINK("https://files.afu.se/Downloads/Transcripts/0%20-%20Government/USA%20-%20NASA/2015 07 15 - NASA - Seeing Pluto in a New Light_0jTdaOhG9wE - transcript (automated).pdf","Transcript Link")</f>
        <v>Transcript Link</v>
      </c>
      <c r="M1998" s="2" t="str">
        <f>HYPERLINK("https://files.afu.se/Downloads/Transcripts/0%20-%20Government/USA%20-%20NASA/2015 07 15 - NASA - Seeing Pluto in a New Light_0jTdaOhG9wE - transcript (automated).pdf","Transcript Link")</f>
        <v>Transcript Link</v>
      </c>
    </row>
    <row r="1999" ht="165" spans="1:13">
      <c r="A1999" s="1" t="s">
        <v>9248</v>
      </c>
      <c r="B1999" s="1" t="s">
        <v>13</v>
      </c>
      <c r="C1999" s="4" t="s">
        <v>9253</v>
      </c>
      <c r="D1999" s="1" t="s">
        <v>9254</v>
      </c>
      <c r="E1999" s="1" t="s">
        <v>9255</v>
      </c>
      <c r="F1999" s="4" t="s">
        <v>17</v>
      </c>
      <c r="G1999" s="1" t="s">
        <v>18</v>
      </c>
      <c r="H1999" s="1" t="s">
        <v>19</v>
      </c>
      <c r="I1999" s="1" t="s">
        <v>20</v>
      </c>
      <c r="J1999" s="1" t="s">
        <v>9256</v>
      </c>
      <c r="K1999" s="1" t="s">
        <v>22</v>
      </c>
      <c r="L1999" s="1" t="str">
        <f>HYPERLINK("https://files.afu.se/Downloads/Transcripts/0%20-%20Government/USA%20-%20NASA/2015 07 15 - NASA - Expedition 44 Crew Prepares for Launch in Kazakhstan_vSvPFrBjuHc - transcript (automated).pdf","Transcript Link")</f>
        <v>Transcript Link</v>
      </c>
      <c r="M1999" s="2" t="str">
        <f>HYPERLINK("https://files.afu.se/Downloads/Transcripts/0%20-%20Government/USA%20-%20NASA/2015 07 15 - NASA - Expedition 44 Crew Prepares for Launch in Kazakhstan_vSvPFrBjuHc - transcript (automated).pdf","Transcript Link")</f>
        <v>Transcript Link</v>
      </c>
    </row>
    <row r="2000" ht="165" spans="1:13">
      <c r="A2000" s="1" t="s">
        <v>9248</v>
      </c>
      <c r="B2000" s="1" t="s">
        <v>13</v>
      </c>
      <c r="C2000" s="4" t="s">
        <v>9257</v>
      </c>
      <c r="D2000" s="1" t="s">
        <v>9258</v>
      </c>
      <c r="E2000" s="1" t="s">
        <v>9259</v>
      </c>
      <c r="F2000" s="4" t="s">
        <v>17</v>
      </c>
      <c r="G2000" s="1" t="s">
        <v>18</v>
      </c>
      <c r="H2000" s="1" t="s">
        <v>19</v>
      </c>
      <c r="I2000" s="1" t="s">
        <v>20</v>
      </c>
      <c r="J2000" s="1" t="s">
        <v>9260</v>
      </c>
      <c r="K2000" s="1" t="s">
        <v>22</v>
      </c>
      <c r="L2000" s="1" t="str">
        <f>HYPERLINK("https://files.afu.se/Downloads/Transcripts/0%20-%20Government/USA%20-%20NASA/2015 07 15 - NASA - Signal Acquisition of New Horizons Spacecraft_Z3pvlI0WFi0 - transcript (automated).pdf","Transcript Link")</f>
        <v>Transcript Link</v>
      </c>
      <c r="M2000" s="2" t="str">
        <f>HYPERLINK("https://files.afu.se/Downloads/Transcripts/0%20-%20Government/USA%20-%20NASA/2015 07 15 - NASA - Signal Acquisition of New Horizons Spacecraft_Z3pvlI0WFi0 - transcript (automated).pdf","Transcript Link")</f>
        <v>Transcript Link</v>
      </c>
    </row>
    <row r="2001" ht="165" spans="1:13">
      <c r="A2001" s="1" t="s">
        <v>9248</v>
      </c>
      <c r="B2001" s="1" t="s">
        <v>13</v>
      </c>
      <c r="C2001" s="4" t="s">
        <v>9261</v>
      </c>
      <c r="D2001" s="1" t="s">
        <v>9262</v>
      </c>
      <c r="E2001" s="1" t="s">
        <v>9263</v>
      </c>
      <c r="F2001" s="4" t="s">
        <v>17</v>
      </c>
      <c r="G2001" s="1" t="s">
        <v>18</v>
      </c>
      <c r="H2001" s="1" t="s">
        <v>19</v>
      </c>
      <c r="I2001" s="1" t="s">
        <v>20</v>
      </c>
      <c r="J2001" s="1" t="s">
        <v>9264</v>
      </c>
      <c r="K2001" s="1" t="s">
        <v>22</v>
      </c>
      <c r="L2001" s="1" t="str">
        <f>HYPERLINK("https://files.afu.se/Downloads/Transcripts/0%20-%20Government/USA%20-%20NASA/2015 07 15 - NASA - New Horizons Mission Update – July 14, 2015 (Evening)_Qgs7c8NJVIg - transcript (automated).pdf","Transcript Link")</f>
        <v>Transcript Link</v>
      </c>
      <c r="M2001" s="2" t="str">
        <f>HYPERLINK("https://files.afu.se/Downloads/Transcripts/0%20-%20Government/USA%20-%20NASA/2015 07 15 - NASA - New Horizons Mission Update – July 14, 2015 (Evening)_Qgs7c8NJVIg - transcript (automated).pdf","Transcript Link")</f>
        <v>Transcript Link</v>
      </c>
    </row>
    <row r="2002" ht="165" spans="1:13">
      <c r="A2002" s="1" t="s">
        <v>9248</v>
      </c>
      <c r="B2002" s="1" t="s">
        <v>13</v>
      </c>
      <c r="C2002" s="4" t="s">
        <v>9265</v>
      </c>
      <c r="D2002" s="1" t="s">
        <v>9266</v>
      </c>
      <c r="E2002" s="1" t="s">
        <v>9267</v>
      </c>
      <c r="F2002" s="4" t="s">
        <v>17</v>
      </c>
      <c r="G2002" s="1" t="s">
        <v>18</v>
      </c>
      <c r="H2002" s="1" t="s">
        <v>19</v>
      </c>
      <c r="I2002" s="1" t="s">
        <v>20</v>
      </c>
      <c r="J2002" s="1" t="s">
        <v>9268</v>
      </c>
      <c r="K2002" s="1" t="s">
        <v>22</v>
      </c>
      <c r="L2002" s="1" t="str">
        <f>HYPERLINK("https://files.afu.se/Downloads/Transcripts/0%20-%20Government/USA%20-%20NASA/2015 07 15 - NASA - New Horizon Phones Home_pwgPTin9pnM - transcript (automated).pdf","Transcript Link")</f>
        <v>Transcript Link</v>
      </c>
      <c r="M2002" s="2" t="str">
        <f>HYPERLINK("https://files.afu.se/Downloads/Transcripts/0%20-%20Government/USA%20-%20NASA/2015 07 15 - NASA - New Horizon Phones Home_pwgPTin9pnM - transcript (automated).pdf","Transcript Link")</f>
        <v>Transcript Link</v>
      </c>
    </row>
    <row r="2003" ht="165" spans="1:13">
      <c r="A2003" s="1" t="s">
        <v>9269</v>
      </c>
      <c r="B2003" s="1" t="s">
        <v>13</v>
      </c>
      <c r="C2003" s="4" t="s">
        <v>9270</v>
      </c>
      <c r="D2003" s="1" t="s">
        <v>9271</v>
      </c>
      <c r="E2003" s="1" t="s">
        <v>9272</v>
      </c>
      <c r="F2003" s="4" t="s">
        <v>17</v>
      </c>
      <c r="G2003" s="1" t="s">
        <v>18</v>
      </c>
      <c r="H2003" s="1" t="s">
        <v>19</v>
      </c>
      <c r="I2003" s="1" t="s">
        <v>20</v>
      </c>
      <c r="J2003" s="1" t="s">
        <v>9273</v>
      </c>
      <c r="K2003" s="1" t="s">
        <v>22</v>
      </c>
      <c r="L2003" s="1" t="str">
        <f>HYPERLINK("https://files.afu.se/Downloads/Transcripts/0%20-%20Government/USA%20-%20NASA/2015 07 14 - NASA - Bastille Shout-Out for NASA's Bastille Day Pluto Flyby_8s0XVv6jffk - transcript (automated).pdf","Transcript Link")</f>
        <v>Transcript Link</v>
      </c>
      <c r="M2003" s="2" t="str">
        <f>HYPERLINK("https://files.afu.se/Downloads/Transcripts/0%20-%20Government/USA%20-%20NASA/2015 07 14 - NASA - Bastille Shout-Out for NASA's Bastille Day Pluto Flyby_8s0XVv6jffk - transcript (automated).pdf","Transcript Link")</f>
        <v>Transcript Link</v>
      </c>
    </row>
    <row r="2004" ht="165" spans="1:13">
      <c r="A2004" s="1" t="s">
        <v>9269</v>
      </c>
      <c r="B2004" s="1" t="s">
        <v>13</v>
      </c>
      <c r="C2004" s="4" t="s">
        <v>9274</v>
      </c>
      <c r="D2004" s="1" t="s">
        <v>9275</v>
      </c>
      <c r="E2004" s="1" t="s">
        <v>9276</v>
      </c>
      <c r="F2004" s="4" t="s">
        <v>17</v>
      </c>
      <c r="G2004" s="1" t="s">
        <v>18</v>
      </c>
      <c r="H2004" s="1" t="s">
        <v>19</v>
      </c>
      <c r="I2004" s="1" t="s">
        <v>20</v>
      </c>
      <c r="J2004" s="1" t="s">
        <v>9277</v>
      </c>
      <c r="K2004" s="1" t="s">
        <v>22</v>
      </c>
      <c r="L2004" s="1" t="str">
        <f>HYPERLINK("https://files.afu.se/Downloads/Transcripts/0%20-%20Government/USA%20-%20NASA/2015 07 14 - NASA - One-Year Crewmember Talks About Life and Work on ISS_9jlYzc_Ketg - transcript (automated).pdf","Transcript Link")</f>
        <v>Transcript Link</v>
      </c>
      <c r="M2004" s="2" t="str">
        <f>HYPERLINK("https://files.afu.se/Downloads/Transcripts/0%20-%20Government/USA%20-%20NASA/2015 07 14 - NASA - One-Year Crewmember Talks About Life and Work on ISS_9jlYzc_Ketg - transcript (automated).pdf","Transcript Link")</f>
        <v>Transcript Link</v>
      </c>
    </row>
    <row r="2005" ht="225" spans="1:13">
      <c r="A2005" s="1" t="s">
        <v>9269</v>
      </c>
      <c r="B2005" s="1" t="s">
        <v>13</v>
      </c>
      <c r="C2005" s="4" t="s">
        <v>9278</v>
      </c>
      <c r="D2005" s="1" t="s">
        <v>9279</v>
      </c>
      <c r="E2005" s="1" t="s">
        <v>9280</v>
      </c>
      <c r="F2005" s="4" t="s">
        <v>17</v>
      </c>
      <c r="G2005" s="1" t="s">
        <v>18</v>
      </c>
      <c r="H2005" s="1" t="s">
        <v>19</v>
      </c>
      <c r="I2005" s="1" t="s">
        <v>20</v>
      </c>
      <c r="J2005" s="1" t="s">
        <v>9281</v>
      </c>
      <c r="K2005" s="1" t="s">
        <v>22</v>
      </c>
      <c r="L2005" s="1" t="str">
        <f>HYPERLINK("https://files.afu.se/Downloads/Transcripts/0%20-%20Government/USA%20-%20NASA/2015 07 14 - NASA - The 40th Anniversary of the Historic Apollo-Soyuz Mission is Remembered_-PCXw6zxXnk - transcript (automated).pdf","Transcript Link")</f>
        <v>Transcript Link</v>
      </c>
      <c r="M2005" s="2" t="str">
        <f>HYPERLINK("https://files.afu.se/Downloads/Transcripts/0%20-%20Government/USA%20-%20NASA/2015 07 14 - NASA - The 40th Anniversary of the Historic Apollo-Soyuz Mission is Remembered_-PCXw6zxXnk - transcript (automated).pdf","Transcript Link")</f>
        <v>Transcript Link</v>
      </c>
    </row>
    <row r="2006" ht="165" spans="1:13">
      <c r="A2006" s="1" t="s">
        <v>9269</v>
      </c>
      <c r="B2006" s="1" t="s">
        <v>13</v>
      </c>
      <c r="C2006" s="4" t="s">
        <v>9282</v>
      </c>
      <c r="D2006" s="1" t="s">
        <v>9283</v>
      </c>
      <c r="E2006" s="1" t="s">
        <v>9284</v>
      </c>
      <c r="F2006" s="4" t="s">
        <v>17</v>
      </c>
      <c r="G2006" s="1" t="s">
        <v>18</v>
      </c>
      <c r="H2006" s="1" t="s">
        <v>19</v>
      </c>
      <c r="I2006" s="1" t="s">
        <v>20</v>
      </c>
      <c r="J2006" s="1" t="s">
        <v>9285</v>
      </c>
      <c r="K2006" s="1" t="s">
        <v>22</v>
      </c>
      <c r="L2006" s="1" t="str">
        <f>HYPERLINK("https://files.afu.se/Downloads/Transcripts/0%20-%20Government/USA%20-%20NASA/2015 07 14 - NASA - New Horizons Mission Update – July 14, 2015 (Morning)_4BmybiFW6_8 - transcript (automated).pdf","Transcript Link")</f>
        <v>Transcript Link</v>
      </c>
      <c r="M2006" s="2" t="str">
        <f>HYPERLINK("https://files.afu.se/Downloads/Transcripts/0%20-%20Government/USA%20-%20NASA/2015 07 14 - NASA - New Horizons Mission Update – July 14, 2015 (Morning)_4BmybiFW6_8 - transcript (automated).pdf","Transcript Link")</f>
        <v>Transcript Link</v>
      </c>
    </row>
    <row r="2007" ht="165" spans="1:13">
      <c r="A2007" s="1" t="s">
        <v>9269</v>
      </c>
      <c r="B2007" s="1" t="s">
        <v>13</v>
      </c>
      <c r="C2007" s="4" t="s">
        <v>9286</v>
      </c>
      <c r="D2007" s="1" t="s">
        <v>9287</v>
      </c>
      <c r="E2007" s="1" t="s">
        <v>9288</v>
      </c>
      <c r="F2007" s="4" t="s">
        <v>17</v>
      </c>
      <c r="G2007" s="1" t="s">
        <v>18</v>
      </c>
      <c r="H2007" s="1" t="s">
        <v>19</v>
      </c>
      <c r="I2007" s="1" t="s">
        <v>20</v>
      </c>
      <c r="J2007" s="1" t="s">
        <v>9289</v>
      </c>
      <c r="K2007" s="1" t="s">
        <v>22</v>
      </c>
      <c r="L2007" s="1" t="str">
        <f>HYPERLINK("https://files.afu.se/Downloads/Transcripts/0%20-%20Government/USA%20-%20NASA/2015 07 14 - NASA - New Horizons Arrives at Pluto_wSfU2uxoFUw - transcript (automated).pdf","Transcript Link")</f>
        <v>Transcript Link</v>
      </c>
      <c r="M2007" s="2" t="str">
        <f>HYPERLINK("https://files.afu.se/Downloads/Transcripts/0%20-%20Government/USA%20-%20NASA/2015 07 14 - NASA - New Horizons Arrives at Pluto_wSfU2uxoFUw - transcript (automated).pdf","Transcript Link")</f>
        <v>Transcript Link</v>
      </c>
    </row>
    <row r="2008" ht="165" spans="1:13">
      <c r="A2008" s="1" t="s">
        <v>9290</v>
      </c>
      <c r="B2008" s="1" t="s">
        <v>13</v>
      </c>
      <c r="C2008" s="4" t="s">
        <v>9291</v>
      </c>
      <c r="D2008" s="1" t="s">
        <v>9292</v>
      </c>
      <c r="F2008" s="4" t="s">
        <v>17</v>
      </c>
      <c r="G2008" s="1" t="s">
        <v>18</v>
      </c>
      <c r="H2008" s="1" t="s">
        <v>19</v>
      </c>
      <c r="I2008" s="1" t="s">
        <v>20</v>
      </c>
      <c r="J2008" s="1" t="s">
        <v>9293</v>
      </c>
      <c r="K2008" s="1" t="s">
        <v>22</v>
      </c>
      <c r="L2008" s="1" t="str">
        <f>HYPERLINK("https://files.afu.se/Downloads/Transcripts/0%20-%20Government/USA%20-%20NASA/2015 07 13 - NASA - New Horizons Mission Update - July 13, 2015_aNSGTbS3xuQ - transcript (automated).pdf","Transcript Link")</f>
        <v>Transcript Link</v>
      </c>
      <c r="M2008" s="2" t="str">
        <f>HYPERLINK("https://files.afu.se/Downloads/Transcripts/0%20-%20Government/USA%20-%20NASA/2015 07 13 - NASA - New Horizons Mission Update - July 13, 2015_aNSGTbS3xuQ - transcript (automated).pdf","Transcript Link")</f>
        <v>Transcript Link</v>
      </c>
    </row>
    <row r="2009" ht="390" spans="1:13">
      <c r="A2009" s="1" t="s">
        <v>9290</v>
      </c>
      <c r="B2009" s="1" t="s">
        <v>13</v>
      </c>
      <c r="C2009" s="4" t="s">
        <v>9294</v>
      </c>
      <c r="D2009" s="1" t="s">
        <v>9295</v>
      </c>
      <c r="E2009" s="1" t="s">
        <v>9296</v>
      </c>
      <c r="F2009" s="4" t="s">
        <v>17</v>
      </c>
      <c r="G2009" s="1" t="s">
        <v>18</v>
      </c>
      <c r="H2009" s="1" t="s">
        <v>19</v>
      </c>
      <c r="I2009" s="1" t="s">
        <v>20</v>
      </c>
      <c r="J2009" s="1" t="s">
        <v>9297</v>
      </c>
      <c r="K2009" s="1" t="s">
        <v>22</v>
      </c>
      <c r="L2009" s="1" t="str">
        <f>HYPERLINK("https://files.afu.se/Downloads/Transcripts/0%20-%20Government/USA%20-%20NASA/2015 07 13 - NASA - The Flight of Apollo-Soyuz  40th Anniversary_hM25uYAQWeo - transcript (automated).pdf","Transcript Link")</f>
        <v>Transcript Link</v>
      </c>
      <c r="M2009" s="2" t="str">
        <f>HYPERLINK("https://files.afu.se/Downloads/Transcripts/0%20-%20Government/USA%20-%20NASA/2015 07 13 - NASA - The Flight of Apollo-Soyuz  40th Anniversary_hM25uYAQWeo - transcript (automated).pdf","Transcript Link")</f>
        <v>Transcript Link</v>
      </c>
    </row>
    <row r="2010" ht="165" spans="1:13">
      <c r="A2010" s="1" t="s">
        <v>9298</v>
      </c>
      <c r="B2010" s="1" t="s">
        <v>13</v>
      </c>
      <c r="C2010" s="4" t="s">
        <v>9299</v>
      </c>
      <c r="D2010" s="1" t="s">
        <v>9300</v>
      </c>
      <c r="E2010" s="1" t="s">
        <v>9301</v>
      </c>
      <c r="F2010" s="4" t="s">
        <v>17</v>
      </c>
      <c r="G2010" s="1" t="s">
        <v>18</v>
      </c>
      <c r="H2010" s="1" t="s">
        <v>19</v>
      </c>
      <c r="I2010" s="1" t="s">
        <v>20</v>
      </c>
      <c r="J2010" s="1" t="s">
        <v>9302</v>
      </c>
      <c r="K2010" s="1" t="s">
        <v>22</v>
      </c>
      <c r="L2010" s="1" t="str">
        <f>HYPERLINK("https://files.afu.se/Downloads/Transcripts/0%20-%20Government/USA%20-%20NASA/2015 07 12 - NASA - July 12th Daily Briefing for New Horizons Pluto Mission Pre-Flyby_DaElspuqbUA - transcript (automated).pdf","Transcript Link")</f>
        <v>Transcript Link</v>
      </c>
      <c r="M2010" s="2" t="str">
        <f>HYPERLINK("https://files.afu.se/Downloads/Transcripts/0%20-%20Government/USA%20-%20NASA/2015 07 12 - NASA - July 12th Daily Briefing for New Horizons Pluto Mission Pre-Flyby_DaElspuqbUA - transcript (automated).pdf","Transcript Link")</f>
        <v>Transcript Link</v>
      </c>
    </row>
    <row r="2011" ht="165" spans="1:13">
      <c r="A2011" s="1" t="s">
        <v>9303</v>
      </c>
      <c r="B2011" s="1" t="s">
        <v>13</v>
      </c>
      <c r="C2011" s="4" t="s">
        <v>9304</v>
      </c>
      <c r="D2011" s="1" t="s">
        <v>9305</v>
      </c>
      <c r="E2011" s="1" t="s">
        <v>9306</v>
      </c>
      <c r="F2011" s="4" t="s">
        <v>17</v>
      </c>
      <c r="G2011" s="1" t="s">
        <v>18</v>
      </c>
      <c r="H2011" s="1" t="s">
        <v>19</v>
      </c>
      <c r="I2011" s="1" t="s">
        <v>20</v>
      </c>
      <c r="J2011" s="1" t="s">
        <v>9307</v>
      </c>
      <c r="K2011" s="1" t="s">
        <v>22</v>
      </c>
      <c r="L2011" s="1" t="str">
        <f>HYPERLINK("https://files.afu.se/Downloads/Transcripts/0%20-%20Government/USA%20-%20NASA/2015 07 11 - NASA - July 11th Daily Briefing for New Horizons Pluto Mission Pre Flyby_oywH-z6nTTQ - transcript (automated).pdf","Transcript Link")</f>
        <v>Transcript Link</v>
      </c>
      <c r="M2011" s="2" t="str">
        <f>HYPERLINK("https://files.afu.se/Downloads/Transcripts/0%20-%20Government/USA%20-%20NASA/2015 07 11 - NASA - July 11th Daily Briefing for New Horizons Pluto Mission Pre Flyby_oywH-z6nTTQ - transcript (automated).pdf","Transcript Link")</f>
        <v>Transcript Link</v>
      </c>
    </row>
    <row r="2012" ht="210" spans="1:13">
      <c r="A2012" s="1" t="s">
        <v>9308</v>
      </c>
      <c r="B2012" s="1" t="s">
        <v>13</v>
      </c>
      <c r="C2012" s="4" t="s">
        <v>9309</v>
      </c>
      <c r="D2012" s="1" t="s">
        <v>9310</v>
      </c>
      <c r="E2012" s="1" t="s">
        <v>9311</v>
      </c>
      <c r="F2012" s="4" t="s">
        <v>17</v>
      </c>
      <c r="G2012" s="1" t="s">
        <v>18</v>
      </c>
      <c r="H2012" s="1" t="s">
        <v>19</v>
      </c>
      <c r="I2012" s="1" t="s">
        <v>20</v>
      </c>
      <c r="J2012" s="1" t="s">
        <v>9312</v>
      </c>
      <c r="K2012" s="1" t="s">
        <v>22</v>
      </c>
      <c r="L2012" s="1" t="str">
        <f>HYPERLINK("https://files.afu.se/Downloads/Transcripts/0%20-%20Government/USA%20-%20NASA/2015 07 10 - NASA - Commercial crew astronauts on This Week @NASA – July 10, 2015_wjkzIKpthqk - transcript (automated).pdf","Transcript Link")</f>
        <v>Transcript Link</v>
      </c>
      <c r="M2012" s="2" t="str">
        <f>HYPERLINK("https://files.afu.se/Downloads/Transcripts/0%20-%20Government/USA%20-%20NASA/2015 07 10 - NASA - Commercial crew astronauts on This Week @NASA – July 10, 2015_wjkzIKpthqk - transcript (automated).pdf","Transcript Link")</f>
        <v>Transcript Link</v>
      </c>
    </row>
    <row r="2013" ht="165" spans="1:13">
      <c r="A2013" s="1" t="s">
        <v>9308</v>
      </c>
      <c r="B2013" s="1" t="s">
        <v>13</v>
      </c>
      <c r="C2013" s="4" t="s">
        <v>9313</v>
      </c>
      <c r="D2013" s="1" t="s">
        <v>9314</v>
      </c>
      <c r="E2013" s="1" t="s">
        <v>9315</v>
      </c>
      <c r="F2013" s="4" t="s">
        <v>17</v>
      </c>
      <c r="G2013" s="1" t="s">
        <v>18</v>
      </c>
      <c r="H2013" s="1" t="s">
        <v>19</v>
      </c>
      <c r="I2013" s="1" t="s">
        <v>20</v>
      </c>
      <c r="J2013" s="1" t="s">
        <v>9316</v>
      </c>
      <c r="K2013" s="1" t="s">
        <v>22</v>
      </c>
      <c r="L2013" s="1" t="str">
        <f>HYPERLINK("https://files.afu.se/Downloads/Transcripts/0%20-%20Government/USA%20-%20NASA/2015 07 10 - NASA - July 10th Daily Briefing for New Horizons Pluto Mission Pre-Flyby_IztSuNo7z0s - transcript (automated).pdf","Transcript Link")</f>
        <v>Transcript Link</v>
      </c>
      <c r="M2013" s="2" t="str">
        <f>HYPERLINK("https://files.afu.se/Downloads/Transcripts/0%20-%20Government/USA%20-%20NASA/2015 07 10 - NASA - July 10th Daily Briefing for New Horizons Pluto Mission Pre-Flyby_IztSuNo7z0s - transcript (automated).pdf","Transcript Link")</f>
        <v>Transcript Link</v>
      </c>
    </row>
    <row r="2014" ht="195" spans="1:13">
      <c r="A2014" s="1" t="s">
        <v>9308</v>
      </c>
      <c r="B2014" s="1" t="s">
        <v>13</v>
      </c>
      <c r="C2014" s="4" t="s">
        <v>9317</v>
      </c>
      <c r="D2014" s="1" t="s">
        <v>9318</v>
      </c>
      <c r="E2014" s="1" t="s">
        <v>9319</v>
      </c>
      <c r="F2014" s="4" t="s">
        <v>17</v>
      </c>
      <c r="G2014" s="1" t="s">
        <v>18</v>
      </c>
      <c r="H2014" s="1" t="s">
        <v>19</v>
      </c>
      <c r="I2014" s="1" t="s">
        <v>20</v>
      </c>
      <c r="J2014" s="1" t="s">
        <v>9320</v>
      </c>
      <c r="K2014" s="1" t="s">
        <v>22</v>
      </c>
      <c r="L2014" s="1" t="str">
        <f>HYPERLINK("https://files.afu.se/Downloads/Transcripts/0%20-%20Government/USA%20-%20NASA/2015 07 10 - NASA - Expedition 44 Crew Departs for Kazakh Launch Site_i_IWCj_Htko - transcript (automated).pdf","Transcript Link")</f>
        <v>Transcript Link</v>
      </c>
      <c r="M2014" s="2" t="str">
        <f>HYPERLINK("https://files.afu.se/Downloads/Transcripts/0%20-%20Government/USA%20-%20NASA/2015 07 10 - NASA - Expedition 44 Crew Departs for Kazakh Launch Site_i_IWCj_Htko - transcript (automated).pdf","Transcript Link")</f>
        <v>Transcript Link</v>
      </c>
    </row>
    <row r="2015" ht="195" spans="1:13">
      <c r="A2015" s="1" t="s">
        <v>9308</v>
      </c>
      <c r="B2015" s="1" t="s">
        <v>13</v>
      </c>
      <c r="C2015" s="4" t="s">
        <v>9321</v>
      </c>
      <c r="D2015" s="1" t="s">
        <v>9322</v>
      </c>
      <c r="E2015" s="1" t="s">
        <v>9323</v>
      </c>
      <c r="F2015" s="4" t="s">
        <v>17</v>
      </c>
      <c r="G2015" s="1" t="s">
        <v>18</v>
      </c>
      <c r="H2015" s="1" t="s">
        <v>19</v>
      </c>
      <c r="I2015" s="1" t="s">
        <v>20</v>
      </c>
      <c r="J2015" s="1" t="s">
        <v>9324</v>
      </c>
      <c r="K2015" s="1" t="s">
        <v>22</v>
      </c>
      <c r="L2015" s="1" t="str">
        <f>HYPERLINK("https://files.afu.se/Downloads/Transcripts/0%20-%20Government/USA%20-%20NASA/2015 07 10 - NASA - Astronaut Scott Kelly Greets ComicCon_MUsHccM00eU - transcript (automated).pdf","Transcript Link")</f>
        <v>Transcript Link</v>
      </c>
      <c r="M2015" s="2" t="str">
        <f>HYPERLINK("https://files.afu.se/Downloads/Transcripts/0%20-%20Government/USA%20-%20NASA/2015 07 10 - NASA - Astronaut Scott Kelly Greets ComicCon_MUsHccM00eU - transcript (automated).pdf","Transcript Link")</f>
        <v>Transcript Link</v>
      </c>
    </row>
    <row r="2016" ht="210" spans="1:13">
      <c r="A2016" s="1" t="s">
        <v>9325</v>
      </c>
      <c r="B2016" s="1" t="s">
        <v>13</v>
      </c>
      <c r="C2016" s="4" t="s">
        <v>9326</v>
      </c>
      <c r="D2016" s="1" t="s">
        <v>9327</v>
      </c>
      <c r="E2016" s="1" t="s">
        <v>9328</v>
      </c>
      <c r="F2016" s="4" t="s">
        <v>17</v>
      </c>
      <c r="G2016" s="1" t="s">
        <v>18</v>
      </c>
      <c r="H2016" s="1" t="s">
        <v>19</v>
      </c>
      <c r="I2016" s="1" t="s">
        <v>20</v>
      </c>
      <c r="J2016" s="1" t="s">
        <v>9329</v>
      </c>
      <c r="K2016" s="1" t="s">
        <v>22</v>
      </c>
      <c r="L2016" s="1" t="str">
        <f>HYPERLINK("https://files.afu.se/Downloads/Transcripts/0%20-%20Government/USA%20-%20NASA/2015 07 09 - NASA - NASA Selects Astronauts for First U.S. Commercial Space Flights_seQapSJupaM - transcript (automated).pdf","Transcript Link")</f>
        <v>Transcript Link</v>
      </c>
      <c r="M2016" s="2" t="str">
        <f>HYPERLINK("https://files.afu.se/Downloads/Transcripts/0%20-%20Government/USA%20-%20NASA/2015 07 09 - NASA - NASA Selects Astronauts for First U.S. Commercial Space Flights_seQapSJupaM - transcript (automated).pdf","Transcript Link")</f>
        <v>Transcript Link</v>
      </c>
    </row>
    <row r="2017" ht="165" spans="1:13">
      <c r="A2017" s="1" t="s">
        <v>9325</v>
      </c>
      <c r="B2017" s="1" t="s">
        <v>13</v>
      </c>
      <c r="C2017" s="4" t="s">
        <v>9330</v>
      </c>
      <c r="D2017" s="1" t="s">
        <v>9331</v>
      </c>
      <c r="E2017" s="1" t="s">
        <v>9332</v>
      </c>
      <c r="F2017" s="4" t="s">
        <v>17</v>
      </c>
      <c r="G2017" s="1" t="s">
        <v>18</v>
      </c>
      <c r="H2017" s="1" t="s">
        <v>19</v>
      </c>
      <c r="I2017" s="1" t="s">
        <v>20</v>
      </c>
      <c r="J2017" s="1" t="s">
        <v>9333</v>
      </c>
      <c r="K2017" s="1" t="s">
        <v>22</v>
      </c>
      <c r="L2017" s="1" t="str">
        <f>HYPERLINK("https://files.afu.se/Downloads/Transcripts/0%20-%20Government/USA%20-%20NASA/2015 07 09 - NASA - July 9th Daily Briefing for New Horizons Pluto Mission Pre-Flyby_mj9aPD4wvxE - transcript (automated).pdf","Transcript Link")</f>
        <v>Transcript Link</v>
      </c>
      <c r="M2017" s="2" t="str">
        <f>HYPERLINK("https://files.afu.se/Downloads/Transcripts/0%20-%20Government/USA%20-%20NASA/2015 07 09 - NASA - July 9th Daily Briefing for New Horizons Pluto Mission Pre-Flyby_mj9aPD4wvxE - transcript (automated).pdf","Transcript Link")</f>
        <v>Transcript Link</v>
      </c>
    </row>
    <row r="2018" ht="165" spans="1:13">
      <c r="A2018" s="1" t="s">
        <v>9325</v>
      </c>
      <c r="B2018" s="1" t="s">
        <v>13</v>
      </c>
      <c r="C2018" s="4" t="s">
        <v>9334</v>
      </c>
      <c r="D2018" s="1" t="s">
        <v>9335</v>
      </c>
      <c r="E2018" s="1" t="s">
        <v>9336</v>
      </c>
      <c r="F2018" s="4" t="s">
        <v>17</v>
      </c>
      <c r="G2018" s="1" t="s">
        <v>18</v>
      </c>
      <c r="H2018" s="1" t="s">
        <v>19</v>
      </c>
      <c r="I2018" s="1" t="s">
        <v>20</v>
      </c>
      <c r="J2018" s="1" t="s">
        <v>9337</v>
      </c>
      <c r="K2018" s="1" t="s">
        <v>22</v>
      </c>
      <c r="L2018" s="1" t="str">
        <f>HYPERLINK("https://files.afu.se/Downloads/Transcripts/0%20-%20Government/USA%20-%20NASA/2015 07 09 - NASA - Launching America_Epe1nRh7jWE - transcript (automated).pdf","Transcript Link")</f>
        <v>Transcript Link</v>
      </c>
      <c r="M2018" s="2" t="str">
        <f>HYPERLINK("https://files.afu.se/Downloads/Transcripts/0%20-%20Government/USA%20-%20NASA/2015 07 09 - NASA - Launching America_Epe1nRh7jWE - transcript (automated).pdf","Transcript Link")</f>
        <v>Transcript Link</v>
      </c>
    </row>
    <row r="2019" ht="165" spans="1:13">
      <c r="A2019" s="1" t="s">
        <v>9338</v>
      </c>
      <c r="B2019" s="1" t="s">
        <v>13</v>
      </c>
      <c r="C2019" s="4" t="s">
        <v>9339</v>
      </c>
      <c r="D2019" s="1" t="s">
        <v>9340</v>
      </c>
      <c r="E2019" s="1" t="s">
        <v>9341</v>
      </c>
      <c r="F2019" s="4" t="s">
        <v>17</v>
      </c>
      <c r="G2019" s="1" t="s">
        <v>18</v>
      </c>
      <c r="H2019" s="1" t="s">
        <v>19</v>
      </c>
      <c r="I2019" s="1" t="s">
        <v>20</v>
      </c>
      <c r="J2019" s="1" t="s">
        <v>9342</v>
      </c>
      <c r="K2019" s="1" t="s">
        <v>22</v>
      </c>
      <c r="L2019" s="1" t="str">
        <f>HYPERLINK("https://files.afu.se/Downloads/Transcripts/0%20-%20Government/USA%20-%20NASA/2015 07 08 - NASA - Expedition 44 Crew Conducts News Conference in Russia_qalaQrZRm2M - transcript (automated).pdf","Transcript Link")</f>
        <v>Transcript Link</v>
      </c>
      <c r="M2019" s="2" t="str">
        <f>HYPERLINK("https://files.afu.se/Downloads/Transcripts/0%20-%20Government/USA%20-%20NASA/2015 07 08 - NASA - Expedition 44 Crew Conducts News Conference in Russia_qalaQrZRm2M - transcript (automated).pdf","Transcript Link")</f>
        <v>Transcript Link</v>
      </c>
    </row>
    <row r="2020" ht="195" spans="1:13">
      <c r="A2020" s="1" t="s">
        <v>9338</v>
      </c>
      <c r="B2020" s="1" t="s">
        <v>13</v>
      </c>
      <c r="C2020" s="4" t="s">
        <v>9343</v>
      </c>
      <c r="D2020" s="1" t="s">
        <v>9344</v>
      </c>
      <c r="E2020" s="1" t="s">
        <v>9345</v>
      </c>
      <c r="F2020" s="4" t="s">
        <v>17</v>
      </c>
      <c r="G2020" s="1" t="s">
        <v>18</v>
      </c>
      <c r="H2020" s="1" t="s">
        <v>19</v>
      </c>
      <c r="I2020" s="1" t="s">
        <v>20</v>
      </c>
      <c r="J2020" s="1" t="s">
        <v>9346</v>
      </c>
      <c r="K2020" s="1" t="s">
        <v>22</v>
      </c>
      <c r="L2020" s="1" t="str">
        <f>HYPERLINK("https://files.afu.se/Downloads/Transcripts/0%20-%20Government/USA%20-%20NASA/2015 07 08 - NASA - Expedition 44 Crew Conducts Traditional Ceremonies in Star City, Russia_wNwLmrxoXDU - transcript (automated).pdf","Transcript Link")</f>
        <v>Transcript Link</v>
      </c>
      <c r="M2020" s="2" t="str">
        <f>HYPERLINK("https://files.afu.se/Downloads/Transcripts/0%20-%20Government/USA%20-%20NASA/2015 07 08 - NASA - Expedition 44 Crew Conducts Traditional Ceremonies in Star City, Russia_wNwLmrxoXDU - transcript (automated).pdf","Transcript Link")</f>
        <v>Transcript Link</v>
      </c>
    </row>
    <row r="2021" ht="165" spans="1:13">
      <c r="A2021" s="1" t="s">
        <v>9338</v>
      </c>
      <c r="B2021" s="1" t="s">
        <v>13</v>
      </c>
      <c r="C2021" s="4" t="s">
        <v>9347</v>
      </c>
      <c r="D2021" s="1" t="s">
        <v>9348</v>
      </c>
      <c r="E2021" s="1" t="s">
        <v>9349</v>
      </c>
      <c r="F2021" s="4" t="s">
        <v>17</v>
      </c>
      <c r="G2021" s="1" t="s">
        <v>18</v>
      </c>
      <c r="H2021" s="1" t="s">
        <v>19</v>
      </c>
      <c r="I2021" s="1" t="s">
        <v>20</v>
      </c>
      <c r="J2021" s="1" t="s">
        <v>9350</v>
      </c>
      <c r="K2021" s="1" t="s">
        <v>22</v>
      </c>
      <c r="L2021" s="1" t="str">
        <f>HYPERLINK("https://files.afu.se/Downloads/Transcripts/0%20-%20Government/USA%20-%20NASA/2015 07 08 - NASA - July 8th Daily Briefing for New Horizons Pluto Mission Pre-Flyby_H3zbyzuFA6I - transcript (automated).pdf","Transcript Link")</f>
        <v>Transcript Link</v>
      </c>
      <c r="M2021" s="2" t="str">
        <f>HYPERLINK("https://files.afu.se/Downloads/Transcripts/0%20-%20Government/USA%20-%20NASA/2015 07 08 - NASA - July 8th Daily Briefing for New Horizons Pluto Mission Pre-Flyby_H3zbyzuFA6I - transcript (automated).pdf","Transcript Link")</f>
        <v>Transcript Link</v>
      </c>
    </row>
    <row r="2022" ht="165" spans="1:13">
      <c r="A2022" s="1" t="s">
        <v>9351</v>
      </c>
      <c r="B2022" s="1" t="s">
        <v>13</v>
      </c>
      <c r="C2022" s="4" t="s">
        <v>9352</v>
      </c>
      <c r="D2022" s="1" t="s">
        <v>9353</v>
      </c>
      <c r="E2022" s="1" t="s">
        <v>9354</v>
      </c>
      <c r="F2022" s="4" t="s">
        <v>17</v>
      </c>
      <c r="G2022" s="1" t="s">
        <v>18</v>
      </c>
      <c r="H2022" s="1" t="s">
        <v>19</v>
      </c>
      <c r="I2022" s="1" t="s">
        <v>20</v>
      </c>
      <c r="J2022" s="1" t="s">
        <v>9355</v>
      </c>
      <c r="K2022" s="1" t="s">
        <v>22</v>
      </c>
      <c r="L2022" s="1" t="str">
        <f>HYPERLINK("https://files.afu.se/Downloads/Transcripts/0%20-%20Government/USA%20-%20NASA/2015 07 07 - NASA - NASA's New Horizons spacecraft arrives at Pluto on July 14th_yAySSOI_QLo - transcript (automated).pdf","Transcript Link")</f>
        <v>Transcript Link</v>
      </c>
      <c r="M2022" s="2" t="str">
        <f>HYPERLINK("https://files.afu.se/Downloads/Transcripts/0%20-%20Government/USA%20-%20NASA/2015 07 07 - NASA - NASA's New Horizons spacecraft arrives at Pluto on July 14th_yAySSOI_QLo - transcript (automated).pdf","Transcript Link")</f>
        <v>Transcript Link</v>
      </c>
    </row>
    <row r="2023" ht="360" spans="1:13">
      <c r="A2023" s="1" t="s">
        <v>9351</v>
      </c>
      <c r="B2023" s="1" t="s">
        <v>13</v>
      </c>
      <c r="C2023" s="4" t="s">
        <v>9356</v>
      </c>
      <c r="D2023" s="1" t="s">
        <v>9357</v>
      </c>
      <c r="E2023" s="1" t="s">
        <v>9358</v>
      </c>
      <c r="F2023" s="4" t="s">
        <v>17</v>
      </c>
      <c r="G2023" s="1" t="s">
        <v>18</v>
      </c>
      <c r="H2023" s="1" t="s">
        <v>19</v>
      </c>
      <c r="I2023" s="1" t="s">
        <v>20</v>
      </c>
      <c r="J2023" s="1" t="s">
        <v>9359</v>
      </c>
      <c r="K2023" s="1" t="s">
        <v>22</v>
      </c>
      <c r="L2023" s="1" t="str">
        <f>HYPERLINK("https://files.afu.se/Downloads/Transcripts/0%20-%20Government/USA%20-%20NASA/2015 07 07 - NASA - B-Roll Feed of Exp 44 Flight Engineer Kjell Lindgren_UFzz5fp2fCg - transcript (automated).pdf","Transcript Link")</f>
        <v>Transcript Link</v>
      </c>
      <c r="M2023" s="2" t="str">
        <f>HYPERLINK("https://files.afu.se/Downloads/Transcripts/0%20-%20Government/USA%20-%20NASA/2015 07 07 - NASA - B-Roll Feed of Exp 44 Flight Engineer Kjell Lindgren_UFzz5fp2fCg - transcript (automated).pdf","Transcript Link")</f>
        <v>Transcript Link</v>
      </c>
    </row>
    <row r="2024" ht="165" spans="1:13">
      <c r="A2024" s="1" t="s">
        <v>9360</v>
      </c>
      <c r="B2024" s="1" t="s">
        <v>13</v>
      </c>
      <c r="C2024" s="4" t="s">
        <v>9361</v>
      </c>
      <c r="D2024" s="1" t="s">
        <v>9362</v>
      </c>
      <c r="E2024" s="1" t="s">
        <v>9363</v>
      </c>
      <c r="F2024" s="4" t="s">
        <v>17</v>
      </c>
      <c r="G2024" s="1" t="s">
        <v>18</v>
      </c>
      <c r="H2024" s="1" t="s">
        <v>19</v>
      </c>
      <c r="I2024" s="1" t="s">
        <v>20</v>
      </c>
      <c r="J2024" s="1" t="s">
        <v>9364</v>
      </c>
      <c r="K2024" s="1" t="s">
        <v>22</v>
      </c>
      <c r="L2024" s="1" t="str">
        <f>HYPERLINK("https://files.afu.se/Downloads/Transcripts/0%20-%20Government/USA%20-%20NASA/2015 07 05 - NASA - Russian Supply Ship Arrives at ISS_xaWSAEZ6Pkw - transcript (automated).pdf","Transcript Link")</f>
        <v>Transcript Link</v>
      </c>
      <c r="M2024" s="2" t="str">
        <f>HYPERLINK("https://files.afu.se/Downloads/Transcripts/0%20-%20Government/USA%20-%20NASA/2015 07 05 - NASA - Russian Supply Ship Arrives at ISS_xaWSAEZ6Pkw - transcript (automated).pdf","Transcript Link")</f>
        <v>Transcript Link</v>
      </c>
    </row>
    <row r="2025" ht="165" spans="1:13">
      <c r="A2025" s="1" t="s">
        <v>9365</v>
      </c>
      <c r="B2025" s="1" t="s">
        <v>13</v>
      </c>
      <c r="C2025" s="4" t="s">
        <v>9366</v>
      </c>
      <c r="D2025" s="1" t="s">
        <v>9367</v>
      </c>
      <c r="F2025" s="4" t="s">
        <v>17</v>
      </c>
      <c r="G2025" s="1" t="s">
        <v>18</v>
      </c>
      <c r="H2025" s="1" t="s">
        <v>19</v>
      </c>
      <c r="I2025" s="1" t="s">
        <v>20</v>
      </c>
      <c r="J2025" s="1" t="s">
        <v>9368</v>
      </c>
      <c r="K2025" s="1" t="s">
        <v>22</v>
      </c>
      <c r="L2025" s="1" t="str">
        <f>HYPERLINK("https://files.afu.se/Downloads/Transcripts/0%20-%20Government/USA%20-%20NASA/2015 07 03 - NASA - NASA wishes America Happy July 4th_vdQ5rFSH7c4 - transcript (automated).pdf","Transcript Link")</f>
        <v>Transcript Link</v>
      </c>
      <c r="M2025" s="2" t="str">
        <f>HYPERLINK("https://files.afu.se/Downloads/Transcripts/0%20-%20Government/USA%20-%20NASA/2015 07 03 - NASA - NASA wishes America Happy July 4th_vdQ5rFSH7c4 - transcript (automated).pdf","Transcript Link")</f>
        <v>Transcript Link</v>
      </c>
    </row>
    <row r="2026" ht="165" spans="1:13">
      <c r="A2026" s="1" t="s">
        <v>9365</v>
      </c>
      <c r="B2026" s="1" t="s">
        <v>13</v>
      </c>
      <c r="C2026" s="4" t="s">
        <v>9369</v>
      </c>
      <c r="D2026" s="1" t="s">
        <v>9370</v>
      </c>
      <c r="E2026" s="1" t="s">
        <v>9371</v>
      </c>
      <c r="F2026" s="4" t="s">
        <v>17</v>
      </c>
      <c r="G2026" s="1" t="s">
        <v>18</v>
      </c>
      <c r="H2026" s="1" t="s">
        <v>19</v>
      </c>
      <c r="I2026" s="1" t="s">
        <v>20</v>
      </c>
      <c r="J2026" s="1" t="s">
        <v>9372</v>
      </c>
      <c r="K2026" s="1" t="s">
        <v>22</v>
      </c>
      <c r="L2026" s="1" t="str">
        <f>HYPERLINK("https://files.afu.se/Downloads/Transcripts/0%20-%20Government/USA%20-%20NASA/2015 07 03 - NASA - Happy 4th of July...from Space!_h8SRnSTXe_k - transcript (automated).pdf","Transcript Link")</f>
        <v>Transcript Link</v>
      </c>
      <c r="M2026" s="2" t="str">
        <f>HYPERLINK("https://files.afu.se/Downloads/Transcripts/0%20-%20Government/USA%20-%20NASA/2015 07 03 - NASA - Happy 4th of July...from Space!_h8SRnSTXe_k - transcript (automated).pdf","Transcript Link")</f>
        <v>Transcript Link</v>
      </c>
    </row>
    <row r="2027" ht="165" spans="1:13">
      <c r="A2027" s="1" t="s">
        <v>9365</v>
      </c>
      <c r="B2027" s="1" t="s">
        <v>13</v>
      </c>
      <c r="C2027" s="4" t="s">
        <v>9373</v>
      </c>
      <c r="D2027" s="1" t="s">
        <v>9374</v>
      </c>
      <c r="E2027" s="1" t="s">
        <v>9375</v>
      </c>
      <c r="F2027" s="4" t="s">
        <v>17</v>
      </c>
      <c r="G2027" s="1" t="s">
        <v>18</v>
      </c>
      <c r="H2027" s="1" t="s">
        <v>19</v>
      </c>
      <c r="I2027" s="1" t="s">
        <v>20</v>
      </c>
      <c r="J2027" s="1" t="s">
        <v>9376</v>
      </c>
      <c r="K2027" s="1" t="s">
        <v>22</v>
      </c>
      <c r="L2027" s="1" t="str">
        <f>HYPERLINK("https://files.afu.se/Downloads/Transcripts/0%20-%20Government/USA%20-%20NASA/2015 07 03 - NASA - Russian Supply Ship Heads to ISS_HdE2xs4ccF0 - transcript (automated).pdf","Transcript Link")</f>
        <v>Transcript Link</v>
      </c>
      <c r="M2027" s="2" t="str">
        <f>HYPERLINK("https://files.afu.se/Downloads/Transcripts/0%20-%20Government/USA%20-%20NASA/2015 07 03 - NASA - Russian Supply Ship Heads to ISS_HdE2xs4ccF0 - transcript (automated).pdf","Transcript Link")</f>
        <v>Transcript Link</v>
      </c>
    </row>
    <row r="2028" ht="165" spans="1:13">
      <c r="A2028" s="1" t="s">
        <v>9377</v>
      </c>
      <c r="B2028" s="1" t="s">
        <v>13</v>
      </c>
      <c r="C2028" s="4" t="s">
        <v>9378</v>
      </c>
      <c r="D2028" s="1" t="s">
        <v>9379</v>
      </c>
      <c r="E2028" s="1" t="s">
        <v>9371</v>
      </c>
      <c r="F2028" s="4" t="s">
        <v>17</v>
      </c>
      <c r="G2028" s="1" t="s">
        <v>18</v>
      </c>
      <c r="H2028" s="1" t="s">
        <v>19</v>
      </c>
      <c r="I2028" s="1" t="s">
        <v>20</v>
      </c>
      <c r="J2028" s="1" t="s">
        <v>9380</v>
      </c>
      <c r="K2028" s="1" t="s">
        <v>22</v>
      </c>
      <c r="L2028" s="1" t="str">
        <f>HYPERLINK("https://files.afu.se/Downloads/Transcripts/0%20-%20Government/USA%20-%20NASA/2015 07 02 - NASA - Happy 4th of July … from Space!_t5OxLeajz6I - transcript (automated).pdf","Transcript Link")</f>
        <v>Transcript Link</v>
      </c>
      <c r="M2028" s="2" t="str">
        <f>HYPERLINK("https://files.afu.se/Downloads/Transcripts/0%20-%20Government/USA%20-%20NASA/2015 07 02 - NASA - Happy 4th of July … from Space!_t5OxLeajz6I - transcript (automated).pdf","Transcript Link")</f>
        <v>Transcript Link</v>
      </c>
    </row>
    <row r="2029" ht="165" spans="1:13">
      <c r="A2029" s="1" t="s">
        <v>9377</v>
      </c>
      <c r="B2029" s="1" t="s">
        <v>13</v>
      </c>
      <c r="C2029" s="4" t="s">
        <v>9381</v>
      </c>
      <c r="D2029" s="1" t="s">
        <v>9382</v>
      </c>
      <c r="E2029" s="1" t="s">
        <v>9383</v>
      </c>
      <c r="F2029" s="4" t="s">
        <v>17</v>
      </c>
      <c r="G2029" s="1" t="s">
        <v>18</v>
      </c>
      <c r="H2029" s="1" t="s">
        <v>19</v>
      </c>
      <c r="I2029" s="1" t="s">
        <v>20</v>
      </c>
      <c r="J2029" s="1" t="s">
        <v>9384</v>
      </c>
      <c r="K2029" s="1" t="s">
        <v>22</v>
      </c>
      <c r="L2029" s="1" t="str">
        <f>HYPERLINK("https://files.afu.se/Downloads/Transcripts/0%20-%20Government/USA%20-%20NASA/2015 07 02 - NASA - SpaceX leading investigation of mishap on This Week @NASA – July 3, 2015_K5ZBdhCLb-I - transcript (automated).pdf","Transcript Link")</f>
        <v>Transcript Link</v>
      </c>
      <c r="M2029" s="2" t="str">
        <f>HYPERLINK("https://files.afu.se/Downloads/Transcripts/0%20-%20Government/USA%20-%20NASA/2015 07 02 - NASA - SpaceX leading investigation of mishap on This Week @NASA – July 3, 2015_K5ZBdhCLb-I - transcript (automated).pdf","Transcript Link")</f>
        <v>Transcript Link</v>
      </c>
    </row>
    <row r="2030" ht="165" spans="1:13">
      <c r="A2030" s="1" t="s">
        <v>9377</v>
      </c>
      <c r="B2030" s="1" t="s">
        <v>13</v>
      </c>
      <c r="C2030" s="4" t="s">
        <v>9385</v>
      </c>
      <c r="D2030" s="1" t="s">
        <v>9386</v>
      </c>
      <c r="E2030" s="1" t="s">
        <v>9387</v>
      </c>
      <c r="F2030" s="4" t="s">
        <v>17</v>
      </c>
      <c r="G2030" s="1" t="s">
        <v>18</v>
      </c>
      <c r="H2030" s="1" t="s">
        <v>19</v>
      </c>
      <c r="I2030" s="1" t="s">
        <v>20</v>
      </c>
      <c r="J2030" s="1" t="s">
        <v>9388</v>
      </c>
      <c r="K2030" s="1" t="s">
        <v>22</v>
      </c>
      <c r="L2030" s="1" t="str">
        <f>HYPERLINK("https://files.afu.se/Downloads/Transcripts/0%20-%20Government/USA%20-%20NASA/2015 07 02 - NASA - Space Station Live  Scott Kelly Interview_ijig1A2ViRo - transcript (automated).pdf","Transcript Link")</f>
        <v>Transcript Link</v>
      </c>
      <c r="M2030" s="2" t="str">
        <f>HYPERLINK("https://files.afu.se/Downloads/Transcripts/0%20-%20Government/USA%20-%20NASA/2015 07 02 - NASA - Space Station Live  Scott Kelly Interview_ijig1A2ViRo - transcript (automated).pdf","Transcript Link")</f>
        <v>Transcript Link</v>
      </c>
    </row>
    <row r="2031" ht="409.5" spans="1:13">
      <c r="A2031" s="1" t="s">
        <v>9389</v>
      </c>
      <c r="B2031" s="1" t="s">
        <v>13</v>
      </c>
      <c r="C2031" s="4" t="s">
        <v>9390</v>
      </c>
      <c r="D2031" s="1" t="s">
        <v>9391</v>
      </c>
      <c r="E2031" s="1" t="s">
        <v>9392</v>
      </c>
      <c r="F2031" s="4" t="s">
        <v>17</v>
      </c>
      <c r="G2031" s="1" t="s">
        <v>18</v>
      </c>
      <c r="H2031" s="1" t="s">
        <v>19</v>
      </c>
      <c r="I2031" s="1" t="s">
        <v>20</v>
      </c>
      <c r="J2031" s="1" t="s">
        <v>9393</v>
      </c>
      <c r="K2031" s="1" t="s">
        <v>22</v>
      </c>
      <c r="L2031" s="1" t="str">
        <f>HYPERLINK("https://files.afu.se/Downloads/Transcripts/0%20-%20Government/USA%20-%20NASA/2015 07 01 - NASA - Benefits for Humanity  Hope Crystalizes_hCWqNy6tVOM - transcript (automated).pdf","Transcript Link")</f>
        <v>Transcript Link</v>
      </c>
      <c r="M2031" s="2" t="str">
        <f>HYPERLINK("https://files.afu.se/Downloads/Transcripts/0%20-%20Government/USA%20-%20NASA/2015 07 01 - NASA - Benefits for Humanity  Hope Crystalizes_hCWqNy6tVOM - transcript (automated).pdf","Transcript Link")</f>
        <v>Transcript Link</v>
      </c>
    </row>
    <row r="2032" ht="315" spans="1:13">
      <c r="A2032" s="1" t="s">
        <v>9389</v>
      </c>
      <c r="B2032" s="1" t="s">
        <v>13</v>
      </c>
      <c r="C2032" s="4" t="s">
        <v>9394</v>
      </c>
      <c r="D2032" s="1" t="s">
        <v>9395</v>
      </c>
      <c r="E2032" s="1" t="s">
        <v>9396</v>
      </c>
      <c r="F2032" s="4" t="s">
        <v>17</v>
      </c>
      <c r="G2032" s="1" t="s">
        <v>18</v>
      </c>
      <c r="H2032" s="1" t="s">
        <v>19</v>
      </c>
      <c r="I2032" s="1" t="s">
        <v>20</v>
      </c>
      <c r="J2032" s="1" t="s">
        <v>9397</v>
      </c>
      <c r="K2032" s="1" t="s">
        <v>22</v>
      </c>
      <c r="L2032" s="1" t="str">
        <f>HYPERLINK("https://files.afu.se/Downloads/Transcripts/0%20-%20Government/USA%20-%20NASA/2015 07 01 - NASA - NASA LGBT Pride Month Profile Larry C  Liou, Glenn Research Center_2uP-0oqmyiA - transcript (automated).pdf","Transcript Link")</f>
        <v>Transcript Link</v>
      </c>
      <c r="M2032" s="2" t="str">
        <f>HYPERLINK("https://files.afu.se/Downloads/Transcripts/0%20-%20Government/USA%20-%20NASA/2015 07 01 - NASA - NASA LGBT Pride Month Profile Larry C  Liou, Glenn Research Center_2uP-0oqmyiA - transcript (automated).pdf","Transcript Link")</f>
        <v>Transcript Link</v>
      </c>
    </row>
    <row r="2033" ht="165" spans="1:13">
      <c r="A2033" s="1" t="s">
        <v>9398</v>
      </c>
      <c r="B2033" s="1" t="s">
        <v>13</v>
      </c>
      <c r="C2033" s="4" t="s">
        <v>9399</v>
      </c>
      <c r="D2033" s="1" t="s">
        <v>9400</v>
      </c>
      <c r="E2033" s="1" t="s">
        <v>9401</v>
      </c>
      <c r="F2033" s="4" t="s">
        <v>17</v>
      </c>
      <c r="G2033" s="1" t="s">
        <v>18</v>
      </c>
      <c r="H2033" s="1" t="s">
        <v>19</v>
      </c>
      <c r="I2033" s="1" t="s">
        <v>20</v>
      </c>
      <c r="J2033" s="1" t="s">
        <v>9402</v>
      </c>
      <c r="K2033" s="1" t="s">
        <v>22</v>
      </c>
      <c r="L2033" s="1" t="str">
        <f>HYPERLINK("https://files.afu.se/Downloads/Transcripts/0%20-%20Government/USA%20-%20NASA/2015 06 30 - NASA - Mission Updates  Countdown to Pluto - June 30, 2015_EHjWfarVyZc - transcript (automated).pdf","Transcript Link")</f>
        <v>Transcript Link</v>
      </c>
      <c r="M2033" s="2" t="str">
        <f>HYPERLINK("https://files.afu.se/Downloads/Transcripts/0%20-%20Government/USA%20-%20NASA/2015 06 30 - NASA - Mission Updates  Countdown to Pluto - June 30, 2015_EHjWfarVyZc - transcript (automated).pdf","Transcript Link")</f>
        <v>Transcript Link</v>
      </c>
    </row>
    <row r="2034" ht="180" spans="1:13">
      <c r="A2034" s="1" t="s">
        <v>9403</v>
      </c>
      <c r="B2034" s="1" t="s">
        <v>13</v>
      </c>
      <c r="C2034" s="4" t="s">
        <v>9404</v>
      </c>
      <c r="D2034" s="1" t="s">
        <v>9405</v>
      </c>
      <c r="E2034" s="1" t="s">
        <v>9406</v>
      </c>
      <c r="F2034" s="4" t="s">
        <v>17</v>
      </c>
      <c r="G2034" s="1" t="s">
        <v>18</v>
      </c>
      <c r="H2034" s="1" t="s">
        <v>19</v>
      </c>
      <c r="I2034" s="1" t="s">
        <v>20</v>
      </c>
      <c r="J2034" s="1" t="s">
        <v>9407</v>
      </c>
      <c r="K2034" s="1" t="s">
        <v>22</v>
      </c>
      <c r="L2034" s="1" t="str">
        <f>HYPERLINK("https://files.afu.se/Downloads/Transcripts/0%20-%20Government/USA%20-%20NASA/2015 06 28 - NASA - SpaceX, NASA Managers Discuss Vehicle Mishap Following CRS-7 Launch_LxqZOb68mrA - transcript (automated).pdf","Transcript Link")</f>
        <v>Transcript Link</v>
      </c>
      <c r="M2034" s="2" t="str">
        <f>HYPERLINK("https://files.afu.se/Downloads/Transcripts/0%20-%20Government/USA%20-%20NASA/2015 06 28 - NASA - SpaceX, NASA Managers Discuss Vehicle Mishap Following CRS-7 Launch_LxqZOb68mrA - transcript (automated).pdf","Transcript Link")</f>
        <v>Transcript Link</v>
      </c>
    </row>
    <row r="2035" ht="409.5" spans="1:13">
      <c r="A2035" s="1" t="s">
        <v>9408</v>
      </c>
      <c r="B2035" s="1" t="s">
        <v>13</v>
      </c>
      <c r="C2035" s="4" t="s">
        <v>9409</v>
      </c>
      <c r="D2035" s="1" t="s">
        <v>9410</v>
      </c>
      <c r="E2035" s="1" t="s">
        <v>9411</v>
      </c>
      <c r="F2035" s="4" t="s">
        <v>17</v>
      </c>
      <c r="G2035" s="1" t="s">
        <v>18</v>
      </c>
      <c r="H2035" s="1" t="s">
        <v>19</v>
      </c>
      <c r="I2035" s="1" t="s">
        <v>20</v>
      </c>
      <c r="J2035" s="1" t="s">
        <v>9412</v>
      </c>
      <c r="K2035" s="1" t="s">
        <v>22</v>
      </c>
      <c r="L2035" s="1" t="str">
        <f>HYPERLINK("https://files.afu.se/Downloads/Transcripts/0%20-%20Government/USA%20-%20NASA/2015 06 27 - NASA - SpaceX Pre-Launch Briefing from NASA's Kennedy Space Center_l6GmuRY5bHA - transcript (automated).pdf","Transcript Link")</f>
        <v>Transcript Link</v>
      </c>
      <c r="M2035" s="2" t="str">
        <f>HYPERLINK("https://files.afu.se/Downloads/Transcripts/0%20-%20Government/USA%20-%20NASA/2015 06 27 - NASA - SpaceX Pre-Launch Briefing from NASA's Kennedy Space Center_l6GmuRY5bHA - transcript (automated).pdf","Transcript Link")</f>
        <v>Transcript Link</v>
      </c>
    </row>
    <row r="2036" ht="330" spans="1:13">
      <c r="A2036" s="1" t="s">
        <v>9408</v>
      </c>
      <c r="B2036" s="1" t="s">
        <v>13</v>
      </c>
      <c r="C2036" s="4" t="s">
        <v>9413</v>
      </c>
      <c r="D2036" s="1" t="s">
        <v>9414</v>
      </c>
      <c r="E2036" s="1" t="s">
        <v>9415</v>
      </c>
      <c r="F2036" s="4" t="s">
        <v>17</v>
      </c>
      <c r="G2036" s="1" t="s">
        <v>18</v>
      </c>
      <c r="H2036" s="1" t="s">
        <v>19</v>
      </c>
      <c r="I2036" s="1" t="s">
        <v>20</v>
      </c>
      <c r="J2036" s="1" t="s">
        <v>9416</v>
      </c>
      <c r="K2036" s="1" t="s">
        <v>22</v>
      </c>
      <c r="L2036" s="1" t="str">
        <f>HYPERLINK("https://files.afu.se/Downloads/Transcripts/0%20-%20Government/USA%20-%20NASA/2015 06 27 - NASA - SpaceX International Space Station Pre Launch Science Tech Briefing from NASA's Kennedy Space Center_ZJt6AA2lFRs - transcript (automated).pdf","Transcript Link")</f>
        <v>Transcript Link</v>
      </c>
      <c r="M2036" s="2" t="str">
        <f>HYPERLINK("https://files.afu.se/Downloads/Transcripts/0%20-%20Government/USA%20-%20NASA/2015 06 27 - NASA - SpaceX International Space Station Pre Launch Science Tech Briefing from NASA's Kennedy Space Center_ZJt6AA2lFRs - transcript (automated).pdf","Transcript Link")</f>
        <v>Transcript Link</v>
      </c>
    </row>
    <row r="2037" ht="409.5" spans="1:13">
      <c r="A2037" s="1" t="s">
        <v>9417</v>
      </c>
      <c r="B2037" s="1" t="s">
        <v>13</v>
      </c>
      <c r="C2037" s="4" t="s">
        <v>9418</v>
      </c>
      <c r="D2037" s="1" t="s">
        <v>9419</v>
      </c>
      <c r="E2037" s="1" t="s">
        <v>9420</v>
      </c>
      <c r="F2037" s="4" t="s">
        <v>17</v>
      </c>
      <c r="G2037" s="1" t="s">
        <v>18</v>
      </c>
      <c r="H2037" s="1" t="s">
        <v>19</v>
      </c>
      <c r="I2037" s="1" t="s">
        <v>20</v>
      </c>
      <c r="J2037" s="1" t="s">
        <v>9421</v>
      </c>
      <c r="K2037" s="1" t="s">
        <v>22</v>
      </c>
      <c r="L2037" s="1" t="str">
        <f>HYPERLINK("https://files.afu.se/Downloads/Transcripts/0%20-%20Government/USA%20-%20NASA/2015 06 26 - NASA - SpaceX International Space Station Pre Launch Briefing from NASA's Kennedy Space Center_DQX1kajzy0M - transcript (automated).pdf","Transcript Link")</f>
        <v>Transcript Link</v>
      </c>
      <c r="M2037" s="2" t="str">
        <f>HYPERLINK("https://files.afu.se/Downloads/Transcripts/0%20-%20Government/USA%20-%20NASA/2015 06 26 - NASA - SpaceX International Space Station Pre Launch Briefing from NASA's Kennedy Space Center_DQX1kajzy0M - transcript (automated).pdf","Transcript Link")</f>
        <v>Transcript Link</v>
      </c>
    </row>
    <row r="2038" ht="195" spans="1:13">
      <c r="A2038" s="1" t="s">
        <v>9417</v>
      </c>
      <c r="B2038" s="1" t="s">
        <v>13</v>
      </c>
      <c r="C2038" s="4" t="s">
        <v>9422</v>
      </c>
      <c r="D2038" s="1" t="s">
        <v>9423</v>
      </c>
      <c r="E2038" s="1" t="s">
        <v>9424</v>
      </c>
      <c r="F2038" s="4" t="s">
        <v>17</v>
      </c>
      <c r="G2038" s="1" t="s">
        <v>18</v>
      </c>
      <c r="H2038" s="1" t="s">
        <v>19</v>
      </c>
      <c r="I2038" s="1" t="s">
        <v>20</v>
      </c>
      <c r="J2038" s="1" t="s">
        <v>9425</v>
      </c>
      <c r="K2038" s="1" t="s">
        <v>22</v>
      </c>
      <c r="L2038" s="1" t="str">
        <f>HYPERLINK("https://files.afu.se/Downloads/Transcripts/0%20-%20Government/USA%20-%20NASA/2015 06 26 - NASA - Looking for Human Landing Sites on Mars on This Week @NASA – June 26, 2015_kqq-4QqZPi0 - transcript (automated).pdf","Transcript Link")</f>
        <v>Transcript Link</v>
      </c>
      <c r="M2038" s="2" t="str">
        <f>HYPERLINK("https://files.afu.se/Downloads/Transcripts/0%20-%20Government/USA%20-%20NASA/2015 06 26 - NASA - Looking for Human Landing Sites on Mars on This Week @NASA – June 26, 2015_kqq-4QqZPi0 - transcript (automated).pdf","Transcript Link")</f>
        <v>Transcript Link</v>
      </c>
    </row>
    <row r="2039" ht="165" spans="1:13">
      <c r="A2039" s="1" t="s">
        <v>9426</v>
      </c>
      <c r="B2039" s="1" t="s">
        <v>13</v>
      </c>
      <c r="C2039" s="4" t="s">
        <v>9427</v>
      </c>
      <c r="D2039" s="1" t="s">
        <v>9428</v>
      </c>
      <c r="E2039" s="1" t="s">
        <v>9429</v>
      </c>
      <c r="F2039" s="4" t="s">
        <v>17</v>
      </c>
      <c r="G2039" s="1" t="s">
        <v>18</v>
      </c>
      <c r="H2039" s="1" t="s">
        <v>19</v>
      </c>
      <c r="I2039" s="1" t="s">
        <v>20</v>
      </c>
      <c r="J2039" s="1" t="s">
        <v>9430</v>
      </c>
      <c r="K2039" s="1" t="s">
        <v>22</v>
      </c>
      <c r="L2039" s="1" t="str">
        <f>HYPERLINK("https://files.afu.se/Downloads/Transcripts/0%20-%20Government/USA%20-%20NASA/2015 06 24 - NASA - What’s New in Aerospace  Meet an Astronaut  Reid Wiseman_LaMVihIWJps - transcript (automated).pdf","Transcript Link")</f>
        <v>Transcript Link</v>
      </c>
      <c r="M2039" s="2" t="str">
        <f>HYPERLINK("https://files.afu.se/Downloads/Transcripts/0%20-%20Government/USA%20-%20NASA/2015 06 24 - NASA - What’s New in Aerospace  Meet an Astronaut  Reid Wiseman_LaMVihIWJps - transcript (automated).pdf","Transcript Link")</f>
        <v>Transcript Link</v>
      </c>
    </row>
    <row r="2040" ht="180" spans="1:13">
      <c r="A2040" s="1" t="s">
        <v>9431</v>
      </c>
      <c r="B2040" s="1" t="s">
        <v>13</v>
      </c>
      <c r="C2040" s="4" t="s">
        <v>9432</v>
      </c>
      <c r="D2040" s="1" t="s">
        <v>9433</v>
      </c>
      <c r="E2040" s="1" t="s">
        <v>9434</v>
      </c>
      <c r="F2040" s="4" t="s">
        <v>17</v>
      </c>
      <c r="G2040" s="1" t="s">
        <v>18</v>
      </c>
      <c r="H2040" s="1" t="s">
        <v>19</v>
      </c>
      <c r="I2040" s="1" t="s">
        <v>20</v>
      </c>
      <c r="J2040" s="1" t="s">
        <v>9435</v>
      </c>
      <c r="K2040" s="1" t="s">
        <v>22</v>
      </c>
      <c r="L2040" s="1" t="str">
        <f>HYPERLINK("https://files.afu.se/Downloads/Transcripts/0%20-%20Government/USA%20-%20NASA/2015 06 23 - NASA - Expedition 41 flight Engineer Astronaut Reid Wiseman Gives Presentation at NASA HQ_f8b_BhUHlNw - transcript (automated).pdf","Transcript Link")</f>
        <v>Transcript Link</v>
      </c>
      <c r="M2040" s="2" t="str">
        <f>HYPERLINK("https://files.afu.se/Downloads/Transcripts/0%20-%20Government/USA%20-%20NASA/2015 06 23 - NASA - Expedition 41 flight Engineer Astronaut Reid Wiseman Gives Presentation at NASA HQ_f8b_BhUHlNw - transcript (automated).pdf","Transcript Link")</f>
        <v>Transcript Link</v>
      </c>
    </row>
    <row r="2041" ht="165" spans="1:13">
      <c r="A2041" s="1" t="s">
        <v>9431</v>
      </c>
      <c r="B2041" s="1" t="s">
        <v>13</v>
      </c>
      <c r="C2041" s="4" t="s">
        <v>9436</v>
      </c>
      <c r="D2041" s="1" t="s">
        <v>9437</v>
      </c>
      <c r="E2041" s="1" t="s">
        <v>9438</v>
      </c>
      <c r="F2041" s="4" t="s">
        <v>17</v>
      </c>
      <c r="G2041" s="1" t="s">
        <v>18</v>
      </c>
      <c r="H2041" s="1" t="s">
        <v>19</v>
      </c>
      <c r="I2041" s="1" t="s">
        <v>20</v>
      </c>
      <c r="J2041" s="1" t="s">
        <v>9439</v>
      </c>
      <c r="K2041" s="1" t="s">
        <v>22</v>
      </c>
      <c r="L2041" s="1" t="str">
        <f>HYPERLINK("https://files.afu.se/Downloads/Transcripts/0%20-%20Government/USA%20-%20NASA/2015 06 23 - NASA - One Year Space Station Crew Member Scott Kelly Discusses Life In Space With CBS News_2NWldRsZvUw - transcript (automated).pdf","Transcript Link")</f>
        <v>Transcript Link</v>
      </c>
      <c r="M2041" s="2" t="str">
        <f>HYPERLINK("https://files.afu.se/Downloads/Transcripts/0%20-%20Government/USA%20-%20NASA/2015 06 23 - NASA - One Year Space Station Crew Member Scott Kelly Discusses Life In Space With CBS News_2NWldRsZvUw - transcript (automated).pdf","Transcript Link")</f>
        <v>Transcript Link</v>
      </c>
    </row>
    <row r="2042" ht="165" spans="1:13">
      <c r="A2042" s="1" t="s">
        <v>9431</v>
      </c>
      <c r="B2042" s="1" t="s">
        <v>13</v>
      </c>
      <c r="C2042" s="4" t="s">
        <v>9440</v>
      </c>
      <c r="D2042" s="1" t="s">
        <v>9441</v>
      </c>
      <c r="E2042" s="1" t="s">
        <v>9442</v>
      </c>
      <c r="F2042" s="4" t="s">
        <v>17</v>
      </c>
      <c r="G2042" s="1" t="s">
        <v>18</v>
      </c>
      <c r="H2042" s="1" t="s">
        <v>19</v>
      </c>
      <c r="I2042" s="1" t="s">
        <v>20</v>
      </c>
      <c r="J2042" s="1" t="s">
        <v>9443</v>
      </c>
      <c r="K2042" s="1" t="s">
        <v>22</v>
      </c>
      <c r="L2042" s="1" t="str">
        <f>HYPERLINK("https://files.afu.se/Downloads/Transcripts/0%20-%20Government/USA%20-%20NASA/2015 06 23 - NASA - NASA's New Horizons Mission Update from the Johns Hopkins University Applied Physics Lab (APL)_hGO1F6Qdwfk - transcript (automated).pdf","Transcript Link")</f>
        <v>Transcript Link</v>
      </c>
      <c r="M2042" s="2" t="str">
        <f>HYPERLINK("https://files.afu.se/Downloads/Transcripts/0%20-%20Government/USA%20-%20NASA/2015 06 23 - NASA - NASA's New Horizons Mission Update from the Johns Hopkins University Applied Physics Lab (APL)_hGO1F6Qdwfk - transcript (automated).pdf","Transcript Link")</f>
        <v>Transcript Link</v>
      </c>
    </row>
    <row r="2043" ht="210" spans="1:13">
      <c r="A2043" s="1" t="s">
        <v>9444</v>
      </c>
      <c r="B2043" s="1" t="s">
        <v>13</v>
      </c>
      <c r="C2043" s="4" t="s">
        <v>9445</v>
      </c>
      <c r="D2043" s="1" t="s">
        <v>9446</v>
      </c>
      <c r="E2043" s="1" t="s">
        <v>9447</v>
      </c>
      <c r="F2043" s="4" t="s">
        <v>17</v>
      </c>
      <c r="G2043" s="1" t="s">
        <v>18</v>
      </c>
      <c r="H2043" s="1" t="s">
        <v>19</v>
      </c>
      <c r="I2043" s="1" t="s">
        <v>20</v>
      </c>
      <c r="J2043" s="1" t="s">
        <v>9448</v>
      </c>
      <c r="K2043" s="1" t="s">
        <v>22</v>
      </c>
      <c r="L2043" s="1" t="str">
        <f>HYPERLINK("https://files.afu.se/Downloads/Transcripts/0%20-%20Government/USA%20-%20NASA/2015 06 22 - NASA - One Year ISS Crew Member Talks Space with Industry Executives_hMZw19F0lek - transcript (automated).pdf","Transcript Link")</f>
        <v>Transcript Link</v>
      </c>
      <c r="M2043" s="2" t="str">
        <f>HYPERLINK("https://files.afu.se/Downloads/Transcripts/0%20-%20Government/USA%20-%20NASA/2015 06 22 - NASA - One Year ISS Crew Member Talks Space with Industry Executives_hMZw19F0lek - transcript (automated).pdf","Transcript Link")</f>
        <v>Transcript Link</v>
      </c>
    </row>
    <row r="2044" ht="180" spans="1:13">
      <c r="A2044" s="1" t="s">
        <v>9449</v>
      </c>
      <c r="B2044" s="1" t="s">
        <v>13</v>
      </c>
      <c r="C2044" s="4" t="s">
        <v>9450</v>
      </c>
      <c r="D2044" s="1" t="s">
        <v>9451</v>
      </c>
      <c r="E2044" s="1" t="s">
        <v>9452</v>
      </c>
      <c r="F2044" s="4" t="s">
        <v>17</v>
      </c>
      <c r="G2044" s="1" t="s">
        <v>18</v>
      </c>
      <c r="H2044" s="1" t="s">
        <v>19</v>
      </c>
      <c r="I2044" s="1" t="s">
        <v>20</v>
      </c>
      <c r="J2044" s="1" t="s">
        <v>9453</v>
      </c>
      <c r="K2044" s="1" t="s">
        <v>22</v>
      </c>
      <c r="L2044" s="1" t="str">
        <f>HYPERLINK("https://files.afu.se/Downloads/Transcripts/0%20-%20Government/USA%20-%20NASA/2015 06 19 - NASA - Mission to Europa Gets Green Light on This Week @NASA – June 19, 2015_wVtO-8XKhVE - transcript (automated).pdf","Transcript Link")</f>
        <v>Transcript Link</v>
      </c>
      <c r="M2044" s="2" t="str">
        <f>HYPERLINK("https://files.afu.se/Downloads/Transcripts/0%20-%20Government/USA%20-%20NASA/2015 06 19 - NASA - Mission to Europa Gets Green Light on This Week @NASA – June 19, 2015_wVtO-8XKhVE - transcript (automated).pdf","Transcript Link")</f>
        <v>Transcript Link</v>
      </c>
    </row>
    <row r="2045" ht="165" spans="1:13">
      <c r="A2045" s="1" t="s">
        <v>9454</v>
      </c>
      <c r="B2045" s="1" t="s">
        <v>13</v>
      </c>
      <c r="C2045" s="4" t="s">
        <v>9455</v>
      </c>
      <c r="D2045" s="1" t="s">
        <v>9456</v>
      </c>
      <c r="E2045" s="1" t="s">
        <v>9457</v>
      </c>
      <c r="F2045" s="4" t="s">
        <v>17</v>
      </c>
      <c r="G2045" s="1" t="s">
        <v>18</v>
      </c>
      <c r="H2045" s="1" t="s">
        <v>19</v>
      </c>
      <c r="I2045" s="1" t="s">
        <v>20</v>
      </c>
      <c r="J2045" s="1" t="s">
        <v>9458</v>
      </c>
      <c r="K2045" s="1" t="s">
        <v>22</v>
      </c>
      <c r="L2045" s="1" t="str">
        <f>HYPERLINK("https://files.afu.se/Downloads/Transcripts/0%20-%20Government/USA%20-%20NASA/2015 06 16 - NASA - Ian Ziering talks Pluto_d4hPWdRIgHQ - transcript (automated).pdf","Transcript Link")</f>
        <v>Transcript Link</v>
      </c>
      <c r="M2045" s="2" t="str">
        <f>HYPERLINK("https://files.afu.se/Downloads/Transcripts/0%20-%20Government/USA%20-%20NASA/2015 06 16 - NASA - Ian Ziering talks Pluto_d4hPWdRIgHQ - transcript (automated).pdf","Transcript Link")</f>
        <v>Transcript Link</v>
      </c>
    </row>
    <row r="2046" ht="240" spans="1:13">
      <c r="A2046" s="1" t="s">
        <v>9454</v>
      </c>
      <c r="B2046" s="1" t="s">
        <v>13</v>
      </c>
      <c r="C2046" s="4" t="s">
        <v>9459</v>
      </c>
      <c r="D2046" s="1" t="s">
        <v>9460</v>
      </c>
      <c r="E2046" s="1" t="s">
        <v>9461</v>
      </c>
      <c r="F2046" s="4" t="s">
        <v>17</v>
      </c>
      <c r="G2046" s="1" t="s">
        <v>18</v>
      </c>
      <c r="H2046" s="1" t="s">
        <v>19</v>
      </c>
      <c r="I2046" s="1" t="s">
        <v>20</v>
      </c>
      <c r="J2046" s="1" t="s">
        <v>9462</v>
      </c>
      <c r="K2046" s="1" t="s">
        <v>22</v>
      </c>
      <c r="L2046" s="1" t="str">
        <f>HYPERLINK("https://files.afu.se/Downloads/Transcripts/0%20-%20Government/USA%20-%20NASA/2015 06 16 - NASA - Ed White -- Ambassador of Exploration Ceremony_yXuUJgkKd_Y - transcript (automated).pdf","Transcript Link")</f>
        <v>Transcript Link</v>
      </c>
      <c r="M2046" s="2" t="str">
        <f>HYPERLINK("https://files.afu.se/Downloads/Transcripts/0%20-%20Government/USA%20-%20NASA/2015 06 16 - NASA - Ed White -- Ambassador of Exploration Ceremony_yXuUJgkKd_Y - transcript (automated).pdf","Transcript Link")</f>
        <v>Transcript Link</v>
      </c>
    </row>
    <row r="2047" ht="165" spans="1:13">
      <c r="A2047" s="1" t="s">
        <v>9454</v>
      </c>
      <c r="B2047" s="1" t="s">
        <v>13</v>
      </c>
      <c r="C2047" s="4" t="s">
        <v>9463</v>
      </c>
      <c r="D2047" s="1" t="s">
        <v>9464</v>
      </c>
      <c r="E2047" s="1" t="s">
        <v>9465</v>
      </c>
      <c r="F2047" s="4" t="s">
        <v>17</v>
      </c>
      <c r="G2047" s="1" t="s">
        <v>18</v>
      </c>
      <c r="H2047" s="1" t="s">
        <v>19</v>
      </c>
      <c r="I2047" s="1" t="s">
        <v>20</v>
      </c>
      <c r="J2047" s="1" t="s">
        <v>9466</v>
      </c>
      <c r="K2047" s="1" t="s">
        <v>22</v>
      </c>
      <c r="L2047" s="1" t="str">
        <f>HYPERLINK("https://files.afu.se/Downloads/Transcripts/0%20-%20Government/USA%20-%20NASA/2015 06 16 - NASA - The Search for Life in the Solar System and Beyond_ecq8QwKqLuY - transcript (automated).pdf","Transcript Link")</f>
        <v>Transcript Link</v>
      </c>
      <c r="M2047" s="2" t="str">
        <f>HYPERLINK("https://files.afu.se/Downloads/Transcripts/0%20-%20Government/USA%20-%20NASA/2015 06 16 - NASA - The Search for Life in the Solar System and Beyond_ecq8QwKqLuY - transcript (automated).pdf","Transcript Link")</f>
        <v>Transcript Link</v>
      </c>
    </row>
    <row r="2048" ht="165" spans="1:13">
      <c r="A2048" s="1" t="s">
        <v>9454</v>
      </c>
      <c r="B2048" s="1" t="s">
        <v>13</v>
      </c>
      <c r="C2048" s="4" t="s">
        <v>9467</v>
      </c>
      <c r="D2048" s="1" t="s">
        <v>9468</v>
      </c>
      <c r="E2048" s="1" t="s">
        <v>9469</v>
      </c>
      <c r="F2048" s="4" t="s">
        <v>17</v>
      </c>
      <c r="G2048" s="1" t="s">
        <v>18</v>
      </c>
      <c r="H2048" s="1" t="s">
        <v>19</v>
      </c>
      <c r="I2048" s="1" t="s">
        <v>20</v>
      </c>
      <c r="J2048" s="1" t="s">
        <v>9470</v>
      </c>
      <c r="K2048" s="1" t="s">
        <v>22</v>
      </c>
      <c r="L2048" s="1" t="str">
        <f>HYPERLINK("https://files.afu.se/Downloads/Transcripts/0%20-%20Government/USA%20-%20NASA/2015 06 16 - NASA - Mission Updates  Countdown to Pluto - June 16, 2015_Bb1a0dbcni8 - transcript (automated).pdf","Transcript Link")</f>
        <v>Transcript Link</v>
      </c>
      <c r="M2048" s="2" t="str">
        <f>HYPERLINK("https://files.afu.se/Downloads/Transcripts/0%20-%20Government/USA%20-%20NASA/2015 06 16 - NASA - Mission Updates  Countdown to Pluto - June 16, 2015_Bb1a0dbcni8 - transcript (automated).pdf","Transcript Link")</f>
        <v>Transcript Link</v>
      </c>
    </row>
    <row r="2049" ht="180" spans="1:13">
      <c r="A2049" s="1" t="s">
        <v>9471</v>
      </c>
      <c r="B2049" s="1" t="s">
        <v>13</v>
      </c>
      <c r="C2049" s="4" t="s">
        <v>9472</v>
      </c>
      <c r="D2049" s="1" t="s">
        <v>9473</v>
      </c>
      <c r="E2049" s="1" t="s">
        <v>9474</v>
      </c>
      <c r="F2049" s="4" t="s">
        <v>17</v>
      </c>
      <c r="G2049" s="1" t="s">
        <v>18</v>
      </c>
      <c r="H2049" s="1" t="s">
        <v>19</v>
      </c>
      <c r="I2049" s="1" t="s">
        <v>20</v>
      </c>
      <c r="J2049" s="1" t="s">
        <v>9475</v>
      </c>
      <c r="K2049" s="1" t="s">
        <v>22</v>
      </c>
      <c r="L2049" s="1" t="str">
        <f>HYPERLINK("https://files.afu.se/Downloads/Transcripts/0%20-%20Government/USA%20-%20NASA/2015 06 12 - NASA - Tour over -- Expedition 43 returns home on This Week @NASA – June 12, 2015_xv4ON7nvFO8 - transcript (automated).pdf","Transcript Link")</f>
        <v>Transcript Link</v>
      </c>
      <c r="M2049" s="2" t="str">
        <f>HYPERLINK("https://files.afu.se/Downloads/Transcripts/0%20-%20Government/USA%20-%20NASA/2015 06 12 - NASA - Tour over -- Expedition 43 returns home on This Week @NASA – June 12, 2015_xv4ON7nvFO8 - transcript (automated).pdf","Transcript Link")</f>
        <v>Transcript Link</v>
      </c>
    </row>
    <row r="2050" ht="225" spans="1:13">
      <c r="A2050" s="1" t="s">
        <v>9471</v>
      </c>
      <c r="B2050" s="1" t="s">
        <v>13</v>
      </c>
      <c r="C2050" s="4" t="s">
        <v>9476</v>
      </c>
      <c r="D2050" s="1" t="s">
        <v>9477</v>
      </c>
      <c r="E2050" s="1" t="s">
        <v>9478</v>
      </c>
      <c r="F2050" s="4" t="s">
        <v>17</v>
      </c>
      <c r="G2050" s="1" t="s">
        <v>18</v>
      </c>
      <c r="H2050" s="1" t="s">
        <v>19</v>
      </c>
      <c r="I2050" s="1" t="s">
        <v>20</v>
      </c>
      <c r="J2050" s="1" t="s">
        <v>9479</v>
      </c>
      <c r="K2050" s="1" t="s">
        <v>22</v>
      </c>
      <c r="L2050" s="1" t="str">
        <f>HYPERLINK("https://files.afu.se/Downloads/Transcripts/0%20-%20Government/USA%20-%20NASA/2015 06 12 - NASA - International Space Station Expedition 43 Crew Receives Warm Welcome in Kazakhstan and Russia_PtyDxLMvozs - transcript (automated).pdf","Transcript Link")</f>
        <v>Transcript Link</v>
      </c>
      <c r="M2050" s="2" t="str">
        <f>HYPERLINK("https://files.afu.se/Downloads/Transcripts/0%20-%20Government/USA%20-%20NASA/2015 06 12 - NASA - International Space Station Expedition 43 Crew Receives Warm Welcome in Kazakhstan and Russia_PtyDxLMvozs - transcript (automated).pdf","Transcript Link")</f>
        <v>Transcript Link</v>
      </c>
    </row>
    <row r="2051" ht="240" spans="1:13">
      <c r="A2051" s="1" t="s">
        <v>9471</v>
      </c>
      <c r="B2051" s="1" t="s">
        <v>13</v>
      </c>
      <c r="C2051" s="4" t="s">
        <v>9480</v>
      </c>
      <c r="D2051" s="1" t="s">
        <v>9481</v>
      </c>
      <c r="E2051" s="1" t="s">
        <v>9482</v>
      </c>
      <c r="F2051" s="4" t="s">
        <v>17</v>
      </c>
      <c r="G2051" s="1" t="s">
        <v>18</v>
      </c>
      <c r="H2051" s="1" t="s">
        <v>19</v>
      </c>
      <c r="I2051" s="1" t="s">
        <v>20</v>
      </c>
      <c r="J2051" s="1" t="s">
        <v>9483</v>
      </c>
      <c r="K2051" s="1" t="s">
        <v>22</v>
      </c>
      <c r="L2051" s="1" t="str">
        <f>HYPERLINK("https://files.afu.se/Downloads/Transcripts/0%20-%20Government/USA%20-%20NASA/2015 06 12 - NASA - The Year of Pluto - New Horizons Documentary Brings Humanity Closer to the Edge of the Solar System_EJxwWpaGoJs - transcript (automated).pdf","Transcript Link")</f>
        <v>Transcript Link</v>
      </c>
      <c r="M2051" s="2" t="str">
        <f>HYPERLINK("https://files.afu.se/Downloads/Transcripts/0%20-%20Government/USA%20-%20NASA/2015 06 12 - NASA - The Year of Pluto - New Horizons Documentary Brings Humanity Closer to the Edge of the Solar System_EJxwWpaGoJs - transcript (automated).pdf","Transcript Link")</f>
        <v>Transcript Link</v>
      </c>
    </row>
    <row r="2052" ht="240" spans="1:13">
      <c r="A2052" s="1" t="s">
        <v>9484</v>
      </c>
      <c r="B2052" s="1" t="s">
        <v>13</v>
      </c>
      <c r="C2052" s="4" t="s">
        <v>9485</v>
      </c>
      <c r="D2052" s="1" t="s">
        <v>9486</v>
      </c>
      <c r="E2052" s="1" t="s">
        <v>9487</v>
      </c>
      <c r="F2052" s="4" t="s">
        <v>17</v>
      </c>
      <c r="G2052" s="1" t="s">
        <v>18</v>
      </c>
      <c r="H2052" s="1" t="s">
        <v>19</v>
      </c>
      <c r="I2052" s="1" t="s">
        <v>20</v>
      </c>
      <c r="J2052" s="1" t="s">
        <v>9488</v>
      </c>
      <c r="K2052" s="1" t="s">
        <v>22</v>
      </c>
      <c r="L2052" s="1" t="str">
        <f>HYPERLINK("https://files.afu.se/Downloads/Transcripts/0%20-%20Government/USA%20-%20NASA/2015 06 11 - NASA - New Horizons Will Shed More Light on Pluto Than Ever Before_XyMzPnoUmBk - transcript (automated).pdf","Transcript Link")</f>
        <v>Transcript Link</v>
      </c>
      <c r="M2052" s="2" t="str">
        <f>HYPERLINK("https://files.afu.se/Downloads/Transcripts/0%20-%20Government/USA%20-%20NASA/2015 06 11 - NASA - New Horizons Will Shed More Light on Pluto Than Ever Before_XyMzPnoUmBk - transcript (automated).pdf","Transcript Link")</f>
        <v>Transcript Link</v>
      </c>
    </row>
    <row r="2053" ht="165" spans="1:13">
      <c r="A2053" s="1" t="s">
        <v>9484</v>
      </c>
      <c r="B2053" s="1" t="s">
        <v>13</v>
      </c>
      <c r="C2053" s="4" t="s">
        <v>9489</v>
      </c>
      <c r="D2053" s="1" t="s">
        <v>9490</v>
      </c>
      <c r="E2053" s="1" t="s">
        <v>9491</v>
      </c>
      <c r="F2053" s="4" t="s">
        <v>17</v>
      </c>
      <c r="G2053" s="1" t="s">
        <v>18</v>
      </c>
      <c r="H2053" s="1" t="s">
        <v>19</v>
      </c>
      <c r="I2053" s="1" t="s">
        <v>20</v>
      </c>
      <c r="J2053" s="1" t="s">
        <v>9492</v>
      </c>
      <c r="K2053" s="1" t="s">
        <v>22</v>
      </c>
      <c r="L2053" s="1" t="str">
        <f>HYPERLINK("https://files.afu.se/Downloads/Transcripts/0%20-%20Government/USA%20-%20NASA/2015 06 11 - NASA - The Year of Pluto Promo_DFmi3itKRT0 - transcript (automated).pdf","Transcript Link")</f>
        <v>Transcript Link</v>
      </c>
      <c r="M2053" s="2" t="str">
        <f>HYPERLINK("https://files.afu.se/Downloads/Transcripts/0%20-%20Government/USA%20-%20NASA/2015 06 11 - NASA - The Year of Pluto Promo_DFmi3itKRT0 - transcript (automated).pdf","Transcript Link")</f>
        <v>Transcript Link</v>
      </c>
    </row>
    <row r="2054" ht="195" spans="1:13">
      <c r="A2054" s="1" t="s">
        <v>9484</v>
      </c>
      <c r="B2054" s="1" t="s">
        <v>13</v>
      </c>
      <c r="C2054" s="4" t="s">
        <v>9493</v>
      </c>
      <c r="D2054" s="1" t="s">
        <v>9494</v>
      </c>
      <c r="E2054" s="1" t="s">
        <v>9495</v>
      </c>
      <c r="F2054" s="4" t="s">
        <v>17</v>
      </c>
      <c r="G2054" s="1" t="s">
        <v>18</v>
      </c>
      <c r="H2054" s="1" t="s">
        <v>19</v>
      </c>
      <c r="I2054" s="1" t="s">
        <v>20</v>
      </c>
      <c r="J2054" s="1" t="s">
        <v>9496</v>
      </c>
      <c r="K2054" s="1" t="s">
        <v>22</v>
      </c>
      <c r="L2054" s="1" t="str">
        <f>HYPERLINK("https://files.afu.se/Downloads/Transcripts/0%20-%20Government/USA%20-%20NASA/2015 06 11 - NASA - International Space Station Expedition 43 Crew Lands Safely in Kazakhstan_cAb4BHFYotY - transcript (automated).pdf","Transcript Link")</f>
        <v>Transcript Link</v>
      </c>
      <c r="M2054" s="2" t="str">
        <f>HYPERLINK("https://files.afu.se/Downloads/Transcripts/0%20-%20Government/USA%20-%20NASA/2015 06 11 - NASA - International Space Station Expedition 43 Crew Lands Safely in Kazakhstan_cAb4BHFYotY - transcript (automated).pdf","Transcript Link")</f>
        <v>Transcript Link</v>
      </c>
    </row>
    <row r="2055" ht="165" spans="1:13">
      <c r="A2055" s="1" t="s">
        <v>9484</v>
      </c>
      <c r="B2055" s="1" t="s">
        <v>13</v>
      </c>
      <c r="C2055" s="4" t="s">
        <v>9497</v>
      </c>
      <c r="D2055" s="1" t="s">
        <v>9498</v>
      </c>
      <c r="E2055" s="1" t="s">
        <v>9499</v>
      </c>
      <c r="F2055" s="4" t="s">
        <v>17</v>
      </c>
      <c r="G2055" s="1" t="s">
        <v>18</v>
      </c>
      <c r="H2055" s="1" t="s">
        <v>19</v>
      </c>
      <c r="I2055" s="1" t="s">
        <v>20</v>
      </c>
      <c r="J2055" s="1" t="s">
        <v>9500</v>
      </c>
      <c r="K2055" s="1" t="s">
        <v>22</v>
      </c>
      <c r="L2055" s="1" t="str">
        <f>HYPERLINK("https://files.afu.se/Downloads/Transcripts/0%20-%20Government/USA%20-%20NASA/2015 06 11 - NASA - ISS Expedition 43 Farewell, Hatch Closure and Undocking from the International Space Station_QA8-RLLO9EI - transcript (automated).pdf","Transcript Link")</f>
        <v>Transcript Link</v>
      </c>
      <c r="M2055" s="2" t="str">
        <f>HYPERLINK("https://files.afu.se/Downloads/Transcripts/0%20-%20Government/USA%20-%20NASA/2015 06 11 - NASA - ISS Expedition 43 Farewell, Hatch Closure and Undocking from the International Space Station_QA8-RLLO9EI - transcript (automated).pdf","Transcript Link")</f>
        <v>Transcript Link</v>
      </c>
    </row>
    <row r="2056" ht="165" spans="1:13">
      <c r="A2056" s="1" t="s">
        <v>9501</v>
      </c>
      <c r="B2056" s="1" t="s">
        <v>13</v>
      </c>
      <c r="C2056" s="4" t="s">
        <v>9502</v>
      </c>
      <c r="D2056" s="1" t="s">
        <v>9503</v>
      </c>
      <c r="E2056" s="1" t="s">
        <v>9504</v>
      </c>
      <c r="F2056" s="4" t="s">
        <v>17</v>
      </c>
      <c r="G2056" s="1" t="s">
        <v>18</v>
      </c>
      <c r="H2056" s="1" t="s">
        <v>19</v>
      </c>
      <c r="I2056" s="1" t="s">
        <v>20</v>
      </c>
      <c r="J2056" s="1" t="s">
        <v>9505</v>
      </c>
      <c r="K2056" s="1" t="s">
        <v>22</v>
      </c>
      <c r="L2056" s="1" t="str">
        <f>HYPERLINK("https://files.afu.se/Downloads/Transcripts/0%20-%20Government/USA%20-%20NASA/2015 06 10 - NASA - Year-Long Space Station Crew Member Discusses The Progress Of His Mission With The Media_yrRE7rKEc_4 - transcript (automated).pdf","Transcript Link")</f>
        <v>Transcript Link</v>
      </c>
      <c r="M2056" s="2" t="str">
        <f>HYPERLINK("https://files.afu.se/Downloads/Transcripts/0%20-%20Government/USA%20-%20NASA/2015 06 10 - NASA - Year-Long Space Station Crew Member Discusses The Progress Of His Mission With The Media_yrRE7rKEc_4 - transcript (automated).pdf","Transcript Link")</f>
        <v>Transcript Link</v>
      </c>
    </row>
    <row r="2057" ht="165" spans="1:13">
      <c r="A2057" s="1" t="s">
        <v>9501</v>
      </c>
      <c r="B2057" s="1" t="s">
        <v>13</v>
      </c>
      <c r="C2057" s="4" t="s">
        <v>9506</v>
      </c>
      <c r="D2057" s="1" t="s">
        <v>9507</v>
      </c>
      <c r="E2057" s="1" t="s">
        <v>9508</v>
      </c>
      <c r="F2057" s="4" t="s">
        <v>17</v>
      </c>
      <c r="G2057" s="1" t="s">
        <v>18</v>
      </c>
      <c r="H2057" s="1" t="s">
        <v>19</v>
      </c>
      <c r="I2057" s="1" t="s">
        <v>20</v>
      </c>
      <c r="J2057" s="1" t="s">
        <v>9509</v>
      </c>
      <c r="K2057" s="1" t="s">
        <v>22</v>
      </c>
      <c r="L2057" s="1" t="str">
        <f>HYPERLINK("https://files.afu.se/Downloads/Transcripts/0%20-%20Government/USA%20-%20NASA/2015 06 10 - NASA - Expedition 43 Hands Over the Space Station to Expedition 44_zdXjwiopT9Y - transcript (automated).pdf","Transcript Link")</f>
        <v>Transcript Link</v>
      </c>
      <c r="M2057" s="2" t="str">
        <f>HYPERLINK("https://files.afu.se/Downloads/Transcripts/0%20-%20Government/USA%20-%20NASA/2015 06 10 - NASA - Expedition 43 Hands Over the Space Station to Expedition 44_zdXjwiopT9Y - transcript (automated).pdf","Transcript Link")</f>
        <v>Transcript Link</v>
      </c>
    </row>
    <row r="2058" ht="165" spans="1:13">
      <c r="A2058" s="1" t="s">
        <v>9510</v>
      </c>
      <c r="B2058" s="1" t="s">
        <v>13</v>
      </c>
      <c r="C2058" s="4" t="s">
        <v>9511</v>
      </c>
      <c r="D2058" s="1" t="s">
        <v>9512</v>
      </c>
      <c r="E2058" s="1" t="s">
        <v>9513</v>
      </c>
      <c r="F2058" s="4" t="s">
        <v>17</v>
      </c>
      <c r="G2058" s="1" t="s">
        <v>18</v>
      </c>
      <c r="H2058" s="1" t="s">
        <v>19</v>
      </c>
      <c r="I2058" s="1" t="s">
        <v>20</v>
      </c>
      <c r="J2058" s="1" t="s">
        <v>9514</v>
      </c>
      <c r="K2058" s="1" t="s">
        <v>22</v>
      </c>
      <c r="L2058" s="1" t="str">
        <f>HYPERLINK("https://files.afu.se/Downloads/Transcripts/0%20-%20Government/USA%20-%20NASA/2015 06 09 - NASA - Mission Updates  Countdown to Pluto - June 9, 2015_zpHhxAg8pog - transcript (automated).pdf","Transcript Link")</f>
        <v>Transcript Link</v>
      </c>
      <c r="M2058" s="2" t="str">
        <f>HYPERLINK("https://files.afu.se/Downloads/Transcripts/0%20-%20Government/USA%20-%20NASA/2015 06 09 - NASA - Mission Updates  Countdown to Pluto - June 9, 2015_zpHhxAg8pog - transcript (automated).pdf","Transcript Link")</f>
        <v>Transcript Link</v>
      </c>
    </row>
    <row r="2059" ht="165" spans="1:13">
      <c r="A2059" s="1" t="s">
        <v>9510</v>
      </c>
      <c r="B2059" s="1" t="s">
        <v>13</v>
      </c>
      <c r="C2059" s="4" t="s">
        <v>9515</v>
      </c>
      <c r="D2059" s="1" t="s">
        <v>9516</v>
      </c>
      <c r="F2059" s="4" t="s">
        <v>17</v>
      </c>
      <c r="G2059" s="1" t="s">
        <v>18</v>
      </c>
      <c r="H2059" s="1" t="s">
        <v>19</v>
      </c>
      <c r="I2059" s="1" t="s">
        <v>20</v>
      </c>
      <c r="J2059" s="1" t="s">
        <v>9517</v>
      </c>
      <c r="K2059" s="1" t="s">
        <v>22</v>
      </c>
      <c r="L2059" s="1" t="str">
        <f>HYPERLINK("https://files.afu.se/Downloads/Transcripts/0%20-%20Government/USA%20-%20NASA/2015 06 09 - NASA - What's New in Aerospace   Tools of the EVA Trade used by NASA Astronauts during Space Walks_5P_SYRk30k0 - transcript (automated).pdf","Transcript Link")</f>
        <v>Transcript Link</v>
      </c>
      <c r="M2059" s="2" t="str">
        <f>HYPERLINK("https://files.afu.se/Downloads/Transcripts/0%20-%20Government/USA%20-%20NASA/2015 06 09 - NASA - What's New in Aerospace   Tools of the EVA Trade used by NASA Astronauts during Space Walks_5P_SYRk30k0 - transcript (automated).pdf","Transcript Link")</f>
        <v>Transcript Link</v>
      </c>
    </row>
    <row r="2060" ht="210" spans="1:13">
      <c r="A2060" s="1" t="s">
        <v>9518</v>
      </c>
      <c r="B2060" s="1" t="s">
        <v>13</v>
      </c>
      <c r="C2060" s="4" t="s">
        <v>9519</v>
      </c>
      <c r="D2060" s="1" t="s">
        <v>9520</v>
      </c>
      <c r="E2060" s="1" t="s">
        <v>9521</v>
      </c>
      <c r="F2060" s="4" t="s">
        <v>17</v>
      </c>
      <c r="G2060" s="1" t="s">
        <v>18</v>
      </c>
      <c r="H2060" s="1" t="s">
        <v>19</v>
      </c>
      <c r="I2060" s="1" t="s">
        <v>20</v>
      </c>
      <c r="J2060" s="1" t="s">
        <v>9522</v>
      </c>
      <c r="K2060" s="1" t="s">
        <v>22</v>
      </c>
      <c r="L2060" s="1" t="str">
        <f>HYPERLINK("https://files.afu.se/Downloads/Transcripts/0%20-%20Government/USA%20-%20NASA/2015 06 08 - NASA - NASA's Flying Saucer Makes Second Voyage to the Edge of Space_7ksgMkDeLoM - transcript (automated).pdf","Transcript Link")</f>
        <v>Transcript Link</v>
      </c>
      <c r="M2060" s="2" t="str">
        <f>HYPERLINK("https://files.afu.se/Downloads/Transcripts/0%20-%20Government/USA%20-%20NASA/2015 06 08 - NASA - NASA's Flying Saucer Makes Second Voyage to the Edge of Space_7ksgMkDeLoM - transcript (automated).pdf","Transcript Link")</f>
        <v>Transcript Link</v>
      </c>
    </row>
    <row r="2061" ht="225" spans="1:13">
      <c r="A2061" s="1" t="s">
        <v>9523</v>
      </c>
      <c r="B2061" s="1" t="s">
        <v>13</v>
      </c>
      <c r="C2061" s="4" t="s">
        <v>9524</v>
      </c>
      <c r="D2061" s="1" t="s">
        <v>9525</v>
      </c>
      <c r="E2061" s="1" t="s">
        <v>9526</v>
      </c>
      <c r="F2061" s="4" t="s">
        <v>17</v>
      </c>
      <c r="G2061" s="1" t="s">
        <v>18</v>
      </c>
      <c r="H2061" s="1" t="s">
        <v>19</v>
      </c>
      <c r="I2061" s="1" t="s">
        <v>20</v>
      </c>
      <c r="J2061" s="1" t="s">
        <v>9527</v>
      </c>
      <c r="K2061" s="1" t="s">
        <v>22</v>
      </c>
      <c r="L2061" s="1" t="str">
        <f>HYPERLINK("https://files.afu.se/Downloads/Transcripts/0%20-%20Government/USA%20-%20NASA/2015 06 06 - NASA - NASA Social Media Conducts Web Chat on New Horizons Pluto Mission at the Applied Physics Laboratory_tlNjniFCXMg - transcript (automated).pdf","Transcript Link")</f>
        <v>Transcript Link</v>
      </c>
      <c r="M2061" s="2" t="str">
        <f>HYPERLINK("https://files.afu.se/Downloads/Transcripts/0%20-%20Government/USA%20-%20NASA/2015 06 06 - NASA - NASA Social Media Conducts Web Chat on New Horizons Pluto Mission at the Applied Physics Laboratory_tlNjniFCXMg - transcript (automated).pdf","Transcript Link")</f>
        <v>Transcript Link</v>
      </c>
    </row>
    <row r="2062" ht="225" spans="1:13">
      <c r="A2062" s="1" t="s">
        <v>9528</v>
      </c>
      <c r="B2062" s="1" t="s">
        <v>13</v>
      </c>
      <c r="C2062" s="4" t="s">
        <v>9529</v>
      </c>
      <c r="D2062" s="1" t="s">
        <v>9530</v>
      </c>
      <c r="E2062" s="1" t="s">
        <v>9531</v>
      </c>
      <c r="F2062" s="4" t="s">
        <v>17</v>
      </c>
      <c r="G2062" s="1" t="s">
        <v>18</v>
      </c>
      <c r="H2062" s="1" t="s">
        <v>19</v>
      </c>
      <c r="I2062" s="1" t="s">
        <v>20</v>
      </c>
      <c r="J2062" s="1" t="s">
        <v>9532</v>
      </c>
      <c r="K2062" s="1" t="s">
        <v>22</v>
      </c>
      <c r="L2062" s="1" t="str">
        <f>HYPERLINK("https://files.afu.se/Downloads/Transcripts/0%20-%20Government/USA%20-%20NASA/2015 06 05 - NASA - 50 Years of Spacewalks on This Week @NASA – June 5, 2015_RMbSPnC-RIM - transcript (automated).pdf","Transcript Link")</f>
        <v>Transcript Link</v>
      </c>
      <c r="M2062" s="2" t="str">
        <f>HYPERLINK("https://files.afu.se/Downloads/Transcripts/0%20-%20Government/USA%20-%20NASA/2015 06 05 - NASA - 50 Years of Spacewalks on This Week @NASA – June 5, 2015_RMbSPnC-RIM - transcript (automated).pdf","Transcript Link")</f>
        <v>Transcript Link</v>
      </c>
    </row>
    <row r="2063" ht="165" spans="1:13">
      <c r="A2063" s="1" t="s">
        <v>9528</v>
      </c>
      <c r="B2063" s="1" t="s">
        <v>13</v>
      </c>
      <c r="C2063" s="4" t="s">
        <v>9533</v>
      </c>
      <c r="D2063" s="1" t="s">
        <v>9534</v>
      </c>
      <c r="E2063" s="1" t="s">
        <v>9535</v>
      </c>
      <c r="F2063" s="4" t="s">
        <v>17</v>
      </c>
      <c r="G2063" s="1" t="s">
        <v>18</v>
      </c>
      <c r="H2063" s="1" t="s">
        <v>19</v>
      </c>
      <c r="I2063" s="1" t="s">
        <v>20</v>
      </c>
      <c r="J2063" s="1" t="s">
        <v>9536</v>
      </c>
      <c r="K2063" s="1" t="s">
        <v>22</v>
      </c>
      <c r="L2063" s="1" t="str">
        <f>HYPERLINK("https://files.afu.se/Downloads/Transcripts/0%20-%20Government/USA%20-%20NASA/2015 06 05 - NASA - NASA, Partners Ring Closing Bell at New York Stock Exchange_WbuProXpilE - transcript (automated).pdf","Transcript Link")</f>
        <v>Transcript Link</v>
      </c>
      <c r="M2063" s="2" t="str">
        <f>HYPERLINK("https://files.afu.se/Downloads/Transcripts/0%20-%20Government/USA%20-%20NASA/2015 06 05 - NASA - NASA, Partners Ring Closing Bell at New York Stock Exchange_WbuProXpilE - transcript (automated).pdf","Transcript Link")</f>
        <v>Transcript Link</v>
      </c>
    </row>
    <row r="2064" ht="165" spans="1:13">
      <c r="A2064" s="1" t="s">
        <v>9537</v>
      </c>
      <c r="B2064" s="1" t="s">
        <v>13</v>
      </c>
      <c r="C2064" s="4" t="s">
        <v>9538</v>
      </c>
      <c r="D2064" s="1" t="s">
        <v>9539</v>
      </c>
      <c r="E2064" s="1" t="s">
        <v>9540</v>
      </c>
      <c r="F2064" s="4" t="s">
        <v>17</v>
      </c>
      <c r="G2064" s="1" t="s">
        <v>18</v>
      </c>
      <c r="H2064" s="1" t="s">
        <v>19</v>
      </c>
      <c r="I2064" s="1" t="s">
        <v>20</v>
      </c>
      <c r="J2064" s="1" t="s">
        <v>9541</v>
      </c>
      <c r="K2064" s="1" t="s">
        <v>22</v>
      </c>
      <c r="L2064" s="1" t="str">
        <f>HYPERLINK("https://files.afu.se/Downloads/Transcripts/0%20-%20Government/USA%20-%20NASA/2015 06 04 - NASA - One Year Space Station Crew Members Discuss Life in Space_pKwLR93tf4k - transcript (automated).pdf","Transcript Link")</f>
        <v>Transcript Link</v>
      </c>
      <c r="M2064" s="2" t="str">
        <f>HYPERLINK("https://files.afu.se/Downloads/Transcripts/0%20-%20Government/USA%20-%20NASA/2015 06 04 - NASA - One Year Space Station Crew Members Discuss Life in Space_pKwLR93tf4k - transcript (automated).pdf","Transcript Link")</f>
        <v>Transcript Link</v>
      </c>
    </row>
    <row r="2065" ht="165" spans="1:13">
      <c r="A2065" s="1" t="s">
        <v>9542</v>
      </c>
      <c r="B2065" s="1" t="s">
        <v>13</v>
      </c>
      <c r="C2065" s="4" t="s">
        <v>9543</v>
      </c>
      <c r="D2065" s="1" t="s">
        <v>9544</v>
      </c>
      <c r="E2065" s="1" t="s">
        <v>9545</v>
      </c>
      <c r="F2065" s="4" t="s">
        <v>17</v>
      </c>
      <c r="G2065" s="1" t="s">
        <v>18</v>
      </c>
      <c r="H2065" s="1" t="s">
        <v>19</v>
      </c>
      <c r="I2065" s="1" t="s">
        <v>20</v>
      </c>
      <c r="J2065" s="1" t="s">
        <v>9546</v>
      </c>
      <c r="K2065" s="1" t="s">
        <v>22</v>
      </c>
      <c r="L2065" s="1" t="str">
        <f>HYPERLINK("https://files.afu.se/Downloads/Transcripts/0%20-%20Government/USA%20-%20NASA/2015 06 03 - NASA - Ed White Ambassador of Exploration_pMMwLi6UGrs - transcript (automated).pdf","Transcript Link")</f>
        <v>Transcript Link</v>
      </c>
      <c r="M2065" s="2" t="str">
        <f>HYPERLINK("https://files.afu.se/Downloads/Transcripts/0%20-%20Government/USA%20-%20NASA/2015 06 03 - NASA - Ed White Ambassador of Exploration_pMMwLi6UGrs - transcript (automated).pdf","Transcript Link")</f>
        <v>Transcript Link</v>
      </c>
    </row>
    <row r="2066" ht="165" spans="1:13">
      <c r="A2066" s="1" t="s">
        <v>9542</v>
      </c>
      <c r="B2066" s="1" t="s">
        <v>13</v>
      </c>
      <c r="C2066" s="4" t="s">
        <v>9547</v>
      </c>
      <c r="D2066" s="1" t="s">
        <v>9548</v>
      </c>
      <c r="E2066" s="1" t="s">
        <v>9549</v>
      </c>
      <c r="F2066" s="4" t="s">
        <v>17</v>
      </c>
      <c r="G2066" s="1" t="s">
        <v>18</v>
      </c>
      <c r="H2066" s="1" t="s">
        <v>19</v>
      </c>
      <c r="I2066" s="1" t="s">
        <v>20</v>
      </c>
      <c r="J2066" s="1" t="s">
        <v>9550</v>
      </c>
      <c r="K2066" s="1" t="s">
        <v>22</v>
      </c>
      <c r="L2066" s="1" t="str">
        <f>HYPERLINK("https://files.afu.se/Downloads/Transcripts/0%20-%20Government/USA%20-%20NASA/2015 06 03 - NASA - Space Station Crew Members Discuss Life in Space with Buzzfeed_L0AiXuPy9Dg - transcript (automated).pdf","Transcript Link")</f>
        <v>Transcript Link</v>
      </c>
      <c r="M2066" s="2" t="str">
        <f>HYPERLINK("https://files.afu.se/Downloads/Transcripts/0%20-%20Government/USA%20-%20NASA/2015 06 03 - NASA - Space Station Crew Members Discuss Life in Space with Buzzfeed_L0AiXuPy9Dg - transcript (automated).pdf","Transcript Link")</f>
        <v>Transcript Link</v>
      </c>
    </row>
    <row r="2067" ht="165" spans="1:13">
      <c r="A2067" s="1" t="s">
        <v>9551</v>
      </c>
      <c r="B2067" s="1" t="s">
        <v>13</v>
      </c>
      <c r="C2067" s="4" t="s">
        <v>9552</v>
      </c>
      <c r="D2067" s="1" t="s">
        <v>9553</v>
      </c>
      <c r="E2067" s="1" t="s">
        <v>9554</v>
      </c>
      <c r="F2067" s="4" t="s">
        <v>17</v>
      </c>
      <c r="G2067" s="1" t="s">
        <v>18</v>
      </c>
      <c r="H2067" s="1" t="s">
        <v>19</v>
      </c>
      <c r="I2067" s="1" t="s">
        <v>20</v>
      </c>
      <c r="J2067" s="1" t="s">
        <v>9555</v>
      </c>
      <c r="K2067" s="1" t="s">
        <v>22</v>
      </c>
      <c r="L2067" s="1" t="str">
        <f>HYPERLINK("https://files.afu.se/Downloads/Transcripts/0%20-%20Government/USA%20-%20NASA/2015 06 02 - NASA - NASA 2015 Agency Honor Awards_3c0hfqHRwro - transcript (automated).pdf","Transcript Link")</f>
        <v>Transcript Link</v>
      </c>
      <c r="M2067" s="2" t="str">
        <f>HYPERLINK("https://files.afu.se/Downloads/Transcripts/0%20-%20Government/USA%20-%20NASA/2015 06 02 - NASA - NASA 2015 Agency Honor Awards_3c0hfqHRwro - transcript (automated).pdf","Transcript Link")</f>
        <v>Transcript Link</v>
      </c>
    </row>
    <row r="2068" ht="180" spans="1:13">
      <c r="A2068" s="1" t="s">
        <v>9551</v>
      </c>
      <c r="B2068" s="1" t="s">
        <v>13</v>
      </c>
      <c r="C2068" s="4" t="s">
        <v>9556</v>
      </c>
      <c r="D2068" s="1" t="s">
        <v>9557</v>
      </c>
      <c r="E2068" s="1" t="s">
        <v>9558</v>
      </c>
      <c r="F2068" s="4" t="s">
        <v>17</v>
      </c>
      <c r="G2068" s="1" t="s">
        <v>18</v>
      </c>
      <c r="H2068" s="1" t="s">
        <v>19</v>
      </c>
      <c r="I2068" s="1" t="s">
        <v>20</v>
      </c>
      <c r="J2068" s="1" t="s">
        <v>9559</v>
      </c>
      <c r="K2068" s="1" t="s">
        <v>22</v>
      </c>
      <c r="L2068" s="1" t="str">
        <f>HYPERLINK("https://files.afu.se/Downloads/Transcripts/0%20-%20Government/USA%20-%20NASA/2015 06 02 - NASA - Second Test of Supersonic Vehicle Previewed__D0DxtKj0mc - transcript (automated).pdf","Transcript Link")</f>
        <v>Transcript Link</v>
      </c>
      <c r="M2068" s="2" t="str">
        <f>HYPERLINK("https://files.afu.se/Downloads/Transcripts/0%20-%20Government/USA%20-%20NASA/2015 06 02 - NASA - Second Test of Supersonic Vehicle Previewed__D0DxtKj0mc - transcript (automated).pdf","Transcript Link")</f>
        <v>Transcript Link</v>
      </c>
    </row>
    <row r="2069" ht="255" spans="1:13">
      <c r="A2069" s="1" t="s">
        <v>9560</v>
      </c>
      <c r="B2069" s="1" t="s">
        <v>13</v>
      </c>
      <c r="C2069" s="4" t="s">
        <v>9561</v>
      </c>
      <c r="D2069" s="1" t="s">
        <v>9562</v>
      </c>
      <c r="E2069" s="1" t="s">
        <v>9563</v>
      </c>
      <c r="F2069" s="4" t="s">
        <v>17</v>
      </c>
      <c r="G2069" s="1" t="s">
        <v>18</v>
      </c>
      <c r="H2069" s="1" t="s">
        <v>19</v>
      </c>
      <c r="I2069" s="1" t="s">
        <v>20</v>
      </c>
      <c r="J2069" s="1" t="s">
        <v>9564</v>
      </c>
      <c r="K2069" s="1" t="s">
        <v>22</v>
      </c>
      <c r="L2069" s="1" t="str">
        <f>HYPERLINK("https://files.afu.se/Downloads/Transcripts/0%20-%20Government/USA%20-%20NASA/2015 06 01 - NASA - Suit Up - 50 Years of Spacewalks_Z62z64-AyH0 - transcript (automated).pdf","Transcript Link")</f>
        <v>Transcript Link</v>
      </c>
      <c r="M2069" s="2" t="str">
        <f>HYPERLINK("https://files.afu.se/Downloads/Transcripts/0%20-%20Government/USA%20-%20NASA/2015 06 01 - NASA - Suit Up - 50 Years of Spacewalks_Z62z64-AyH0 - transcript (automated).pdf","Transcript Link")</f>
        <v>Transcript Link</v>
      </c>
    </row>
    <row r="2070" ht="409.5" spans="1:13">
      <c r="A2070" s="1" t="s">
        <v>9565</v>
      </c>
      <c r="B2070" s="1" t="s">
        <v>13</v>
      </c>
      <c r="C2070" s="4" t="s">
        <v>9566</v>
      </c>
      <c r="D2070" s="1" t="s">
        <v>9567</v>
      </c>
      <c r="E2070" s="1" t="s">
        <v>9568</v>
      </c>
      <c r="F2070" s="4" t="s">
        <v>17</v>
      </c>
      <c r="G2070" s="1" t="s">
        <v>18</v>
      </c>
      <c r="H2070" s="1" t="s">
        <v>19</v>
      </c>
      <c r="I2070" s="1" t="s">
        <v>20</v>
      </c>
      <c r="J2070" s="1" t="s">
        <v>9569</v>
      </c>
      <c r="K2070" s="1" t="s">
        <v>22</v>
      </c>
      <c r="L2070" s="1" t="str">
        <f>HYPERLINK("https://files.afu.se/Downloads/Transcripts/0%20-%20Government/USA%20-%20NASA/2015 05 31 - NASA - U.S. Astronaut Hall of Fame Induction Ceremony at the Kennedy Space Center_tbIt8m9cnFA - transcript (automated).pdf","Transcript Link")</f>
        <v>Transcript Link</v>
      </c>
      <c r="M2070" s="2" t="str">
        <f>HYPERLINK("https://files.afu.se/Downloads/Transcripts/0%20-%20Government/USA%20-%20NASA/2015 05 31 - NASA - U.S. Astronaut Hall of Fame Induction Ceremony at the Kennedy Space Center_tbIt8m9cnFA - transcript (automated).pdf","Transcript Link")</f>
        <v>Transcript Link</v>
      </c>
    </row>
    <row r="2071" ht="210" spans="1:13">
      <c r="A2071" s="1" t="s">
        <v>9570</v>
      </c>
      <c r="B2071" s="1" t="s">
        <v>13</v>
      </c>
      <c r="C2071" s="4" t="s">
        <v>9571</v>
      </c>
      <c r="D2071" s="1" t="s">
        <v>9572</v>
      </c>
      <c r="E2071" s="1" t="s">
        <v>9573</v>
      </c>
      <c r="F2071" s="4" t="s">
        <v>17</v>
      </c>
      <c r="G2071" s="1" t="s">
        <v>18</v>
      </c>
      <c r="H2071" s="1" t="s">
        <v>19</v>
      </c>
      <c r="I2071" s="1" t="s">
        <v>20</v>
      </c>
      <c r="J2071" s="1" t="s">
        <v>9574</v>
      </c>
      <c r="K2071" s="1" t="s">
        <v>22</v>
      </c>
      <c r="L2071" s="1" t="str">
        <f>HYPERLINK("https://files.afu.se/Downloads/Transcripts/0%20-%20Government/USA%20-%20NASA/2015 05 29 - NASA - Science Instruments Selected for Europa Mission on This Week @NASA – May 29, 2015_Rxhv5lzXUgc - transcript (automated).pdf","Transcript Link")</f>
        <v>Transcript Link</v>
      </c>
      <c r="M2071" s="2" t="str">
        <f>HYPERLINK("https://files.afu.se/Downloads/Transcripts/0%20-%20Government/USA%20-%20NASA/2015 05 29 - NASA - Science Instruments Selected for Europa Mission on This Week @NASA – May 29, 2015_Rxhv5lzXUgc - transcript (automated).pdf","Transcript Link")</f>
        <v>Transcript Link</v>
      </c>
    </row>
    <row r="2072" ht="165" spans="1:13">
      <c r="A2072" s="1" t="s">
        <v>9570</v>
      </c>
      <c r="B2072" s="1" t="s">
        <v>13</v>
      </c>
      <c r="C2072" s="4" t="s">
        <v>9575</v>
      </c>
      <c r="D2072" s="1" t="s">
        <v>9576</v>
      </c>
      <c r="E2072" s="1" t="s">
        <v>9577</v>
      </c>
      <c r="F2072" s="4" t="s">
        <v>17</v>
      </c>
      <c r="G2072" s="1" t="s">
        <v>18</v>
      </c>
      <c r="H2072" s="1" t="s">
        <v>19</v>
      </c>
      <c r="I2072" s="1" t="s">
        <v>20</v>
      </c>
      <c r="J2072" s="1" t="s">
        <v>9578</v>
      </c>
      <c r="K2072" s="1" t="s">
        <v>22</v>
      </c>
      <c r="L2072" s="1" t="str">
        <f>HYPERLINK("https://files.afu.se/Downloads/Transcripts/0%20-%20Government/USA%20-%20NASA/2015 05 29 - NASA - One-Year Space Station Crew Member Discusses Life In Space With The Media_F9hrKGOpW_I - transcript (automated).pdf","Transcript Link")</f>
        <v>Transcript Link</v>
      </c>
      <c r="M2072" s="2" t="str">
        <f>HYPERLINK("https://files.afu.se/Downloads/Transcripts/0%20-%20Government/USA%20-%20NASA/2015 05 29 - NASA - One-Year Space Station Crew Member Discusses Life In Space With The Media_F9hrKGOpW_I - transcript (automated).pdf","Transcript Link")</f>
        <v>Transcript Link</v>
      </c>
    </row>
    <row r="2073" ht="210" spans="1:13">
      <c r="A2073" s="1" t="s">
        <v>9579</v>
      </c>
      <c r="B2073" s="1" t="s">
        <v>13</v>
      </c>
      <c r="C2073" s="4" t="s">
        <v>9580</v>
      </c>
      <c r="D2073" s="1" t="s">
        <v>9581</v>
      </c>
      <c r="E2073" s="1" t="s">
        <v>9582</v>
      </c>
      <c r="F2073" s="4" t="s">
        <v>17</v>
      </c>
      <c r="G2073" s="1" t="s">
        <v>18</v>
      </c>
      <c r="H2073" s="1" t="s">
        <v>19</v>
      </c>
      <c r="I2073" s="1" t="s">
        <v>20</v>
      </c>
      <c r="J2073" s="1" t="s">
        <v>9583</v>
      </c>
      <c r="K2073" s="1" t="s">
        <v>22</v>
      </c>
      <c r="L2073" s="1" t="str">
        <f>HYPERLINK("https://files.afu.se/Downloads/Transcripts/0%20-%20Government/USA%20-%20NASA/2015 05 28 - NASA - NASA Asian American Pacific Islander History Month - Sameer Kulkarni, Glenn Research Center_lIOgeONyOos - transcript (automated).pdf","Transcript Link")</f>
        <v>Transcript Link</v>
      </c>
      <c r="M2073" s="2" t="str">
        <f>HYPERLINK("https://files.afu.se/Downloads/Transcripts/0%20-%20Government/USA%20-%20NASA/2015 05 28 - NASA - NASA Asian American Pacific Islander History Month - Sameer Kulkarni, Glenn Research Center_lIOgeONyOos - transcript (automated).pdf","Transcript Link")</f>
        <v>Transcript Link</v>
      </c>
    </row>
    <row r="2074" ht="195" spans="1:13">
      <c r="A2074" s="1" t="s">
        <v>9584</v>
      </c>
      <c r="B2074" s="1" t="s">
        <v>13</v>
      </c>
      <c r="C2074" s="4" t="s">
        <v>9585</v>
      </c>
      <c r="D2074" s="1" t="s">
        <v>9586</v>
      </c>
      <c r="E2074" s="1" t="s">
        <v>9587</v>
      </c>
      <c r="F2074" s="4" t="s">
        <v>17</v>
      </c>
      <c r="G2074" s="1" t="s">
        <v>18</v>
      </c>
      <c r="H2074" s="1" t="s">
        <v>19</v>
      </c>
      <c r="I2074" s="1" t="s">
        <v>20</v>
      </c>
      <c r="J2074" s="1" t="s">
        <v>9588</v>
      </c>
      <c r="K2074" s="1" t="s">
        <v>22</v>
      </c>
      <c r="L2074" s="1" t="str">
        <f>HYPERLINK("https://files.afu.se/Downloads/Transcripts/0%20-%20Government/USA%20-%20NASA/2015 05 27 - NASA - International Space Station Module Moved to New Location To Prep For U.S. Commercial Vehicle Traffic_J1QuGKpFnlg - transcript (automated).pdf","Transcript Link")</f>
        <v>Transcript Link</v>
      </c>
      <c r="M2074" s="2" t="str">
        <f>HYPERLINK("https://files.afu.se/Downloads/Transcripts/0%20-%20Government/USA%20-%20NASA/2015 05 27 - NASA - International Space Station Module Moved to New Location To Prep For U.S. Commercial Vehicle Traffic_J1QuGKpFnlg - transcript (automated).pdf","Transcript Link")</f>
        <v>Transcript Link</v>
      </c>
    </row>
    <row r="2075" ht="240" spans="1:13">
      <c r="A2075" s="1" t="s">
        <v>9589</v>
      </c>
      <c r="B2075" s="1" t="s">
        <v>13</v>
      </c>
      <c r="C2075" s="4" t="s">
        <v>9590</v>
      </c>
      <c r="D2075" s="1" t="s">
        <v>9591</v>
      </c>
      <c r="E2075" s="1" t="s">
        <v>9592</v>
      </c>
      <c r="F2075" s="4" t="s">
        <v>17</v>
      </c>
      <c r="G2075" s="1" t="s">
        <v>18</v>
      </c>
      <c r="H2075" s="1" t="s">
        <v>19</v>
      </c>
      <c r="I2075" s="1" t="s">
        <v>20</v>
      </c>
      <c r="J2075" s="1" t="s">
        <v>9593</v>
      </c>
      <c r="K2075" s="1" t="s">
        <v>22</v>
      </c>
      <c r="L2075" s="1" t="str">
        <f>HYPERLINK("https://files.afu.se/Downloads/Transcripts/0%20-%20Government/USA%20-%20NASA/2015 05 26 - NASA - NASA Announces selection of science instruments for mission to Europa_g5GFPEEsJGQ - transcript (automated).pdf","Transcript Link")</f>
        <v>Transcript Link</v>
      </c>
      <c r="M2075" s="2" t="str">
        <f>HYPERLINK("https://files.afu.se/Downloads/Transcripts/0%20-%20Government/USA%20-%20NASA/2015 05 26 - NASA - NASA Announces selection of science instruments for mission to Europa_g5GFPEEsJGQ - transcript (automated).pdf","Transcript Link")</f>
        <v>Transcript Link</v>
      </c>
    </row>
    <row r="2076" ht="210" spans="1:13">
      <c r="A2076" s="1" t="s">
        <v>9594</v>
      </c>
      <c r="B2076" s="1" t="s">
        <v>13</v>
      </c>
      <c r="C2076" s="4" t="s">
        <v>9595</v>
      </c>
      <c r="D2076" s="1" t="s">
        <v>9596</v>
      </c>
      <c r="E2076" s="1" t="s">
        <v>9597</v>
      </c>
      <c r="F2076" s="4" t="s">
        <v>17</v>
      </c>
      <c r="G2076" s="1" t="s">
        <v>18</v>
      </c>
      <c r="H2076" s="1" t="s">
        <v>19</v>
      </c>
      <c r="I2076" s="1" t="s">
        <v>20</v>
      </c>
      <c r="J2076" s="1" t="s">
        <v>9598</v>
      </c>
      <c r="K2076" s="1" t="s">
        <v>22</v>
      </c>
      <c r="L2076" s="1" t="str">
        <f>HYPERLINK("https://files.afu.se/Downloads/Transcripts/0%20-%20Government/USA%20-%20NASA/2015 05 22 - NASA - NASA’s new Deputy Administrator on This Week @NASA_q08YgivkPdI - transcript (automated).pdf","Transcript Link")</f>
        <v>Transcript Link</v>
      </c>
      <c r="M2076" s="2" t="str">
        <f>HYPERLINK("https://files.afu.se/Downloads/Transcripts/0%20-%20Government/USA%20-%20NASA/2015 05 22 - NASA - NASA’s new Deputy Administrator on This Week @NASA_q08YgivkPdI - transcript (automated).pdf","Transcript Link")</f>
        <v>Transcript Link</v>
      </c>
    </row>
    <row r="2077" ht="165" spans="1:13">
      <c r="A2077" s="1" t="s">
        <v>9594</v>
      </c>
      <c r="B2077" s="1" t="s">
        <v>13</v>
      </c>
      <c r="C2077" s="4" t="s">
        <v>9599</v>
      </c>
      <c r="D2077" s="1" t="s">
        <v>9600</v>
      </c>
      <c r="E2077" s="1" t="s">
        <v>9601</v>
      </c>
      <c r="F2077" s="4" t="s">
        <v>17</v>
      </c>
      <c r="G2077" s="1" t="s">
        <v>18</v>
      </c>
      <c r="H2077" s="1" t="s">
        <v>19</v>
      </c>
      <c r="I2077" s="1" t="s">
        <v>20</v>
      </c>
      <c r="J2077" s="1" t="s">
        <v>9602</v>
      </c>
      <c r="K2077" s="1" t="s">
        <v>22</v>
      </c>
      <c r="L2077" s="1" t="str">
        <f>HYPERLINK("https://files.afu.se/Downloads/Transcripts/0%20-%20Government/USA%20-%20NASA/2015 05 22 - NASA - NASA Asian American Pacific Islander History Month – Gayleen Ijames, Marshall Space Flight Center_k6Seub90tGQ - transcript (automated).pdf","Transcript Link")</f>
        <v>Transcript Link</v>
      </c>
      <c r="M2077" s="2" t="str">
        <f>HYPERLINK("https://files.afu.se/Downloads/Transcripts/0%20-%20Government/USA%20-%20NASA/2015 05 22 - NASA - NASA Asian American Pacific Islander History Month – Gayleen Ijames, Marshall Space Flight Center_k6Seub90tGQ - transcript (automated).pdf","Transcript Link")</f>
        <v>Transcript Link</v>
      </c>
    </row>
    <row r="2078" ht="180" spans="1:13">
      <c r="A2078" s="1" t="s">
        <v>9594</v>
      </c>
      <c r="B2078" s="1" t="s">
        <v>13</v>
      </c>
      <c r="C2078" s="4" t="s">
        <v>9603</v>
      </c>
      <c r="D2078" s="1" t="s">
        <v>9604</v>
      </c>
      <c r="E2078" s="1" t="s">
        <v>9605</v>
      </c>
      <c r="F2078" s="4" t="s">
        <v>17</v>
      </c>
      <c r="G2078" s="1" t="s">
        <v>18</v>
      </c>
      <c r="H2078" s="1" t="s">
        <v>19</v>
      </c>
      <c r="I2078" s="1" t="s">
        <v>20</v>
      </c>
      <c r="J2078" s="1" t="s">
        <v>9606</v>
      </c>
      <c r="K2078" s="1" t="s">
        <v>22</v>
      </c>
      <c r="L2078" s="1" t="str">
        <f>HYPERLINK("https://files.afu.se/Downloads/Transcripts/0%20-%20Government/USA%20-%20NASA/2015 05 22 - NASA - NASA Asian American Pacific Islander History Month – Ban Tieu, Jet Propulsion Laboratory_2ti1LBk119E - transcript (automated).pdf","Transcript Link")</f>
        <v>Transcript Link</v>
      </c>
      <c r="M2078" s="2" t="str">
        <f>HYPERLINK("https://files.afu.se/Downloads/Transcripts/0%20-%20Government/USA%20-%20NASA/2015 05 22 - NASA - NASA Asian American Pacific Islander History Month – Ban Tieu, Jet Propulsion Laboratory_2ti1LBk119E - transcript (automated).pdf","Transcript Link")</f>
        <v>Transcript Link</v>
      </c>
    </row>
    <row r="2079" ht="165" spans="1:13">
      <c r="A2079" s="1" t="s">
        <v>9607</v>
      </c>
      <c r="B2079" s="1" t="s">
        <v>13</v>
      </c>
      <c r="C2079" s="4" t="s">
        <v>9608</v>
      </c>
      <c r="D2079" s="1" t="s">
        <v>9609</v>
      </c>
      <c r="E2079" s="1" t="s">
        <v>9610</v>
      </c>
      <c r="F2079" s="4" t="s">
        <v>17</v>
      </c>
      <c r="G2079" s="1" t="s">
        <v>18</v>
      </c>
      <c r="H2079" s="1" t="s">
        <v>19</v>
      </c>
      <c r="I2079" s="1" t="s">
        <v>20</v>
      </c>
      <c r="J2079" s="1" t="s">
        <v>9611</v>
      </c>
      <c r="K2079" s="1" t="s">
        <v>22</v>
      </c>
      <c r="L2079" s="1" t="str">
        <f>HYPERLINK("https://files.afu.se/Downloads/Transcripts/0%20-%20Government/USA%20-%20NASA/2015 05 21 - NASA - Space Station Supply Ship Returns to Earth_sd4LrHfqa-Y - transcript (automated).pdf","Transcript Link")</f>
        <v>Transcript Link</v>
      </c>
      <c r="M2079" s="2" t="str">
        <f>HYPERLINK("https://files.afu.se/Downloads/Transcripts/0%20-%20Government/USA%20-%20NASA/2015 05 21 - NASA - Space Station Supply Ship Returns to Earth_sd4LrHfqa-Y - transcript (automated).pdf","Transcript Link")</f>
        <v>Transcript Link</v>
      </c>
    </row>
    <row r="2080" ht="165" spans="1:13">
      <c r="A2080" s="1" t="s">
        <v>9612</v>
      </c>
      <c r="B2080" s="1" t="s">
        <v>13</v>
      </c>
      <c r="C2080" s="4" t="s">
        <v>9613</v>
      </c>
      <c r="D2080" s="1" t="s">
        <v>9614</v>
      </c>
      <c r="E2080" s="1" t="s">
        <v>9615</v>
      </c>
      <c r="F2080" s="4" t="s">
        <v>17</v>
      </c>
      <c r="G2080" s="1" t="s">
        <v>18</v>
      </c>
      <c r="H2080" s="1" t="s">
        <v>19</v>
      </c>
      <c r="I2080" s="1" t="s">
        <v>20</v>
      </c>
      <c r="J2080" s="1" t="s">
        <v>9616</v>
      </c>
      <c r="K2080" s="1" t="s">
        <v>22</v>
      </c>
      <c r="L2080" s="1" t="str">
        <f>HYPERLINK("https://files.afu.se/Downloads/Transcripts/0%20-%20Government/USA%20-%20NASA/2015 05 20 - NASA - STEM in 30 – Living and Working in Space_bGJXj6tei2k - transcript (automated).pdf","Transcript Link")</f>
        <v>Transcript Link</v>
      </c>
      <c r="M2080" s="2" t="str">
        <f>HYPERLINK("https://files.afu.se/Downloads/Transcripts/0%20-%20Government/USA%20-%20NASA/2015 05 20 - NASA - STEM in 30 – Living and Working in Space_bGJXj6tei2k - transcript (automated).pdf","Transcript Link")</f>
        <v>Transcript Link</v>
      </c>
    </row>
    <row r="2081" ht="165" spans="1:13">
      <c r="A2081" s="1" t="s">
        <v>9617</v>
      </c>
      <c r="B2081" s="1" t="s">
        <v>13</v>
      </c>
      <c r="C2081" s="4" t="s">
        <v>9618</v>
      </c>
      <c r="D2081" s="1" t="s">
        <v>9619</v>
      </c>
      <c r="E2081" s="1" t="s">
        <v>9620</v>
      </c>
      <c r="F2081" s="4" t="s">
        <v>17</v>
      </c>
      <c r="G2081" s="1" t="s">
        <v>18</v>
      </c>
      <c r="H2081" s="1" t="s">
        <v>19</v>
      </c>
      <c r="I2081" s="1" t="s">
        <v>20</v>
      </c>
      <c r="J2081" s="1" t="s">
        <v>9621</v>
      </c>
      <c r="K2081" s="1" t="s">
        <v>22</v>
      </c>
      <c r="L2081" s="1" t="str">
        <f>HYPERLINK("https://files.afu.se/Downloads/Transcripts/0%20-%20Government/USA%20-%20NASA/2015 05 19 - NASA - Space Station Crew Discusses Life in Space with the News Media_6ZzxU8qAnn8 - transcript (automated).pdf","Transcript Link")</f>
        <v>Transcript Link</v>
      </c>
      <c r="M2081" s="2" t="str">
        <f>HYPERLINK("https://files.afu.se/Downloads/Transcripts/0%20-%20Government/USA%20-%20NASA/2015 05 19 - NASA - Space Station Crew Discusses Life in Space with the News Media_6ZzxU8qAnn8 - transcript (automated).pdf","Transcript Link")</f>
        <v>Transcript Link</v>
      </c>
    </row>
    <row r="2082" ht="165" spans="1:13">
      <c r="A2082" s="1" t="s">
        <v>9622</v>
      </c>
      <c r="B2082" s="1" t="s">
        <v>13</v>
      </c>
      <c r="C2082" s="4" t="s">
        <v>9623</v>
      </c>
      <c r="D2082" s="1" t="s">
        <v>9624</v>
      </c>
      <c r="E2082" s="1" t="s">
        <v>9625</v>
      </c>
      <c r="F2082" s="4" t="s">
        <v>17</v>
      </c>
      <c r="G2082" s="1" t="s">
        <v>18</v>
      </c>
      <c r="H2082" s="1" t="s">
        <v>19</v>
      </c>
      <c r="I2082" s="1" t="s">
        <v>20</v>
      </c>
      <c r="J2082" s="1" t="s">
        <v>9626</v>
      </c>
      <c r="K2082" s="1" t="s">
        <v>22</v>
      </c>
      <c r="L2082" s="1" t="str">
        <f>HYPERLINK("https://files.afu.se/Downloads/Transcripts/0%20-%20Government/USA%20-%20NASA/2015 05 15 - NASA - NASA Asian American Pacific Islander History Month – Alex Chin, Armstrong Flight Research Center_PDVkBV-dnkU - transcript (automated).pdf","Transcript Link")</f>
        <v>Transcript Link</v>
      </c>
      <c r="M2082" s="2" t="str">
        <f>HYPERLINK("https://files.afu.se/Downloads/Transcripts/0%20-%20Government/USA%20-%20NASA/2015 05 15 - NASA - NASA Asian American Pacific Islander History Month – Alex Chin, Armstrong Flight Research Center_PDVkBV-dnkU - transcript (automated).pdf","Transcript Link")</f>
        <v>Transcript Link</v>
      </c>
    </row>
    <row r="2083" ht="240" spans="1:13">
      <c r="A2083" s="1" t="s">
        <v>9622</v>
      </c>
      <c r="B2083" s="1" t="s">
        <v>13</v>
      </c>
      <c r="C2083" s="4" t="s">
        <v>9627</v>
      </c>
      <c r="D2083" s="1" t="s">
        <v>9628</v>
      </c>
      <c r="E2083" s="1" t="s">
        <v>9629</v>
      </c>
      <c r="F2083" s="4" t="s">
        <v>17</v>
      </c>
      <c r="G2083" s="1" t="s">
        <v>18</v>
      </c>
      <c r="H2083" s="1" t="s">
        <v>19</v>
      </c>
      <c r="I2083" s="1" t="s">
        <v>20</v>
      </c>
      <c r="J2083" s="1" t="s">
        <v>9630</v>
      </c>
      <c r="K2083" s="1" t="s">
        <v>22</v>
      </c>
      <c r="L2083" s="1" t="str">
        <f>HYPERLINK("https://files.afu.se/Downloads/Transcripts/0%20-%20Government/USA%20-%20NASA/2015 05 15 - NASA - Schedule changes for space station traffic on This Week @NASA_ULU7ha1GTjs - transcript (automated).pdf","Transcript Link")</f>
        <v>Transcript Link</v>
      </c>
      <c r="M2083" s="2" t="str">
        <f>HYPERLINK("https://files.afu.se/Downloads/Transcripts/0%20-%20Government/USA%20-%20NASA/2015 05 15 - NASA - Schedule changes for space station traffic on This Week @NASA_ULU7ha1GTjs - transcript (automated).pdf","Transcript Link")</f>
        <v>Transcript Link</v>
      </c>
    </row>
    <row r="2084" ht="180" spans="1:13">
      <c r="A2084" s="1" t="s">
        <v>9622</v>
      </c>
      <c r="B2084" s="1" t="s">
        <v>13</v>
      </c>
      <c r="C2084" s="4" t="s">
        <v>9631</v>
      </c>
      <c r="D2084" s="1" t="s">
        <v>9632</v>
      </c>
      <c r="E2084" s="1" t="s">
        <v>9633</v>
      </c>
      <c r="F2084" s="4" t="s">
        <v>17</v>
      </c>
      <c r="G2084" s="1" t="s">
        <v>18</v>
      </c>
      <c r="H2084" s="1" t="s">
        <v>19</v>
      </c>
      <c r="I2084" s="1" t="s">
        <v>20</v>
      </c>
      <c r="J2084" s="1" t="s">
        <v>9634</v>
      </c>
      <c r="K2084" s="1" t="s">
        <v>22</v>
      </c>
      <c r="L2084" s="1" t="str">
        <f>HYPERLINK("https://files.afu.se/Downloads/Transcripts/0%20-%20Government/USA%20-%20NASA/2015 05 15 - NASA - The International Space Station Crew Discuss Life in Space with Weather Channel and Time Magazine_P1M6gxvuPrM - transcript (automated).pdf","Transcript Link")</f>
        <v>Transcript Link</v>
      </c>
      <c r="M2084" s="2" t="str">
        <f>HYPERLINK("https://files.afu.se/Downloads/Transcripts/0%20-%20Government/USA%20-%20NASA/2015 05 15 - NASA - The International Space Station Crew Discuss Life in Space with Weather Channel and Time Magazine_P1M6gxvuPrM - transcript (automated).pdf","Transcript Link")</f>
        <v>Transcript Link</v>
      </c>
    </row>
    <row r="2085" ht="315" spans="1:13">
      <c r="A2085" s="1" t="s">
        <v>9635</v>
      </c>
      <c r="B2085" s="1" t="s">
        <v>13</v>
      </c>
      <c r="C2085" s="4" t="s">
        <v>9636</v>
      </c>
      <c r="D2085" s="1" t="s">
        <v>9637</v>
      </c>
      <c r="E2085" s="1" t="s">
        <v>9638</v>
      </c>
      <c r="F2085" s="4" t="s">
        <v>17</v>
      </c>
      <c r="G2085" s="1" t="s">
        <v>18</v>
      </c>
      <c r="H2085" s="1" t="s">
        <v>19</v>
      </c>
      <c r="I2085" s="1" t="s">
        <v>20</v>
      </c>
      <c r="J2085" s="1" t="s">
        <v>9639</v>
      </c>
      <c r="K2085" s="1" t="s">
        <v>22</v>
      </c>
      <c r="L2085" s="1" t="str">
        <f>HYPERLINK("https://files.afu.se/Downloads/Transcripts/0%20-%20Government/USA%20-%20NASA/2015 05 11 - NASA - Women in STEM  STEM in the Global Science Community__7ZHzjXZ_nw - transcript (automated).pdf","Transcript Link")</f>
        <v>Transcript Link</v>
      </c>
      <c r="M2085" s="2" t="str">
        <f>HYPERLINK("https://files.afu.se/Downloads/Transcripts/0%20-%20Government/USA%20-%20NASA/2015 05 11 - NASA - Women in STEM  STEM in the Global Science Community__7ZHzjXZ_nw - transcript (automated).pdf","Transcript Link")</f>
        <v>Transcript Link</v>
      </c>
    </row>
    <row r="2086" ht="165" spans="1:13">
      <c r="A2086" s="1" t="s">
        <v>9640</v>
      </c>
      <c r="B2086" s="1" t="s">
        <v>13</v>
      </c>
      <c r="C2086" s="4" t="s">
        <v>9641</v>
      </c>
      <c r="D2086" s="1" t="s">
        <v>9642</v>
      </c>
      <c r="E2086" s="1" t="s">
        <v>9643</v>
      </c>
      <c r="F2086" s="4" t="s">
        <v>17</v>
      </c>
      <c r="G2086" s="1" t="s">
        <v>18</v>
      </c>
      <c r="H2086" s="1" t="s">
        <v>19</v>
      </c>
      <c r="I2086" s="1" t="s">
        <v>20</v>
      </c>
      <c r="J2086" s="1" t="s">
        <v>9644</v>
      </c>
      <c r="K2086" s="1" t="s">
        <v>22</v>
      </c>
      <c r="L2086" s="1" t="str">
        <f>HYPERLINK("https://files.afu.se/Downloads/Transcripts/0%20-%20Government/USA%20-%20NASA/2015 05 08 - NASA - Expedition 44 Crew Undergoes Final Training at Star City Outside Moscow_t0j4vW0UJYU - transcript (automated).pdf","Transcript Link")</f>
        <v>Transcript Link</v>
      </c>
      <c r="M2086" s="2" t="str">
        <f>HYPERLINK("https://files.afu.se/Downloads/Transcripts/0%20-%20Government/USA%20-%20NASA/2015 05 08 - NASA - Expedition 44 Crew Undergoes Final Training at Star City Outside Moscow_t0j4vW0UJYU - transcript (automated).pdf","Transcript Link")</f>
        <v>Transcript Link</v>
      </c>
    </row>
    <row r="2087" ht="225" spans="1:13">
      <c r="A2087" s="1" t="s">
        <v>9640</v>
      </c>
      <c r="B2087" s="1" t="s">
        <v>13</v>
      </c>
      <c r="C2087" s="4" t="s">
        <v>9645</v>
      </c>
      <c r="D2087" s="1" t="s">
        <v>9646</v>
      </c>
      <c r="E2087" s="1" t="s">
        <v>9647</v>
      </c>
      <c r="F2087" s="4" t="s">
        <v>17</v>
      </c>
      <c r="G2087" s="1" t="s">
        <v>18</v>
      </c>
      <c r="H2087" s="1" t="s">
        <v>19</v>
      </c>
      <c r="I2087" s="1" t="s">
        <v>20</v>
      </c>
      <c r="J2087" s="1" t="s">
        <v>9648</v>
      </c>
      <c r="K2087" s="1" t="s">
        <v>22</v>
      </c>
      <c r="L2087" s="1" t="str">
        <f>HYPERLINK("https://files.afu.se/Downloads/Transcripts/0%20-%20Government/USA%20-%20NASA/2015 05 08 - NASA - Humans to Mars Summit on This Week @NASA_Zb5uU1DcT_c - transcript (automated).pdf","Transcript Link")</f>
        <v>Transcript Link</v>
      </c>
      <c r="M2087" s="2" t="str">
        <f>HYPERLINK("https://files.afu.se/Downloads/Transcripts/0%20-%20Government/USA%20-%20NASA/2015 05 08 - NASA - Humans to Mars Summit on This Week @NASA_Zb5uU1DcT_c - transcript (automated).pdf","Transcript Link")</f>
        <v>Transcript Link</v>
      </c>
    </row>
    <row r="2088" ht="165" spans="1:13">
      <c r="A2088" s="1" t="s">
        <v>9640</v>
      </c>
      <c r="B2088" s="1" t="s">
        <v>13</v>
      </c>
      <c r="C2088" s="4" t="s">
        <v>9649</v>
      </c>
      <c r="D2088" s="1" t="s">
        <v>9650</v>
      </c>
      <c r="F2088" s="4" t="s">
        <v>17</v>
      </c>
      <c r="G2088" s="1" t="s">
        <v>18</v>
      </c>
      <c r="H2088" s="1" t="s">
        <v>19</v>
      </c>
      <c r="I2088" s="1" t="s">
        <v>20</v>
      </c>
      <c r="J2088" s="1" t="s">
        <v>9651</v>
      </c>
      <c r="K2088" s="1" t="s">
        <v>22</v>
      </c>
      <c r="L2088" s="1" t="str">
        <f>HYPERLINK("https://files.afu.se/Downloads/Transcripts/0%20-%20Government/USA%20-%20NASA/2015 05 08 - NASA - Education channel promo squeeze_DA_b1XPYxkc - transcript (automated).pdf","Transcript Link")</f>
        <v>Transcript Link</v>
      </c>
      <c r="M2088" s="2" t="str">
        <f>HYPERLINK("https://files.afu.se/Downloads/Transcripts/0%20-%20Government/USA%20-%20NASA/2015 05 08 - NASA - Education channel promo squeeze_DA_b1XPYxkc - transcript (automated).pdf","Transcript Link")</f>
        <v>Transcript Link</v>
      </c>
    </row>
    <row r="2089" ht="180" spans="1:13">
      <c r="A2089" s="1" t="s">
        <v>9652</v>
      </c>
      <c r="B2089" s="1" t="s">
        <v>13</v>
      </c>
      <c r="C2089" s="4" t="s">
        <v>9653</v>
      </c>
      <c r="D2089" s="1" t="s">
        <v>9654</v>
      </c>
      <c r="E2089" s="1" t="s">
        <v>9655</v>
      </c>
      <c r="F2089" s="4" t="s">
        <v>17</v>
      </c>
      <c r="G2089" s="1" t="s">
        <v>18</v>
      </c>
      <c r="H2089" s="1" t="s">
        <v>19</v>
      </c>
      <c r="I2089" s="1" t="s">
        <v>20</v>
      </c>
      <c r="J2089" s="1" t="s">
        <v>9656</v>
      </c>
      <c r="K2089" s="1" t="s">
        <v>22</v>
      </c>
      <c r="L2089" s="1" t="str">
        <f>HYPERLINK("https://files.afu.se/Downloads/Transcripts/0%20-%20Government/USA%20-%20NASA/2015 05 07 - NASA - NASA Helps Students of Beating the Odds Foundation at Special Event in Washington DC_urY1AEVGyIY - transcript (automated).pdf","Transcript Link")</f>
        <v>Transcript Link</v>
      </c>
      <c r="M2089" s="2" t="str">
        <f>HYPERLINK("https://files.afu.se/Downloads/Transcripts/0%20-%20Government/USA%20-%20NASA/2015 05 07 - NASA - NASA Helps Students of Beating the Odds Foundation at Special Event in Washington DC_urY1AEVGyIY - transcript (automated).pdf","Transcript Link")</f>
        <v>Transcript Link</v>
      </c>
    </row>
    <row r="2090" ht="255" spans="1:13">
      <c r="A2090" s="1" t="s">
        <v>9657</v>
      </c>
      <c r="B2090" s="1" t="s">
        <v>13</v>
      </c>
      <c r="C2090" s="4" t="s">
        <v>9658</v>
      </c>
      <c r="D2090" s="1" t="s">
        <v>9659</v>
      </c>
      <c r="E2090" s="1" t="s">
        <v>9660</v>
      </c>
      <c r="F2090" s="4" t="s">
        <v>17</v>
      </c>
      <c r="G2090" s="1" t="s">
        <v>18</v>
      </c>
      <c r="H2090" s="1" t="s">
        <v>19</v>
      </c>
      <c r="I2090" s="1" t="s">
        <v>20</v>
      </c>
      <c r="J2090" s="1" t="s">
        <v>9661</v>
      </c>
      <c r="K2090" s="1" t="s">
        <v>22</v>
      </c>
      <c r="L2090" s="1" t="str">
        <f>HYPERLINK("https://files.afu.se/Downloads/Transcripts/0%20-%20Government/USA%20-%20NASA/2015 05 06 - NASA - SpaceX Crew Dragon Spacecraft Takes Flight During Pad Abort Test at Cape Canaveral_5bhW2h08zhY - transcript (automated).pdf","Transcript Link")</f>
        <v>Transcript Link</v>
      </c>
      <c r="M2090" s="2" t="str">
        <f>HYPERLINK("https://files.afu.se/Downloads/Transcripts/0%20-%20Government/USA%20-%20NASA/2015 05 06 - NASA - SpaceX Crew Dragon Spacecraft Takes Flight During Pad Abort Test at Cape Canaveral_5bhW2h08zhY - transcript (automated).pdf","Transcript Link")</f>
        <v>Transcript Link</v>
      </c>
    </row>
    <row r="2091" ht="165" spans="1:13">
      <c r="A2091" s="1" t="s">
        <v>9657</v>
      </c>
      <c r="B2091" s="1" t="s">
        <v>13</v>
      </c>
      <c r="C2091" s="4" t="s">
        <v>9662</v>
      </c>
      <c r="D2091" s="1" t="s">
        <v>9663</v>
      </c>
      <c r="E2091" s="1" t="s">
        <v>9664</v>
      </c>
      <c r="F2091" s="4" t="s">
        <v>17</v>
      </c>
      <c r="G2091" s="1" t="s">
        <v>18</v>
      </c>
      <c r="H2091" s="1" t="s">
        <v>19</v>
      </c>
      <c r="I2091" s="1" t="s">
        <v>20</v>
      </c>
      <c r="J2091" s="1" t="s">
        <v>9665</v>
      </c>
      <c r="K2091" s="1" t="s">
        <v>22</v>
      </c>
      <c r="L2091" s="1" t="str">
        <f>HYPERLINK("https://files.afu.se/Downloads/Transcripts/0%20-%20Government/USA%20-%20NASA/2015 05 06 - NASA - 30 Minutes to Mars  part II_XbIf7FrfKHA - transcript (automated).pdf","Transcript Link")</f>
        <v>Transcript Link</v>
      </c>
      <c r="M2091" s="2" t="str">
        <f>HYPERLINK("https://files.afu.se/Downloads/Transcripts/0%20-%20Government/USA%20-%20NASA/2015 05 06 - NASA - 30 Minutes to Mars  part II_XbIf7FrfKHA - transcript (automated).pdf","Transcript Link")</f>
        <v>Transcript Link</v>
      </c>
    </row>
    <row r="2092" ht="165" spans="1:13">
      <c r="A2092" s="1" t="s">
        <v>9657</v>
      </c>
      <c r="B2092" s="1" t="s">
        <v>13</v>
      </c>
      <c r="C2092" s="4" t="s">
        <v>9666</v>
      </c>
      <c r="D2092" s="1" t="s">
        <v>9667</v>
      </c>
      <c r="E2092" s="1" t="s">
        <v>9668</v>
      </c>
      <c r="F2092" s="4" t="s">
        <v>17</v>
      </c>
      <c r="G2092" s="1" t="s">
        <v>18</v>
      </c>
      <c r="H2092" s="1" t="s">
        <v>19</v>
      </c>
      <c r="I2092" s="1" t="s">
        <v>20</v>
      </c>
      <c r="J2092" s="1" t="s">
        <v>9669</v>
      </c>
      <c r="K2092" s="1" t="s">
        <v>22</v>
      </c>
      <c r="L2092" s="1" t="str">
        <f>HYPERLINK("https://files.afu.se/Downloads/Transcripts/0%20-%20Government/USA%20-%20NASA/2015 05 06 - NASA - Space Station Crewmember Scott Kelly Talks to the “Today Show” and Social Media Followers_cY6BWalV39o - transcript (automated).pdf","Transcript Link")</f>
        <v>Transcript Link</v>
      </c>
      <c r="M2092" s="2" t="str">
        <f>HYPERLINK("https://files.afu.se/Downloads/Transcripts/0%20-%20Government/USA%20-%20NASA/2015 05 06 - NASA - Space Station Crewmember Scott Kelly Talks to the “Today Show” and Social Media Followers_cY6BWalV39o - transcript (automated).pdf","Transcript Link")</f>
        <v>Transcript Link</v>
      </c>
    </row>
    <row r="2093" ht="270" spans="1:13">
      <c r="A2093" s="1" t="s">
        <v>9670</v>
      </c>
      <c r="B2093" s="1" t="s">
        <v>13</v>
      </c>
      <c r="C2093" s="4" t="s">
        <v>9671</v>
      </c>
      <c r="D2093" s="1" t="s">
        <v>9672</v>
      </c>
      <c r="E2093" s="1" t="s">
        <v>9673</v>
      </c>
      <c r="F2093" s="4" t="s">
        <v>17</v>
      </c>
      <c r="G2093" s="1" t="s">
        <v>18</v>
      </c>
      <c r="H2093" s="1" t="s">
        <v>19</v>
      </c>
      <c r="I2093" s="1" t="s">
        <v>20</v>
      </c>
      <c r="J2093" s="1" t="s">
        <v>9674</v>
      </c>
      <c r="K2093" s="1" t="s">
        <v>22</v>
      </c>
      <c r="L2093" s="1" t="str">
        <f>HYPERLINK("https://files.afu.se/Downloads/Transcripts/0%20-%20Government/USA%20-%20NASA/2015 05 05 - NASA - Space Exploration Makes Big Difference in Small Business_e2yvyHhvkwM - transcript (automated).pdf","Transcript Link")</f>
        <v>Transcript Link</v>
      </c>
      <c r="M2093" s="2" t="str">
        <f>HYPERLINK("https://files.afu.se/Downloads/Transcripts/0%20-%20Government/USA%20-%20NASA/2015 05 05 - NASA - Space Exploration Makes Big Difference in Small Business_e2yvyHhvkwM - transcript (automated).pdf","Transcript Link")</f>
        <v>Transcript Link</v>
      </c>
    </row>
    <row r="2094" ht="165" spans="1:13">
      <c r="A2094" s="1" t="s">
        <v>9675</v>
      </c>
      <c r="B2094" s="1" t="s">
        <v>13</v>
      </c>
      <c r="C2094" s="4" t="s">
        <v>9676</v>
      </c>
      <c r="D2094" s="1" t="s">
        <v>9677</v>
      </c>
      <c r="E2094" s="1" t="s">
        <v>9678</v>
      </c>
      <c r="F2094" s="4" t="s">
        <v>17</v>
      </c>
      <c r="G2094" s="1" t="s">
        <v>18</v>
      </c>
      <c r="H2094" s="1" t="s">
        <v>19</v>
      </c>
      <c r="I2094" s="1" t="s">
        <v>20</v>
      </c>
      <c r="J2094" s="1" t="s">
        <v>9679</v>
      </c>
      <c r="K2094" s="1" t="s">
        <v>22</v>
      </c>
      <c r="L2094" s="1" t="str">
        <f>HYPERLINK("https://files.afu.se/Downloads/Transcripts/0%20-%20Government/USA%20-%20NASA/2015 05 04 - NASA - 30 Minutes to Mars_TSiGW70kusI - transcript (automated).pdf","Transcript Link")</f>
        <v>Transcript Link</v>
      </c>
      <c r="M2094" s="2" t="str">
        <f>HYPERLINK("https://files.afu.se/Downloads/Transcripts/0%20-%20Government/USA%20-%20NASA/2015 05 04 - NASA - 30 Minutes to Mars_TSiGW70kusI - transcript (automated).pdf","Transcript Link")</f>
        <v>Transcript Link</v>
      </c>
    </row>
    <row r="2095" ht="165" spans="1:13">
      <c r="A2095" s="1" t="s">
        <v>9675</v>
      </c>
      <c r="B2095" s="1" t="s">
        <v>13</v>
      </c>
      <c r="C2095" s="4" t="s">
        <v>9680</v>
      </c>
      <c r="D2095" s="1" t="s">
        <v>9681</v>
      </c>
      <c r="E2095" s="1" t="s">
        <v>9682</v>
      </c>
      <c r="F2095" s="4" t="s">
        <v>17</v>
      </c>
      <c r="G2095" s="1" t="s">
        <v>18</v>
      </c>
      <c r="H2095" s="1" t="s">
        <v>19</v>
      </c>
      <c r="I2095" s="1" t="s">
        <v>20</v>
      </c>
      <c r="J2095" s="1" t="s">
        <v>9683</v>
      </c>
      <c r="K2095" s="1" t="s">
        <v>22</v>
      </c>
      <c r="L2095" s="1" t="str">
        <f>HYPERLINK("https://files.afu.se/Downloads/Transcripts/0%20-%20Government/USA%20-%20NASA/2015 05 04 - NASA - NASA Administrator Charles Bolden on Small Business Week_4uoeGtM_AVA - transcript (automated).pdf","Transcript Link")</f>
        <v>Transcript Link</v>
      </c>
      <c r="M2095" s="2" t="str">
        <f>HYPERLINK("https://files.afu.se/Downloads/Transcripts/0%20-%20Government/USA%20-%20NASA/2015 05 04 - NASA - NASA Administrator Charles Bolden on Small Business Week_4uoeGtM_AVA - transcript (automated).pdf","Transcript Link")</f>
        <v>Transcript Link</v>
      </c>
    </row>
    <row r="2096" ht="165" spans="1:13">
      <c r="A2096" s="1" t="s">
        <v>9684</v>
      </c>
      <c r="B2096" s="1" t="s">
        <v>13</v>
      </c>
      <c r="C2096" s="4" t="s">
        <v>9685</v>
      </c>
      <c r="D2096" s="1" t="s">
        <v>9686</v>
      </c>
      <c r="E2096" s="1" t="s">
        <v>9687</v>
      </c>
      <c r="F2096" s="4" t="s">
        <v>17</v>
      </c>
      <c r="G2096" s="1" t="s">
        <v>18</v>
      </c>
      <c r="H2096" s="1" t="s">
        <v>19</v>
      </c>
      <c r="I2096" s="1" t="s">
        <v>20</v>
      </c>
      <c r="J2096" s="1" t="s">
        <v>9688</v>
      </c>
      <c r="K2096" s="1" t="s">
        <v>22</v>
      </c>
      <c r="L2096" s="1" t="str">
        <f>HYPERLINK("https://files.afu.se/Downloads/Transcripts/0%20-%20Government/USA%20-%20NASA/2015 05 01 - NASA - Newman confirmed as NASA’s Deputy Administrator on This Week @NASA_BD1q7ILnIMw - transcript (automated).pdf","Transcript Link")</f>
        <v>Transcript Link</v>
      </c>
      <c r="M2096" s="2" t="str">
        <f>HYPERLINK("https://files.afu.se/Downloads/Transcripts/0%20-%20Government/USA%20-%20NASA/2015 05 01 - NASA - Newman confirmed as NASA’s Deputy Administrator on This Week @NASA_BD1q7ILnIMw - transcript (automated).pdf","Transcript Link")</f>
        <v>Transcript Link</v>
      </c>
    </row>
    <row r="2097" ht="165" spans="1:13">
      <c r="A2097" s="1" t="s">
        <v>9684</v>
      </c>
      <c r="B2097" s="1" t="s">
        <v>13</v>
      </c>
      <c r="C2097" s="4" t="s">
        <v>9689</v>
      </c>
      <c r="D2097" s="1" t="s">
        <v>9690</v>
      </c>
      <c r="E2097" s="1" t="s">
        <v>9691</v>
      </c>
      <c r="F2097" s="4" t="s">
        <v>17</v>
      </c>
      <c r="G2097" s="1" t="s">
        <v>18</v>
      </c>
      <c r="H2097" s="1" t="s">
        <v>19</v>
      </c>
      <c r="I2097" s="1" t="s">
        <v>20</v>
      </c>
      <c r="J2097" s="1" t="s">
        <v>9692</v>
      </c>
      <c r="K2097" s="1" t="s">
        <v>22</v>
      </c>
      <c r="L2097" s="1" t="str">
        <f>HYPERLINK("https://files.afu.se/Downloads/Transcripts/0%20-%20Government/USA%20-%20NASA/2015 05 01 - NASA - NASA and Discovery Education Celebrate Space Day 2015_McjiEjec0E8 - transcript (automated).pdf","Transcript Link")</f>
        <v>Transcript Link</v>
      </c>
      <c r="M2097" s="2" t="str">
        <f>HYPERLINK("https://files.afu.se/Downloads/Transcripts/0%20-%20Government/USA%20-%20NASA/2015 05 01 - NASA - NASA and Discovery Education Celebrate Space Day 2015_McjiEjec0E8 - transcript (automated).pdf","Transcript Link")</f>
        <v>Transcript Link</v>
      </c>
    </row>
    <row r="2098" ht="165" spans="1:13">
      <c r="A2098" s="1" t="s">
        <v>9684</v>
      </c>
      <c r="B2098" s="1" t="s">
        <v>13</v>
      </c>
      <c r="C2098" s="4" t="s">
        <v>9693</v>
      </c>
      <c r="D2098" s="1" t="s">
        <v>9694</v>
      </c>
      <c r="E2098" s="1" t="s">
        <v>9695</v>
      </c>
      <c r="F2098" s="4" t="s">
        <v>17</v>
      </c>
      <c r="G2098" s="1" t="s">
        <v>18</v>
      </c>
      <c r="H2098" s="1" t="s">
        <v>19</v>
      </c>
      <c r="I2098" s="1" t="s">
        <v>20</v>
      </c>
      <c r="J2098" s="1" t="s">
        <v>9696</v>
      </c>
      <c r="K2098" s="1" t="s">
        <v>22</v>
      </c>
      <c r="L2098" s="1" t="str">
        <f>HYPERLINK("https://files.afu.se/Downloads/Transcripts/0%20-%20Government/USA%20-%20NASA/2015 05 01 - NASA - Pad Abort Test Preview_FbfEUwfRalc - transcript (automated).pdf","Transcript Link")</f>
        <v>Transcript Link</v>
      </c>
      <c r="M2098" s="2" t="str">
        <f>HYPERLINK("https://files.afu.se/Downloads/Transcripts/0%20-%20Government/USA%20-%20NASA/2015 05 01 - NASA - Pad Abort Test Preview_FbfEUwfRalc - transcript (automated).pdf","Transcript Link")</f>
        <v>Transcript Link</v>
      </c>
    </row>
    <row r="2099" ht="165" spans="1:13">
      <c r="A2099" s="1" t="s">
        <v>9697</v>
      </c>
      <c r="B2099" s="1" t="s">
        <v>13</v>
      </c>
      <c r="C2099" s="4" t="s">
        <v>9698</v>
      </c>
      <c r="D2099" s="1" t="s">
        <v>9699</v>
      </c>
      <c r="E2099" s="1" t="s">
        <v>9700</v>
      </c>
      <c r="F2099" s="4" t="s">
        <v>17</v>
      </c>
      <c r="G2099" s="1" t="s">
        <v>18</v>
      </c>
      <c r="H2099" s="1" t="s">
        <v>19</v>
      </c>
      <c r="I2099" s="1" t="s">
        <v>20</v>
      </c>
      <c r="J2099" s="1" t="s">
        <v>9701</v>
      </c>
      <c r="K2099" s="1" t="s">
        <v>22</v>
      </c>
      <c r="L2099" s="1" t="str">
        <f>HYPERLINK("https://files.afu.se/Downloads/Transcripts/0%20-%20Government/USA%20-%20NASA/2015 04 29 - NASA - One-Year Space Station Crew Members Discuss Life in Space with the Media_zs8ayL6EDzM - transcript (automated).pdf","Transcript Link")</f>
        <v>Transcript Link</v>
      </c>
      <c r="M2099" s="2" t="str">
        <f>HYPERLINK("https://files.afu.se/Downloads/Transcripts/0%20-%20Government/USA%20-%20NASA/2015 04 29 - NASA - One-Year Space Station Crew Members Discuss Life in Space with the Media_zs8ayL6EDzM - transcript (automated).pdf","Transcript Link")</f>
        <v>Transcript Link</v>
      </c>
    </row>
    <row r="2100" ht="165" spans="1:13">
      <c r="A2100" s="1" t="s">
        <v>9697</v>
      </c>
      <c r="B2100" s="1" t="s">
        <v>13</v>
      </c>
      <c r="C2100" s="4" t="s">
        <v>9702</v>
      </c>
      <c r="D2100" s="1" t="s">
        <v>9703</v>
      </c>
      <c r="E2100" s="1" t="s">
        <v>9704</v>
      </c>
      <c r="F2100" s="4" t="s">
        <v>17</v>
      </c>
      <c r="G2100" s="1" t="s">
        <v>18</v>
      </c>
      <c r="H2100" s="1" t="s">
        <v>19</v>
      </c>
      <c r="I2100" s="1" t="s">
        <v>20</v>
      </c>
      <c r="J2100" s="1" t="s">
        <v>9705</v>
      </c>
      <c r="K2100" s="1" t="s">
        <v>22</v>
      </c>
      <c r="L2100" s="1" t="str">
        <f>HYPERLINK("https://files.afu.se/Downloads/Transcripts/0%20-%20Government/USA%20-%20NASA/2015 04 29 - NASA - Hubble’s 25th Anniversary Tribute_4CAfk0n9D0k - transcript (automated).pdf","Transcript Link")</f>
        <v>Transcript Link</v>
      </c>
      <c r="M2100" s="2" t="str">
        <f>HYPERLINK("https://files.afu.se/Downloads/Transcripts/0%20-%20Government/USA%20-%20NASA/2015 04 29 - NASA - Hubble’s 25th Anniversary Tribute_4CAfk0n9D0k - transcript (automated).pdf","Transcript Link")</f>
        <v>Transcript Link</v>
      </c>
    </row>
    <row r="2101" ht="165" spans="1:13">
      <c r="A2101" s="1" t="s">
        <v>9706</v>
      </c>
      <c r="B2101" s="1" t="s">
        <v>13</v>
      </c>
      <c r="C2101" s="4" t="s">
        <v>9707</v>
      </c>
      <c r="D2101" s="1" t="s">
        <v>9708</v>
      </c>
      <c r="E2101" s="1" t="s">
        <v>9709</v>
      </c>
      <c r="F2101" s="4" t="s">
        <v>17</v>
      </c>
      <c r="G2101" s="1" t="s">
        <v>18</v>
      </c>
      <c r="H2101" s="1" t="s">
        <v>19</v>
      </c>
      <c r="I2101" s="1" t="s">
        <v>20</v>
      </c>
      <c r="J2101" s="1" t="s">
        <v>9710</v>
      </c>
      <c r="K2101" s="1" t="s">
        <v>22</v>
      </c>
      <c r="L2101" s="1" t="str">
        <f>HYPERLINK("https://files.afu.se/Downloads/Transcripts/0%20-%20Government/USA%20-%20NASA/2015 04 28 - NASA - Russian Space Station Freighter Launches_veMnIIrUTBI - transcript (automated).pdf","Transcript Link")</f>
        <v>Transcript Link</v>
      </c>
      <c r="M2101" s="2" t="str">
        <f>HYPERLINK("https://files.afu.se/Downloads/Transcripts/0%20-%20Government/USA%20-%20NASA/2015 04 28 - NASA - Russian Space Station Freighter Launches_veMnIIrUTBI - transcript (automated).pdf","Transcript Link")</f>
        <v>Transcript Link</v>
      </c>
    </row>
    <row r="2102" ht="165" spans="1:13">
      <c r="A2102" s="1" t="s">
        <v>9706</v>
      </c>
      <c r="B2102" s="1" t="s">
        <v>13</v>
      </c>
      <c r="C2102" s="4" t="s">
        <v>9711</v>
      </c>
      <c r="D2102" s="1" t="s">
        <v>9712</v>
      </c>
      <c r="E2102" s="1" t="s">
        <v>9713</v>
      </c>
      <c r="F2102" s="4" t="s">
        <v>17</v>
      </c>
      <c r="G2102" s="1" t="s">
        <v>18</v>
      </c>
      <c r="H2102" s="1" t="s">
        <v>19</v>
      </c>
      <c r="I2102" s="1" t="s">
        <v>20</v>
      </c>
      <c r="J2102" s="1" t="s">
        <v>9714</v>
      </c>
      <c r="K2102" s="1" t="s">
        <v>22</v>
      </c>
      <c r="L2102" s="1" t="str">
        <f>HYPERLINK("https://files.afu.se/Downloads/Transcripts/0%20-%20Government/USA%20-%20NASA/2015 04 28 - NASA - Video of the International Space Station Progress 59 cargo craft_7r9zq6pMP00 - transcript (automated).pdf","Transcript Link")</f>
        <v>Transcript Link</v>
      </c>
      <c r="M2102" s="2" t="str">
        <f>HYPERLINK("https://files.afu.se/Downloads/Transcripts/0%20-%20Government/USA%20-%20NASA/2015 04 28 - NASA - Video of the International Space Station Progress 59 cargo craft_7r9zq6pMP00 - transcript (automated).pdf","Transcript Link")</f>
        <v>Transcript Link</v>
      </c>
    </row>
    <row r="2103" ht="165" spans="1:13">
      <c r="A2103" s="1" t="s">
        <v>9715</v>
      </c>
      <c r="B2103" s="1" t="s">
        <v>13</v>
      </c>
      <c r="C2103" s="4" t="s">
        <v>9716</v>
      </c>
      <c r="D2103" s="1" t="s">
        <v>9717</v>
      </c>
      <c r="E2103" s="1" t="s">
        <v>9718</v>
      </c>
      <c r="F2103" s="4" t="s">
        <v>17</v>
      </c>
      <c r="G2103" s="1" t="s">
        <v>18</v>
      </c>
      <c r="H2103" s="1" t="s">
        <v>19</v>
      </c>
      <c r="I2103" s="1" t="s">
        <v>20</v>
      </c>
      <c r="J2103" s="1" t="s">
        <v>9719</v>
      </c>
      <c r="K2103" s="1" t="s">
        <v>22</v>
      </c>
      <c r="L2103" s="1" t="str">
        <f>HYPERLINK("https://files.afu.se/Downloads/Transcripts/0%20-%20Government/USA%20-%20NASA/2015 04 27 - NASA - Space Station Crew Member Discusses Fitness in Space with Italian Students_X63aofXj9ZM - transcript (automated).pdf","Transcript Link")</f>
        <v>Transcript Link</v>
      </c>
      <c r="M2103" s="2" t="str">
        <f>HYPERLINK("https://files.afu.se/Downloads/Transcripts/0%20-%20Government/USA%20-%20NASA/2015 04 27 - NASA - Space Station Crew Member Discusses Fitness in Space with Italian Students_X63aofXj9ZM - transcript (automated).pdf","Transcript Link")</f>
        <v>Transcript Link</v>
      </c>
    </row>
    <row r="2104" ht="165" spans="1:13">
      <c r="A2104" s="1" t="s">
        <v>9715</v>
      </c>
      <c r="B2104" s="1" t="s">
        <v>13</v>
      </c>
      <c r="C2104" s="4" t="s">
        <v>9720</v>
      </c>
      <c r="D2104" s="1" t="s">
        <v>9721</v>
      </c>
      <c r="E2104" s="1" t="s">
        <v>9722</v>
      </c>
      <c r="F2104" s="4" t="s">
        <v>17</v>
      </c>
      <c r="G2104" s="1" t="s">
        <v>18</v>
      </c>
      <c r="H2104" s="1" t="s">
        <v>19</v>
      </c>
      <c r="I2104" s="1" t="s">
        <v>20</v>
      </c>
      <c r="J2104" s="1" t="s">
        <v>9723</v>
      </c>
      <c r="K2104" s="1" t="s">
        <v>22</v>
      </c>
      <c r="L2104" s="1" t="str">
        <f>HYPERLINK("https://files.afu.se/Downloads/Transcripts/0%20-%20Government/USA%20-%20NASA/2015 04 27 - NASA - STEM message from Scott Kelly_1aHZ_KP4SSI - transcript (automated).pdf","Transcript Link")</f>
        <v>Transcript Link</v>
      </c>
      <c r="M2104" s="2" t="str">
        <f>HYPERLINK("https://files.afu.se/Downloads/Transcripts/0%20-%20Government/USA%20-%20NASA/2015 04 27 - NASA - STEM message from Scott Kelly_1aHZ_KP4SSI - transcript (automated).pdf","Transcript Link")</f>
        <v>Transcript Link</v>
      </c>
    </row>
    <row r="2105" ht="195" spans="1:13">
      <c r="A2105" s="1" t="s">
        <v>9724</v>
      </c>
      <c r="B2105" s="1" t="s">
        <v>13</v>
      </c>
      <c r="C2105" s="4" t="s">
        <v>9725</v>
      </c>
      <c r="D2105" s="1" t="s">
        <v>9726</v>
      </c>
      <c r="E2105" s="1" t="s">
        <v>9727</v>
      </c>
      <c r="F2105" s="4" t="s">
        <v>17</v>
      </c>
      <c r="G2105" s="1" t="s">
        <v>18</v>
      </c>
      <c r="H2105" s="1" t="s">
        <v>19</v>
      </c>
      <c r="I2105" s="1" t="s">
        <v>20</v>
      </c>
      <c r="J2105" s="1" t="s">
        <v>9728</v>
      </c>
      <c r="K2105" s="1" t="s">
        <v>22</v>
      </c>
      <c r="L2105" s="1" t="str">
        <f>HYPERLINK("https://files.afu.se/Downloads/Transcripts/0%20-%20Government/USA%20-%20NASA/2015 04 25 - NASA - NASA's Documentary Film  Hubble25 (Abbreviated Version)_UZI23PBOv5o - transcript (automated).pdf","Transcript Link")</f>
        <v>Transcript Link</v>
      </c>
      <c r="M2105" s="2" t="str">
        <f>HYPERLINK("https://files.afu.se/Downloads/Transcripts/0%20-%20Government/USA%20-%20NASA/2015 04 25 - NASA - NASA's Documentary Film  Hubble25 (Abbreviated Version)_UZI23PBOv5o - transcript (automated).pdf","Transcript Link")</f>
        <v>Transcript Link</v>
      </c>
    </row>
    <row r="2106" ht="180" spans="1:13">
      <c r="A2106" s="1" t="s">
        <v>9724</v>
      </c>
      <c r="B2106" s="1" t="s">
        <v>13</v>
      </c>
      <c r="C2106" s="4" t="s">
        <v>9729</v>
      </c>
      <c r="D2106" s="1" t="s">
        <v>9730</v>
      </c>
      <c r="E2106" s="1" t="s">
        <v>9731</v>
      </c>
      <c r="F2106" s="4" t="s">
        <v>17</v>
      </c>
      <c r="G2106" s="1" t="s">
        <v>18</v>
      </c>
      <c r="H2106" s="1" t="s">
        <v>19</v>
      </c>
      <c r="I2106" s="1" t="s">
        <v>20</v>
      </c>
      <c r="J2106" s="1" t="s">
        <v>9732</v>
      </c>
      <c r="K2106" s="1" t="s">
        <v>22</v>
      </c>
      <c r="L2106" s="1" t="str">
        <f>HYPERLINK("https://files.afu.se/Downloads/Transcripts/0%20-%20Government/USA%20-%20NASA/2015 04 25 - NASA - Russian Space Freighter Departs the Complex_n7kslRWlwzU - transcript (automated).pdf","Transcript Link")</f>
        <v>Transcript Link</v>
      </c>
      <c r="M2106" s="2" t="str">
        <f>HYPERLINK("https://files.afu.se/Downloads/Transcripts/0%20-%20Government/USA%20-%20NASA/2015 04 25 - NASA - Russian Space Freighter Departs the Complex_n7kslRWlwzU - transcript (automated).pdf","Transcript Link")</f>
        <v>Transcript Link</v>
      </c>
    </row>
    <row r="2107" ht="240" spans="1:13">
      <c r="A2107" s="1" t="s">
        <v>9724</v>
      </c>
      <c r="B2107" s="1" t="s">
        <v>13</v>
      </c>
      <c r="C2107" s="4" t="s">
        <v>9733</v>
      </c>
      <c r="D2107" s="1" t="s">
        <v>9734</v>
      </c>
      <c r="E2107" s="1" t="s">
        <v>9735</v>
      </c>
      <c r="F2107" s="4" t="s">
        <v>17</v>
      </c>
      <c r="G2107" s="1" t="s">
        <v>18</v>
      </c>
      <c r="H2107" s="1" t="s">
        <v>19</v>
      </c>
      <c r="I2107" s="1" t="s">
        <v>20</v>
      </c>
      <c r="J2107" s="1" t="s">
        <v>9736</v>
      </c>
      <c r="K2107" s="1" t="s">
        <v>22</v>
      </c>
      <c r="L2107" s="1" t="str">
        <f>HYPERLINK("https://files.afu.se/Downloads/Transcripts/0%20-%20Government/USA%20-%20NASA/2015 04 25 - NASA - 25 years of Hubble on This Week @NASA-April 24, 2015_2FPB7dsgfJ0 - transcript (automated).pdf","Transcript Link")</f>
        <v>Transcript Link</v>
      </c>
      <c r="M2107" s="2" t="str">
        <f>HYPERLINK("https://files.afu.se/Downloads/Transcripts/0%20-%20Government/USA%20-%20NASA/2015 04 25 - NASA - 25 years of Hubble on This Week @NASA-April 24, 2015_2FPB7dsgfJ0 - transcript (automated).pdf","Transcript Link")</f>
        <v>Transcript Link</v>
      </c>
    </row>
    <row r="2108" ht="195" spans="1:13">
      <c r="A2108" s="1" t="s">
        <v>9724</v>
      </c>
      <c r="B2108" s="1" t="s">
        <v>13</v>
      </c>
      <c r="C2108" s="4" t="s">
        <v>9737</v>
      </c>
      <c r="D2108" s="1" t="s">
        <v>9738</v>
      </c>
      <c r="E2108" s="1" t="s">
        <v>9727</v>
      </c>
      <c r="F2108" s="4" t="s">
        <v>17</v>
      </c>
      <c r="G2108" s="1" t="s">
        <v>18</v>
      </c>
      <c r="H2108" s="1" t="s">
        <v>19</v>
      </c>
      <c r="I2108" s="1" t="s">
        <v>20</v>
      </c>
      <c r="J2108" s="1" t="s">
        <v>9739</v>
      </c>
      <c r="K2108" s="1" t="s">
        <v>22</v>
      </c>
      <c r="L2108" s="1" t="str">
        <f>HYPERLINK("https://files.afu.se/Downloads/Transcripts/0%20-%20Government/USA%20-%20NASA/2015 04 25 - NASA - NASA's Documentary Film  Hubble25_uOVXCdZHApI - transcript (automated).pdf","Transcript Link")</f>
        <v>Transcript Link</v>
      </c>
      <c r="M2108" s="2" t="str">
        <f>HYPERLINK("https://files.afu.se/Downloads/Transcripts/0%20-%20Government/USA%20-%20NASA/2015 04 25 - NASA - NASA's Documentary Film  Hubble25_uOVXCdZHApI - transcript (automated).pdf","Transcript Link")</f>
        <v>Transcript Link</v>
      </c>
    </row>
    <row r="2109" ht="165" spans="1:13">
      <c r="A2109" s="1" t="s">
        <v>9740</v>
      </c>
      <c r="B2109" s="1" t="s">
        <v>13</v>
      </c>
      <c r="C2109" s="4" t="s">
        <v>9741</v>
      </c>
      <c r="D2109" s="1" t="s">
        <v>9742</v>
      </c>
      <c r="E2109" s="1" t="s">
        <v>9743</v>
      </c>
      <c r="F2109" s="4" t="s">
        <v>17</v>
      </c>
      <c r="G2109" s="1" t="s">
        <v>18</v>
      </c>
      <c r="H2109" s="1" t="s">
        <v>19</v>
      </c>
      <c r="I2109" s="1" t="s">
        <v>20</v>
      </c>
      <c r="J2109" s="1" t="s">
        <v>9744</v>
      </c>
      <c r="K2109" s="1" t="s">
        <v>22</v>
      </c>
      <c r="L2109" s="1" t="str">
        <f>HYPERLINK("https://files.afu.se/Downloads/Transcripts/0%20-%20Government/USA%20-%20NASA/2015 04 24 - NASA - Official Hubble 25th Anniversary Image Unveiled_4Gifym6jXLw - transcript (automated).pdf","Transcript Link")</f>
        <v>Transcript Link</v>
      </c>
      <c r="M2109" s="2" t="str">
        <f>HYPERLINK("https://files.afu.se/Downloads/Transcripts/0%20-%20Government/USA%20-%20NASA/2015 04 24 - NASA - Official Hubble 25th Anniversary Image Unveiled_4Gifym6jXLw - transcript (automated).pdf","Transcript Link")</f>
        <v>Transcript Link</v>
      </c>
    </row>
    <row r="2110" ht="345" spans="1:13">
      <c r="A2110" s="1" t="s">
        <v>9745</v>
      </c>
      <c r="B2110" s="1" t="s">
        <v>13</v>
      </c>
      <c r="C2110" s="4" t="s">
        <v>9746</v>
      </c>
      <c r="D2110" s="1" t="s">
        <v>9747</v>
      </c>
      <c r="E2110" s="1" t="s">
        <v>9748</v>
      </c>
      <c r="F2110" s="4" t="s">
        <v>17</v>
      </c>
      <c r="G2110" s="1" t="s">
        <v>18</v>
      </c>
      <c r="H2110" s="1" t="s">
        <v>19</v>
      </c>
      <c r="I2110" s="1" t="s">
        <v>20</v>
      </c>
      <c r="J2110" s="1" t="s">
        <v>9749</v>
      </c>
      <c r="K2110" s="1" t="s">
        <v>22</v>
      </c>
      <c r="L2110" s="1" t="str">
        <f>HYPERLINK("https://files.afu.se/Downloads/Transcripts/0%20-%20Government/USA%20-%20NASA/2015 04 23 - NASA - Hubble Space Telescope-25th Anniversary Resource Reel_64jzZ7AY5W8 - transcript (automated).pdf","Transcript Link")</f>
        <v>Transcript Link</v>
      </c>
      <c r="M2110" s="2" t="str">
        <f>HYPERLINK("https://files.afu.se/Downloads/Transcripts/0%20-%20Government/USA%20-%20NASA/2015 04 23 - NASA - Hubble Space Telescope-25th Anniversary Resource Reel_64jzZ7AY5W8 - transcript (automated).pdf","Transcript Link")</f>
        <v>Transcript Link</v>
      </c>
    </row>
    <row r="2111" ht="165" spans="1:13">
      <c r="A2111" s="1" t="s">
        <v>9745</v>
      </c>
      <c r="B2111" s="1" t="s">
        <v>13</v>
      </c>
      <c r="C2111" s="4" t="s">
        <v>9750</v>
      </c>
      <c r="D2111" s="1" t="s">
        <v>9751</v>
      </c>
      <c r="F2111" s="4" t="s">
        <v>17</v>
      </c>
      <c r="G2111" s="1" t="s">
        <v>18</v>
      </c>
      <c r="H2111" s="1" t="s">
        <v>19</v>
      </c>
      <c r="I2111" s="1" t="s">
        <v>20</v>
      </c>
      <c r="J2111" s="1" t="s">
        <v>9752</v>
      </c>
      <c r="K2111" s="1" t="s">
        <v>22</v>
      </c>
      <c r="L2111" s="1" t="str">
        <f>HYPERLINK("https://files.afu.se/Downloads/Transcripts/0%20-%20Government/USA%20-%20NASA/2015 04 23 - NASA - Space Station Crew Talks Space and Sports_O89oUoaj0zo - transcript (automated).pdf","Transcript Link")</f>
        <v>Transcript Link</v>
      </c>
      <c r="M2111" s="2" t="str">
        <f>HYPERLINK("https://files.afu.se/Downloads/Transcripts/0%20-%20Government/USA%20-%20NASA/2015 04 23 - NASA - Space Station Crew Talks Space and Sports_O89oUoaj0zo - transcript (automated).pdf","Transcript Link")</f>
        <v>Transcript Link</v>
      </c>
    </row>
    <row r="2112" ht="165" spans="1:13">
      <c r="A2112" s="1" t="s">
        <v>9753</v>
      </c>
      <c r="B2112" s="1" t="s">
        <v>13</v>
      </c>
      <c r="C2112" s="4" t="s">
        <v>9754</v>
      </c>
      <c r="D2112" s="1" t="s">
        <v>9755</v>
      </c>
      <c r="E2112" s="1" t="s">
        <v>9756</v>
      </c>
      <c r="F2112" s="4" t="s">
        <v>17</v>
      </c>
      <c r="G2112" s="1" t="s">
        <v>18</v>
      </c>
      <c r="H2112" s="1" t="s">
        <v>19</v>
      </c>
      <c r="I2112" s="1" t="s">
        <v>20</v>
      </c>
      <c r="J2112" s="1" t="s">
        <v>9757</v>
      </c>
      <c r="K2112" s="1" t="s">
        <v>22</v>
      </c>
      <c r="L2112" s="1" t="str">
        <f>HYPERLINK("https://files.afu.se/Downloads/Transcripts/0%20-%20Government/USA%20-%20NASA/2015 04 22 - NASA - The Earth from Space_VbB1p9wm0XA - transcript (automated).pdf","Transcript Link")</f>
        <v>Transcript Link</v>
      </c>
      <c r="M2112" s="2" t="str">
        <f>HYPERLINK("https://files.afu.se/Downloads/Transcripts/0%20-%20Government/USA%20-%20NASA/2015 04 22 - NASA - The Earth from Space_VbB1p9wm0XA - transcript (automated).pdf","Transcript Link")</f>
        <v>Transcript Link</v>
      </c>
    </row>
    <row r="2113" ht="165" spans="1:13">
      <c r="A2113" s="1" t="s">
        <v>9753</v>
      </c>
      <c r="B2113" s="1" t="s">
        <v>13</v>
      </c>
      <c r="C2113" s="4" t="s">
        <v>9758</v>
      </c>
      <c r="D2113" s="1" t="s">
        <v>9759</v>
      </c>
      <c r="E2113" s="1" t="s">
        <v>9760</v>
      </c>
      <c r="F2113" s="4" t="s">
        <v>17</v>
      </c>
      <c r="G2113" s="1" t="s">
        <v>18</v>
      </c>
      <c r="H2113" s="1" t="s">
        <v>19</v>
      </c>
      <c r="I2113" s="1" t="s">
        <v>20</v>
      </c>
      <c r="J2113" s="1" t="s">
        <v>9761</v>
      </c>
      <c r="K2113" s="1" t="s">
        <v>22</v>
      </c>
      <c r="L2113" s="1" t="str">
        <f>HYPERLINK("https://files.afu.se/Downloads/Transcripts/0%20-%20Government/USA%20-%20NASA/2015 04 22 - NASA - STEM in 30 - Earth Day_bTaKUdtD0E0 - transcript (automated).pdf","Transcript Link")</f>
        <v>Transcript Link</v>
      </c>
      <c r="M2113" s="2" t="str">
        <f>HYPERLINK("https://files.afu.se/Downloads/Transcripts/0%20-%20Government/USA%20-%20NASA/2015 04 22 - NASA - STEM in 30 - Earth Day_bTaKUdtD0E0 - transcript (automated).pdf","Transcript Link")</f>
        <v>Transcript Link</v>
      </c>
    </row>
    <row r="2114" ht="165" spans="1:13">
      <c r="A2114" s="1" t="s">
        <v>9753</v>
      </c>
      <c r="B2114" s="1" t="s">
        <v>13</v>
      </c>
      <c r="C2114" s="4" t="s">
        <v>9762</v>
      </c>
      <c r="D2114" s="1" t="s">
        <v>9763</v>
      </c>
      <c r="E2114" s="1" t="s">
        <v>9764</v>
      </c>
      <c r="F2114" s="4" t="s">
        <v>17</v>
      </c>
      <c r="G2114" s="1" t="s">
        <v>18</v>
      </c>
      <c r="H2114" s="1" t="s">
        <v>19</v>
      </c>
      <c r="I2114" s="1" t="s">
        <v>20</v>
      </c>
      <c r="J2114" s="1" t="s">
        <v>9765</v>
      </c>
      <c r="K2114" s="1" t="s">
        <v>22</v>
      </c>
      <c r="L2114" s="1" t="str">
        <f>HYPERLINK("https://files.afu.se/Downloads/Transcripts/0%20-%20Government/USA%20-%20NASA/2015 04 22 - NASA - Space Station Crew Member Discusses Life in Space with Italian Officials and Students_FLKCMdSCQyA - transcript (automated).pdf","Transcript Link")</f>
        <v>Transcript Link</v>
      </c>
      <c r="M2114" s="2" t="str">
        <f>HYPERLINK("https://files.afu.se/Downloads/Transcripts/0%20-%20Government/USA%20-%20NASA/2015 04 22 - NASA - Space Station Crew Member Discusses Life in Space with Italian Officials and Students_FLKCMdSCQyA - transcript (automated).pdf","Transcript Link")</f>
        <v>Transcript Link</v>
      </c>
    </row>
    <row r="2115" ht="165" spans="1:13">
      <c r="A2115" s="1" t="s">
        <v>9766</v>
      </c>
      <c r="B2115" s="1" t="s">
        <v>13</v>
      </c>
      <c r="C2115" s="4" t="s">
        <v>9767</v>
      </c>
      <c r="D2115" s="1" t="s">
        <v>9768</v>
      </c>
      <c r="E2115" s="1" t="s">
        <v>9769</v>
      </c>
      <c r="F2115" s="4" t="s">
        <v>17</v>
      </c>
      <c r="G2115" s="1" t="s">
        <v>18</v>
      </c>
      <c r="H2115" s="1" t="s">
        <v>19</v>
      </c>
      <c r="I2115" s="1" t="s">
        <v>20</v>
      </c>
      <c r="J2115" s="1" t="s">
        <v>9770</v>
      </c>
      <c r="K2115" s="1" t="s">
        <v>22</v>
      </c>
      <c r="L2115" s="1" t="str">
        <f>HYPERLINK("https://files.afu.se/Downloads/Transcripts/0%20-%20Government/USA%20-%20NASA/2015 04 20 - NASA - Coming Soon  Hubble Space Telescope 25th Anniversary Film_t2oiaa1tdRE - transcript (automated).pdf","Transcript Link")</f>
        <v>Transcript Link</v>
      </c>
      <c r="M2115" s="2" t="str">
        <f>HYPERLINK("https://files.afu.se/Downloads/Transcripts/0%20-%20Government/USA%20-%20NASA/2015 04 20 - NASA - Coming Soon  Hubble Space Telescope 25th Anniversary Film_t2oiaa1tdRE - transcript (automated).pdf","Transcript Link")</f>
        <v>Transcript Link</v>
      </c>
    </row>
    <row r="2116" ht="165" spans="1:13">
      <c r="A2116" s="1" t="s">
        <v>9766</v>
      </c>
      <c r="B2116" s="1" t="s">
        <v>13</v>
      </c>
      <c r="C2116" s="4" t="s">
        <v>9771</v>
      </c>
      <c r="D2116" s="1" t="s">
        <v>5692</v>
      </c>
      <c r="E2116" s="1" t="s">
        <v>9772</v>
      </c>
      <c r="F2116" s="4" t="s">
        <v>17</v>
      </c>
      <c r="G2116" s="1" t="s">
        <v>18</v>
      </c>
      <c r="H2116" s="1" t="s">
        <v>19</v>
      </c>
      <c r="I2116" s="1" t="s">
        <v>20</v>
      </c>
      <c r="J2116" s="1" t="s">
        <v>9773</v>
      </c>
      <c r="K2116" s="1" t="s">
        <v>22</v>
      </c>
      <c r="L2116" s="1" t="str">
        <f>HYPERLINK("https://files.afu.se/Downloads/Transcripts/0%20-%20Government/USA%20-%20NASA/2015 04 20 - NASA - NASA Celebrates Earth Day_ULfPxf9Osg0 - transcript (automated).pdf","Transcript Link")</f>
        <v>Transcript Link</v>
      </c>
      <c r="M2116" s="2" t="str">
        <f>HYPERLINK("https://files.afu.se/Downloads/Transcripts/0%20-%20Government/USA%20-%20NASA/2015 04 20 - NASA - NASA Celebrates Earth Day_ULfPxf9Osg0 - transcript (automated).pdf","Transcript Link")</f>
        <v>Transcript Link</v>
      </c>
    </row>
    <row r="2117" ht="165" spans="1:13">
      <c r="A2117" s="1" t="s">
        <v>9774</v>
      </c>
      <c r="B2117" s="1" t="s">
        <v>13</v>
      </c>
      <c r="C2117" s="4" t="s">
        <v>9775</v>
      </c>
      <c r="D2117" s="1" t="s">
        <v>9776</v>
      </c>
      <c r="E2117" s="1" t="s">
        <v>9777</v>
      </c>
      <c r="F2117" s="4" t="s">
        <v>17</v>
      </c>
      <c r="G2117" s="1" t="s">
        <v>18</v>
      </c>
      <c r="H2117" s="1" t="s">
        <v>19</v>
      </c>
      <c r="I2117" s="1" t="s">
        <v>20</v>
      </c>
      <c r="J2117" s="1" t="s">
        <v>9778</v>
      </c>
      <c r="K2117" s="1" t="s">
        <v>22</v>
      </c>
      <c r="L2117" s="1" t="str">
        <f>HYPERLINK("https://files.afu.se/Downloads/Transcripts/0%20-%20Government/USA%20-%20NASA/2015 04 18 - NASA - NASA Administrator joins Earth Day event in Washington_n9XPbAYgkh8 - transcript (automated).pdf","Transcript Link")</f>
        <v>Transcript Link</v>
      </c>
      <c r="M2117" s="2" t="str">
        <f>HYPERLINK("https://files.afu.se/Downloads/Transcripts/0%20-%20Government/USA%20-%20NASA/2015 04 18 - NASA - NASA Administrator joins Earth Day event in Washington_n9XPbAYgkh8 - transcript (automated).pdf","Transcript Link")</f>
        <v>Transcript Link</v>
      </c>
    </row>
    <row r="2118" ht="165" spans="1:13">
      <c r="A2118" s="1" t="s">
        <v>9779</v>
      </c>
      <c r="B2118" s="1" t="s">
        <v>13</v>
      </c>
      <c r="C2118" s="4" t="s">
        <v>9780</v>
      </c>
      <c r="D2118" s="1" t="s">
        <v>9781</v>
      </c>
      <c r="E2118" s="1" t="s">
        <v>9782</v>
      </c>
      <c r="F2118" s="4" t="s">
        <v>17</v>
      </c>
      <c r="G2118" s="1" t="s">
        <v>18</v>
      </c>
      <c r="H2118" s="1" t="s">
        <v>19</v>
      </c>
      <c r="I2118" s="1" t="s">
        <v>20</v>
      </c>
      <c r="J2118" s="1" t="s">
        <v>9783</v>
      </c>
      <c r="K2118" s="1" t="s">
        <v>22</v>
      </c>
      <c r="L2118" s="1" t="str">
        <f>HYPERLINK("https://files.afu.se/Downloads/Transcripts/0%20-%20Government/USA%20-%20NASA/2015 04 17 - NASA - Another Dragon launches to the ISS on This Week @NASA-April 17, 2015_j7b8AV_wg7E - transcript (automated).pdf","Transcript Link")</f>
        <v>Transcript Link</v>
      </c>
      <c r="M2118" s="2" t="str">
        <f>HYPERLINK("https://files.afu.se/Downloads/Transcripts/0%20-%20Government/USA%20-%20NASA/2015 04 17 - NASA - Another Dragon launches to the ISS on This Week @NASA-April 17, 2015_j7b8AV_wg7E - transcript (automated).pdf","Transcript Link")</f>
        <v>Transcript Link</v>
      </c>
    </row>
    <row r="2119" ht="165" spans="1:13">
      <c r="A2119" s="1" t="s">
        <v>9779</v>
      </c>
      <c r="B2119" s="1" t="s">
        <v>13</v>
      </c>
      <c r="C2119" s="4" t="s">
        <v>9784</v>
      </c>
      <c r="D2119" s="1" t="s">
        <v>9785</v>
      </c>
      <c r="E2119" s="1" t="s">
        <v>9786</v>
      </c>
      <c r="F2119" s="4" t="s">
        <v>17</v>
      </c>
      <c r="G2119" s="1" t="s">
        <v>18</v>
      </c>
      <c r="H2119" s="1" t="s">
        <v>19</v>
      </c>
      <c r="I2119" s="1" t="s">
        <v>20</v>
      </c>
      <c r="J2119" s="1" t="s">
        <v>9787</v>
      </c>
      <c r="K2119" s="1" t="s">
        <v>22</v>
      </c>
      <c r="L2119" s="1" t="str">
        <f>HYPERLINK("https://files.afu.se/Downloads/Transcripts/0%20-%20Government/USA%20-%20NASA/2015 04 17 - NASA - SpaceX Dragon Commercial Cargo Ship Arrives at the International Space Station_em2seQyBSjE - transcript (automated).pdf","Transcript Link")</f>
        <v>Transcript Link</v>
      </c>
      <c r="M2119" s="2" t="str">
        <f>HYPERLINK("https://files.afu.se/Downloads/Transcripts/0%20-%20Government/USA%20-%20NASA/2015 04 17 - NASA - SpaceX Dragon Commercial Cargo Ship Arrives at the International Space Station_em2seQyBSjE - transcript (automated).pdf","Transcript Link")</f>
        <v>Transcript Link</v>
      </c>
    </row>
    <row r="2120" ht="409.5" spans="1:13">
      <c r="A2120" s="1" t="s">
        <v>9788</v>
      </c>
      <c r="B2120" s="1" t="s">
        <v>13</v>
      </c>
      <c r="C2120" s="4" t="s">
        <v>9789</v>
      </c>
      <c r="D2120" s="1" t="s">
        <v>9790</v>
      </c>
      <c r="E2120" s="1" t="s">
        <v>9791</v>
      </c>
      <c r="F2120" s="4" t="s">
        <v>17</v>
      </c>
      <c r="G2120" s="1" t="s">
        <v>18</v>
      </c>
      <c r="H2120" s="1" t="s">
        <v>19</v>
      </c>
      <c r="I2120" s="1" t="s">
        <v>20</v>
      </c>
      <c r="J2120" s="1" t="s">
        <v>9792</v>
      </c>
      <c r="K2120" s="1" t="s">
        <v>22</v>
      </c>
      <c r="L2120" s="1" t="str">
        <f>HYPERLINK("https://files.afu.se/Downloads/Transcripts/0%20-%20Government/USA%20-%20NASA/2015 04 16 - NASA - NASA Celebrates MESSENGER Mission Prior to Surface Impact on Planet Mercury_ZCclu4c9Yk4 - transcript (automated).pdf","Transcript Link")</f>
        <v>Transcript Link</v>
      </c>
      <c r="M2120" s="2" t="str">
        <f>HYPERLINK("https://files.afu.se/Downloads/Transcripts/0%20-%20Government/USA%20-%20NASA/2015 04 16 - NASA - NASA Celebrates MESSENGER Mission Prior to Surface Impact on Planet Mercury_ZCclu4c9Yk4 - transcript (automated).pdf","Transcript Link")</f>
        <v>Transcript Link</v>
      </c>
    </row>
    <row r="2121" ht="409.5" spans="1:13">
      <c r="A2121" s="1" t="s">
        <v>9793</v>
      </c>
      <c r="B2121" s="1" t="s">
        <v>13</v>
      </c>
      <c r="C2121" s="4" t="s">
        <v>9794</v>
      </c>
      <c r="D2121" s="1" t="s">
        <v>9795</v>
      </c>
      <c r="E2121" s="1" t="s">
        <v>9796</v>
      </c>
      <c r="F2121" s="4" t="s">
        <v>17</v>
      </c>
      <c r="G2121" s="1" t="s">
        <v>18</v>
      </c>
      <c r="H2121" s="1" t="s">
        <v>19</v>
      </c>
      <c r="I2121" s="1" t="s">
        <v>20</v>
      </c>
      <c r="J2121" s="1" t="s">
        <v>9797</v>
      </c>
      <c r="K2121" s="1" t="s">
        <v>22</v>
      </c>
      <c r="L2121" s="1" t="str">
        <f>HYPERLINK("https://files.afu.se/Downloads/Transcripts/0%20-%20Government/USA%20-%20NASA/2015 04 15 - NASA - Update on the President's 2010 Exploration Goals_DrSm-qMnhBg - transcript (automated).pdf","Transcript Link")</f>
        <v>Transcript Link</v>
      </c>
      <c r="M2121" s="2" t="str">
        <f>HYPERLINK("https://files.afu.se/Downloads/Transcripts/0%20-%20Government/USA%20-%20NASA/2015 04 15 - NASA - Update on the President's 2010 Exploration Goals_DrSm-qMnhBg - transcript (automated).pdf","Transcript Link")</f>
        <v>Transcript Link</v>
      </c>
    </row>
    <row r="2122" ht="225" spans="1:13">
      <c r="A2122" s="1" t="s">
        <v>9793</v>
      </c>
      <c r="B2122" s="1" t="s">
        <v>13</v>
      </c>
      <c r="C2122" s="4" t="s">
        <v>9798</v>
      </c>
      <c r="D2122" s="1" t="s">
        <v>9799</v>
      </c>
      <c r="E2122" s="1" t="s">
        <v>9800</v>
      </c>
      <c r="F2122" s="4" t="s">
        <v>17</v>
      </c>
      <c r="G2122" s="1" t="s">
        <v>18</v>
      </c>
      <c r="H2122" s="1" t="s">
        <v>19</v>
      </c>
      <c r="I2122" s="1" t="s">
        <v>20</v>
      </c>
      <c r="J2122" s="1" t="s">
        <v>9801</v>
      </c>
      <c r="K2122" s="1" t="s">
        <v>22</v>
      </c>
      <c r="L2122" s="1" t="str">
        <f>HYPERLINK("https://files.afu.se/Downloads/Transcripts/0%20-%20Government/USA%20-%20NASA/2015 04 15 - NASA - SpaceX Dragon Cargo Mission Post Launch News Conference from NASA's Kennedy Space Center in Florida_L30v3D4DZCg - transcript (automated).pdf","Transcript Link")</f>
        <v>Transcript Link</v>
      </c>
      <c r="M2122" s="2" t="str">
        <f>HYPERLINK("https://files.afu.se/Downloads/Transcripts/0%20-%20Government/USA%20-%20NASA/2015 04 15 - NASA - SpaceX Dragon Cargo Mission Post Launch News Conference from NASA's Kennedy Space Center in Florida_L30v3D4DZCg - transcript (automated).pdf","Transcript Link")</f>
        <v>Transcript Link</v>
      </c>
    </row>
    <row r="2123" ht="360" spans="1:13">
      <c r="A2123" s="1" t="s">
        <v>9802</v>
      </c>
      <c r="B2123" s="1" t="s">
        <v>13</v>
      </c>
      <c r="C2123" s="4" t="s">
        <v>9803</v>
      </c>
      <c r="D2123" s="1" t="s">
        <v>9804</v>
      </c>
      <c r="E2123" s="1" t="s">
        <v>9805</v>
      </c>
      <c r="F2123" s="4" t="s">
        <v>17</v>
      </c>
      <c r="G2123" s="1" t="s">
        <v>18</v>
      </c>
      <c r="H2123" s="1" t="s">
        <v>19</v>
      </c>
      <c r="I2123" s="1" t="s">
        <v>20</v>
      </c>
      <c r="J2123" s="1" t="s">
        <v>9806</v>
      </c>
      <c r="K2123" s="1" t="s">
        <v>22</v>
      </c>
      <c r="L2123" s="1" t="str">
        <f>HYPERLINK("https://files.afu.se/Downloads/Transcripts/0%20-%20Government/USA%20-%20NASA/2015 04 14 - NASA - SpaceX Dragon Commercial Cargo Ship Speeds to the International Space Station_E_s_ZxVsCvQ - transcript (automated).pdf","Transcript Link")</f>
        <v>Transcript Link</v>
      </c>
      <c r="M2123" s="2" t="str">
        <f>HYPERLINK("https://files.afu.se/Downloads/Transcripts/0%20-%20Government/USA%20-%20NASA/2015 04 14 - NASA - SpaceX Dragon Commercial Cargo Ship Speeds to the International Space Station_E_s_ZxVsCvQ - transcript (automated).pdf","Transcript Link")</f>
        <v>Transcript Link</v>
      </c>
    </row>
    <row r="2124" ht="409.5" spans="1:13">
      <c r="A2124" s="1" t="s">
        <v>9802</v>
      </c>
      <c r="B2124" s="1" t="s">
        <v>13</v>
      </c>
      <c r="C2124" s="4" t="s">
        <v>9807</v>
      </c>
      <c r="D2124" s="1" t="s">
        <v>9808</v>
      </c>
      <c r="E2124" s="1" t="s">
        <v>9809</v>
      </c>
      <c r="F2124" s="4" t="s">
        <v>17</v>
      </c>
      <c r="G2124" s="1" t="s">
        <v>18</v>
      </c>
      <c r="H2124" s="1" t="s">
        <v>19</v>
      </c>
      <c r="I2124" s="1" t="s">
        <v>20</v>
      </c>
      <c r="J2124" s="1" t="s">
        <v>9810</v>
      </c>
      <c r="K2124" s="1" t="s">
        <v>22</v>
      </c>
      <c r="L2124" s="1" t="str">
        <f>HYPERLINK("https://files.afu.se/Downloads/Transcripts/0%20-%20Government/USA%20-%20NASA/2015 04 14 - NASA - NASA's New Horizons Spacecraft  Getting to Pluto_OOx7Oi7go3E - transcript (automated).pdf","Transcript Link")</f>
        <v>Transcript Link</v>
      </c>
      <c r="M2124" s="2" t="str">
        <f>HYPERLINK("https://files.afu.se/Downloads/Transcripts/0%20-%20Government/USA%20-%20NASA/2015 04 14 - NASA - NASA's New Horizons Spacecraft  Getting to Pluto_OOx7Oi7go3E - transcript (automated).pdf","Transcript Link")</f>
        <v>Transcript Link</v>
      </c>
    </row>
    <row r="2125" ht="409.5" spans="1:13">
      <c r="A2125" s="1" t="s">
        <v>9802</v>
      </c>
      <c r="B2125" s="1" t="s">
        <v>13</v>
      </c>
      <c r="C2125" s="4" t="s">
        <v>9811</v>
      </c>
      <c r="D2125" s="1" t="s">
        <v>9812</v>
      </c>
      <c r="E2125" s="1" t="s">
        <v>9813</v>
      </c>
      <c r="F2125" s="4" t="s">
        <v>17</v>
      </c>
      <c r="G2125" s="1" t="s">
        <v>18</v>
      </c>
      <c r="H2125" s="1" t="s">
        <v>19</v>
      </c>
      <c r="I2125" s="1" t="s">
        <v>20</v>
      </c>
      <c r="J2125" s="1" t="s">
        <v>9814</v>
      </c>
      <c r="K2125" s="1" t="s">
        <v>22</v>
      </c>
      <c r="L2125" s="1" t="str">
        <f>HYPERLINK("https://files.afu.se/Downloads/Transcripts/0%20-%20Government/USA%20-%20NASA/2015 04 14 - NASA - NASA's New Horizons Spacecraft  Seeing Pluto as Never Before_Ej3HUvLw_sA - transcript (automated).pdf","Transcript Link")</f>
        <v>Transcript Link</v>
      </c>
      <c r="M2125" s="2" t="str">
        <f>HYPERLINK("https://files.afu.se/Downloads/Transcripts/0%20-%20Government/USA%20-%20NASA/2015 04 14 - NASA - NASA's New Horizons Spacecraft  Seeing Pluto as Never Before_Ej3HUvLw_sA - transcript (automated).pdf","Transcript Link")</f>
        <v>Transcript Link</v>
      </c>
    </row>
    <row r="2126" ht="409.5" spans="1:13">
      <c r="A2126" s="1" t="s">
        <v>9815</v>
      </c>
      <c r="B2126" s="1" t="s">
        <v>13</v>
      </c>
      <c r="C2126" s="4" t="s">
        <v>9816</v>
      </c>
      <c r="D2126" s="1" t="s">
        <v>9817</v>
      </c>
      <c r="E2126" s="1" t="s">
        <v>9818</v>
      </c>
      <c r="F2126" s="4" t="s">
        <v>17</v>
      </c>
      <c r="G2126" s="1" t="s">
        <v>18</v>
      </c>
      <c r="H2126" s="1" t="s">
        <v>19</v>
      </c>
      <c r="I2126" s="1" t="s">
        <v>20</v>
      </c>
      <c r="J2126" s="1" t="s">
        <v>9819</v>
      </c>
      <c r="K2126" s="1" t="s">
        <v>22</v>
      </c>
      <c r="L2126" s="1" t="str">
        <f>HYPERLINK("https://files.afu.se/Downloads/Transcripts/0%20-%20Government/USA%20-%20NASA/2015 04 12 - NASA - SPACEX SIX PRELAUNCH NEWS CONFERENCE ON NASA TV_wbb_2uhQuUs - transcript (automated).pdf","Transcript Link")</f>
        <v>Transcript Link</v>
      </c>
      <c r="M2126" s="2" t="str">
        <f>HYPERLINK("https://files.afu.se/Downloads/Transcripts/0%20-%20Government/USA%20-%20NASA/2015 04 12 - NASA - SPACEX SIX PRELAUNCH NEWS CONFERENCE ON NASA TV_wbb_2uhQuUs - transcript (automated).pdf","Transcript Link")</f>
        <v>Transcript Link</v>
      </c>
    </row>
    <row r="2127" ht="409.5" spans="1:13">
      <c r="A2127" s="1" t="s">
        <v>9815</v>
      </c>
      <c r="B2127" s="1" t="s">
        <v>13</v>
      </c>
      <c r="C2127" s="4" t="s">
        <v>9820</v>
      </c>
      <c r="D2127" s="1" t="s">
        <v>9821</v>
      </c>
      <c r="E2127" s="1" t="s">
        <v>9822</v>
      </c>
      <c r="F2127" s="4" t="s">
        <v>17</v>
      </c>
      <c r="G2127" s="1" t="s">
        <v>18</v>
      </c>
      <c r="H2127" s="1" t="s">
        <v>19</v>
      </c>
      <c r="I2127" s="1" t="s">
        <v>20</v>
      </c>
      <c r="J2127" s="1" t="s">
        <v>9823</v>
      </c>
      <c r="K2127" s="1" t="s">
        <v>22</v>
      </c>
      <c r="L2127" s="1" t="str">
        <f>HYPERLINK("https://files.afu.se/Downloads/Transcripts/0%20-%20Government/USA%20-%20NASA/2015 04 12 - NASA - ISS NATIONAL LAB PANEL ON NASA TV_MuTWWuBytv0 - transcript (automated).pdf","Transcript Link")</f>
        <v>Transcript Link</v>
      </c>
      <c r="M2127" s="2" t="str">
        <f>HYPERLINK("https://files.afu.se/Downloads/Transcripts/0%20-%20Government/USA%20-%20NASA/2015 04 12 - NASA - ISS NATIONAL LAB PANEL ON NASA TV_MuTWWuBytv0 - transcript (automated).pdf","Transcript Link")</f>
        <v>Transcript Link</v>
      </c>
    </row>
    <row r="2128" ht="390" spans="1:13">
      <c r="A2128" s="1" t="s">
        <v>9815</v>
      </c>
      <c r="B2128" s="1" t="s">
        <v>13</v>
      </c>
      <c r="C2128" s="4" t="s">
        <v>9824</v>
      </c>
      <c r="D2128" s="1" t="s">
        <v>9825</v>
      </c>
      <c r="E2128" s="1" t="s">
        <v>9826</v>
      </c>
      <c r="F2128" s="4" t="s">
        <v>17</v>
      </c>
      <c r="G2128" s="1" t="s">
        <v>18</v>
      </c>
      <c r="H2128" s="1" t="s">
        <v>19</v>
      </c>
      <c r="I2128" s="1" t="s">
        <v>20</v>
      </c>
      <c r="J2128" s="1" t="s">
        <v>9827</v>
      </c>
      <c r="K2128" s="1" t="s">
        <v>22</v>
      </c>
      <c r="L2128" s="1" t="str">
        <f>HYPERLINK("https://files.afu.se/Downloads/Transcripts/0%20-%20Government/USA%20-%20NASA/2015 04 12 - NASA - ISS SCIENCE, RESEARCH AND TECHNOLOGY PANEL ON NASA TV_h9h0k02OsXw - transcript (automated).pdf","Transcript Link")</f>
        <v>Transcript Link</v>
      </c>
      <c r="M2128" s="2" t="str">
        <f>HYPERLINK("https://files.afu.se/Downloads/Transcripts/0%20-%20Government/USA%20-%20NASA/2015 04 12 - NASA - ISS SCIENCE, RESEARCH AND TECHNOLOGY PANEL ON NASA TV_h9h0k02OsXw - transcript (automated).pdf","Transcript Link")</f>
        <v>Transcript Link</v>
      </c>
    </row>
    <row r="2129" ht="195" spans="1:13">
      <c r="A2129" s="1" t="s">
        <v>9828</v>
      </c>
      <c r="B2129" s="1" t="s">
        <v>13</v>
      </c>
      <c r="C2129" s="4" t="s">
        <v>9829</v>
      </c>
      <c r="D2129" s="1" t="s">
        <v>9830</v>
      </c>
      <c r="E2129" s="1" t="s">
        <v>9831</v>
      </c>
      <c r="F2129" s="4" t="s">
        <v>17</v>
      </c>
      <c r="G2129" s="1" t="s">
        <v>18</v>
      </c>
      <c r="H2129" s="1" t="s">
        <v>19</v>
      </c>
      <c r="I2129" s="1" t="s">
        <v>20</v>
      </c>
      <c r="J2129" s="1" t="s">
        <v>9832</v>
      </c>
      <c r="K2129" s="1" t="s">
        <v>22</v>
      </c>
      <c r="L2129" s="1" t="str">
        <f>HYPERLINK("https://files.afu.se/Downloads/Transcripts/0%20-%20Government/USA%20-%20NASA/2015 04 10 - NASA - Water in the universe on This Week @NASA_LoEcLekZ-fw - transcript (automated).pdf","Transcript Link")</f>
        <v>Transcript Link</v>
      </c>
      <c r="M2129" s="2" t="str">
        <f>HYPERLINK("https://files.afu.se/Downloads/Transcripts/0%20-%20Government/USA%20-%20NASA/2015 04 10 - NASA - Water in the universe on This Week @NASA_LoEcLekZ-fw - transcript (automated).pdf","Transcript Link")</f>
        <v>Transcript Link</v>
      </c>
    </row>
    <row r="2130" ht="165" spans="1:13">
      <c r="A2130" s="1" t="s">
        <v>9833</v>
      </c>
      <c r="B2130" s="1" t="s">
        <v>13</v>
      </c>
      <c r="C2130" s="4" t="s">
        <v>9834</v>
      </c>
      <c r="D2130" s="1" t="s">
        <v>9835</v>
      </c>
      <c r="E2130" s="1" t="s">
        <v>9836</v>
      </c>
      <c r="F2130" s="4" t="s">
        <v>17</v>
      </c>
      <c r="G2130" s="1" t="s">
        <v>18</v>
      </c>
      <c r="H2130" s="1" t="s">
        <v>19</v>
      </c>
      <c r="I2130" s="1" t="s">
        <v>20</v>
      </c>
      <c r="J2130" s="1" t="s">
        <v>9837</v>
      </c>
      <c r="K2130" s="1" t="s">
        <v>22</v>
      </c>
      <c r="L2130" s="1" t="str">
        <f>HYPERLINK("https://files.afu.se/Downloads/Transcripts/0%20-%20Government/USA%20-%20NASA/2015 04 08 - NASA - Space Station Crew Member Discusses Life in Space with the Italian Prime Minister_KiJg-GDzcNw - transcript (automated).pdf","Transcript Link")</f>
        <v>Transcript Link</v>
      </c>
      <c r="M2130" s="2" t="str">
        <f>HYPERLINK("https://files.afu.se/Downloads/Transcripts/0%20-%20Government/USA%20-%20NASA/2015 04 08 - NASA - Space Station Crew Member Discusses Life in Space with the Italian Prime Minister_KiJg-GDzcNw - transcript (automated).pdf","Transcript Link")</f>
        <v>Transcript Link</v>
      </c>
    </row>
    <row r="2131" ht="165" spans="1:13">
      <c r="A2131" s="1" t="s">
        <v>9838</v>
      </c>
      <c r="B2131" s="1" t="s">
        <v>13</v>
      </c>
      <c r="C2131" s="4" t="s">
        <v>9839</v>
      </c>
      <c r="D2131" s="1" t="s">
        <v>9840</v>
      </c>
      <c r="E2131" s="1" t="s">
        <v>9841</v>
      </c>
      <c r="F2131" s="4" t="s">
        <v>17</v>
      </c>
      <c r="G2131" s="1" t="s">
        <v>18</v>
      </c>
      <c r="H2131" s="1" t="s">
        <v>19</v>
      </c>
      <c r="I2131" s="1" t="s">
        <v>20</v>
      </c>
      <c r="J2131" s="1" t="s">
        <v>9842</v>
      </c>
      <c r="K2131" s="1" t="s">
        <v>22</v>
      </c>
      <c r="L2131" s="1" t="str">
        <f>HYPERLINK("https://files.afu.se/Downloads/Transcripts/0%20-%20Government/USA%20-%20NASA/2015 04 07 - NASA - Water in the Universe_eiAT41aHaH4 - transcript (automated).pdf","Transcript Link")</f>
        <v>Transcript Link</v>
      </c>
      <c r="M2131" s="2" t="str">
        <f>HYPERLINK("https://files.afu.se/Downloads/Transcripts/0%20-%20Government/USA%20-%20NASA/2015 04 07 - NASA - Water in the Universe_eiAT41aHaH4 - transcript (automated).pdf","Transcript Link")</f>
        <v>Transcript Link</v>
      </c>
    </row>
    <row r="2132" ht="165" spans="1:13">
      <c r="A2132" s="1" t="s">
        <v>9838</v>
      </c>
      <c r="B2132" s="1" t="s">
        <v>13</v>
      </c>
      <c r="C2132" s="4" t="s">
        <v>9843</v>
      </c>
      <c r="D2132" s="1" t="s">
        <v>9844</v>
      </c>
      <c r="E2132" s="1" t="s">
        <v>9845</v>
      </c>
      <c r="F2132" s="4" t="s">
        <v>17</v>
      </c>
      <c r="G2132" s="1" t="s">
        <v>18</v>
      </c>
      <c r="H2132" s="1" t="s">
        <v>19</v>
      </c>
      <c r="I2132" s="1" t="s">
        <v>20</v>
      </c>
      <c r="J2132" s="1" t="s">
        <v>9846</v>
      </c>
      <c r="K2132" s="1" t="s">
        <v>22</v>
      </c>
      <c r="L2132" s="1" t="str">
        <f>HYPERLINK("https://files.afu.se/Downloads/Transcripts/0%20-%20Government/USA%20-%20NASA/2015 04 07 - NASA - A Story of Ozone-NASA TED Talk with Dr. Paul Newman_IeVxBM8Avo4 - transcript (automated).pdf","Transcript Link")</f>
        <v>Transcript Link</v>
      </c>
      <c r="M2132" s="2" t="str">
        <f>HYPERLINK("https://files.afu.se/Downloads/Transcripts/0%20-%20Government/USA%20-%20NASA/2015 04 07 - NASA - A Story of Ozone-NASA TED Talk with Dr. Paul Newman_IeVxBM8Avo4 - transcript (automated).pdf","Transcript Link")</f>
        <v>Transcript Link</v>
      </c>
    </row>
    <row r="2133" ht="165" spans="1:13">
      <c r="A2133" s="1" t="s">
        <v>9847</v>
      </c>
      <c r="B2133" s="1" t="s">
        <v>13</v>
      </c>
      <c r="C2133" s="4" t="s">
        <v>9848</v>
      </c>
      <c r="D2133" s="1" t="s">
        <v>9849</v>
      </c>
      <c r="E2133" s="1" t="s">
        <v>9850</v>
      </c>
      <c r="F2133" s="4" t="s">
        <v>17</v>
      </c>
      <c r="G2133" s="1" t="s">
        <v>18</v>
      </c>
      <c r="H2133" s="1" t="s">
        <v>19</v>
      </c>
      <c r="I2133" s="1" t="s">
        <v>20</v>
      </c>
      <c r="J2133" s="1" t="s">
        <v>9851</v>
      </c>
      <c r="K2133" s="1" t="s">
        <v>22</v>
      </c>
      <c r="L2133" s="1" t="str">
        <f>HYPERLINK("https://files.afu.se/Downloads/Transcripts/0%20-%20Government/USA%20-%20NASA/2015 04 06 - NASA - Space Station Crew Discusses Life in Space with Texas Students_-fFDZyjMiTA - transcript (automated).pdf","Transcript Link")</f>
        <v>Transcript Link</v>
      </c>
      <c r="M2133" s="2" t="str">
        <f>HYPERLINK("https://files.afu.se/Downloads/Transcripts/0%20-%20Government/USA%20-%20NASA/2015 04 06 - NASA - Space Station Crew Discusses Life in Space with Texas Students_-fFDZyjMiTA - transcript (automated).pdf","Transcript Link")</f>
        <v>Transcript Link</v>
      </c>
    </row>
    <row r="2134" ht="165" spans="1:13">
      <c r="A2134" s="1" t="s">
        <v>9852</v>
      </c>
      <c r="B2134" s="1" t="s">
        <v>13</v>
      </c>
      <c r="C2134" s="4" t="s">
        <v>9853</v>
      </c>
      <c r="D2134" s="1" t="s">
        <v>9854</v>
      </c>
      <c r="E2134" s="1" t="s">
        <v>9855</v>
      </c>
      <c r="F2134" s="4" t="s">
        <v>17</v>
      </c>
      <c r="G2134" s="1" t="s">
        <v>18</v>
      </c>
      <c r="H2134" s="1" t="s">
        <v>19</v>
      </c>
      <c r="I2134" s="1" t="s">
        <v>20</v>
      </c>
      <c r="J2134" s="1" t="s">
        <v>9856</v>
      </c>
      <c r="K2134" s="1" t="s">
        <v>22</v>
      </c>
      <c r="L2134" s="1" t="str">
        <f>HYPERLINK("https://files.afu.se/Downloads/Transcripts/0%20-%20Government/USA%20-%20NASA/2015 04 04 - NASA - Shortest Lunar Eclipse of the Century_KCOR2FFXf4I - transcript (automated).pdf","Transcript Link")</f>
        <v>Transcript Link</v>
      </c>
      <c r="M2134" s="2" t="str">
        <f>HYPERLINK("https://files.afu.se/Downloads/Transcripts/0%20-%20Government/USA%20-%20NASA/2015 04 04 - NASA - Shortest Lunar Eclipse of the Century_KCOR2FFXf4I - transcript (automated).pdf","Transcript Link")</f>
        <v>Transcript Link</v>
      </c>
    </row>
    <row r="2135" ht="195" spans="1:13">
      <c r="A2135" s="1" t="s">
        <v>9857</v>
      </c>
      <c r="B2135" s="1" t="s">
        <v>13</v>
      </c>
      <c r="C2135" s="4" t="s">
        <v>9858</v>
      </c>
      <c r="D2135" s="1" t="s">
        <v>9859</v>
      </c>
      <c r="E2135" s="1" t="s">
        <v>9860</v>
      </c>
      <c r="F2135" s="4" t="s">
        <v>17</v>
      </c>
      <c r="G2135" s="1" t="s">
        <v>18</v>
      </c>
      <c r="H2135" s="1" t="s">
        <v>19</v>
      </c>
      <c r="I2135" s="1" t="s">
        <v>20</v>
      </c>
      <c r="J2135" s="1" t="s">
        <v>9861</v>
      </c>
      <c r="K2135" s="1" t="s">
        <v>22</v>
      </c>
      <c r="L2135" s="1" t="str">
        <f>HYPERLINK("https://files.afu.se/Downloads/Transcripts/0%20-%20Government/USA%20-%20NASA/2015 04 03 - NASA - One-year mission underway on This Week @NASA_UqjkbJR3kEc - transcript (automated).pdf","Transcript Link")</f>
        <v>Transcript Link</v>
      </c>
      <c r="M2135" s="2" t="str">
        <f>HYPERLINK("https://files.afu.se/Downloads/Transcripts/0%20-%20Government/USA%20-%20NASA/2015 04 03 - NASA - One-year mission underway on This Week @NASA_UqjkbJR3kEc - transcript (automated).pdf","Transcript Link")</f>
        <v>Transcript Link</v>
      </c>
    </row>
    <row r="2136" ht="165" spans="1:13">
      <c r="A2136" s="1" t="s">
        <v>9862</v>
      </c>
      <c r="B2136" s="1" t="s">
        <v>13</v>
      </c>
      <c r="C2136" s="4" t="s">
        <v>9863</v>
      </c>
      <c r="D2136" s="1" t="s">
        <v>9864</v>
      </c>
      <c r="E2136" s="1" t="s">
        <v>9865</v>
      </c>
      <c r="F2136" s="4" t="s">
        <v>17</v>
      </c>
      <c r="G2136" s="1" t="s">
        <v>18</v>
      </c>
      <c r="H2136" s="1" t="s">
        <v>19</v>
      </c>
      <c r="I2136" s="1" t="s">
        <v>20</v>
      </c>
      <c r="J2136" s="1" t="s">
        <v>9866</v>
      </c>
      <c r="K2136" s="1" t="s">
        <v>22</v>
      </c>
      <c r="L2136" s="1" t="str">
        <f>HYPERLINK("https://files.afu.se/Downloads/Transcripts/0%20-%20Government/USA%20-%20NASA/2015 04 02 - NASA - NASA Women’s History Month Profile – Rhonda Smitherman Hickman (Michoud Assembly Facility)_tEqLHFpfkRY - transcript (automated).pdf","Transcript Link")</f>
        <v>Transcript Link</v>
      </c>
      <c r="M2136" s="2" t="str">
        <f>HYPERLINK("https://files.afu.se/Downloads/Transcripts/0%20-%20Government/USA%20-%20NASA/2015 04 02 - NASA - NASA Women’s History Month Profile – Rhonda Smitherman Hickman (Michoud Assembly Facility)_tEqLHFpfkRY - transcript (automated).pdf","Transcript Link")</f>
        <v>Transcript Link</v>
      </c>
    </row>
    <row r="2137" ht="165" spans="1:13">
      <c r="A2137" s="1" t="s">
        <v>9862</v>
      </c>
      <c r="B2137" s="1" t="s">
        <v>13</v>
      </c>
      <c r="C2137" s="4" t="s">
        <v>9867</v>
      </c>
      <c r="D2137" s="1" t="s">
        <v>9868</v>
      </c>
      <c r="E2137" s="1" t="s">
        <v>9869</v>
      </c>
      <c r="F2137" s="4" t="s">
        <v>17</v>
      </c>
      <c r="G2137" s="1" t="s">
        <v>18</v>
      </c>
      <c r="H2137" s="1" t="s">
        <v>19</v>
      </c>
      <c r="I2137" s="1" t="s">
        <v>20</v>
      </c>
      <c r="J2137" s="1" t="s">
        <v>9870</v>
      </c>
      <c r="K2137" s="1" t="s">
        <v>22</v>
      </c>
      <c r="L2137" s="1" t="str">
        <f>HYPERLINK("https://files.afu.se/Downloads/Transcripts/0%20-%20Government/USA%20-%20NASA/2015 04 02 - NASA - NASA Women’s History Month Profile – Cynthia Spraul (Michoud Assembly Facility)_xH7ZDQFGbus - transcript (automated).pdf","Transcript Link")</f>
        <v>Transcript Link</v>
      </c>
      <c r="M2137" s="2" t="str">
        <f>HYPERLINK("https://files.afu.se/Downloads/Transcripts/0%20-%20Government/USA%20-%20NASA/2015 04 02 - NASA - NASA Women’s History Month Profile – Cynthia Spraul (Michoud Assembly Facility)_xH7ZDQFGbus - transcript (automated).pdf","Transcript Link")</f>
        <v>Transcript Link</v>
      </c>
    </row>
    <row r="2138" ht="165" spans="1:13">
      <c r="A2138" s="1" t="s">
        <v>9862</v>
      </c>
      <c r="B2138" s="1" t="s">
        <v>13</v>
      </c>
      <c r="C2138" s="4" t="s">
        <v>9871</v>
      </c>
      <c r="D2138" s="1" t="s">
        <v>9872</v>
      </c>
      <c r="E2138" s="1" t="s">
        <v>9873</v>
      </c>
      <c r="F2138" s="4" t="s">
        <v>17</v>
      </c>
      <c r="G2138" s="1" t="s">
        <v>18</v>
      </c>
      <c r="H2138" s="1" t="s">
        <v>19</v>
      </c>
      <c r="I2138" s="1" t="s">
        <v>20</v>
      </c>
      <c r="J2138" s="1" t="s">
        <v>9874</v>
      </c>
      <c r="K2138" s="1" t="s">
        <v>22</v>
      </c>
      <c r="L2138" s="1" t="str">
        <f>HYPERLINK("https://files.afu.se/Downloads/Transcripts/0%20-%20Government/USA%20-%20NASA/2015 04 02 - NASA - NASA Women’s History Month Profile – Renee Horton (Michoud Assembly Facility)_QV7MO29BnME - transcript (automated).pdf","Transcript Link")</f>
        <v>Transcript Link</v>
      </c>
      <c r="M2138" s="2" t="str">
        <f>HYPERLINK("https://files.afu.se/Downloads/Transcripts/0%20-%20Government/USA%20-%20NASA/2015 04 02 - NASA - NASA Women’s History Month Profile – Renee Horton (Michoud Assembly Facility)_QV7MO29BnME - transcript (automated).pdf","Transcript Link")</f>
        <v>Transcript Link</v>
      </c>
    </row>
    <row r="2139" ht="165" spans="1:13">
      <c r="A2139" s="1" t="s">
        <v>9875</v>
      </c>
      <c r="B2139" s="1" t="s">
        <v>13</v>
      </c>
      <c r="C2139" s="4" t="s">
        <v>9876</v>
      </c>
      <c r="D2139" s="1" t="s">
        <v>9877</v>
      </c>
      <c r="E2139" s="1" t="s">
        <v>9878</v>
      </c>
      <c r="F2139" s="4" t="s">
        <v>17</v>
      </c>
      <c r="G2139" s="1" t="s">
        <v>18</v>
      </c>
      <c r="H2139" s="1" t="s">
        <v>19</v>
      </c>
      <c r="I2139" s="1" t="s">
        <v>20</v>
      </c>
      <c r="J2139" s="1" t="s">
        <v>9879</v>
      </c>
      <c r="K2139" s="1" t="s">
        <v>22</v>
      </c>
      <c r="L2139" s="1" t="str">
        <f>HYPERLINK("https://files.afu.se/Downloads/Transcripts/0%20-%20Government/USA%20-%20NASA/2015 04 01 - NASA - NASA Women’s History Month Profile – Kate McMurtry (Armstrong Flight Research Center)_Je4CfrNNJ1A - transcript (automated).pdf","Transcript Link")</f>
        <v>Transcript Link</v>
      </c>
      <c r="M2139" s="2" t="str">
        <f>HYPERLINK("https://files.afu.se/Downloads/Transcripts/0%20-%20Government/USA%20-%20NASA/2015 04 01 - NASA - NASA Women’s History Month Profile – Kate McMurtry (Armstrong Flight Research Center)_Je4CfrNNJ1A - transcript (automated).pdf","Transcript Link")</f>
        <v>Transcript Link</v>
      </c>
    </row>
    <row r="2140" ht="195" spans="1:13">
      <c r="A2140" s="1" t="s">
        <v>9880</v>
      </c>
      <c r="B2140" s="1" t="s">
        <v>13</v>
      </c>
      <c r="C2140" s="4" t="s">
        <v>9881</v>
      </c>
      <c r="D2140" s="1" t="s">
        <v>9882</v>
      </c>
      <c r="E2140" s="1" t="s">
        <v>9883</v>
      </c>
      <c r="F2140" s="4" t="s">
        <v>17</v>
      </c>
      <c r="G2140" s="1" t="s">
        <v>18</v>
      </c>
      <c r="H2140" s="1" t="s">
        <v>19</v>
      </c>
      <c r="I2140" s="1" t="s">
        <v>20</v>
      </c>
      <c r="J2140" s="1" t="s">
        <v>9884</v>
      </c>
      <c r="K2140" s="1" t="s">
        <v>22</v>
      </c>
      <c r="L2140" s="1" t="str">
        <f>HYPERLINK("https://files.afu.se/Downloads/Transcripts/0%20-%20Government/USA%20-%20NASA/2015 03 31 - NASA - NASA conducts spin test on15-foot-wide saucer-shaped Low-Density Supersonic Decelerator (LDSD)_VESUEB0VzxQ - transcript (automated).pdf","Transcript Link")</f>
        <v>Transcript Link</v>
      </c>
      <c r="M2140" s="2" t="str">
        <f>HYPERLINK("https://files.afu.se/Downloads/Transcripts/0%20-%20Government/USA%20-%20NASA/2015 03 31 - NASA - NASA conducts spin test on15-foot-wide saucer-shaped Low-Density Supersonic Decelerator (LDSD)_VESUEB0VzxQ - transcript (automated).pdf","Transcript Link")</f>
        <v>Transcript Link</v>
      </c>
    </row>
    <row r="2141" ht="225" spans="1:13">
      <c r="A2141" s="1" t="s">
        <v>9885</v>
      </c>
      <c r="B2141" s="1" t="s">
        <v>13</v>
      </c>
      <c r="C2141" s="4" t="s">
        <v>9886</v>
      </c>
      <c r="D2141" s="1" t="s">
        <v>9887</v>
      </c>
      <c r="E2141" s="1" t="s">
        <v>9888</v>
      </c>
      <c r="F2141" s="4" t="s">
        <v>17</v>
      </c>
      <c r="G2141" s="1" t="s">
        <v>18</v>
      </c>
      <c r="H2141" s="1" t="s">
        <v>19</v>
      </c>
      <c r="I2141" s="1" t="s">
        <v>20</v>
      </c>
      <c r="J2141" s="1" t="s">
        <v>9889</v>
      </c>
      <c r="K2141" s="1" t="s">
        <v>22</v>
      </c>
      <c r="L2141" s="1" t="str">
        <f>HYPERLINK("https://files.afu.se/Downloads/Transcripts/0%20-%20Government/USA%20-%20NASA/2015 03 30 - NASA - NASA Administrator Greets the Agency’s One-Year Crew Member to ISS_jnzoK-QE_P4 - transcript (automated).pdf","Transcript Link")</f>
        <v>Transcript Link</v>
      </c>
      <c r="M2141" s="2" t="str">
        <f>HYPERLINK("https://files.afu.se/Downloads/Transcripts/0%20-%20Government/USA%20-%20NASA/2015 03 30 - NASA - NASA Administrator Greets the Agency’s One-Year Crew Member to ISS_jnzoK-QE_P4 - transcript (automated).pdf","Transcript Link")</f>
        <v>Transcript Link</v>
      </c>
    </row>
    <row r="2142" ht="270" spans="1:13">
      <c r="A2142" s="1" t="s">
        <v>9885</v>
      </c>
      <c r="B2142" s="1" t="s">
        <v>13</v>
      </c>
      <c r="C2142" s="4" t="s">
        <v>9890</v>
      </c>
      <c r="D2142" s="1" t="s">
        <v>9891</v>
      </c>
      <c r="E2142" s="1" t="s">
        <v>9892</v>
      </c>
      <c r="F2142" s="4" t="s">
        <v>17</v>
      </c>
      <c r="G2142" s="1" t="s">
        <v>18</v>
      </c>
      <c r="H2142" s="1" t="s">
        <v>19</v>
      </c>
      <c r="I2142" s="1" t="s">
        <v>20</v>
      </c>
      <c r="J2142" s="1" t="s">
        <v>9893</v>
      </c>
      <c r="K2142" s="1" t="s">
        <v>22</v>
      </c>
      <c r="L2142" s="1" t="str">
        <f>HYPERLINK("https://files.afu.se/Downloads/Transcripts/0%20-%20Government/USA%20-%20NASA/2015 03 30 - NASA - NASA Women’s History Month Profile - Jane Maples (Marshall Space Flight Center)_3H6WPNLeVPQ - transcript (automated).pdf","Transcript Link")</f>
        <v>Transcript Link</v>
      </c>
      <c r="M2142" s="2" t="str">
        <f>HYPERLINK("https://files.afu.se/Downloads/Transcripts/0%20-%20Government/USA%20-%20NASA/2015 03 30 - NASA - NASA Women’s History Month Profile - Jane Maples (Marshall Space Flight Center)_3H6WPNLeVPQ - transcript (automated).pdf","Transcript Link")</f>
        <v>Transcript Link</v>
      </c>
    </row>
    <row r="2143" ht="180" spans="1:13">
      <c r="A2143" s="1" t="s">
        <v>9885</v>
      </c>
      <c r="B2143" s="1" t="s">
        <v>13</v>
      </c>
      <c r="C2143" s="4" t="s">
        <v>9894</v>
      </c>
      <c r="D2143" s="1" t="s">
        <v>9895</v>
      </c>
      <c r="E2143" s="1" t="s">
        <v>9896</v>
      </c>
      <c r="F2143" s="4" t="s">
        <v>17</v>
      </c>
      <c r="G2143" s="1" t="s">
        <v>18</v>
      </c>
      <c r="H2143" s="1" t="s">
        <v>19</v>
      </c>
      <c r="I2143" s="1" t="s">
        <v>20</v>
      </c>
      <c r="J2143" s="1" t="s">
        <v>9897</v>
      </c>
      <c r="K2143" s="1" t="s">
        <v>22</v>
      </c>
      <c r="L2143" s="1" t="str">
        <f>HYPERLINK("https://files.afu.se/Downloads/Transcripts/0%20-%20Government/USA%20-%20NASA/2015 03 30 - NASA - One-year crew launches to ISS on This Week @NASA_f3gAaG7zH_8 - transcript (automated).pdf","Transcript Link")</f>
        <v>Transcript Link</v>
      </c>
      <c r="M2143" s="2" t="str">
        <f>HYPERLINK("https://files.afu.se/Downloads/Transcripts/0%20-%20Government/USA%20-%20NASA/2015 03 30 - NASA - One-year crew launches to ISS on This Week @NASA_f3gAaG7zH_8 - transcript (automated).pdf","Transcript Link")</f>
        <v>Transcript Link</v>
      </c>
    </row>
    <row r="2144" ht="180" spans="1:13">
      <c r="A2144" s="1" t="s">
        <v>9898</v>
      </c>
      <c r="B2144" s="1" t="s">
        <v>13</v>
      </c>
      <c r="C2144" s="4" t="s">
        <v>9899</v>
      </c>
      <c r="D2144" s="1" t="s">
        <v>9900</v>
      </c>
      <c r="E2144" s="1" t="s">
        <v>9901</v>
      </c>
      <c r="F2144" s="4" t="s">
        <v>17</v>
      </c>
      <c r="G2144" s="1" t="s">
        <v>18</v>
      </c>
      <c r="H2144" s="1" t="s">
        <v>19</v>
      </c>
      <c r="I2144" s="1" t="s">
        <v>20</v>
      </c>
      <c r="J2144" s="1" t="s">
        <v>9902</v>
      </c>
      <c r="K2144" s="1" t="s">
        <v>22</v>
      </c>
      <c r="L2144" s="1" t="str">
        <f>HYPERLINK("https://files.afu.se/Downloads/Transcripts/0%20-%20Government/USA%20-%20NASA/2015 03 28 - NASA - Welcome to the Space Station_dsQf4ySBwM4 - transcript (automated).pdf","Transcript Link")</f>
        <v>Transcript Link</v>
      </c>
      <c r="M2144" s="2" t="str">
        <f>HYPERLINK("https://files.afu.se/Downloads/Transcripts/0%20-%20Government/USA%20-%20NASA/2015 03 28 - NASA - Welcome to the Space Station_dsQf4ySBwM4 - transcript (automated).pdf","Transcript Link")</f>
        <v>Transcript Link</v>
      </c>
    </row>
    <row r="2145" ht="165" spans="1:13">
      <c r="A2145" s="1" t="s">
        <v>9898</v>
      </c>
      <c r="B2145" s="1" t="s">
        <v>13</v>
      </c>
      <c r="C2145" s="4" t="s">
        <v>9903</v>
      </c>
      <c r="D2145" s="1" t="s">
        <v>9904</v>
      </c>
      <c r="E2145" s="1" t="s">
        <v>9905</v>
      </c>
      <c r="F2145" s="4" t="s">
        <v>17</v>
      </c>
      <c r="G2145" s="1" t="s">
        <v>18</v>
      </c>
      <c r="H2145" s="1" t="s">
        <v>19</v>
      </c>
      <c r="I2145" s="1" t="s">
        <v>20</v>
      </c>
      <c r="J2145" s="1" t="s">
        <v>9906</v>
      </c>
      <c r="K2145" s="1" t="s">
        <v>22</v>
      </c>
      <c r="L2145" s="1" t="str">
        <f>HYPERLINK("https://files.afu.se/Downloads/Transcripts/0%20-%20Government/USA%20-%20NASA/2015 03 28 - NASA - One-Year Crew Docks to ISS_m34WYszUt7g - transcript (automated).pdf","Transcript Link")</f>
        <v>Transcript Link</v>
      </c>
      <c r="M2145" s="2" t="str">
        <f>HYPERLINK("https://files.afu.se/Downloads/Transcripts/0%20-%20Government/USA%20-%20NASA/2015 03 28 - NASA - One-Year Crew Docks to ISS_m34WYszUt7g - transcript (automated).pdf","Transcript Link")</f>
        <v>Transcript Link</v>
      </c>
    </row>
    <row r="2146" ht="165" spans="1:13">
      <c r="A2146" s="1" t="s">
        <v>9898</v>
      </c>
      <c r="B2146" s="1" t="s">
        <v>13</v>
      </c>
      <c r="C2146" s="4" t="s">
        <v>9907</v>
      </c>
      <c r="D2146" s="1" t="s">
        <v>9908</v>
      </c>
      <c r="E2146" s="1" t="s">
        <v>9909</v>
      </c>
      <c r="F2146" s="4" t="s">
        <v>17</v>
      </c>
      <c r="G2146" s="1" t="s">
        <v>18</v>
      </c>
      <c r="H2146" s="1" t="s">
        <v>19</v>
      </c>
      <c r="I2146" s="1" t="s">
        <v>20</v>
      </c>
      <c r="J2146" s="1" t="s">
        <v>9910</v>
      </c>
      <c r="K2146" s="1" t="s">
        <v>22</v>
      </c>
      <c r="L2146" s="1" t="str">
        <f>HYPERLINK("https://files.afu.se/Downloads/Transcripts/0%20-%20Government/USA%20-%20NASA/2015 03 28 - NASA - Launch Day For New ISS Crew_6kt2mPchQWU - transcript (automated).pdf","Transcript Link")</f>
        <v>Transcript Link</v>
      </c>
      <c r="M2146" s="2" t="str">
        <f>HYPERLINK("https://files.afu.se/Downloads/Transcripts/0%20-%20Government/USA%20-%20NASA/2015 03 28 - NASA - Launch Day For New ISS Crew_6kt2mPchQWU - transcript (automated).pdf","Transcript Link")</f>
        <v>Transcript Link</v>
      </c>
    </row>
    <row r="2147" ht="165" spans="1:13">
      <c r="A2147" s="1" t="s">
        <v>9911</v>
      </c>
      <c r="B2147" s="1" t="s">
        <v>13</v>
      </c>
      <c r="C2147" s="4" t="s">
        <v>9912</v>
      </c>
      <c r="D2147" s="1" t="s">
        <v>9913</v>
      </c>
      <c r="E2147" s="1" t="s">
        <v>9914</v>
      </c>
      <c r="F2147" s="4" t="s">
        <v>17</v>
      </c>
      <c r="G2147" s="1" t="s">
        <v>18</v>
      </c>
      <c r="H2147" s="1" t="s">
        <v>19</v>
      </c>
      <c r="I2147" s="1" t="s">
        <v>20</v>
      </c>
      <c r="J2147" s="1" t="s">
        <v>9915</v>
      </c>
      <c r="K2147" s="1" t="s">
        <v>22</v>
      </c>
      <c r="L2147" s="1" t="str">
        <f>HYPERLINK("https://files.afu.se/Downloads/Transcripts/0%20-%20Government/USA%20-%20NASA/2015 03 27 - NASA - One-Year Crew Launches to the ISS_YwR1SnpcYCo - transcript (automated).pdf","Transcript Link")</f>
        <v>Transcript Link</v>
      </c>
      <c r="M2147" s="2" t="str">
        <f>HYPERLINK("https://files.afu.se/Downloads/Transcripts/0%20-%20Government/USA%20-%20NASA/2015 03 27 - NASA - One-Year Crew Launches to the ISS_YwR1SnpcYCo - transcript (automated).pdf","Transcript Link")</f>
        <v>Transcript Link</v>
      </c>
    </row>
    <row r="2148" ht="180" spans="1:13">
      <c r="A2148" s="1" t="s">
        <v>9911</v>
      </c>
      <c r="B2148" s="1" t="s">
        <v>13</v>
      </c>
      <c r="C2148" s="4" t="s">
        <v>9916</v>
      </c>
      <c r="D2148" s="1" t="s">
        <v>9917</v>
      </c>
      <c r="E2148" s="1" t="s">
        <v>9896</v>
      </c>
      <c r="F2148" s="4" t="s">
        <v>17</v>
      </c>
      <c r="G2148" s="1" t="s">
        <v>18</v>
      </c>
      <c r="H2148" s="1" t="s">
        <v>19</v>
      </c>
      <c r="I2148" s="1" t="s">
        <v>20</v>
      </c>
      <c r="J2148" s="1" t="s">
        <v>9918</v>
      </c>
      <c r="K2148" s="1" t="s">
        <v>22</v>
      </c>
      <c r="L2148" s="1" t="str">
        <f>HYPERLINK("https://files.afu.se/Downloads/Transcripts/0%20-%20Government/USA%20-%20NASA/2015 03 27 - NASA - One year crew launches to ISS on This Week @NASA_X-HdGYjFHr0 - transcript (automated).pdf","Transcript Link")</f>
        <v>Transcript Link</v>
      </c>
      <c r="M2148" s="2" t="str">
        <f>HYPERLINK("https://files.afu.se/Downloads/Transcripts/0%20-%20Government/USA%20-%20NASA/2015 03 27 - NASA - One year crew launches to ISS on This Week @NASA_X-HdGYjFHr0 - transcript (automated).pdf","Transcript Link")</f>
        <v>Transcript Link</v>
      </c>
    </row>
    <row r="2149" ht="165" spans="1:13">
      <c r="A2149" s="1" t="s">
        <v>9919</v>
      </c>
      <c r="B2149" s="1" t="s">
        <v>13</v>
      </c>
      <c r="C2149" s="4" t="s">
        <v>9920</v>
      </c>
      <c r="D2149" s="1" t="s">
        <v>9921</v>
      </c>
      <c r="E2149" s="1" t="s">
        <v>9922</v>
      </c>
      <c r="F2149" s="4" t="s">
        <v>17</v>
      </c>
      <c r="G2149" s="1" t="s">
        <v>18</v>
      </c>
      <c r="H2149" s="1" t="s">
        <v>19</v>
      </c>
      <c r="I2149" s="1" t="s">
        <v>20</v>
      </c>
      <c r="J2149" s="1" t="s">
        <v>9923</v>
      </c>
      <c r="K2149" s="1" t="s">
        <v>22</v>
      </c>
      <c r="L2149" s="1" t="str">
        <f>HYPERLINK("https://files.afu.se/Downloads/Transcripts/0%20-%20Government/USA%20-%20NASA/2015 03 26 - NASA - Next ISS Crew Meets Officials as Launch Approaches_ULuKc7fVWtY - transcript (automated).pdf","Transcript Link")</f>
        <v>Transcript Link</v>
      </c>
      <c r="M2149" s="2" t="str">
        <f>HYPERLINK("https://files.afu.se/Downloads/Transcripts/0%20-%20Government/USA%20-%20NASA/2015 03 26 - NASA - Next ISS Crew Meets Officials as Launch Approaches_ULuKc7fVWtY - transcript (automated).pdf","Transcript Link")</f>
        <v>Transcript Link</v>
      </c>
    </row>
    <row r="2150" ht="165" spans="1:13">
      <c r="A2150" s="1" t="s">
        <v>9924</v>
      </c>
      <c r="B2150" s="1" t="s">
        <v>13</v>
      </c>
      <c r="C2150" s="4" t="s">
        <v>9925</v>
      </c>
      <c r="D2150" s="1" t="s">
        <v>9926</v>
      </c>
      <c r="E2150" s="1" t="s">
        <v>9927</v>
      </c>
      <c r="F2150" s="4" t="s">
        <v>17</v>
      </c>
      <c r="G2150" s="1" t="s">
        <v>18</v>
      </c>
      <c r="H2150" s="1" t="s">
        <v>19</v>
      </c>
      <c r="I2150" s="1" t="s">
        <v>20</v>
      </c>
      <c r="J2150" s="1" t="s">
        <v>9928</v>
      </c>
      <c r="K2150" s="1" t="s">
        <v>22</v>
      </c>
      <c r="L2150" s="1" t="str">
        <f>HYPERLINK("https://files.afu.se/Downloads/Transcripts/0%20-%20Government/USA%20-%20NASA/2015 03 25 - NASA - NASA African American History Month Profile - Kevin Poe (NSSC)_LvhesKohxg4 - transcript (automated).pdf","Transcript Link")</f>
        <v>Transcript Link</v>
      </c>
      <c r="M2150" s="2" t="str">
        <f>HYPERLINK("https://files.afu.se/Downloads/Transcripts/0%20-%20Government/USA%20-%20NASA/2015 03 25 - NASA - NASA African American History Month Profile - Kevin Poe (NSSC)_LvhesKohxg4 - transcript (automated).pdf","Transcript Link")</f>
        <v>Transcript Link</v>
      </c>
    </row>
    <row r="2151" ht="165" spans="1:13">
      <c r="A2151" s="1" t="s">
        <v>9924</v>
      </c>
      <c r="B2151" s="1" t="s">
        <v>13</v>
      </c>
      <c r="C2151" s="4" t="s">
        <v>9929</v>
      </c>
      <c r="D2151" s="1" t="s">
        <v>9930</v>
      </c>
      <c r="E2151" s="1" t="s">
        <v>9931</v>
      </c>
      <c r="F2151" s="4" t="s">
        <v>17</v>
      </c>
      <c r="G2151" s="1" t="s">
        <v>18</v>
      </c>
      <c r="H2151" s="1" t="s">
        <v>19</v>
      </c>
      <c r="I2151" s="1" t="s">
        <v>20</v>
      </c>
      <c r="J2151" s="1" t="s">
        <v>9932</v>
      </c>
      <c r="K2151" s="1" t="s">
        <v>22</v>
      </c>
      <c r="L2151" s="1" t="str">
        <f>HYPERLINK("https://files.afu.se/Downloads/Transcripts/0%20-%20Government/USA%20-%20NASA/2015 03 25 - NASA - Expedition 43’s Rocket Moves to Its Launch Pad_O5UJZx8s9i4 - transcript (automated).pdf","Transcript Link")</f>
        <v>Transcript Link</v>
      </c>
      <c r="M2151" s="2" t="str">
        <f>HYPERLINK("https://files.afu.se/Downloads/Transcripts/0%20-%20Government/USA%20-%20NASA/2015 03 25 - NASA - Expedition 43’s Rocket Moves to Its Launch Pad_O5UJZx8s9i4 - transcript (automated).pdf","Transcript Link")</f>
        <v>Transcript Link</v>
      </c>
    </row>
    <row r="2152" ht="240" spans="1:13">
      <c r="A2152" s="1" t="s">
        <v>9933</v>
      </c>
      <c r="B2152" s="1" t="s">
        <v>13</v>
      </c>
      <c r="C2152" s="4" t="s">
        <v>9934</v>
      </c>
      <c r="D2152" s="1" t="s">
        <v>9935</v>
      </c>
      <c r="E2152" s="1" t="s">
        <v>9936</v>
      </c>
      <c r="F2152" s="4" t="s">
        <v>17</v>
      </c>
      <c r="G2152" s="1" t="s">
        <v>18</v>
      </c>
      <c r="H2152" s="1" t="s">
        <v>19</v>
      </c>
      <c r="I2152" s="1" t="s">
        <v>20</v>
      </c>
      <c r="J2152" s="1" t="s">
        <v>9937</v>
      </c>
      <c r="K2152" s="1" t="s">
        <v>22</v>
      </c>
      <c r="L2152" s="1" t="str">
        <f>HYPERLINK("https://files.afu.se/Downloads/Transcripts/0%20-%20Government/USA%20-%20NASA/2015 03 24 - NASA - Let's Move %23GimmeFive with the NASA Administrator_I4UOra7yG8c - transcript (automated).pdf","Transcript Link")</f>
        <v>Transcript Link</v>
      </c>
      <c r="M2152" s="2" t="str">
        <f>HYPERLINK("https://files.afu.se/Downloads/Transcripts/0%20-%20Government/USA%20-%20NASA/2015 03 24 - NASA - Let's Move %23GimmeFive with the NASA Administrator_I4UOra7yG8c - transcript (automated).pdf","Transcript Link")</f>
        <v>Transcript Link</v>
      </c>
    </row>
    <row r="2153" ht="165" spans="1:13">
      <c r="A2153" s="1" t="s">
        <v>9933</v>
      </c>
      <c r="B2153" s="1" t="s">
        <v>13</v>
      </c>
      <c r="C2153" s="4" t="s">
        <v>9938</v>
      </c>
      <c r="D2153" s="1" t="s">
        <v>9939</v>
      </c>
      <c r="E2153" s="1" t="s">
        <v>9940</v>
      </c>
      <c r="F2153" s="4" t="s">
        <v>17</v>
      </c>
      <c r="G2153" s="1" t="s">
        <v>18</v>
      </c>
      <c r="H2153" s="1" t="s">
        <v>19</v>
      </c>
      <c r="I2153" s="1" t="s">
        <v>20</v>
      </c>
      <c r="J2153" s="1" t="s">
        <v>9941</v>
      </c>
      <c r="K2153" s="1" t="s">
        <v>22</v>
      </c>
      <c r="L2153" s="1" t="str">
        <f>HYPERLINK("https://files.afu.se/Downloads/Transcripts/0%20-%20Government/USA%20-%20NASA/2015 03 24 - NASA - One-year crew’s ride to orbit prepped for flight_BRHegGqeXME - transcript (automated).pdf","Transcript Link")</f>
        <v>Transcript Link</v>
      </c>
      <c r="M2153" s="2" t="str">
        <f>HYPERLINK("https://files.afu.se/Downloads/Transcripts/0%20-%20Government/USA%20-%20NASA/2015 03 24 - NASA - One-year crew’s ride to orbit prepped for flight_BRHegGqeXME - transcript (automated).pdf","Transcript Link")</f>
        <v>Transcript Link</v>
      </c>
    </row>
    <row r="2154" ht="165" spans="1:13">
      <c r="A2154" s="1" t="s">
        <v>9933</v>
      </c>
      <c r="B2154" s="1" t="s">
        <v>13</v>
      </c>
      <c r="C2154" s="4" t="s">
        <v>9942</v>
      </c>
      <c r="D2154" s="1" t="s">
        <v>9943</v>
      </c>
      <c r="E2154" s="1" t="s">
        <v>9944</v>
      </c>
      <c r="F2154" s="4" t="s">
        <v>17</v>
      </c>
      <c r="G2154" s="1" t="s">
        <v>18</v>
      </c>
      <c r="H2154" s="1" t="s">
        <v>19</v>
      </c>
      <c r="I2154" s="1" t="s">
        <v>20</v>
      </c>
      <c r="J2154" s="1" t="s">
        <v>9945</v>
      </c>
      <c r="K2154" s="1" t="s">
        <v>22</v>
      </c>
      <c r="L2154" s="1" t="str">
        <f>HYPERLINK("https://files.afu.se/Downloads/Transcripts/0%20-%20Government/USA%20-%20NASA/2015 03 24 - NASA - Staying fit on the space station_CD7N07Y7ckA - transcript (automated).pdf","Transcript Link")</f>
        <v>Transcript Link</v>
      </c>
      <c r="M2154" s="2" t="str">
        <f>HYPERLINK("https://files.afu.se/Downloads/Transcripts/0%20-%20Government/USA%20-%20NASA/2015 03 24 - NASA - Staying fit on the space station_CD7N07Y7ckA - transcript (automated).pdf","Transcript Link")</f>
        <v>Transcript Link</v>
      </c>
    </row>
    <row r="2155" ht="210" spans="1:13">
      <c r="A2155" s="1" t="s">
        <v>9946</v>
      </c>
      <c r="B2155" s="1" t="s">
        <v>13</v>
      </c>
      <c r="C2155" s="4" t="s">
        <v>9947</v>
      </c>
      <c r="D2155" s="1" t="s">
        <v>9948</v>
      </c>
      <c r="E2155" s="1" t="s">
        <v>9949</v>
      </c>
      <c r="F2155" s="4" t="s">
        <v>17</v>
      </c>
      <c r="G2155" s="1" t="s">
        <v>18</v>
      </c>
      <c r="H2155" s="1" t="s">
        <v>19</v>
      </c>
      <c r="I2155" s="1" t="s">
        <v>20</v>
      </c>
      <c r="J2155" s="1" t="s">
        <v>9950</v>
      </c>
      <c r="K2155" s="1" t="s">
        <v>22</v>
      </c>
      <c r="L2155" s="1" t="str">
        <f>HYPERLINK("https://files.afu.se/Downloads/Transcripts/0%20-%20Government/USA%20-%20NASA/2015 03 23 - NASA - Expedition 43 Prepares for Launch in Kazakhstan_pAGnc8LUuR4 - transcript (automated).pdf","Transcript Link")</f>
        <v>Transcript Link</v>
      </c>
      <c r="M2155" s="2" t="str">
        <f>HYPERLINK("https://files.afu.se/Downloads/Transcripts/0%20-%20Government/USA%20-%20NASA/2015 03 23 - NASA - Expedition 43 Prepares for Launch in Kazakhstan_pAGnc8LUuR4 - transcript (automated).pdf","Transcript Link")</f>
        <v>Transcript Link</v>
      </c>
    </row>
    <row r="2156" ht="240" spans="1:13">
      <c r="A2156" s="1" t="s">
        <v>9951</v>
      </c>
      <c r="B2156" s="1" t="s">
        <v>13</v>
      </c>
      <c r="C2156" s="4" t="s">
        <v>9952</v>
      </c>
      <c r="D2156" s="1" t="s">
        <v>9953</v>
      </c>
      <c r="E2156" s="1" t="s">
        <v>9954</v>
      </c>
      <c r="F2156" s="4" t="s">
        <v>17</v>
      </c>
      <c r="G2156" s="1" t="s">
        <v>18</v>
      </c>
      <c r="H2156" s="1" t="s">
        <v>19</v>
      </c>
      <c r="I2156" s="1" t="s">
        <v>20</v>
      </c>
      <c r="J2156" s="1" t="s">
        <v>9955</v>
      </c>
      <c r="K2156" s="1" t="s">
        <v>22</v>
      </c>
      <c r="L2156" s="1" t="str">
        <f>HYPERLINK("https://files.afu.se/Downloads/Transcripts/0%20-%20Government/USA%20-%20NASA/2015 03 20 - NASA - International Space Station Expedition 43 Crew Prepares for Launch in Kazakhstan_faTvQ68BRN4 - transcript (automated).pdf","Transcript Link")</f>
        <v>Transcript Link</v>
      </c>
      <c r="M2156" s="2" t="str">
        <f>HYPERLINK("https://files.afu.se/Downloads/Transcripts/0%20-%20Government/USA%20-%20NASA/2015 03 20 - NASA - International Space Station Expedition 43 Crew Prepares for Launch in Kazakhstan_faTvQ68BRN4 - transcript (automated).pdf","Transcript Link")</f>
        <v>Transcript Link</v>
      </c>
    </row>
    <row r="2157" ht="165" spans="1:13">
      <c r="A2157" s="1" t="s">
        <v>9951</v>
      </c>
      <c r="B2157" s="1" t="s">
        <v>13</v>
      </c>
      <c r="C2157" s="4" t="s">
        <v>9956</v>
      </c>
      <c r="D2157" s="1" t="s">
        <v>9957</v>
      </c>
      <c r="E2157" s="1" t="s">
        <v>9958</v>
      </c>
      <c r="F2157" s="4" t="s">
        <v>17</v>
      </c>
      <c r="G2157" s="1" t="s">
        <v>18</v>
      </c>
      <c r="H2157" s="1" t="s">
        <v>19</v>
      </c>
      <c r="I2157" s="1" t="s">
        <v>20</v>
      </c>
      <c r="J2157" s="1" t="s">
        <v>9959</v>
      </c>
      <c r="K2157" s="1" t="s">
        <v>22</v>
      </c>
      <c r="L2157" s="1" t="str">
        <f>HYPERLINK("https://files.afu.se/Downloads/Transcripts/0%20-%20Government/USA%20-%20NASA/2015 03 20 - NASA - One year ISS crew at launch site on This Week @NASA_hk-_7EFywpc - transcript (automated).pdf","Transcript Link")</f>
        <v>Transcript Link</v>
      </c>
      <c r="M2157" s="2" t="str">
        <f>HYPERLINK("https://files.afu.se/Downloads/Transcripts/0%20-%20Government/USA%20-%20NASA/2015 03 20 - NASA - One year ISS crew at launch site on This Week @NASA_hk-_7EFywpc - transcript (automated).pdf","Transcript Link")</f>
        <v>Transcript Link</v>
      </c>
    </row>
    <row r="2158" ht="165" spans="1:13">
      <c r="A2158" s="1" t="s">
        <v>9951</v>
      </c>
      <c r="B2158" s="1" t="s">
        <v>13</v>
      </c>
      <c r="C2158" s="4" t="s">
        <v>9960</v>
      </c>
      <c r="D2158" s="1" t="s">
        <v>9961</v>
      </c>
      <c r="E2158" s="1" t="s">
        <v>9962</v>
      </c>
      <c r="F2158" s="4" t="s">
        <v>17</v>
      </c>
      <c r="G2158" s="1" t="s">
        <v>18</v>
      </c>
      <c r="H2158" s="1" t="s">
        <v>19</v>
      </c>
      <c r="I2158" s="1" t="s">
        <v>20</v>
      </c>
      <c r="J2158" s="1" t="s">
        <v>9963</v>
      </c>
      <c r="K2158" s="1" t="s">
        <v>22</v>
      </c>
      <c r="L2158" s="1" t="str">
        <f>HYPERLINK("https://files.afu.se/Downloads/Transcripts/0%20-%20Government/USA%20-%20NASA/2015 03 20 - NASA - NASA Celebrates the 50th Anniversary of Gemini 3_BqBgDsa9yUk - transcript (automated).pdf","Transcript Link")</f>
        <v>Transcript Link</v>
      </c>
      <c r="M2158" s="2" t="str">
        <f>HYPERLINK("https://files.afu.se/Downloads/Transcripts/0%20-%20Government/USA%20-%20NASA/2015 03 20 - NASA - NASA Celebrates the 50th Anniversary of Gemini 3_BqBgDsa9yUk - transcript (automated).pdf","Transcript Link")</f>
        <v>Transcript Link</v>
      </c>
    </row>
    <row r="2159" ht="195" spans="1:13">
      <c r="A2159" s="1" t="s">
        <v>9964</v>
      </c>
      <c r="B2159" s="1" t="s">
        <v>13</v>
      </c>
      <c r="C2159" s="4" t="s">
        <v>9965</v>
      </c>
      <c r="D2159" s="1" t="s">
        <v>9966</v>
      </c>
      <c r="E2159" s="1" t="s">
        <v>9967</v>
      </c>
      <c r="F2159" s="4" t="s">
        <v>17</v>
      </c>
      <c r="G2159" s="1" t="s">
        <v>18</v>
      </c>
      <c r="H2159" s="1" t="s">
        <v>19</v>
      </c>
      <c r="I2159" s="1" t="s">
        <v>20</v>
      </c>
      <c r="J2159" s="1" t="s">
        <v>9968</v>
      </c>
      <c r="K2159" s="1" t="s">
        <v>22</v>
      </c>
      <c r="L2159" s="1" t="str">
        <f>HYPERLINK("https://files.afu.se/Downloads/Transcripts/0%20-%20Government/USA%20-%20NASA/2015 03 19 - NASA - Why spacewalk training is done under water_hH48UO4_5tc - transcript (automated).pdf","Transcript Link")</f>
        <v>Transcript Link</v>
      </c>
      <c r="M2159" s="2" t="str">
        <f>HYPERLINK("https://files.afu.se/Downloads/Transcripts/0%20-%20Government/USA%20-%20NASA/2015 03 19 - NASA - Why spacewalk training is done under water_hH48UO4_5tc - transcript (automated).pdf","Transcript Link")</f>
        <v>Transcript Link</v>
      </c>
    </row>
    <row r="2160" ht="270" spans="1:13">
      <c r="A2160" s="1" t="s">
        <v>9969</v>
      </c>
      <c r="B2160" s="1" t="s">
        <v>13</v>
      </c>
      <c r="C2160" s="4" t="s">
        <v>9970</v>
      </c>
      <c r="D2160" s="1" t="s">
        <v>9971</v>
      </c>
      <c r="E2160" s="1" t="s">
        <v>9972</v>
      </c>
      <c r="F2160" s="4" t="s">
        <v>17</v>
      </c>
      <c r="G2160" s="1" t="s">
        <v>18</v>
      </c>
      <c r="H2160" s="1" t="s">
        <v>19</v>
      </c>
      <c r="I2160" s="1" t="s">
        <v>20</v>
      </c>
      <c r="J2160" s="1" t="s">
        <v>9973</v>
      </c>
      <c r="K2160" s="1" t="s">
        <v>22</v>
      </c>
      <c r="L2160" s="1" t="str">
        <f>HYPERLINK("https://files.afu.se/Downloads/Transcripts/0%20-%20Government/USA%20-%20NASA/2015 03 18 - NASA - Expedition 44-45 Crew News Conference from Johnson Space Center Houston_H16W7mJ4KZ4 - transcript (automated).pdf","Transcript Link")</f>
        <v>Transcript Link</v>
      </c>
      <c r="M2160" s="2" t="str">
        <f>HYPERLINK("https://files.afu.se/Downloads/Transcripts/0%20-%20Government/USA%20-%20NASA/2015 03 18 - NASA - Expedition 44-45 Crew News Conference from Johnson Space Center Houston_H16W7mJ4KZ4 - transcript (automated).pdf","Transcript Link")</f>
        <v>Transcript Link</v>
      </c>
    </row>
    <row r="2161" ht="210" spans="1:13">
      <c r="A2161" s="1" t="s">
        <v>9969</v>
      </c>
      <c r="B2161" s="1" t="s">
        <v>13</v>
      </c>
      <c r="C2161" s="4" t="s">
        <v>9974</v>
      </c>
      <c r="D2161" s="1" t="s">
        <v>9975</v>
      </c>
      <c r="E2161" s="1" t="s">
        <v>9976</v>
      </c>
      <c r="F2161" s="4" t="s">
        <v>17</v>
      </c>
      <c r="G2161" s="1" t="s">
        <v>18</v>
      </c>
      <c r="H2161" s="1" t="s">
        <v>19</v>
      </c>
      <c r="I2161" s="1" t="s">
        <v>20</v>
      </c>
      <c r="J2161" s="1" t="s">
        <v>9977</v>
      </c>
      <c r="K2161" s="1" t="s">
        <v>22</v>
      </c>
      <c r="L2161" s="1" t="str">
        <f>HYPERLINK("https://files.afu.se/Downloads/Transcripts/0%20-%20Government/USA%20-%20NASA/2015 03 18 - NASA - Russian Space Pioneer Discusses the First Spacewalk in History 50 Years Ago_HnREkhEOKBE - transcript (automated).pdf","Transcript Link")</f>
        <v>Transcript Link</v>
      </c>
      <c r="M2161" s="2" t="str">
        <f>HYPERLINK("https://files.afu.se/Downloads/Transcripts/0%20-%20Government/USA%20-%20NASA/2015 03 18 - NASA - Russian Space Pioneer Discusses the First Spacewalk in History 50 Years Ago_HnREkhEOKBE - transcript (automated).pdf","Transcript Link")</f>
        <v>Transcript Link</v>
      </c>
    </row>
    <row r="2162" ht="195" spans="1:13">
      <c r="A2162" s="1" t="s">
        <v>9978</v>
      </c>
      <c r="B2162" s="1" t="s">
        <v>13</v>
      </c>
      <c r="C2162" s="4" t="s">
        <v>9979</v>
      </c>
      <c r="D2162" s="1" t="s">
        <v>9980</v>
      </c>
      <c r="E2162" s="1" t="s">
        <v>9981</v>
      </c>
      <c r="F2162" s="4" t="s">
        <v>17</v>
      </c>
      <c r="G2162" s="1" t="s">
        <v>18</v>
      </c>
      <c r="H2162" s="1" t="s">
        <v>19</v>
      </c>
      <c r="I2162" s="1" t="s">
        <v>20</v>
      </c>
      <c r="J2162" s="1" t="s">
        <v>9982</v>
      </c>
      <c r="K2162" s="1" t="s">
        <v>22</v>
      </c>
      <c r="L2162" s="1" t="str">
        <f>HYPERLINK("https://files.afu.se/Downloads/Transcripts/0%20-%20Government/USA%20-%20NASA/2015 03 16 - NASA - Expedition 43 Crew Departs for Kazakh Launch Site in Preparation for Trip to Space Station_YgX8Kx_yE3Y - transcript (automated).pdf","Transcript Link")</f>
        <v>Transcript Link</v>
      </c>
      <c r="M2162" s="2" t="str">
        <f>HYPERLINK("https://files.afu.se/Downloads/Transcripts/0%20-%20Government/USA%20-%20NASA/2015 03 16 - NASA - Expedition 43 Crew Departs for Kazakh Launch Site in Preparation for Trip to Space Station_YgX8Kx_yE3Y - transcript (automated).pdf","Transcript Link")</f>
        <v>Transcript Link</v>
      </c>
    </row>
    <row r="2163" ht="165" spans="1:13">
      <c r="A2163" s="1" t="s">
        <v>9978</v>
      </c>
      <c r="B2163" s="1" t="s">
        <v>13</v>
      </c>
      <c r="C2163" s="4" t="s">
        <v>9983</v>
      </c>
      <c r="D2163" s="1" t="s">
        <v>9984</v>
      </c>
      <c r="E2163" s="1" t="s">
        <v>9985</v>
      </c>
      <c r="F2163" s="4" t="s">
        <v>17</v>
      </c>
      <c r="G2163" s="1" t="s">
        <v>18</v>
      </c>
      <c r="H2163" s="1" t="s">
        <v>19</v>
      </c>
      <c r="I2163" s="1" t="s">
        <v>20</v>
      </c>
      <c r="J2163" s="1" t="s">
        <v>9986</v>
      </c>
      <c r="K2163" s="1" t="s">
        <v>22</v>
      </c>
      <c r="L2163" s="1" t="str">
        <f>HYPERLINK("https://files.afu.se/Downloads/Transcripts/0%20-%20Government/USA%20-%20NASA/2015 03 16 - NASA - NASA Space Station Commander Discusses Life in Space with Hometown Baltimore Maryland_3ezHnT-_F_E - transcript (automated).pdf","Transcript Link")</f>
        <v>Transcript Link</v>
      </c>
      <c r="M2163" s="2" t="str">
        <f>HYPERLINK("https://files.afu.se/Downloads/Transcripts/0%20-%20Government/USA%20-%20NASA/2015 03 16 - NASA - NASA Space Station Commander Discusses Life in Space with Hometown Baltimore Maryland_3ezHnT-_F_E - transcript (automated).pdf","Transcript Link")</f>
        <v>Transcript Link</v>
      </c>
    </row>
    <row r="2164" ht="255" spans="1:13">
      <c r="A2164" s="1" t="s">
        <v>9978</v>
      </c>
      <c r="B2164" s="1" t="s">
        <v>13</v>
      </c>
      <c r="C2164" s="4" t="s">
        <v>9987</v>
      </c>
      <c r="D2164" s="1" t="s">
        <v>9988</v>
      </c>
      <c r="E2164" s="1" t="s">
        <v>9989</v>
      </c>
      <c r="F2164" s="4" t="s">
        <v>17</v>
      </c>
      <c r="G2164" s="1" t="s">
        <v>18</v>
      </c>
      <c r="H2164" s="1" t="s">
        <v>19</v>
      </c>
      <c r="I2164" s="1" t="s">
        <v>20</v>
      </c>
      <c r="J2164" s="1" t="s">
        <v>9990</v>
      </c>
      <c r="K2164" s="1" t="s">
        <v>22</v>
      </c>
      <c r="L2164" s="1" t="str">
        <f>HYPERLINK("https://files.afu.se/Downloads/Transcripts/0%20-%20Government/USA%20-%20NASA/2015 03 16 - NASA - NASA Women’s History Month Profile – Cécile Saltzman (Stennis Space Center)_gK8peG1P508 - transcript (automated).pdf","Transcript Link")</f>
        <v>Transcript Link</v>
      </c>
      <c r="M2164" s="2" t="str">
        <f>HYPERLINK("https://files.afu.se/Downloads/Transcripts/0%20-%20Government/USA%20-%20NASA/2015 03 16 - NASA - NASA Women’s History Month Profile – Cécile Saltzman (Stennis Space Center)_gK8peG1P508 - transcript (automated).pdf","Transcript Link")</f>
        <v>Transcript Link</v>
      </c>
    </row>
    <row r="2165" ht="165" spans="1:13">
      <c r="A2165" s="1" t="s">
        <v>9991</v>
      </c>
      <c r="B2165" s="1" t="s">
        <v>13</v>
      </c>
      <c r="C2165" s="4" t="s">
        <v>9992</v>
      </c>
      <c r="D2165" s="1" t="s">
        <v>9993</v>
      </c>
      <c r="E2165" s="1" t="s">
        <v>9994</v>
      </c>
      <c r="F2165" s="4" t="s">
        <v>17</v>
      </c>
      <c r="G2165" s="1" t="s">
        <v>18</v>
      </c>
      <c r="H2165" s="1" t="s">
        <v>19</v>
      </c>
      <c r="I2165" s="1" t="s">
        <v>20</v>
      </c>
      <c r="J2165" s="1" t="s">
        <v>9995</v>
      </c>
      <c r="K2165" s="1" t="s">
        <v>22</v>
      </c>
      <c r="L2165" s="1" t="str">
        <f>HYPERLINK("https://files.afu.se/Downloads/Transcripts/0%20-%20Government/USA%20-%20NASA/2015 03 14 - NASA - ISS Crew Discusses Life in Space_3gJ0DfULLGU - transcript (automated).pdf","Transcript Link")</f>
        <v>Transcript Link</v>
      </c>
      <c r="M2165" s="2" t="str">
        <f>HYPERLINK("https://files.afu.se/Downloads/Transcripts/0%20-%20Government/USA%20-%20NASA/2015 03 14 - NASA - ISS Crew Discusses Life in Space_3gJ0DfULLGU - transcript (automated).pdf","Transcript Link")</f>
        <v>Transcript Link</v>
      </c>
    </row>
    <row r="2166" ht="165" spans="1:13">
      <c r="A2166" s="1" t="s">
        <v>9991</v>
      </c>
      <c r="B2166" s="1" t="s">
        <v>13</v>
      </c>
      <c r="C2166" s="4" t="s">
        <v>9996</v>
      </c>
      <c r="D2166" s="1" t="s">
        <v>9997</v>
      </c>
      <c r="E2166" s="1" t="s">
        <v>9998</v>
      </c>
      <c r="F2166" s="4" t="s">
        <v>17</v>
      </c>
      <c r="G2166" s="1" t="s">
        <v>18</v>
      </c>
      <c r="H2166" s="1" t="s">
        <v>19</v>
      </c>
      <c r="I2166" s="1" t="s">
        <v>20</v>
      </c>
      <c r="J2166" s="1" t="s">
        <v>9999</v>
      </c>
      <c r="K2166" s="1" t="s">
        <v>22</v>
      </c>
      <c r="L2166" s="1" t="str">
        <f>HYPERLINK("https://files.afu.se/Downloads/Transcripts/0%20-%20Government/USA%20-%20NASA/2015 03 14 - NASA - ISS Crew Returns Home Safely on This Week @NASA_Z4P_JNLAmLQ - transcript (automated).pdf","Transcript Link")</f>
        <v>Transcript Link</v>
      </c>
      <c r="M2166" s="2" t="str">
        <f>HYPERLINK("https://files.afu.se/Downloads/Transcripts/0%20-%20Government/USA%20-%20NASA/2015 03 14 - NASA - ISS Crew Returns Home Safely on This Week @NASA_Z4P_JNLAmLQ - transcript (automated).pdf","Transcript Link")</f>
        <v>Transcript Link</v>
      </c>
    </row>
    <row r="2167" ht="165" spans="1:13">
      <c r="A2167" s="1" t="s">
        <v>10000</v>
      </c>
      <c r="B2167" s="1" t="s">
        <v>13</v>
      </c>
      <c r="C2167" s="4" t="s">
        <v>10001</v>
      </c>
      <c r="D2167" s="1" t="s">
        <v>10002</v>
      </c>
      <c r="E2167" s="1" t="s">
        <v>10003</v>
      </c>
      <c r="F2167" s="4" t="s">
        <v>17</v>
      </c>
      <c r="G2167" s="1" t="s">
        <v>18</v>
      </c>
      <c r="H2167" s="1" t="s">
        <v>19</v>
      </c>
      <c r="I2167" s="1" t="s">
        <v>20</v>
      </c>
      <c r="J2167" s="1" t="s">
        <v>10004</v>
      </c>
      <c r="K2167" s="1" t="s">
        <v>22</v>
      </c>
      <c r="L2167" s="1" t="str">
        <f>HYPERLINK("https://files.afu.se/Downloads/Transcripts/0%20-%20Government/USA%20-%20NASA/2015 03 13 - NASA - Expedition 42 Landing and Post-Landing Activities_0nxqSu6FVu4 - transcript (automated).pdf","Transcript Link")</f>
        <v>Transcript Link</v>
      </c>
      <c r="M2167" s="2" t="str">
        <f>HYPERLINK("https://files.afu.se/Downloads/Transcripts/0%20-%20Government/USA%20-%20NASA/2015 03 13 - NASA - Expedition 42 Landing and Post-Landing Activities_0nxqSu6FVu4 - transcript (automated).pdf","Transcript Link")</f>
        <v>Transcript Link</v>
      </c>
    </row>
    <row r="2168" ht="165" spans="1:13">
      <c r="A2168" s="1" t="s">
        <v>10000</v>
      </c>
      <c r="B2168" s="1" t="s">
        <v>13</v>
      </c>
      <c r="C2168" s="4" t="s">
        <v>10005</v>
      </c>
      <c r="D2168" s="1" t="s">
        <v>10006</v>
      </c>
      <c r="E2168" s="1" t="s">
        <v>10007</v>
      </c>
      <c r="F2168" s="4" t="s">
        <v>17</v>
      </c>
      <c r="G2168" s="1" t="s">
        <v>18</v>
      </c>
      <c r="H2168" s="1" t="s">
        <v>19</v>
      </c>
      <c r="I2168" s="1" t="s">
        <v>20</v>
      </c>
      <c r="J2168" s="1" t="s">
        <v>10008</v>
      </c>
      <c r="K2168" s="1" t="s">
        <v>22</v>
      </c>
      <c r="L2168" s="1" t="str">
        <f>HYPERLINK("https://files.afu.se/Downloads/Transcripts/0%20-%20Government/USA%20-%20NASA/2015 03 13 - NASA - Magnetospheric Multiscale mission launches_KCVpLtq8tjY - transcript (automated).pdf","Transcript Link")</f>
        <v>Transcript Link</v>
      </c>
      <c r="M2168" s="2" t="str">
        <f>HYPERLINK("https://files.afu.se/Downloads/Transcripts/0%20-%20Government/USA%20-%20NASA/2015 03 13 - NASA - Magnetospheric Multiscale mission launches_KCVpLtq8tjY - transcript (automated).pdf","Transcript Link")</f>
        <v>Transcript Link</v>
      </c>
    </row>
    <row r="2169" ht="165" spans="1:13">
      <c r="A2169" s="1" t="s">
        <v>10009</v>
      </c>
      <c r="B2169" s="1" t="s">
        <v>13</v>
      </c>
      <c r="C2169" s="4" t="s">
        <v>10010</v>
      </c>
      <c r="D2169" s="1" t="s">
        <v>10011</v>
      </c>
      <c r="E2169" s="1" t="s">
        <v>10012</v>
      </c>
      <c r="F2169" s="4" t="s">
        <v>17</v>
      </c>
      <c r="G2169" s="1" t="s">
        <v>18</v>
      </c>
      <c r="H2169" s="1" t="s">
        <v>19</v>
      </c>
      <c r="I2169" s="1" t="s">
        <v>20</v>
      </c>
      <c r="J2169" s="1" t="s">
        <v>10013</v>
      </c>
      <c r="K2169" s="1" t="s">
        <v>22</v>
      </c>
      <c r="L2169" s="1" t="str">
        <f>HYPERLINK("https://files.afu.se/Downloads/Transcripts/0%20-%20Government/USA%20-%20NASA/2015 03 12 - NASA - Expedition 42 Returns Home Safely_EVMBJ0Ft28A - transcript (automated).pdf","Transcript Link")</f>
        <v>Transcript Link</v>
      </c>
      <c r="M2169" s="2" t="str">
        <f>HYPERLINK("https://files.afu.se/Downloads/Transcripts/0%20-%20Government/USA%20-%20NASA/2015 03 12 - NASA - Expedition 42 Returns Home Safely_EVMBJ0Ft28A - transcript (automated).pdf","Transcript Link")</f>
        <v>Transcript Link</v>
      </c>
    </row>
    <row r="2170" ht="165" spans="1:13">
      <c r="A2170" s="1" t="s">
        <v>10009</v>
      </c>
      <c r="B2170" s="1" t="s">
        <v>13</v>
      </c>
      <c r="C2170" s="4" t="s">
        <v>10014</v>
      </c>
      <c r="D2170" s="1" t="s">
        <v>10015</v>
      </c>
      <c r="E2170" s="1" t="s">
        <v>10016</v>
      </c>
      <c r="F2170" s="4" t="s">
        <v>17</v>
      </c>
      <c r="G2170" s="1" t="s">
        <v>18</v>
      </c>
      <c r="H2170" s="1" t="s">
        <v>19</v>
      </c>
      <c r="I2170" s="1" t="s">
        <v>20</v>
      </c>
      <c r="J2170" s="1" t="s">
        <v>10017</v>
      </c>
      <c r="K2170" s="1" t="s">
        <v>22</v>
      </c>
      <c r="L2170" s="1" t="str">
        <f>HYPERLINK("https://files.afu.se/Downloads/Transcripts/0%20-%20Government/USA%20-%20NASA/2015 03 12 - NASA - NASA Women’s History Month Profile – Valerie Wiesner (Glenn Research Center)_ki4AU2rsGFg - transcript (automated).pdf","Transcript Link")</f>
        <v>Transcript Link</v>
      </c>
      <c r="M2170" s="2" t="str">
        <f>HYPERLINK("https://files.afu.se/Downloads/Transcripts/0%20-%20Government/USA%20-%20NASA/2015 03 12 - NASA - NASA Women’s History Month Profile – Valerie Wiesner (Glenn Research Center)_ki4AU2rsGFg - transcript (automated).pdf","Transcript Link")</f>
        <v>Transcript Link</v>
      </c>
    </row>
    <row r="2171" ht="165" spans="1:13">
      <c r="A2171" s="1" t="s">
        <v>10009</v>
      </c>
      <c r="B2171" s="1" t="s">
        <v>13</v>
      </c>
      <c r="C2171" s="4" t="s">
        <v>10018</v>
      </c>
      <c r="D2171" s="1" t="s">
        <v>10019</v>
      </c>
      <c r="E2171" s="1" t="s">
        <v>10020</v>
      </c>
      <c r="F2171" s="4" t="s">
        <v>17</v>
      </c>
      <c r="G2171" s="1" t="s">
        <v>18</v>
      </c>
      <c r="H2171" s="1" t="s">
        <v>19</v>
      </c>
      <c r="I2171" s="1" t="s">
        <v>20</v>
      </c>
      <c r="J2171" s="1" t="s">
        <v>10021</v>
      </c>
      <c r="K2171" s="1" t="s">
        <v>22</v>
      </c>
      <c r="L2171" s="1" t="str">
        <f>HYPERLINK("https://files.afu.se/Downloads/Transcripts/0%20-%20Government/USA%20-%20NASA/2015 03 12 - NASA - Magnetic Multiscale Science previewed_fBZIhkvTyFg - transcript (automated).pdf","Transcript Link")</f>
        <v>Transcript Link</v>
      </c>
      <c r="M2171" s="2" t="str">
        <f>HYPERLINK("https://files.afu.se/Downloads/Transcripts/0%20-%20Government/USA%20-%20NASA/2015 03 12 - NASA - Magnetic Multiscale Science previewed_fBZIhkvTyFg - transcript (automated).pdf","Transcript Link")</f>
        <v>Transcript Link</v>
      </c>
    </row>
    <row r="2172" ht="165" spans="1:13">
      <c r="A2172" s="1" t="s">
        <v>10009</v>
      </c>
      <c r="B2172" s="1" t="s">
        <v>13</v>
      </c>
      <c r="C2172" s="4" t="s">
        <v>10022</v>
      </c>
      <c r="D2172" s="1" t="s">
        <v>10023</v>
      </c>
      <c r="E2172" s="1" t="s">
        <v>10024</v>
      </c>
      <c r="F2172" s="4" t="s">
        <v>17</v>
      </c>
      <c r="G2172" s="1" t="s">
        <v>18</v>
      </c>
      <c r="H2172" s="1" t="s">
        <v>19</v>
      </c>
      <c r="I2172" s="1" t="s">
        <v>20</v>
      </c>
      <c r="J2172" s="1" t="s">
        <v>10025</v>
      </c>
      <c r="K2172" s="1" t="s">
        <v>22</v>
      </c>
      <c r="L2172" s="1" t="str">
        <f>HYPERLINK("https://files.afu.se/Downloads/Transcripts/0%20-%20Government/USA%20-%20NASA/2015 03 12 - NASA - ISS Exp 42 Farewells and Hatch Closure_5XhG4dRWI14 - transcript (automated).pdf","Transcript Link")</f>
        <v>Transcript Link</v>
      </c>
      <c r="M2172" s="2" t="str">
        <f>HYPERLINK("https://files.afu.se/Downloads/Transcripts/0%20-%20Government/USA%20-%20NASA/2015 03 12 - NASA - ISS Exp 42 Farewells and Hatch Closure_5XhG4dRWI14 - transcript (automated).pdf","Transcript Link")</f>
        <v>Transcript Link</v>
      </c>
    </row>
    <row r="2173" ht="165" spans="1:13">
      <c r="A2173" s="1" t="s">
        <v>10026</v>
      </c>
      <c r="B2173" s="1" t="s">
        <v>13</v>
      </c>
      <c r="C2173" s="4" t="s">
        <v>10027</v>
      </c>
      <c r="D2173" s="1" t="s">
        <v>10028</v>
      </c>
      <c r="E2173" s="1" t="s">
        <v>10029</v>
      </c>
      <c r="F2173" s="4" t="s">
        <v>17</v>
      </c>
      <c r="G2173" s="1" t="s">
        <v>18</v>
      </c>
      <c r="H2173" s="1" t="s">
        <v>19</v>
      </c>
      <c r="I2173" s="1" t="s">
        <v>20</v>
      </c>
      <c r="J2173" s="1" t="s">
        <v>10030</v>
      </c>
      <c r="K2173" s="1" t="s">
        <v>22</v>
      </c>
      <c r="L2173" s="1" t="str">
        <f>HYPERLINK("https://files.afu.se/Downloads/Transcripts/0%20-%20Government/USA%20-%20NASA/2015 03 11 - NASA - SLS Qualification Booster Test_jATkV8HE2sQ - transcript (automated).pdf","Transcript Link")</f>
        <v>Transcript Link</v>
      </c>
      <c r="M2173" s="2" t="str">
        <f>HYPERLINK("https://files.afu.se/Downloads/Transcripts/0%20-%20Government/USA%20-%20NASA/2015 03 11 - NASA - SLS Qualification Booster Test_jATkV8HE2sQ - transcript (automated).pdf","Transcript Link")</f>
        <v>Transcript Link</v>
      </c>
    </row>
    <row r="2174" ht="180" spans="1:13">
      <c r="A2174" s="1" t="s">
        <v>10026</v>
      </c>
      <c r="B2174" s="1" t="s">
        <v>13</v>
      </c>
      <c r="C2174" s="4" t="s">
        <v>10031</v>
      </c>
      <c r="D2174" s="1" t="s">
        <v>10032</v>
      </c>
      <c r="E2174" s="1" t="s">
        <v>10033</v>
      </c>
      <c r="F2174" s="4" t="s">
        <v>17</v>
      </c>
      <c r="G2174" s="1" t="s">
        <v>18</v>
      </c>
      <c r="H2174" s="1" t="s">
        <v>19</v>
      </c>
      <c r="I2174" s="1" t="s">
        <v>20</v>
      </c>
      <c r="J2174" s="1" t="s">
        <v>10034</v>
      </c>
      <c r="K2174" s="1" t="s">
        <v>22</v>
      </c>
      <c r="L2174" s="1" t="str">
        <f>HYPERLINK("https://files.afu.se/Downloads/Transcripts/0%20-%20Government/USA%20-%20NASA/2015 03 11 - NASA - Space Launch System Booster Passes Major Ground Test_Ts9sFtUSeQE - transcript (automated).pdf","Transcript Link")</f>
        <v>Transcript Link</v>
      </c>
      <c r="M2174" s="2" t="str">
        <f>HYPERLINK("https://files.afu.se/Downloads/Transcripts/0%20-%20Government/USA%20-%20NASA/2015 03 11 - NASA - Space Launch System Booster Passes Major Ground Test_Ts9sFtUSeQE - transcript (automated).pdf","Transcript Link")</f>
        <v>Transcript Link</v>
      </c>
    </row>
    <row r="2175" ht="240" spans="1:13">
      <c r="A2175" s="1" t="s">
        <v>10026</v>
      </c>
      <c r="B2175" s="1" t="s">
        <v>13</v>
      </c>
      <c r="C2175" s="4" t="s">
        <v>10035</v>
      </c>
      <c r="D2175" s="1" t="s">
        <v>10036</v>
      </c>
      <c r="E2175" s="1" t="s">
        <v>10037</v>
      </c>
      <c r="F2175" s="4" t="s">
        <v>17</v>
      </c>
      <c r="G2175" s="1" t="s">
        <v>18</v>
      </c>
      <c r="H2175" s="1" t="s">
        <v>19</v>
      </c>
      <c r="I2175" s="1" t="s">
        <v>20</v>
      </c>
      <c r="J2175" s="1" t="s">
        <v>10038</v>
      </c>
      <c r="K2175" s="1" t="s">
        <v>22</v>
      </c>
      <c r="L2175" s="1" t="str">
        <f>HYPERLINK("https://files.afu.se/Downloads/Transcripts/0%20-%20Government/USA%20-%20NASA/2015 03 11 - NASA - Message From Space Marks 100th Anniversary of NASA’s Predecessor__Cwb6lqxItE - transcript (automated).pdf","Transcript Link")</f>
        <v>Transcript Link</v>
      </c>
      <c r="M2175" s="2" t="str">
        <f>HYPERLINK("https://files.afu.se/Downloads/Transcripts/0%20-%20Government/USA%20-%20NASA/2015 03 11 - NASA - Message From Space Marks 100th Anniversary of NASA’s Predecessor__Cwb6lqxItE - transcript (automated).pdf","Transcript Link")</f>
        <v>Transcript Link</v>
      </c>
    </row>
    <row r="2176" ht="165" spans="1:13">
      <c r="A2176" s="1" t="s">
        <v>10039</v>
      </c>
      <c r="B2176" s="1" t="s">
        <v>13</v>
      </c>
      <c r="C2176" s="4" t="s">
        <v>10040</v>
      </c>
      <c r="D2176" s="1" t="s">
        <v>10041</v>
      </c>
      <c r="E2176" s="1" t="s">
        <v>10042</v>
      </c>
      <c r="F2176" s="4" t="s">
        <v>17</v>
      </c>
      <c r="G2176" s="1" t="s">
        <v>18</v>
      </c>
      <c r="H2176" s="1" t="s">
        <v>19</v>
      </c>
      <c r="I2176" s="1" t="s">
        <v>20</v>
      </c>
      <c r="J2176" s="1" t="s">
        <v>10043</v>
      </c>
      <c r="K2176" s="1" t="s">
        <v>22</v>
      </c>
      <c r="L2176" s="1" t="str">
        <f>HYPERLINK("https://files.afu.se/Downloads/Transcripts/0%20-%20Government/USA%20-%20NASA/2015 03 10 - NASA - NASA Social SLS Booster Test (from Promontory, Utah)_Cca82UEW2oE - transcript (automated).pdf","Transcript Link")</f>
        <v>Transcript Link</v>
      </c>
      <c r="M2176" s="2" t="str">
        <f>HYPERLINK("https://files.afu.se/Downloads/Transcripts/0%20-%20Government/USA%20-%20NASA/2015 03 10 - NASA - NASA Social SLS Booster Test (from Promontory, Utah)_Cca82UEW2oE - transcript (automated).pdf","Transcript Link")</f>
        <v>Transcript Link</v>
      </c>
    </row>
    <row r="2177" ht="165" spans="1:13">
      <c r="A2177" s="1" t="s">
        <v>10039</v>
      </c>
      <c r="B2177" s="1" t="s">
        <v>13</v>
      </c>
      <c r="C2177" s="4" t="s">
        <v>10044</v>
      </c>
      <c r="D2177" s="1" t="s">
        <v>10045</v>
      </c>
      <c r="E2177" s="1" t="s">
        <v>10046</v>
      </c>
      <c r="F2177" s="4" t="s">
        <v>17</v>
      </c>
      <c r="G2177" s="1" t="s">
        <v>18</v>
      </c>
      <c r="H2177" s="1" t="s">
        <v>19</v>
      </c>
      <c r="I2177" s="1" t="s">
        <v>20</v>
      </c>
      <c r="J2177" s="1" t="s">
        <v>10047</v>
      </c>
      <c r="K2177" s="1" t="s">
        <v>22</v>
      </c>
      <c r="L2177" s="1" t="str">
        <f>HYPERLINK("https://files.afu.se/Downloads/Transcripts/0%20-%20Government/USA%20-%20NASA/2015 03 10 - NASA - Magnetic Multiscale mission previewed_JNTtZ7adgX8 - transcript (automated).pdf","Transcript Link")</f>
        <v>Transcript Link</v>
      </c>
      <c r="M2177" s="2" t="str">
        <f>HYPERLINK("https://files.afu.se/Downloads/Transcripts/0%20-%20Government/USA%20-%20NASA/2015 03 10 - NASA - Magnetic Multiscale mission previewed_JNTtZ7adgX8 - transcript (automated).pdf","Transcript Link")</f>
        <v>Transcript Link</v>
      </c>
    </row>
    <row r="2178" ht="165" spans="1:13">
      <c r="A2178" s="1" t="s">
        <v>10039</v>
      </c>
      <c r="B2178" s="1" t="s">
        <v>13</v>
      </c>
      <c r="C2178" s="4" t="s">
        <v>10048</v>
      </c>
      <c r="D2178" s="1" t="s">
        <v>10049</v>
      </c>
      <c r="E2178" s="1" t="s">
        <v>10050</v>
      </c>
      <c r="F2178" s="4" t="s">
        <v>17</v>
      </c>
      <c r="G2178" s="1" t="s">
        <v>18</v>
      </c>
      <c r="H2178" s="1" t="s">
        <v>19</v>
      </c>
      <c r="I2178" s="1" t="s">
        <v>20</v>
      </c>
      <c r="J2178" s="1" t="s">
        <v>10051</v>
      </c>
      <c r="K2178" s="1" t="s">
        <v>22</v>
      </c>
      <c r="L2178" s="1" t="str">
        <f>HYPERLINK("https://files.afu.se/Downloads/Transcripts/0%20-%20Government/USA%20-%20NASA/2015 03 10 - NASA - Change of Command on the ISS_bsd3oOKIBLM - transcript (automated).pdf","Transcript Link")</f>
        <v>Transcript Link</v>
      </c>
      <c r="M2178" s="2" t="str">
        <f>HYPERLINK("https://files.afu.se/Downloads/Transcripts/0%20-%20Government/USA%20-%20NASA/2015 03 10 - NASA - Change of Command on the ISS_bsd3oOKIBLM - transcript (automated).pdf","Transcript Link")</f>
        <v>Transcript Link</v>
      </c>
    </row>
    <row r="2179" ht="165" spans="1:13">
      <c r="A2179" s="1" t="s">
        <v>10052</v>
      </c>
      <c r="B2179" s="1" t="s">
        <v>13</v>
      </c>
      <c r="C2179" s="4" t="s">
        <v>10053</v>
      </c>
      <c r="D2179" s="1" t="s">
        <v>10054</v>
      </c>
      <c r="E2179" s="1" t="s">
        <v>10055</v>
      </c>
      <c r="F2179" s="4" t="s">
        <v>17</v>
      </c>
      <c r="G2179" s="1" t="s">
        <v>18</v>
      </c>
      <c r="H2179" s="1" t="s">
        <v>19</v>
      </c>
      <c r="I2179" s="1" t="s">
        <v>20</v>
      </c>
      <c r="J2179" s="1" t="s">
        <v>10056</v>
      </c>
      <c r="K2179" s="1" t="s">
        <v>22</v>
      </c>
      <c r="L2179" s="1" t="str">
        <f>HYPERLINK("https://files.afu.se/Downloads/Transcripts/0%20-%20Government/USA%20-%20NASA/2015 03 07 - NASA - NASA African American History Month Profile – Karen Gilliam (Glenn Research Center)_LKdIX1LmQ_E - transcript (automated).pdf","Transcript Link")</f>
        <v>Transcript Link</v>
      </c>
      <c r="M2179" s="2" t="str">
        <f>HYPERLINK("https://files.afu.se/Downloads/Transcripts/0%20-%20Government/USA%20-%20NASA/2015 03 07 - NASA - NASA African American History Month Profile – Karen Gilliam (Glenn Research Center)_LKdIX1LmQ_E - transcript (automated).pdf","Transcript Link")</f>
        <v>Transcript Link</v>
      </c>
    </row>
    <row r="2180" ht="270" spans="1:13">
      <c r="A2180" s="1" t="s">
        <v>10057</v>
      </c>
      <c r="B2180" s="1" t="s">
        <v>13</v>
      </c>
      <c r="C2180" s="4" t="s">
        <v>10058</v>
      </c>
      <c r="D2180" s="1" t="s">
        <v>10059</v>
      </c>
      <c r="E2180" s="1" t="s">
        <v>10060</v>
      </c>
      <c r="F2180" s="4" t="s">
        <v>17</v>
      </c>
      <c r="G2180" s="1" t="s">
        <v>18</v>
      </c>
      <c r="H2180" s="1" t="s">
        <v>19</v>
      </c>
      <c r="I2180" s="1" t="s">
        <v>20</v>
      </c>
      <c r="J2180" s="1" t="s">
        <v>10061</v>
      </c>
      <c r="K2180" s="1" t="s">
        <v>22</v>
      </c>
      <c r="L2180" s="1" t="str">
        <f>HYPERLINK("https://files.afu.se/Downloads/Transcripts/0%20-%20Government/USA%20-%20NASA/2015 03 06 - NASA - Bolden Testifies About Budget on This Week @NASA_Lqei3f4z9N4 - transcript (automated).pdf","Transcript Link")</f>
        <v>Transcript Link</v>
      </c>
      <c r="M2180" s="2" t="str">
        <f>HYPERLINK("https://files.afu.se/Downloads/Transcripts/0%20-%20Government/USA%20-%20NASA/2015 03 06 - NASA - Bolden Testifies About Budget on This Week @NASA_Lqei3f4z9N4 - transcript (automated).pdf","Transcript Link")</f>
        <v>Transcript Link</v>
      </c>
    </row>
    <row r="2181" ht="330" spans="1:13">
      <c r="A2181" s="1" t="s">
        <v>10062</v>
      </c>
      <c r="B2181" s="1" t="s">
        <v>13</v>
      </c>
      <c r="C2181" s="4" t="s">
        <v>10063</v>
      </c>
      <c r="D2181" s="1" t="s">
        <v>10064</v>
      </c>
      <c r="E2181" s="1" t="s">
        <v>10065</v>
      </c>
      <c r="F2181" s="4" t="s">
        <v>17</v>
      </c>
      <c r="G2181" s="1" t="s">
        <v>18</v>
      </c>
      <c r="H2181" s="1" t="s">
        <v>19</v>
      </c>
      <c r="I2181" s="1" t="s">
        <v>20</v>
      </c>
      <c r="J2181" s="1" t="s">
        <v>10066</v>
      </c>
      <c r="K2181" s="1" t="s">
        <v>22</v>
      </c>
      <c r="L2181" s="1" t="str">
        <f>HYPERLINK("https://files.afu.se/Downloads/Transcripts/0%20-%20Government/USA%20-%20NASA/2015 03 05 - NASA - NACA Centenary  A Symposium on 100 Years of Aerospace Research and Development_8-4lcqXi1go - transcript (automated).pdf","Transcript Link")</f>
        <v>Transcript Link</v>
      </c>
      <c r="M2181" s="2" t="str">
        <f>HYPERLINK("https://files.afu.se/Downloads/Transcripts/0%20-%20Government/USA%20-%20NASA/2015 03 05 - NASA - NACA Centenary  A Symposium on 100 Years of Aerospace Research and Development_8-4lcqXi1go - transcript (automated).pdf","Transcript Link")</f>
        <v>Transcript Link</v>
      </c>
    </row>
    <row r="2182" ht="409.5" spans="1:13">
      <c r="A2182" s="1" t="s">
        <v>10062</v>
      </c>
      <c r="B2182" s="1" t="s">
        <v>13</v>
      </c>
      <c r="C2182" s="4" t="s">
        <v>10067</v>
      </c>
      <c r="D2182" s="1" t="s">
        <v>10064</v>
      </c>
      <c r="E2182" s="1" t="s">
        <v>10068</v>
      </c>
      <c r="F2182" s="4" t="s">
        <v>17</v>
      </c>
      <c r="G2182" s="1" t="s">
        <v>18</v>
      </c>
      <c r="H2182" s="1" t="s">
        <v>19</v>
      </c>
      <c r="I2182" s="1" t="s">
        <v>20</v>
      </c>
      <c r="J2182" s="1" t="s">
        <v>10069</v>
      </c>
      <c r="K2182" s="1" t="s">
        <v>22</v>
      </c>
      <c r="L2182" s="1" t="str">
        <f>HYPERLINK("https://files.afu.se/Downloads/Transcripts/0%20-%20Government/USA%20-%20NASA/2015 03 05 - NASA - NACA Centenary  A Symposium on 100 Years of Aerospace Research and Development_RM8wu3v78ZY - transcript (automated).pdf","Transcript Link")</f>
        <v>Transcript Link</v>
      </c>
      <c r="M2182" s="2" t="str">
        <f>HYPERLINK("https://files.afu.se/Downloads/Transcripts/0%20-%20Government/USA%20-%20NASA/2015 03 05 - NASA - NACA Centenary  A Symposium on 100 Years of Aerospace Research and Development_RM8wu3v78ZY - transcript (automated).pdf","Transcript Link")</f>
        <v>Transcript Link</v>
      </c>
    </row>
    <row r="2183" ht="409.5" spans="1:13">
      <c r="A2183" s="1" t="s">
        <v>10070</v>
      </c>
      <c r="B2183" s="1" t="s">
        <v>13</v>
      </c>
      <c r="C2183" s="4" t="s">
        <v>10071</v>
      </c>
      <c r="D2183" s="1" t="s">
        <v>10072</v>
      </c>
      <c r="E2183" s="1" t="s">
        <v>10073</v>
      </c>
      <c r="F2183" s="4" t="s">
        <v>17</v>
      </c>
      <c r="G2183" s="1" t="s">
        <v>18</v>
      </c>
      <c r="H2183" s="1" t="s">
        <v>19</v>
      </c>
      <c r="I2183" s="1" t="s">
        <v>20</v>
      </c>
      <c r="J2183" s="1" t="s">
        <v>10074</v>
      </c>
      <c r="K2183" s="1" t="s">
        <v>22</v>
      </c>
      <c r="L2183" s="1" t="str">
        <f>HYPERLINK("https://files.afu.se/Downloads/Transcripts/0%20-%20Government/USA%20-%20NASA/2015 03 04 - NASA - Panel Discussion Key-Aspects of NACA Research  NACA Centenary  A Symposium on 100 Years of Aerospace_t5OWyJdDrGA - transcript (automated).pdf","Transcript Link")</f>
        <v>Transcript Link</v>
      </c>
      <c r="M2183" s="2" t="str">
        <f>HYPERLINK("https://files.afu.se/Downloads/Transcripts/0%20-%20Government/USA%20-%20NASA/2015 03 04 - NASA - Panel Discussion Key-Aspects of NACA Research  NACA Centenary  A Symposium on 100 Years of Aerospace_t5OWyJdDrGA - transcript (automated).pdf","Transcript Link")</f>
        <v>Transcript Link</v>
      </c>
    </row>
    <row r="2184" ht="180" spans="1:13">
      <c r="A2184" s="1" t="s">
        <v>10070</v>
      </c>
      <c r="B2184" s="1" t="s">
        <v>13</v>
      </c>
      <c r="C2184" s="4" t="s">
        <v>10075</v>
      </c>
      <c r="D2184" s="1" t="s">
        <v>10076</v>
      </c>
      <c r="E2184" s="1" t="s">
        <v>10077</v>
      </c>
      <c r="F2184" s="4" t="s">
        <v>17</v>
      </c>
      <c r="G2184" s="1" t="s">
        <v>18</v>
      </c>
      <c r="H2184" s="1" t="s">
        <v>19</v>
      </c>
      <c r="I2184" s="1" t="s">
        <v>20</v>
      </c>
      <c r="J2184" s="1" t="s">
        <v>10078</v>
      </c>
      <c r="K2184" s="1" t="s">
        <v>22</v>
      </c>
      <c r="L2184" s="1" t="str">
        <f>HYPERLINK("https://files.afu.se/Downloads/Transcripts/0%20-%20Government/USA%20-%20NASA/2015 03 04 - NASA - Welcoming Address - Trailblazing the Technical World of Aerodynamics   NACA Centenary Symposium_7-29DCljgZ0 - transcript (automated).pdf","Transcript Link")</f>
        <v>Transcript Link</v>
      </c>
      <c r="M2184" s="2" t="str">
        <f>HYPERLINK("https://files.afu.se/Downloads/Transcripts/0%20-%20Government/USA%20-%20NASA/2015 03 04 - NASA - Welcoming Address - Trailblazing the Technical World of Aerodynamics   NACA Centenary Symposium_7-29DCljgZ0 - transcript (automated).pdf","Transcript Link")</f>
        <v>Transcript Link</v>
      </c>
    </row>
    <row r="2185" ht="375" spans="1:13">
      <c r="A2185" s="1" t="s">
        <v>10070</v>
      </c>
      <c r="B2185" s="1" t="s">
        <v>13</v>
      </c>
      <c r="C2185" s="4" t="s">
        <v>10079</v>
      </c>
      <c r="D2185" s="1" t="s">
        <v>10080</v>
      </c>
      <c r="E2185" s="1" t="s">
        <v>10081</v>
      </c>
      <c r="F2185" s="4" t="s">
        <v>17</v>
      </c>
      <c r="G2185" s="1" t="s">
        <v>18</v>
      </c>
      <c r="H2185" s="1" t="s">
        <v>19</v>
      </c>
      <c r="I2185" s="1" t="s">
        <v>20</v>
      </c>
      <c r="J2185" s="1" t="s">
        <v>10082</v>
      </c>
      <c r="K2185" s="1" t="s">
        <v>22</v>
      </c>
      <c r="L2185" s="1" t="str">
        <f>HYPERLINK("https://files.afu.se/Downloads/Transcripts/0%20-%20Government/USA%20-%20NASA/2015 03 04 - NASA - Panel Discussion - Flight Test and Research  NACA Centenary  A Symposium on 100 Years of Aerospace_E7EyUoFhunY - transcript (automated).pdf","Transcript Link")</f>
        <v>Transcript Link</v>
      </c>
      <c r="M2185" s="2" t="str">
        <f>HYPERLINK("https://files.afu.se/Downloads/Transcripts/0%20-%20Government/USA%20-%20NASA/2015 03 04 - NASA - Panel Discussion - Flight Test and Research  NACA Centenary  A Symposium on 100 Years of Aerospace_E7EyUoFhunY - transcript (automated).pdf","Transcript Link")</f>
        <v>Transcript Link</v>
      </c>
    </row>
    <row r="2186" ht="409.5" spans="1:13">
      <c r="A2186" s="1" t="s">
        <v>10083</v>
      </c>
      <c r="B2186" s="1" t="s">
        <v>13</v>
      </c>
      <c r="C2186" s="4" t="s">
        <v>10084</v>
      </c>
      <c r="D2186" s="1" t="s">
        <v>10064</v>
      </c>
      <c r="E2186" s="1" t="s">
        <v>10085</v>
      </c>
      <c r="F2186" s="4" t="s">
        <v>17</v>
      </c>
      <c r="G2186" s="1" t="s">
        <v>18</v>
      </c>
      <c r="H2186" s="1" t="s">
        <v>19</v>
      </c>
      <c r="I2186" s="1" t="s">
        <v>20</v>
      </c>
      <c r="J2186" s="1" t="s">
        <v>10086</v>
      </c>
      <c r="K2186" s="1" t="s">
        <v>22</v>
      </c>
      <c r="L2186" s="1" t="str">
        <f>HYPERLINK("https://files.afu.se/Downloads/Transcripts/0%20-%20Government/USA%20-%20NASA/2015 03 03 - NASA - NACA Centenary  A Symposium on 100 Years of Aerospace Research and Development_RDcXcswjf3w - transcript (automated).pdf","Transcript Link")</f>
        <v>Transcript Link</v>
      </c>
      <c r="M2186" s="2" t="str">
        <f>HYPERLINK("https://files.afu.se/Downloads/Transcripts/0%20-%20Government/USA%20-%20NASA/2015 03 03 - NASA - NACA Centenary  A Symposium on 100 Years of Aerospace Research and Development_RDcXcswjf3w - transcript (automated).pdf","Transcript Link")</f>
        <v>Transcript Link</v>
      </c>
    </row>
    <row r="2187" ht="285" spans="1:13">
      <c r="A2187" s="1" t="s">
        <v>10083</v>
      </c>
      <c r="B2187" s="1" t="s">
        <v>13</v>
      </c>
      <c r="C2187" s="4" t="s">
        <v>10087</v>
      </c>
      <c r="D2187" s="1" t="s">
        <v>10088</v>
      </c>
      <c r="E2187" s="1" t="s">
        <v>10089</v>
      </c>
      <c r="F2187" s="4" t="s">
        <v>17</v>
      </c>
      <c r="G2187" s="1" t="s">
        <v>18</v>
      </c>
      <c r="H2187" s="1" t="s">
        <v>19</v>
      </c>
      <c r="I2187" s="1" t="s">
        <v>20</v>
      </c>
      <c r="J2187" s="1" t="s">
        <v>10090</v>
      </c>
      <c r="K2187" s="1" t="s">
        <v>22</v>
      </c>
      <c r="L2187" s="1" t="str">
        <f>HYPERLINK("https://files.afu.se/Downloads/Transcripts/0%20-%20Government/USA%20-%20NASA/2015 03 03 - NASA - The NACA at 100_IIRc_aIGEWc - transcript (automated).pdf","Transcript Link")</f>
        <v>Transcript Link</v>
      </c>
      <c r="M2187" s="2" t="str">
        <f>HYPERLINK("https://files.afu.se/Downloads/Transcripts/0%20-%20Government/USA%20-%20NASA/2015 03 03 - NASA - The NACA at 100_IIRc_aIGEWc - transcript (automated).pdf","Transcript Link")</f>
        <v>Transcript Link</v>
      </c>
    </row>
    <row r="2188" ht="360" spans="1:13">
      <c r="A2188" s="1" t="s">
        <v>10083</v>
      </c>
      <c r="B2188" s="1" t="s">
        <v>13</v>
      </c>
      <c r="C2188" s="4" t="s">
        <v>10091</v>
      </c>
      <c r="D2188" s="1" t="s">
        <v>10092</v>
      </c>
      <c r="E2188" s="1" t="s">
        <v>10093</v>
      </c>
      <c r="F2188" s="4" t="s">
        <v>17</v>
      </c>
      <c r="G2188" s="1" t="s">
        <v>18</v>
      </c>
      <c r="H2188" s="1" t="s">
        <v>19</v>
      </c>
      <c r="I2188" s="1" t="s">
        <v>20</v>
      </c>
      <c r="J2188" s="1" t="s">
        <v>10094</v>
      </c>
      <c r="K2188" s="1" t="s">
        <v>22</v>
      </c>
      <c r="L2188" s="1" t="str">
        <f>HYPERLINK("https://files.afu.se/Downloads/Transcripts/0%20-%20Government/USA%20-%20NASA/2015 03 03 - NASA - Panel Discussion - Setting the Stage - NACA Centenary  A Symposium on 100 Years of Aerospace_qv7jQxzO-ZU - transcript (automated).pdf","Transcript Link")</f>
        <v>Transcript Link</v>
      </c>
      <c r="M2188" s="2" t="str">
        <f>HYPERLINK("https://files.afu.se/Downloads/Transcripts/0%20-%20Government/USA%20-%20NASA/2015 03 03 - NASA - Panel Discussion - Setting the Stage - NACA Centenary  A Symposium on 100 Years of Aerospace_qv7jQxzO-ZU - transcript (automated).pdf","Transcript Link")</f>
        <v>Transcript Link</v>
      </c>
    </row>
    <row r="2189" ht="195" spans="1:13">
      <c r="A2189" s="1" t="s">
        <v>10083</v>
      </c>
      <c r="B2189" s="1" t="s">
        <v>13</v>
      </c>
      <c r="C2189" s="4" t="s">
        <v>10095</v>
      </c>
      <c r="D2189" s="1" t="s">
        <v>10096</v>
      </c>
      <c r="E2189" s="1" t="s">
        <v>10097</v>
      </c>
      <c r="F2189" s="4" t="s">
        <v>17</v>
      </c>
      <c r="G2189" s="1" t="s">
        <v>18</v>
      </c>
      <c r="H2189" s="1" t="s">
        <v>19</v>
      </c>
      <c r="I2189" s="1" t="s">
        <v>20</v>
      </c>
      <c r="J2189" s="1" t="s">
        <v>10098</v>
      </c>
      <c r="K2189" s="1" t="s">
        <v>22</v>
      </c>
      <c r="L2189" s="1" t="str">
        <f>HYPERLINK("https://files.afu.se/Downloads/Transcripts/0%20-%20Government/USA%20-%20NASA/2015 03 03 - NASA - Welcoming and Keynote Address on the NACA Centenary  A Symposium on 100 Years of Aerospace_LlXyhmBZtMs - transcript (automated).pdf","Transcript Link")</f>
        <v>Transcript Link</v>
      </c>
      <c r="M2189" s="2" t="str">
        <f>HYPERLINK("https://files.afu.se/Downloads/Transcripts/0%20-%20Government/USA%20-%20NASA/2015 03 03 - NASA - Welcoming and Keynote Address on the NACA Centenary  A Symposium on 100 Years of Aerospace_LlXyhmBZtMs - transcript (automated).pdf","Transcript Link")</f>
        <v>Transcript Link</v>
      </c>
    </row>
    <row r="2190" ht="315" spans="1:13">
      <c r="A2190" s="1" t="s">
        <v>10083</v>
      </c>
      <c r="B2190" s="1" t="s">
        <v>13</v>
      </c>
      <c r="C2190" s="4" t="s">
        <v>10099</v>
      </c>
      <c r="D2190" s="1" t="s">
        <v>10100</v>
      </c>
      <c r="E2190" s="1" t="s">
        <v>10101</v>
      </c>
      <c r="F2190" s="4" t="s">
        <v>17</v>
      </c>
      <c r="G2190" s="1" t="s">
        <v>18</v>
      </c>
      <c r="H2190" s="1" t="s">
        <v>19</v>
      </c>
      <c r="I2190" s="1" t="s">
        <v>20</v>
      </c>
      <c r="J2190" s="1" t="s">
        <v>10102</v>
      </c>
      <c r="K2190" s="1" t="s">
        <v>22</v>
      </c>
      <c r="L2190" s="1" t="str">
        <f>HYPERLINK("https://files.afu.se/Downloads/Transcripts/0%20-%20Government/USA%20-%20NASA/2015 03 03 - NASA - NASA's Dawn Mission Pre- Close Approach News Briefing_npohVRqCYsU - transcript (automated).pdf","Transcript Link")</f>
        <v>Transcript Link</v>
      </c>
      <c r="M2190" s="2" t="str">
        <f>HYPERLINK("https://files.afu.se/Downloads/Transcripts/0%20-%20Government/USA%20-%20NASA/2015 03 03 - NASA - NASA's Dawn Mission Pre- Close Approach News Briefing_npohVRqCYsU - transcript (automated).pdf","Transcript Link")</f>
        <v>Transcript Link</v>
      </c>
    </row>
    <row r="2191" ht="165" spans="1:13">
      <c r="A2191" s="1" t="s">
        <v>10103</v>
      </c>
      <c r="B2191" s="1" t="s">
        <v>13</v>
      </c>
      <c r="C2191" s="4" t="s">
        <v>10104</v>
      </c>
      <c r="D2191" s="1" t="s">
        <v>10105</v>
      </c>
      <c r="E2191" s="1" t="s">
        <v>10106</v>
      </c>
      <c r="F2191" s="4" t="s">
        <v>17</v>
      </c>
      <c r="G2191" s="1" t="s">
        <v>18</v>
      </c>
      <c r="H2191" s="1" t="s">
        <v>19</v>
      </c>
      <c r="I2191" s="1" t="s">
        <v>20</v>
      </c>
      <c r="J2191" s="1" t="s">
        <v>10107</v>
      </c>
      <c r="K2191" s="1" t="s">
        <v>22</v>
      </c>
      <c r="L2191" s="1" t="str">
        <f>HYPERLINK("https://files.afu.se/Downloads/Transcripts/0%20-%20Government/USA%20-%20NASA/2015 03 02 - NASA - Space Station Crew Participates in First Lady’s “GimmeFive” Challenge_xziYRjfqFMw - transcript (automated).pdf","Transcript Link")</f>
        <v>Transcript Link</v>
      </c>
      <c r="M2191" s="2" t="str">
        <f>HYPERLINK("https://files.afu.se/Downloads/Transcripts/0%20-%20Government/USA%20-%20NASA/2015 03 02 - NASA - Space Station Crew Participates in First Lady’s “GimmeFive” Challenge_xziYRjfqFMw - transcript (automated).pdf","Transcript Link")</f>
        <v>Transcript Link</v>
      </c>
    </row>
    <row r="2192" ht="210" spans="1:13">
      <c r="A2192" s="1" t="s">
        <v>10108</v>
      </c>
      <c r="B2192" s="1" t="s">
        <v>13</v>
      </c>
      <c r="C2192" s="4" t="s">
        <v>10109</v>
      </c>
      <c r="D2192" s="1" t="s">
        <v>10110</v>
      </c>
      <c r="E2192" s="1" t="s">
        <v>10111</v>
      </c>
      <c r="F2192" s="4" t="s">
        <v>17</v>
      </c>
      <c r="G2192" s="1" t="s">
        <v>18</v>
      </c>
      <c r="H2192" s="1" t="s">
        <v>19</v>
      </c>
      <c r="I2192" s="1" t="s">
        <v>20</v>
      </c>
      <c r="J2192" s="1" t="s">
        <v>10112</v>
      </c>
      <c r="K2192" s="1" t="s">
        <v>22</v>
      </c>
      <c r="L2192" s="1" t="str">
        <f>HYPERLINK("https://files.afu.se/Downloads/Transcripts/0%20-%20Government/USA%20-%20NASA/2015 03 01 - NASA - International Space Station Astronauts Conduct Third Spacewalk in Eight Days_2n0WETnaPaY - transcript (automated).pdf","Transcript Link")</f>
        <v>Transcript Link</v>
      </c>
      <c r="M2192" s="2" t="str">
        <f>HYPERLINK("https://files.afu.se/Downloads/Transcripts/0%20-%20Government/USA%20-%20NASA/2015 03 01 - NASA - International Space Station Astronauts Conduct Third Spacewalk in Eight Days_2n0WETnaPaY - transcript (automated).pdf","Transcript Link")</f>
        <v>Transcript Link</v>
      </c>
    </row>
    <row r="2193" ht="225" spans="1:13">
      <c r="A2193" s="1" t="s">
        <v>10113</v>
      </c>
      <c r="B2193" s="1" t="s">
        <v>13</v>
      </c>
      <c r="C2193" s="4" t="s">
        <v>10114</v>
      </c>
      <c r="D2193" s="1" t="s">
        <v>10115</v>
      </c>
      <c r="E2193" s="1" t="s">
        <v>10116</v>
      </c>
      <c r="F2193" s="4" t="s">
        <v>17</v>
      </c>
      <c r="G2193" s="1" t="s">
        <v>18</v>
      </c>
      <c r="H2193" s="1" t="s">
        <v>19</v>
      </c>
      <c r="I2193" s="1" t="s">
        <v>20</v>
      </c>
      <c r="J2193" s="1" t="s">
        <v>10117</v>
      </c>
      <c r="K2193" s="1" t="s">
        <v>22</v>
      </c>
      <c r="L2193" s="1" t="str">
        <f>HYPERLINK("https://files.afu.se/Downloads/Transcripts/0%20-%20Government/USA%20-%20NASA/2015 02 27 - NASA - U.S. spacewalks continue on ISS on This Week @NASA_zczwVH4jcDQ - transcript (automated).pdf","Transcript Link")</f>
        <v>Transcript Link</v>
      </c>
      <c r="M2193" s="2" t="str">
        <f>HYPERLINK("https://files.afu.se/Downloads/Transcripts/0%20-%20Government/USA%20-%20NASA/2015 02 27 - NASA - U.S. spacewalks continue on ISS on This Week @NASA_zczwVH4jcDQ - transcript (automated).pdf","Transcript Link")</f>
        <v>Transcript Link</v>
      </c>
    </row>
    <row r="2194" ht="165" spans="1:13">
      <c r="A2194" s="1" t="s">
        <v>10118</v>
      </c>
      <c r="B2194" s="1" t="s">
        <v>13</v>
      </c>
      <c r="C2194" s="4" t="s">
        <v>10119</v>
      </c>
      <c r="D2194" s="1" t="s">
        <v>10120</v>
      </c>
      <c r="E2194" s="1" t="s">
        <v>10121</v>
      </c>
      <c r="F2194" s="4" t="s">
        <v>17</v>
      </c>
      <c r="G2194" s="1" t="s">
        <v>18</v>
      </c>
      <c r="H2194" s="1" t="s">
        <v>19</v>
      </c>
      <c r="I2194" s="1" t="s">
        <v>20</v>
      </c>
      <c r="J2194" s="1" t="s">
        <v>10122</v>
      </c>
      <c r="K2194" s="1" t="s">
        <v>22</v>
      </c>
      <c r="L2194" s="1" t="str">
        <f>HYPERLINK("https://files.afu.se/Downloads/Transcripts/0%20-%20Government/USA%20-%20NASA/2015 02 26 - NASA - Space station crew talks space with media_7UcYOAp_Bxw - transcript (automated).pdf","Transcript Link")</f>
        <v>Transcript Link</v>
      </c>
      <c r="M2194" s="2" t="str">
        <f>HYPERLINK("https://files.afu.se/Downloads/Transcripts/0%20-%20Government/USA%20-%20NASA/2015 02 26 - NASA - Space station crew talks space with media_7UcYOAp_Bxw - transcript (automated).pdf","Transcript Link")</f>
        <v>Transcript Link</v>
      </c>
    </row>
    <row r="2195" ht="165" spans="1:13">
      <c r="A2195" s="1" t="s">
        <v>10123</v>
      </c>
      <c r="B2195" s="1" t="s">
        <v>13</v>
      </c>
      <c r="C2195" s="4" t="s">
        <v>10124</v>
      </c>
      <c r="D2195" s="1" t="s">
        <v>10125</v>
      </c>
      <c r="E2195" s="1" t="s">
        <v>10126</v>
      </c>
      <c r="F2195" s="4" t="s">
        <v>17</v>
      </c>
      <c r="G2195" s="1" t="s">
        <v>18</v>
      </c>
      <c r="H2195" s="1" t="s">
        <v>19</v>
      </c>
      <c r="I2195" s="1" t="s">
        <v>20</v>
      </c>
      <c r="J2195" s="1" t="s">
        <v>10127</v>
      </c>
      <c r="K2195" s="1" t="s">
        <v>22</v>
      </c>
      <c r="L2195" s="1" t="str">
        <f>HYPERLINK("https://files.afu.se/Downloads/Transcripts/0%20-%20Government/USA%20-%20NASA/2015 02 25 - NASA - NASA mission’s magnetic personality_qgvg6TUEJJk - transcript (automated).pdf","Transcript Link")</f>
        <v>Transcript Link</v>
      </c>
      <c r="M2195" s="2" t="str">
        <f>HYPERLINK("https://files.afu.se/Downloads/Transcripts/0%20-%20Government/USA%20-%20NASA/2015 02 25 - NASA - NASA mission’s magnetic personality_qgvg6TUEJJk - transcript (automated).pdf","Transcript Link")</f>
        <v>Transcript Link</v>
      </c>
    </row>
    <row r="2196" ht="165" spans="1:13">
      <c r="A2196" s="1" t="s">
        <v>10123</v>
      </c>
      <c r="B2196" s="1" t="s">
        <v>13</v>
      </c>
      <c r="C2196" s="4" t="s">
        <v>10128</v>
      </c>
      <c r="D2196" s="1" t="s">
        <v>10129</v>
      </c>
      <c r="E2196" s="1" t="s">
        <v>10130</v>
      </c>
      <c r="F2196" s="4" t="s">
        <v>17</v>
      </c>
      <c r="G2196" s="1" t="s">
        <v>18</v>
      </c>
      <c r="H2196" s="1" t="s">
        <v>19</v>
      </c>
      <c r="I2196" s="1" t="s">
        <v>20</v>
      </c>
      <c r="J2196" s="1" t="s">
        <v>10131</v>
      </c>
      <c r="K2196" s="1" t="s">
        <v>22</v>
      </c>
      <c r="L2196" s="1" t="str">
        <f>HYPERLINK("https://files.afu.se/Downloads/Transcripts/0%20-%20Government/USA%20-%20NASA/2015 02 25 - NASA - Spacewalk continues prepping of ISS for new docking ports_CINnHXIfkDk - transcript (automated).pdf","Transcript Link")</f>
        <v>Transcript Link</v>
      </c>
      <c r="M2196" s="2" t="str">
        <f>HYPERLINK("https://files.afu.se/Downloads/Transcripts/0%20-%20Government/USA%20-%20NASA/2015 02 25 - NASA - Spacewalk continues prepping of ISS for new docking ports_CINnHXIfkDk - transcript (automated).pdf","Transcript Link")</f>
        <v>Transcript Link</v>
      </c>
    </row>
    <row r="2197" ht="225" spans="1:13">
      <c r="A2197" s="1" t="s">
        <v>10132</v>
      </c>
      <c r="B2197" s="1" t="s">
        <v>13</v>
      </c>
      <c r="C2197" s="4" t="s">
        <v>10133</v>
      </c>
      <c r="D2197" s="1" t="s">
        <v>10134</v>
      </c>
      <c r="E2197" s="1" t="s">
        <v>10135</v>
      </c>
      <c r="F2197" s="4" t="s">
        <v>17</v>
      </c>
      <c r="G2197" s="1" t="s">
        <v>18</v>
      </c>
      <c r="H2197" s="1" t="s">
        <v>19</v>
      </c>
      <c r="I2197" s="1" t="s">
        <v>20</v>
      </c>
      <c r="J2197" s="1" t="s">
        <v>10136</v>
      </c>
      <c r="K2197" s="1" t="s">
        <v>22</v>
      </c>
      <c r="L2197" s="1" t="str">
        <f>HYPERLINK("https://files.afu.se/Downloads/Transcripts/0%20-%20Government/USA%20-%20NASA/2015 02 21 - NASA - U.S. Space Station Crew Members Begin Spacewalk Trilogy To Prepare For Commercial Crew Vehicles_52bNS_RixgU - transcript (automated).pdf","Transcript Link")</f>
        <v>Transcript Link</v>
      </c>
      <c r="M2197" s="2" t="str">
        <f>HYPERLINK("https://files.afu.se/Downloads/Transcripts/0%20-%20Government/USA%20-%20NASA/2015 02 21 - NASA - U.S. Space Station Crew Members Begin Spacewalk Trilogy To Prepare For Commercial Crew Vehicles_52bNS_RixgU - transcript (automated).pdf","Transcript Link")</f>
        <v>Transcript Link</v>
      </c>
    </row>
    <row r="2198" ht="195" spans="1:13">
      <c r="A2198" s="1" t="s">
        <v>10137</v>
      </c>
      <c r="B2198" s="1" t="s">
        <v>13</v>
      </c>
      <c r="C2198" s="4" t="s">
        <v>10138</v>
      </c>
      <c r="D2198" s="1" t="s">
        <v>10139</v>
      </c>
      <c r="E2198" s="1" t="s">
        <v>10140</v>
      </c>
      <c r="F2198" s="4" t="s">
        <v>17</v>
      </c>
      <c r="G2198" s="1" t="s">
        <v>18</v>
      </c>
      <c r="H2198" s="1" t="s">
        <v>19</v>
      </c>
      <c r="I2198" s="1" t="s">
        <v>20</v>
      </c>
      <c r="J2198" s="1" t="s">
        <v>10141</v>
      </c>
      <c r="K2198" s="1" t="s">
        <v>22</v>
      </c>
      <c r="L2198" s="1" t="str">
        <f>HYPERLINK("https://files.afu.se/Downloads/Transcripts/0%20-%20Government/USA%20-%20NASA/2015 02 20 - NASA - Space station spacewalks on This Week @NASA_-zHmrklu0p4 - transcript (automated).pdf","Transcript Link")</f>
        <v>Transcript Link</v>
      </c>
      <c r="M2198" s="2" t="str">
        <f>HYPERLINK("https://files.afu.se/Downloads/Transcripts/0%20-%20Government/USA%20-%20NASA/2015 02 20 - NASA - Space station spacewalks on This Week @NASA_-zHmrklu0p4 - transcript (automated).pdf","Transcript Link")</f>
        <v>Transcript Link</v>
      </c>
    </row>
    <row r="2199" ht="409.5" spans="1:13">
      <c r="A2199" s="1" t="s">
        <v>10142</v>
      </c>
      <c r="B2199" s="1" t="s">
        <v>13</v>
      </c>
      <c r="C2199" s="4" t="s">
        <v>10143</v>
      </c>
      <c r="D2199" s="1" t="s">
        <v>10144</v>
      </c>
      <c r="E2199" s="1" t="s">
        <v>10145</v>
      </c>
      <c r="F2199" s="4" t="s">
        <v>17</v>
      </c>
      <c r="G2199" s="1" t="s">
        <v>18</v>
      </c>
      <c r="H2199" s="1" t="s">
        <v>19</v>
      </c>
      <c r="I2199" s="1" t="s">
        <v>20</v>
      </c>
      <c r="J2199" s="1" t="s">
        <v>10146</v>
      </c>
      <c r="K2199" s="1" t="s">
        <v>22</v>
      </c>
      <c r="L2199" s="1" t="str">
        <f>HYPERLINK("https://files.afu.se/Downloads/Transcripts/0%20-%20Government/USA%20-%20NASA/2015 02 18 - NASA - NASA Holds Expedition 42 Space Walk Briefing from Johnson Space Center in Houston_5Mj0PhVU2-s - transcript (automated).pdf","Transcript Link")</f>
        <v>Transcript Link</v>
      </c>
      <c r="M2199" s="2" t="str">
        <f>HYPERLINK("https://files.afu.se/Downloads/Transcripts/0%20-%20Government/USA%20-%20NASA/2015 02 18 - NASA - NASA Holds Expedition 42 Space Walk Briefing from Johnson Space Center in Houston_5Mj0PhVU2-s - transcript (automated).pdf","Transcript Link")</f>
        <v>Transcript Link</v>
      </c>
    </row>
    <row r="2200" ht="165" spans="1:13">
      <c r="A2200" s="1" t="s">
        <v>10142</v>
      </c>
      <c r="B2200" s="1" t="s">
        <v>13</v>
      </c>
      <c r="C2200" s="4" t="s">
        <v>10147</v>
      </c>
      <c r="D2200" s="1" t="s">
        <v>10148</v>
      </c>
      <c r="E2200" s="1" t="s">
        <v>10149</v>
      </c>
      <c r="F2200" s="4" t="s">
        <v>17</v>
      </c>
      <c r="G2200" s="1" t="s">
        <v>18</v>
      </c>
      <c r="H2200" s="1" t="s">
        <v>19</v>
      </c>
      <c r="I2200" s="1" t="s">
        <v>20</v>
      </c>
      <c r="J2200" s="1" t="s">
        <v>10150</v>
      </c>
      <c r="K2200" s="1" t="s">
        <v>22</v>
      </c>
      <c r="L2200" s="1" t="str">
        <f>HYPERLINK("https://files.afu.se/Downloads/Transcripts/0%20-%20Government/USA%20-%20NASA/2015 02 18 - NASA - International Space Station Crew Members Discuss Life In Space With The Media_7rWkZk5SSR4 - transcript (automated).pdf","Transcript Link")</f>
        <v>Transcript Link</v>
      </c>
      <c r="M2200" s="2" t="str">
        <f>HYPERLINK("https://files.afu.se/Downloads/Transcripts/0%20-%20Government/USA%20-%20NASA/2015 02 18 - NASA - International Space Station Crew Members Discuss Life In Space With The Media_7rWkZk5SSR4 - transcript (automated).pdf","Transcript Link")</f>
        <v>Transcript Link</v>
      </c>
    </row>
    <row r="2201" ht="165" spans="1:13">
      <c r="A2201" s="1" t="s">
        <v>10142</v>
      </c>
      <c r="B2201" s="1" t="s">
        <v>13</v>
      </c>
      <c r="C2201" s="4" t="s">
        <v>10151</v>
      </c>
      <c r="D2201" s="1" t="s">
        <v>10152</v>
      </c>
      <c r="E2201" s="1" t="s">
        <v>10153</v>
      </c>
      <c r="F2201" s="4" t="s">
        <v>17</v>
      </c>
      <c r="G2201" s="1" t="s">
        <v>18</v>
      </c>
      <c r="H2201" s="1" t="s">
        <v>19</v>
      </c>
      <c r="I2201" s="1" t="s">
        <v>20</v>
      </c>
      <c r="J2201" s="1" t="s">
        <v>10154</v>
      </c>
      <c r="K2201" s="1" t="s">
        <v>22</v>
      </c>
      <c r="L2201" s="1" t="str">
        <f>HYPERLINK("https://files.afu.se/Downloads/Transcripts/0%20-%20Government/USA%20-%20NASA/2015 02 18 - NASA - Russian Space Station Cargo Ship Launches, Docks to the International Complex_MiIZOn8npT0 - transcript (automated).pdf","Transcript Link")</f>
        <v>Transcript Link</v>
      </c>
      <c r="M2201" s="2" t="str">
        <f>HYPERLINK("https://files.afu.se/Downloads/Transcripts/0%20-%20Government/USA%20-%20NASA/2015 02 18 - NASA - Russian Space Station Cargo Ship Launches, Docks to the International Complex_MiIZOn8npT0 - transcript (automated).pdf","Transcript Link")</f>
        <v>Transcript Link</v>
      </c>
    </row>
    <row r="2202" ht="225" spans="1:13">
      <c r="A2202" s="1" t="s">
        <v>10155</v>
      </c>
      <c r="B2202" s="1" t="s">
        <v>13</v>
      </c>
      <c r="C2202" s="4" t="s">
        <v>10156</v>
      </c>
      <c r="D2202" s="1" t="s">
        <v>10157</v>
      </c>
      <c r="E2202" s="1" t="s">
        <v>10158</v>
      </c>
      <c r="F2202" s="4" t="s">
        <v>17</v>
      </c>
      <c r="G2202" s="1" t="s">
        <v>18</v>
      </c>
      <c r="H2202" s="1" t="s">
        <v>19</v>
      </c>
      <c r="I2202" s="1" t="s">
        <v>20</v>
      </c>
      <c r="J2202" s="1" t="s">
        <v>10159</v>
      </c>
      <c r="K2202" s="1" t="s">
        <v>22</v>
      </c>
      <c r="L2202" s="1" t="str">
        <f>HYPERLINK("https://files.afu.se/Downloads/Transcripts/0%20-%20Government/USA%20-%20NASA/2015 02 14 - NASA - European Cargo Ship Departs The Space Station For The Final Time_aznqRz54DiY - transcript (automated).pdf","Transcript Link")</f>
        <v>Transcript Link</v>
      </c>
      <c r="M2202" s="2" t="str">
        <f>HYPERLINK("https://files.afu.se/Downloads/Transcripts/0%20-%20Government/USA%20-%20NASA/2015 02 14 - NASA - European Cargo Ship Departs The Space Station For The Final Time_aznqRz54DiY - transcript (automated).pdf","Transcript Link")</f>
        <v>Transcript Link</v>
      </c>
    </row>
    <row r="2203" ht="165" spans="1:13">
      <c r="A2203" s="1" t="s">
        <v>10160</v>
      </c>
      <c r="B2203" s="1" t="s">
        <v>13</v>
      </c>
      <c r="C2203" s="4" t="s">
        <v>10161</v>
      </c>
      <c r="D2203" s="1" t="s">
        <v>10162</v>
      </c>
      <c r="E2203" s="1" t="s">
        <v>10163</v>
      </c>
      <c r="F2203" s="4" t="s">
        <v>17</v>
      </c>
      <c r="G2203" s="1" t="s">
        <v>18</v>
      </c>
      <c r="H2203" s="1" t="s">
        <v>19</v>
      </c>
      <c r="I2203" s="1" t="s">
        <v>20</v>
      </c>
      <c r="J2203" s="1" t="s">
        <v>10164</v>
      </c>
      <c r="K2203" s="1" t="s">
        <v>22</v>
      </c>
      <c r="L2203" s="1" t="str">
        <f>HYPERLINK("https://files.afu.se/Downloads/Transcripts/0%20-%20Government/USA%20-%20NASA/2015 02 13 - NASA - Future ISS crews announced on This Week @NASA_swYbsuchLeo - transcript (automated).pdf","Transcript Link")</f>
        <v>Transcript Link</v>
      </c>
      <c r="M2203" s="2" t="str">
        <f>HYPERLINK("https://files.afu.se/Downloads/Transcripts/0%20-%20Government/USA%20-%20NASA/2015 02 13 - NASA - Future ISS crews announced on This Week @NASA_swYbsuchLeo - transcript (automated).pdf","Transcript Link")</f>
        <v>Transcript Link</v>
      </c>
    </row>
    <row r="2204" ht="165" spans="1:13">
      <c r="A2204" s="1" t="s">
        <v>10160</v>
      </c>
      <c r="B2204" s="1" t="s">
        <v>13</v>
      </c>
      <c r="C2204" s="4" t="s">
        <v>10165</v>
      </c>
      <c r="D2204" s="1" t="s">
        <v>10166</v>
      </c>
      <c r="E2204" s="1" t="s">
        <v>10167</v>
      </c>
      <c r="F2204" s="4" t="s">
        <v>17</v>
      </c>
      <c r="G2204" s="1" t="s">
        <v>18</v>
      </c>
      <c r="H2204" s="1" t="s">
        <v>19</v>
      </c>
      <c r="I2204" s="1" t="s">
        <v>20</v>
      </c>
      <c r="J2204" s="1" t="s">
        <v>10168</v>
      </c>
      <c r="K2204" s="1" t="s">
        <v>22</v>
      </c>
      <c r="L2204" s="1" t="str">
        <f>HYPERLINK("https://files.afu.se/Downloads/Transcripts/0%20-%20Government/USA%20-%20NASA/2015 02 13 - NASA - Curiosity Rover Report (Feb 12, 2015)  Rover Walkabout_QsHL_kkmPtU - transcript (automated).pdf","Transcript Link")</f>
        <v>Transcript Link</v>
      </c>
      <c r="M2204" s="2" t="str">
        <f>HYPERLINK("https://files.afu.se/Downloads/Transcripts/0%20-%20Government/USA%20-%20NASA/2015 02 13 - NASA - Curiosity Rover Report (Feb 12, 2015)  Rover Walkabout_QsHL_kkmPtU - transcript (automated).pdf","Transcript Link")</f>
        <v>Transcript Link</v>
      </c>
    </row>
    <row r="2205" ht="180" spans="1:13">
      <c r="A2205" s="1" t="s">
        <v>10160</v>
      </c>
      <c r="B2205" s="1" t="s">
        <v>13</v>
      </c>
      <c r="C2205" s="4" t="s">
        <v>10169</v>
      </c>
      <c r="D2205" s="1" t="s">
        <v>10170</v>
      </c>
      <c r="E2205" s="1" t="s">
        <v>10171</v>
      </c>
      <c r="F2205" s="4" t="s">
        <v>17</v>
      </c>
      <c r="G2205" s="1" t="s">
        <v>18</v>
      </c>
      <c r="H2205" s="1" t="s">
        <v>19</v>
      </c>
      <c r="I2205" s="1" t="s">
        <v>20</v>
      </c>
      <c r="J2205" s="1" t="s">
        <v>10172</v>
      </c>
      <c r="K2205" s="1" t="s">
        <v>22</v>
      </c>
      <c r="L2205" s="1" t="str">
        <f>HYPERLINK("https://files.afu.se/Downloads/Transcripts/0%20-%20Government/USA%20-%20NASA/2015 02 13 - NASA - NASA African American History Month Profile - Shawn Goodman (Jet Propulsion Laboratory)_8LfQfbxuZv4 - transcript (automated).pdf","Transcript Link")</f>
        <v>Transcript Link</v>
      </c>
      <c r="M2205" s="2" t="str">
        <f>HYPERLINK("https://files.afu.se/Downloads/Transcripts/0%20-%20Government/USA%20-%20NASA/2015 02 13 - NASA - NASA African American History Month Profile - Shawn Goodman (Jet Propulsion Laboratory)_8LfQfbxuZv4 - transcript (automated).pdf","Transcript Link")</f>
        <v>Transcript Link</v>
      </c>
    </row>
    <row r="2206" ht="165" spans="1:13">
      <c r="A2206" s="1" t="s">
        <v>10160</v>
      </c>
      <c r="B2206" s="1" t="s">
        <v>13</v>
      </c>
      <c r="C2206" s="4" t="s">
        <v>10173</v>
      </c>
      <c r="D2206" s="1" t="s">
        <v>10174</v>
      </c>
      <c r="E2206" s="1" t="s">
        <v>10175</v>
      </c>
      <c r="F2206" s="4" t="s">
        <v>17</v>
      </c>
      <c r="G2206" s="1" t="s">
        <v>18</v>
      </c>
      <c r="H2206" s="1" t="s">
        <v>19</v>
      </c>
      <c r="I2206" s="1" t="s">
        <v>20</v>
      </c>
      <c r="J2206" s="1" t="s">
        <v>10176</v>
      </c>
      <c r="K2206" s="1" t="s">
        <v>22</v>
      </c>
      <c r="L2206" s="1" t="str">
        <f>HYPERLINK("https://files.afu.se/Downloads/Transcripts/0%20-%20Government/USA%20-%20NASA/2015 02 13 - NASA - NASA African American History Month Profile - Tommy Thompson (Marshall Space Flight Center)_u4cimKKa_vg - transcript (automated).pdf","Transcript Link")</f>
        <v>Transcript Link</v>
      </c>
      <c r="M2206" s="2" t="str">
        <f>HYPERLINK("https://files.afu.se/Downloads/Transcripts/0%20-%20Government/USA%20-%20NASA/2015 02 13 - NASA - NASA African American History Month Profile - Tommy Thompson (Marshall Space Flight Center)_u4cimKKa_vg - transcript (automated).pdf","Transcript Link")</f>
        <v>Transcript Link</v>
      </c>
    </row>
    <row r="2207" ht="165" spans="1:13">
      <c r="A2207" s="1" t="s">
        <v>10160</v>
      </c>
      <c r="B2207" s="1" t="s">
        <v>13</v>
      </c>
      <c r="C2207" s="4" t="s">
        <v>10177</v>
      </c>
      <c r="D2207" s="1" t="s">
        <v>10178</v>
      </c>
      <c r="E2207" s="1" t="s">
        <v>10179</v>
      </c>
      <c r="F2207" s="4" t="s">
        <v>17</v>
      </c>
      <c r="G2207" s="1" t="s">
        <v>18</v>
      </c>
      <c r="H2207" s="1" t="s">
        <v>19</v>
      </c>
      <c r="I2207" s="1" t="s">
        <v>20</v>
      </c>
      <c r="J2207" s="1" t="s">
        <v>10180</v>
      </c>
      <c r="K2207" s="1" t="s">
        <v>22</v>
      </c>
      <c r="L2207" s="1" t="str">
        <f>HYPERLINK("https://files.afu.se/Downloads/Transcripts/0%20-%20Government/USA%20-%20NASA/2015 02 13 - NASA - Space Station Crew Discusses Life In Space With Fox News Television_EQjVa8wR8xE - transcript (automated).pdf","Transcript Link")</f>
        <v>Transcript Link</v>
      </c>
      <c r="M2207" s="2" t="str">
        <f>HYPERLINK("https://files.afu.se/Downloads/Transcripts/0%20-%20Government/USA%20-%20NASA/2015 02 13 - NASA - Space Station Crew Discusses Life In Space With Fox News Television_EQjVa8wR8xE - transcript (automated).pdf","Transcript Link")</f>
        <v>Transcript Link</v>
      </c>
    </row>
    <row r="2208" ht="165" spans="1:13">
      <c r="A2208" s="1" t="s">
        <v>10160</v>
      </c>
      <c r="B2208" s="1" t="s">
        <v>13</v>
      </c>
      <c r="C2208" s="4" t="s">
        <v>10181</v>
      </c>
      <c r="D2208" s="1" t="s">
        <v>10182</v>
      </c>
      <c r="E2208" s="1" t="s">
        <v>10183</v>
      </c>
      <c r="F2208" s="4" t="s">
        <v>17</v>
      </c>
      <c r="G2208" s="1" t="s">
        <v>18</v>
      </c>
      <c r="H2208" s="1" t="s">
        <v>19</v>
      </c>
      <c r="I2208" s="1" t="s">
        <v>20</v>
      </c>
      <c r="J2208" s="1" t="s">
        <v>10184</v>
      </c>
      <c r="K2208" s="1" t="s">
        <v>22</v>
      </c>
      <c r="L2208" s="1" t="str">
        <f>HYPERLINK("https://files.afu.se/Downloads/Transcripts/0%20-%20Government/USA%20-%20NASA/2015 02 13 - NASA - NASA African American History Month Profile-Ryan Warner (Armstrong Flight Research Center)_BqakNPlbsvA - transcript (automated).pdf","Transcript Link")</f>
        <v>Transcript Link</v>
      </c>
      <c r="M2208" s="2" t="str">
        <f>HYPERLINK("https://files.afu.se/Downloads/Transcripts/0%20-%20Government/USA%20-%20NASA/2015 02 13 - NASA - NASA African American History Month Profile-Ryan Warner (Armstrong Flight Research Center)_BqakNPlbsvA - transcript (automated).pdf","Transcript Link")</f>
        <v>Transcript Link</v>
      </c>
    </row>
    <row r="2209" ht="180" spans="1:13">
      <c r="A2209" s="1" t="s">
        <v>10185</v>
      </c>
      <c r="B2209" s="1" t="s">
        <v>13</v>
      </c>
      <c r="C2209" s="4" t="s">
        <v>10186</v>
      </c>
      <c r="D2209" s="1" t="s">
        <v>10187</v>
      </c>
      <c r="E2209" s="1" t="s">
        <v>10188</v>
      </c>
      <c r="F2209" s="4" t="s">
        <v>17</v>
      </c>
      <c r="G2209" s="1" t="s">
        <v>18</v>
      </c>
      <c r="H2209" s="1" t="s">
        <v>19</v>
      </c>
      <c r="I2209" s="1" t="s">
        <v>20</v>
      </c>
      <c r="J2209" s="1" t="s">
        <v>10189</v>
      </c>
      <c r="K2209" s="1" t="s">
        <v>22</v>
      </c>
      <c r="L2209" s="1" t="str">
        <f>HYPERLINK("https://files.afu.se/Downloads/Transcripts/0%20-%20Government/USA%20-%20NASA/2015 02 12 - NASA - Space Station Crew Member Discusses Life In Space And Music With Her Native Italy_GuzDsPgVrPs - transcript (automated).pdf","Transcript Link")</f>
        <v>Transcript Link</v>
      </c>
      <c r="M2209" s="2" t="str">
        <f>HYPERLINK("https://files.afu.se/Downloads/Transcripts/0%20-%20Government/USA%20-%20NASA/2015 02 12 - NASA - Space Station Crew Member Discusses Life In Space And Music With Her Native Italy_GuzDsPgVrPs - transcript (automated).pdf","Transcript Link")</f>
        <v>Transcript Link</v>
      </c>
    </row>
    <row r="2210" ht="165" spans="1:13">
      <c r="A2210" s="1" t="s">
        <v>10185</v>
      </c>
      <c r="B2210" s="1" t="s">
        <v>13</v>
      </c>
      <c r="C2210" s="4" t="s">
        <v>10190</v>
      </c>
      <c r="D2210" s="1" t="s">
        <v>10191</v>
      </c>
      <c r="E2210" s="1" t="s">
        <v>10192</v>
      </c>
      <c r="F2210" s="4" t="s">
        <v>17</v>
      </c>
      <c r="G2210" s="1" t="s">
        <v>18</v>
      </c>
      <c r="H2210" s="1" t="s">
        <v>19</v>
      </c>
      <c r="I2210" s="1" t="s">
        <v>20</v>
      </c>
      <c r="J2210" s="1" t="s">
        <v>10193</v>
      </c>
      <c r="K2210" s="1" t="s">
        <v>22</v>
      </c>
      <c r="L2210" s="1" t="str">
        <f>HYPERLINK("https://files.afu.se/Downloads/Transcripts/0%20-%20Government/USA%20-%20NASA/2015 02 12 - NASA - NOAA Space Weather Mission Underway_U3d1OgMkqyw - transcript (automated).pdf","Transcript Link")</f>
        <v>Transcript Link</v>
      </c>
      <c r="M2210" s="2" t="str">
        <f>HYPERLINK("https://files.afu.se/Downloads/Transcripts/0%20-%20Government/USA%20-%20NASA/2015 02 12 - NASA - NOAA Space Weather Mission Underway_U3d1OgMkqyw - transcript (automated).pdf","Transcript Link")</f>
        <v>Transcript Link</v>
      </c>
    </row>
    <row r="2211" ht="180" spans="1:13">
      <c r="A2211" s="1" t="s">
        <v>10194</v>
      </c>
      <c r="B2211" s="1" t="s">
        <v>13</v>
      </c>
      <c r="C2211" s="4" t="s">
        <v>10195</v>
      </c>
      <c r="D2211" s="1" t="s">
        <v>10196</v>
      </c>
      <c r="E2211" s="1" t="s">
        <v>10197</v>
      </c>
      <c r="F2211" s="4" t="s">
        <v>17</v>
      </c>
      <c r="G2211" s="1" t="s">
        <v>18</v>
      </c>
      <c r="H2211" s="1" t="s">
        <v>19</v>
      </c>
      <c r="I2211" s="1" t="s">
        <v>20</v>
      </c>
      <c r="J2211" s="1" t="s">
        <v>10198</v>
      </c>
      <c r="K2211" s="1" t="s">
        <v>22</v>
      </c>
      <c r="L2211" s="1" t="str">
        <f>HYPERLINK("https://files.afu.se/Downloads/Transcripts/0%20-%20Government/USA%20-%20NASA/2015 02 11 - NASA - Anniversary of Hubble Space Telescope Servicing Mission 2_CtvHTh-cABg - transcript (automated).pdf","Transcript Link")</f>
        <v>Transcript Link</v>
      </c>
      <c r="M2211" s="2" t="str">
        <f>HYPERLINK("https://files.afu.se/Downloads/Transcripts/0%20-%20Government/USA%20-%20NASA/2015 02 11 - NASA - Anniversary of Hubble Space Telescope Servicing Mission 2_CtvHTh-cABg - transcript (automated).pdf","Transcript Link")</f>
        <v>Transcript Link</v>
      </c>
    </row>
    <row r="2212" ht="165" spans="1:13">
      <c r="A2212" s="1" t="s">
        <v>10194</v>
      </c>
      <c r="B2212" s="1" t="s">
        <v>13</v>
      </c>
      <c r="C2212" s="4" t="s">
        <v>10199</v>
      </c>
      <c r="D2212" s="1" t="s">
        <v>10200</v>
      </c>
      <c r="E2212" s="1" t="s">
        <v>10201</v>
      </c>
      <c r="F2212" s="4" t="s">
        <v>17</v>
      </c>
      <c r="G2212" s="1" t="s">
        <v>18</v>
      </c>
      <c r="H2212" s="1" t="s">
        <v>19</v>
      </c>
      <c r="I2212" s="1" t="s">
        <v>20</v>
      </c>
      <c r="J2212" s="1" t="s">
        <v>10202</v>
      </c>
      <c r="K2212" s="1" t="s">
        <v>22</v>
      </c>
      <c r="L2212" s="1" t="str">
        <f>HYPERLINK("https://files.afu.se/Downloads/Transcripts/0%20-%20Government/USA%20-%20NASA/2015 02 11 - NASA - Celebrate 25 Years of Hubble_38bzKH4jfpA - transcript (automated).pdf","Transcript Link")</f>
        <v>Transcript Link</v>
      </c>
      <c r="M2212" s="2" t="str">
        <f>HYPERLINK("https://files.afu.se/Downloads/Transcripts/0%20-%20Government/USA%20-%20NASA/2015 02 11 - NASA - Celebrate 25 Years of Hubble_38bzKH4jfpA - transcript (automated).pdf","Transcript Link")</f>
        <v>Transcript Link</v>
      </c>
    </row>
    <row r="2213" ht="225" spans="1:13">
      <c r="A2213" s="1" t="s">
        <v>10203</v>
      </c>
      <c r="B2213" s="1" t="s">
        <v>13</v>
      </c>
      <c r="C2213" s="4" t="s">
        <v>10204</v>
      </c>
      <c r="D2213" s="1" t="s">
        <v>10205</v>
      </c>
      <c r="E2213" s="1" t="s">
        <v>10206</v>
      </c>
      <c r="F2213" s="4" t="s">
        <v>17</v>
      </c>
      <c r="G2213" s="1" t="s">
        <v>18</v>
      </c>
      <c r="H2213" s="1" t="s">
        <v>19</v>
      </c>
      <c r="I2213" s="1" t="s">
        <v>20</v>
      </c>
      <c r="J2213" s="1" t="s">
        <v>10207</v>
      </c>
      <c r="K2213" s="1" t="s">
        <v>22</v>
      </c>
      <c r="L2213" s="1" t="str">
        <f>HYPERLINK("https://files.afu.se/Downloads/Transcripts/0%20-%20Government/USA%20-%20NASA/2015 02 10 - NASA - U.S. Commercial Cargo Ship Departs International Space Station_wTFras1r2uc - transcript (automated).pdf","Transcript Link")</f>
        <v>Transcript Link</v>
      </c>
      <c r="M2213" s="2" t="str">
        <f>HYPERLINK("https://files.afu.se/Downloads/Transcripts/0%20-%20Government/USA%20-%20NASA/2015 02 10 - NASA - U.S. Commercial Cargo Ship Departs International Space Station_wTFras1r2uc - transcript (automated).pdf","Transcript Link")</f>
        <v>Transcript Link</v>
      </c>
    </row>
    <row r="2214" ht="409.5" spans="1:13">
      <c r="A2214" s="1" t="s">
        <v>10208</v>
      </c>
      <c r="B2214" s="1" t="s">
        <v>13</v>
      </c>
      <c r="C2214" s="4" t="s">
        <v>10209</v>
      </c>
      <c r="D2214" s="1" t="s">
        <v>10210</v>
      </c>
      <c r="E2214" s="1" t="s">
        <v>10211</v>
      </c>
      <c r="F2214" s="4" t="s">
        <v>17</v>
      </c>
      <c r="G2214" s="1" t="s">
        <v>18</v>
      </c>
      <c r="H2214" s="1" t="s">
        <v>19</v>
      </c>
      <c r="I2214" s="1" t="s">
        <v>20</v>
      </c>
      <c r="J2214" s="1" t="s">
        <v>10212</v>
      </c>
      <c r="K2214" s="1" t="s">
        <v>22</v>
      </c>
      <c r="L2214" s="1" t="str">
        <f>HYPERLINK("https://files.afu.se/Downloads/Transcripts/0%20-%20Government/USA%20-%20NASA/2015 02 07 - NASA - Deep Space Climate Observatory (DSCOVR) Briefing from Kennedy Space Center_TOSLdVOGAIc - transcript (automated).pdf","Transcript Link")</f>
        <v>Transcript Link</v>
      </c>
      <c r="M2214" s="2" t="str">
        <f>HYPERLINK("https://files.afu.se/Downloads/Transcripts/0%20-%20Government/USA%20-%20NASA/2015 02 07 - NASA - Deep Space Climate Observatory (DSCOVR) Briefing from Kennedy Space Center_TOSLdVOGAIc - transcript (automated).pdf","Transcript Link")</f>
        <v>Transcript Link</v>
      </c>
    </row>
    <row r="2215" ht="270" spans="1:13">
      <c r="A2215" s="1" t="s">
        <v>10213</v>
      </c>
      <c r="B2215" s="1" t="s">
        <v>13</v>
      </c>
      <c r="C2215" s="4" t="s">
        <v>10214</v>
      </c>
      <c r="D2215" s="1" t="s">
        <v>10215</v>
      </c>
      <c r="E2215" s="1" t="s">
        <v>10216</v>
      </c>
      <c r="F2215" s="4" t="s">
        <v>17</v>
      </c>
      <c r="G2215" s="1" t="s">
        <v>18</v>
      </c>
      <c r="H2215" s="1" t="s">
        <v>19</v>
      </c>
      <c r="I2215" s="1" t="s">
        <v>20</v>
      </c>
      <c r="J2215" s="1" t="s">
        <v>10217</v>
      </c>
      <c r="K2215" s="1" t="s">
        <v>22</v>
      </c>
      <c r="L2215" s="1" t="str">
        <f>HYPERLINK("https://files.afu.se/Downloads/Transcripts/0%20-%20Government/USA%20-%20NASA/2015 02 06 - NASA - The State of NASA on This Week @NASA_QgQrTRNZbaQ - transcript (automated).pdf","Transcript Link")</f>
        <v>Transcript Link</v>
      </c>
      <c r="M2215" s="2" t="str">
        <f>HYPERLINK("https://files.afu.se/Downloads/Transcripts/0%20-%20Government/USA%20-%20NASA/2015 02 06 - NASA - The State of NASA on This Week @NASA_QgQrTRNZbaQ - transcript (automated).pdf","Transcript Link")</f>
        <v>Transcript Link</v>
      </c>
    </row>
    <row r="2216" ht="165" spans="1:13">
      <c r="A2216" s="1" t="s">
        <v>10218</v>
      </c>
      <c r="B2216" s="1" t="s">
        <v>13</v>
      </c>
      <c r="C2216" s="4" t="s">
        <v>10219</v>
      </c>
      <c r="D2216" s="1" t="s">
        <v>10220</v>
      </c>
      <c r="E2216" s="1" t="s">
        <v>10221</v>
      </c>
      <c r="F2216" s="4" t="s">
        <v>17</v>
      </c>
      <c r="G2216" s="1" t="s">
        <v>18</v>
      </c>
      <c r="H2216" s="1" t="s">
        <v>19</v>
      </c>
      <c r="I2216" s="1" t="s">
        <v>20</v>
      </c>
      <c r="J2216" s="1" t="s">
        <v>10222</v>
      </c>
      <c r="K2216" s="1" t="s">
        <v>22</v>
      </c>
      <c r="L2216" s="1" t="str">
        <f>HYPERLINK("https://files.afu.se/Downloads/Transcripts/0%20-%20Government/USA%20-%20NASA/2015 02 05 - NASA - Astronauts Share Out of This World Experience with Students_axUGLKFodxY - transcript (automated).pdf","Transcript Link")</f>
        <v>Transcript Link</v>
      </c>
      <c r="M2216" s="2" t="str">
        <f>HYPERLINK("https://files.afu.se/Downloads/Transcripts/0%20-%20Government/USA%20-%20NASA/2015 02 05 - NASA - Astronauts Share Out of This World Experience with Students_axUGLKFodxY - transcript (automated).pdf","Transcript Link")</f>
        <v>Transcript Link</v>
      </c>
    </row>
    <row r="2217" ht="165" spans="1:13">
      <c r="A2217" s="1" t="s">
        <v>10223</v>
      </c>
      <c r="B2217" s="1" t="s">
        <v>13</v>
      </c>
      <c r="C2217" s="4" t="s">
        <v>10224</v>
      </c>
      <c r="D2217" s="1" t="s">
        <v>10225</v>
      </c>
      <c r="E2217" s="1" t="s">
        <v>10226</v>
      </c>
      <c r="F2217" s="4" t="s">
        <v>17</v>
      </c>
      <c r="G2217" s="1" t="s">
        <v>18</v>
      </c>
      <c r="H2217" s="1" t="s">
        <v>19</v>
      </c>
      <c r="I2217" s="1" t="s">
        <v>20</v>
      </c>
      <c r="J2217" s="1" t="s">
        <v>10227</v>
      </c>
      <c r="K2217" s="1" t="s">
        <v>22</v>
      </c>
      <c r="L2217" s="1" t="str">
        <f>HYPERLINK("https://files.afu.se/Downloads/Transcripts/0%20-%20Government/USA%20-%20NASA/2015 02 02 - NASA - Administrator Discusses the State of NASA_F2qkdSvV_Ng - transcript (automated).pdf","Transcript Link")</f>
        <v>Transcript Link</v>
      </c>
      <c r="M2217" s="2" t="str">
        <f>HYPERLINK("https://files.afu.se/Downloads/Transcripts/0%20-%20Government/USA%20-%20NASA/2015 02 02 - NASA - Administrator Discusses the State of NASA_F2qkdSvV_Ng - transcript (automated).pdf","Transcript Link")</f>
        <v>Transcript Link</v>
      </c>
    </row>
    <row r="2218" ht="165" spans="1:13">
      <c r="A2218" s="1" t="s">
        <v>10223</v>
      </c>
      <c r="B2218" s="1" t="s">
        <v>13</v>
      </c>
      <c r="C2218" s="4" t="s">
        <v>10228</v>
      </c>
      <c r="D2218" s="1" t="s">
        <v>10229</v>
      </c>
      <c r="E2218" s="1" t="s">
        <v>10230</v>
      </c>
      <c r="F2218" s="4" t="s">
        <v>17</v>
      </c>
      <c r="G2218" s="1" t="s">
        <v>18</v>
      </c>
      <c r="H2218" s="1" t="s">
        <v>19</v>
      </c>
      <c r="I2218" s="1" t="s">
        <v>20</v>
      </c>
      <c r="J2218" s="1" t="s">
        <v>10231</v>
      </c>
      <c r="K2218" s="1" t="s">
        <v>22</v>
      </c>
      <c r="L2218" s="1" t="str">
        <f>HYPERLINK("https://files.afu.se/Downloads/Transcripts/0%20-%20Government/USA%20-%20NASA/2015 02 02 - NASA - Reach for New Heights_d5j_gqd7Uq8 - transcript (automated).pdf","Transcript Link")</f>
        <v>Transcript Link</v>
      </c>
      <c r="M2218" s="2" t="str">
        <f>HYPERLINK("https://files.afu.se/Downloads/Transcripts/0%20-%20Government/USA%20-%20NASA/2015 02 02 - NASA - Reach for New Heights_d5j_gqd7Uq8 - transcript (automated).pdf","Transcript Link")</f>
        <v>Transcript Link</v>
      </c>
    </row>
    <row r="2219" ht="165" spans="1:13">
      <c r="A2219" s="1" t="s">
        <v>10223</v>
      </c>
      <c r="B2219" s="1" t="s">
        <v>13</v>
      </c>
      <c r="C2219" s="4" t="s">
        <v>10232</v>
      </c>
      <c r="D2219" s="1" t="s">
        <v>10233</v>
      </c>
      <c r="E2219" s="1" t="s">
        <v>10234</v>
      </c>
      <c r="F2219" s="4" t="s">
        <v>17</v>
      </c>
      <c r="G2219" s="1" t="s">
        <v>18</v>
      </c>
      <c r="H2219" s="1" t="s">
        <v>19</v>
      </c>
      <c r="I2219" s="1" t="s">
        <v>20</v>
      </c>
      <c r="J2219" s="1" t="s">
        <v>10235</v>
      </c>
      <c r="K2219" s="1" t="s">
        <v>22</v>
      </c>
      <c r="L2219" s="1" t="str">
        <f>HYPERLINK("https://files.afu.se/Downloads/Transcripts/0%20-%20Government/USA%20-%20NASA/2015 02 02 - NASA - ISS Downlink Superbowl 2015 Message_ZPb4B_srj_Y - transcript (automated).pdf","Transcript Link")</f>
        <v>Transcript Link</v>
      </c>
      <c r="M2219" s="2" t="str">
        <f>HYPERLINK("https://files.afu.se/Downloads/Transcripts/0%20-%20Government/USA%20-%20NASA/2015 02 02 - NASA - ISS Downlink Superbowl 2015 Message_ZPb4B_srj_Y - transcript (automated).pdf","Transcript Link")</f>
        <v>Transcript Link</v>
      </c>
    </row>
    <row r="2220" ht="165" spans="1:13">
      <c r="A2220" s="1" t="s">
        <v>10236</v>
      </c>
      <c r="B2220" s="1" t="s">
        <v>13</v>
      </c>
      <c r="C2220" s="4" t="s">
        <v>10237</v>
      </c>
      <c r="D2220" s="1" t="s">
        <v>10238</v>
      </c>
      <c r="E2220" s="1" t="s">
        <v>10239</v>
      </c>
      <c r="F2220" s="4" t="s">
        <v>17</v>
      </c>
      <c r="G2220" s="1" t="s">
        <v>18</v>
      </c>
      <c r="H2220" s="1" t="s">
        <v>19</v>
      </c>
      <c r="I2220" s="1" t="s">
        <v>20</v>
      </c>
      <c r="J2220" s="1" t="s">
        <v>10240</v>
      </c>
      <c r="K2220" s="1" t="s">
        <v>22</v>
      </c>
      <c r="L2220" s="1" t="str">
        <f>HYPERLINK("https://files.afu.se/Downloads/Transcripts/0%20-%20Government/USA%20-%20NASA/2015 01 31 - NASA - Status Update for Soil Moisture Mission_bp_G-AMT0Rw - transcript (automated).pdf","Transcript Link")</f>
        <v>Transcript Link</v>
      </c>
      <c r="M2220" s="2" t="str">
        <f>HYPERLINK("https://files.afu.se/Downloads/Transcripts/0%20-%20Government/USA%20-%20NASA/2015 01 31 - NASA - Status Update for Soil Moisture Mission_bp_G-AMT0Rw - transcript (automated).pdf","Transcript Link")</f>
        <v>Transcript Link</v>
      </c>
    </row>
    <row r="2221" ht="165" spans="1:13">
      <c r="A2221" s="1" t="s">
        <v>10236</v>
      </c>
      <c r="B2221" s="1" t="s">
        <v>13</v>
      </c>
      <c r="C2221" s="4" t="s">
        <v>10241</v>
      </c>
      <c r="D2221" s="1" t="s">
        <v>10242</v>
      </c>
      <c r="E2221" s="1" t="s">
        <v>10243</v>
      </c>
      <c r="F2221" s="4" t="s">
        <v>17</v>
      </c>
      <c r="G2221" s="1" t="s">
        <v>18</v>
      </c>
      <c r="H2221" s="1" t="s">
        <v>19</v>
      </c>
      <c r="I2221" s="1" t="s">
        <v>20</v>
      </c>
      <c r="J2221" s="1" t="s">
        <v>10244</v>
      </c>
      <c r="K2221" s="1" t="s">
        <v>22</v>
      </c>
      <c r="L2221" s="1" t="str">
        <f>HYPERLINK("https://files.afu.se/Downloads/Transcripts/0%20-%20Government/USA%20-%20NASA/2015 01 31 - NASA - NASA Earth Science Mission Launches_snghE_hWMhY - transcript (automated).pdf","Transcript Link")</f>
        <v>Transcript Link</v>
      </c>
      <c r="M2221" s="2" t="str">
        <f>HYPERLINK("https://files.afu.se/Downloads/Transcripts/0%20-%20Government/USA%20-%20NASA/2015 01 31 - NASA - NASA Earth Science Mission Launches_snghE_hWMhY - transcript (automated).pdf","Transcript Link")</f>
        <v>Transcript Link</v>
      </c>
    </row>
    <row r="2222" ht="225" spans="1:13">
      <c r="A2222" s="1" t="s">
        <v>10245</v>
      </c>
      <c r="B2222" s="1" t="s">
        <v>13</v>
      </c>
      <c r="C2222" s="4" t="s">
        <v>10246</v>
      </c>
      <c r="D2222" s="1" t="s">
        <v>10247</v>
      </c>
      <c r="E2222" s="1" t="s">
        <v>10248</v>
      </c>
      <c r="F2222" s="4" t="s">
        <v>17</v>
      </c>
      <c r="G2222" s="1" t="s">
        <v>18</v>
      </c>
      <c r="H2222" s="1" t="s">
        <v>19</v>
      </c>
      <c r="I2222" s="1" t="s">
        <v>20</v>
      </c>
      <c r="J2222" s="1" t="s">
        <v>10249</v>
      </c>
      <c r="K2222" s="1" t="s">
        <v>22</v>
      </c>
      <c r="L2222" s="1" t="str">
        <f>HYPERLINK("https://files.afu.se/Downloads/Transcripts/0%20-%20Government/USA%20-%20NASA/2015 01 30 - NASA - The plan to Launch America on This Week @NASA_fp40jVjYNsI - transcript (automated).pdf","Transcript Link")</f>
        <v>Transcript Link</v>
      </c>
      <c r="M2222" s="2" t="str">
        <f>HYPERLINK("https://files.afu.se/Downloads/Transcripts/0%20-%20Government/USA%20-%20NASA/2015 01 30 - NASA - The plan to Launch America on This Week @NASA_fp40jVjYNsI - transcript (automated).pdf","Transcript Link")</f>
        <v>Transcript Link</v>
      </c>
    </row>
    <row r="2223" ht="165" spans="1:13">
      <c r="A2223" s="1" t="s">
        <v>10250</v>
      </c>
      <c r="B2223" s="1" t="s">
        <v>13</v>
      </c>
      <c r="C2223" s="4" t="s">
        <v>10251</v>
      </c>
      <c r="D2223" s="1" t="s">
        <v>10252</v>
      </c>
      <c r="E2223" s="1" t="s">
        <v>10253</v>
      </c>
      <c r="F2223" s="4" t="s">
        <v>17</v>
      </c>
      <c r="G2223" s="1" t="s">
        <v>18</v>
      </c>
      <c r="H2223" s="1" t="s">
        <v>19</v>
      </c>
      <c r="I2223" s="1" t="s">
        <v>20</v>
      </c>
      <c r="J2223" s="1" t="s">
        <v>10254</v>
      </c>
      <c r="K2223" s="1" t="s">
        <v>22</v>
      </c>
      <c r="L2223" s="1" t="str">
        <f>HYPERLINK("https://files.afu.se/Downloads/Transcripts/0%20-%20Government/USA%20-%20NASA/2015 01 28 - NASA - NASA Social on Earth Science Mission_yD-qmnidyH0 - transcript (automated).pdf","Transcript Link")</f>
        <v>Transcript Link</v>
      </c>
      <c r="M2223" s="2" t="str">
        <f>HYPERLINK("https://files.afu.se/Downloads/Transcripts/0%20-%20Government/USA%20-%20NASA/2015 01 28 - NASA - NASA Social on Earth Science Mission_yD-qmnidyH0 - transcript (automated).pdf","Transcript Link")</f>
        <v>Transcript Link</v>
      </c>
    </row>
    <row r="2224" ht="165" spans="1:13">
      <c r="A2224" s="1" t="s">
        <v>10250</v>
      </c>
      <c r="B2224" s="1" t="s">
        <v>13</v>
      </c>
      <c r="C2224" s="4" t="s">
        <v>10255</v>
      </c>
      <c r="D2224" s="1" t="s">
        <v>10256</v>
      </c>
      <c r="E2224" s="1" t="s">
        <v>10257</v>
      </c>
      <c r="F2224" s="4" t="s">
        <v>17</v>
      </c>
      <c r="G2224" s="1" t="s">
        <v>18</v>
      </c>
      <c r="H2224" s="1" t="s">
        <v>19</v>
      </c>
      <c r="I2224" s="1" t="s">
        <v>20</v>
      </c>
      <c r="J2224" s="1" t="s">
        <v>10258</v>
      </c>
      <c r="K2224" s="1" t="s">
        <v>22</v>
      </c>
      <c r="L2224" s="1" t="str">
        <f>HYPERLINK("https://files.afu.se/Downloads/Transcripts/0%20-%20Government/USA%20-%20NASA/2015 01 28 - NASA - STEM in 30 - Lighter, Stronger, Better  Composites_N-tQNXgwGaU - transcript (automated).pdf","Transcript Link")</f>
        <v>Transcript Link</v>
      </c>
      <c r="M2224" s="2" t="str">
        <f>HYPERLINK("https://files.afu.se/Downloads/Transcripts/0%20-%20Government/USA%20-%20NASA/2015 01 28 - NASA - STEM in 30 - Lighter, Stronger, Better  Composites_N-tQNXgwGaU - transcript (automated).pdf","Transcript Link")</f>
        <v>Transcript Link</v>
      </c>
    </row>
    <row r="2225" ht="165" spans="1:13">
      <c r="A2225" s="1" t="s">
        <v>10250</v>
      </c>
      <c r="B2225" s="1" t="s">
        <v>13</v>
      </c>
      <c r="C2225" s="4" t="s">
        <v>10259</v>
      </c>
      <c r="D2225" s="1" t="s">
        <v>5655</v>
      </c>
      <c r="E2225" s="1" t="s">
        <v>10260</v>
      </c>
      <c r="F2225" s="4" t="s">
        <v>17</v>
      </c>
      <c r="G2225" s="1" t="s">
        <v>18</v>
      </c>
      <c r="H2225" s="1" t="s">
        <v>19</v>
      </c>
      <c r="I2225" s="1" t="s">
        <v>20</v>
      </c>
      <c r="J2225" s="1" t="s">
        <v>10261</v>
      </c>
      <c r="K2225" s="1" t="s">
        <v>22</v>
      </c>
      <c r="L2225" s="1" t="str">
        <f>HYPERLINK("https://files.afu.se/Downloads/Transcripts/0%20-%20Government/USA%20-%20NASA/2015 01 28 - NASA - Space Station Crew Discusses Life in Space with the Media_xiIKYo58_O0 - transcript (automated).pdf","Transcript Link")</f>
        <v>Transcript Link</v>
      </c>
      <c r="M2225" s="2" t="str">
        <f>HYPERLINK("https://files.afu.se/Downloads/Transcripts/0%20-%20Government/USA%20-%20NASA/2015 01 28 - NASA - Space Station Crew Discusses Life in Space with the Media_xiIKYo58_O0 - transcript (automated).pdf","Transcript Link")</f>
        <v>Transcript Link</v>
      </c>
    </row>
    <row r="2226" ht="165" spans="1:13">
      <c r="A2226" s="1" t="s">
        <v>10262</v>
      </c>
      <c r="B2226" s="1" t="s">
        <v>13</v>
      </c>
      <c r="C2226" s="4" t="s">
        <v>10263</v>
      </c>
      <c r="D2226" s="1" t="s">
        <v>10264</v>
      </c>
      <c r="E2226" s="1" t="s">
        <v>10265</v>
      </c>
      <c r="F2226" s="4" t="s">
        <v>17</v>
      </c>
      <c r="G2226" s="1" t="s">
        <v>18</v>
      </c>
      <c r="H2226" s="1" t="s">
        <v>19</v>
      </c>
      <c r="I2226" s="1" t="s">
        <v>20</v>
      </c>
      <c r="J2226" s="1" t="s">
        <v>10266</v>
      </c>
      <c r="K2226" s="1" t="s">
        <v>22</v>
      </c>
      <c r="L2226" s="1" t="str">
        <f>HYPERLINK("https://files.afu.se/Downloads/Transcripts/0%20-%20Government/USA%20-%20NASA/2015 01 27 - NASA - Soil Moisture Mission Previewed_aemhBiIqlwA - transcript (automated).pdf","Transcript Link")</f>
        <v>Transcript Link</v>
      </c>
      <c r="M2226" s="2" t="str">
        <f>HYPERLINK("https://files.afu.se/Downloads/Transcripts/0%20-%20Government/USA%20-%20NASA/2015 01 27 - NASA - Soil Moisture Mission Previewed_aemhBiIqlwA - transcript (automated).pdf","Transcript Link")</f>
        <v>Transcript Link</v>
      </c>
    </row>
    <row r="2227" ht="165" spans="1:13">
      <c r="A2227" s="1" t="s">
        <v>10262</v>
      </c>
      <c r="B2227" s="1" t="s">
        <v>13</v>
      </c>
      <c r="C2227" s="4" t="s">
        <v>10267</v>
      </c>
      <c r="D2227" s="1" t="s">
        <v>10268</v>
      </c>
      <c r="E2227" s="1" t="s">
        <v>10269</v>
      </c>
      <c r="F2227" s="4" t="s">
        <v>17</v>
      </c>
      <c r="G2227" s="1" t="s">
        <v>18</v>
      </c>
      <c r="H2227" s="1" t="s">
        <v>19</v>
      </c>
      <c r="I2227" s="1" t="s">
        <v>20</v>
      </c>
      <c r="J2227" s="1" t="s">
        <v>10270</v>
      </c>
      <c r="K2227" s="1" t="s">
        <v>22</v>
      </c>
      <c r="L2227" s="1" t="str">
        <f>HYPERLINK("https://files.afu.se/Downloads/Transcripts/0%20-%20Government/USA%20-%20NASA/2015 01 27 - NASA - Small Satellite Mission Previewed_owgZeGVup-Q - transcript (automated).pdf","Transcript Link")</f>
        <v>Transcript Link</v>
      </c>
      <c r="M2227" s="2" t="str">
        <f>HYPERLINK("https://files.afu.se/Downloads/Transcripts/0%20-%20Government/USA%20-%20NASA/2015 01 27 - NASA - Small Satellite Mission Previewed_owgZeGVup-Q - transcript (automated).pdf","Transcript Link")</f>
        <v>Transcript Link</v>
      </c>
    </row>
    <row r="2228" ht="165" spans="1:13">
      <c r="A2228" s="1" t="s">
        <v>10262</v>
      </c>
      <c r="B2228" s="1" t="s">
        <v>13</v>
      </c>
      <c r="C2228" s="4" t="s">
        <v>10271</v>
      </c>
      <c r="D2228" s="1" t="s">
        <v>10272</v>
      </c>
      <c r="E2228" s="1" t="s">
        <v>10273</v>
      </c>
      <c r="F2228" s="4" t="s">
        <v>17</v>
      </c>
      <c r="G2228" s="1" t="s">
        <v>18</v>
      </c>
      <c r="H2228" s="1" t="s">
        <v>19</v>
      </c>
      <c r="I2228" s="1" t="s">
        <v>20</v>
      </c>
      <c r="J2228" s="1" t="s">
        <v>10274</v>
      </c>
      <c r="K2228" s="1" t="s">
        <v>22</v>
      </c>
      <c r="L2228" s="1" t="str">
        <f>HYPERLINK("https://files.afu.se/Downloads/Transcripts/0%20-%20Government/USA%20-%20NASA/2015 01 27 - NASA - Orion and Ikhana UAS_ihAlsdZgtZE - transcript (automated).pdf","Transcript Link")</f>
        <v>Transcript Link</v>
      </c>
      <c r="M2228" s="2" t="str">
        <f>HYPERLINK("https://files.afu.se/Downloads/Transcripts/0%20-%20Government/USA%20-%20NASA/2015 01 27 - NASA - Orion and Ikhana UAS_ihAlsdZgtZE - transcript (automated).pdf","Transcript Link")</f>
        <v>Transcript Link</v>
      </c>
    </row>
    <row r="2229" ht="165" spans="1:13">
      <c r="A2229" s="1" t="s">
        <v>10275</v>
      </c>
      <c r="B2229" s="1" t="s">
        <v>13</v>
      </c>
      <c r="C2229" s="4" t="s">
        <v>10276</v>
      </c>
      <c r="D2229" s="1" t="s">
        <v>10277</v>
      </c>
      <c r="E2229" s="1" t="s">
        <v>10278</v>
      </c>
      <c r="F2229" s="4" t="s">
        <v>17</v>
      </c>
      <c r="G2229" s="1" t="s">
        <v>18</v>
      </c>
      <c r="H2229" s="1" t="s">
        <v>19</v>
      </c>
      <c r="I2229" s="1" t="s">
        <v>20</v>
      </c>
      <c r="J2229" s="1" t="s">
        <v>10279</v>
      </c>
      <c r="K2229" s="1" t="s">
        <v>22</v>
      </c>
      <c r="L2229" s="1" t="str">
        <f>HYPERLINK("https://files.afu.se/Downloads/Transcripts/0%20-%20Government/USA%20-%20NASA/2015 01 26 - NASA - The Plan to Launch America_TtQGyBGJpTA - transcript (automated).pdf","Transcript Link")</f>
        <v>Transcript Link</v>
      </c>
      <c r="M2229" s="2" t="str">
        <f>HYPERLINK("https://files.afu.se/Downloads/Transcripts/0%20-%20Government/USA%20-%20NASA/2015 01 26 - NASA - The Plan to Launch America_TtQGyBGJpTA - transcript (automated).pdf","Transcript Link")</f>
        <v>Transcript Link</v>
      </c>
    </row>
    <row r="2230" ht="180" spans="1:13">
      <c r="A2230" s="1" t="s">
        <v>10280</v>
      </c>
      <c r="B2230" s="1" t="s">
        <v>13</v>
      </c>
      <c r="C2230" s="4" t="s">
        <v>10281</v>
      </c>
      <c r="D2230" s="1" t="s">
        <v>10282</v>
      </c>
      <c r="E2230" s="1" t="s">
        <v>10283</v>
      </c>
      <c r="F2230" s="4" t="s">
        <v>17</v>
      </c>
      <c r="G2230" s="1" t="s">
        <v>18</v>
      </c>
      <c r="H2230" s="1" t="s">
        <v>19</v>
      </c>
      <c r="I2230" s="1" t="s">
        <v>20</v>
      </c>
      <c r="J2230" s="1" t="s">
        <v>10284</v>
      </c>
      <c r="K2230" s="1" t="s">
        <v>22</v>
      </c>
      <c r="L2230" s="1" t="str">
        <f>HYPERLINK("https://files.afu.se/Downloads/Transcripts/0%20-%20Government/USA%20-%20NASA/2015 01 23 - NASA - State of STEM on This Week @ NASA_l561tAwY3xo - transcript (automated).pdf","Transcript Link")</f>
        <v>Transcript Link</v>
      </c>
      <c r="M2230" s="2" t="str">
        <f>HYPERLINK("https://files.afu.se/Downloads/Transcripts/0%20-%20Government/USA%20-%20NASA/2015 01 23 - NASA - State of STEM on This Week @ NASA_l561tAwY3xo - transcript (automated).pdf","Transcript Link")</f>
        <v>Transcript Link</v>
      </c>
    </row>
    <row r="2231" ht="240" spans="1:13">
      <c r="A2231" s="1" t="s">
        <v>10285</v>
      </c>
      <c r="B2231" s="1" t="s">
        <v>13</v>
      </c>
      <c r="C2231" s="4" t="s">
        <v>10286</v>
      </c>
      <c r="D2231" s="1" t="s">
        <v>10287</v>
      </c>
      <c r="E2231" s="1" t="s">
        <v>10288</v>
      </c>
      <c r="F2231" s="4" t="s">
        <v>17</v>
      </c>
      <c r="G2231" s="1" t="s">
        <v>18</v>
      </c>
      <c r="H2231" s="1" t="s">
        <v>19</v>
      </c>
      <c r="I2231" s="1" t="s">
        <v>20</v>
      </c>
      <c r="J2231" s="1" t="s">
        <v>10289</v>
      </c>
      <c r="K2231" s="1" t="s">
        <v>22</v>
      </c>
      <c r="L2231" s="1" t="str">
        <f>HYPERLINK("https://files.afu.se/Downloads/Transcripts/0%20-%20Government/USA%20-%20NASA/2015 01 21 - NASA - NASA Joins White House, from Ground and Space, to Discuss State of STEM Education in America_zRNIHGTsK8c - transcript (automated).pdf","Transcript Link")</f>
        <v>Transcript Link</v>
      </c>
      <c r="M2231" s="2" t="str">
        <f>HYPERLINK("https://files.afu.se/Downloads/Transcripts/0%20-%20Government/USA%20-%20NASA/2015 01 21 - NASA - NASA Joins White House, from Ground and Space, to Discuss State of STEM Education in America_zRNIHGTsK8c - transcript (automated).pdf","Transcript Link")</f>
        <v>Transcript Link</v>
      </c>
    </row>
    <row r="2232" ht="165" spans="1:13">
      <c r="A2232" s="1" t="s">
        <v>10285</v>
      </c>
      <c r="B2232" s="1" t="s">
        <v>13</v>
      </c>
      <c r="C2232" s="4" t="s">
        <v>10290</v>
      </c>
      <c r="D2232" s="1" t="s">
        <v>10291</v>
      </c>
      <c r="E2232" s="1" t="s">
        <v>10292</v>
      </c>
      <c r="F2232" s="4" t="s">
        <v>17</v>
      </c>
      <c r="G2232" s="1" t="s">
        <v>18</v>
      </c>
      <c r="H2232" s="1" t="s">
        <v>19</v>
      </c>
      <c r="I2232" s="1" t="s">
        <v>20</v>
      </c>
      <c r="J2232" s="1" t="s">
        <v>10293</v>
      </c>
      <c r="K2232" s="1" t="s">
        <v>22</v>
      </c>
      <c r="L2232" s="1" t="str">
        <f>HYPERLINK("https://files.afu.se/Downloads/Transcripts/0%20-%20Government/USA%20-%20NASA/2015 01 21 - NASA - Space Station Crew Discusses Life in Space With Students and NASA Administrator Charles Bolden_i7HahmSgrjI - transcript (automated).pdf","Transcript Link")</f>
        <v>Transcript Link</v>
      </c>
      <c r="M2232" s="2" t="str">
        <f>HYPERLINK("https://files.afu.se/Downloads/Transcripts/0%20-%20Government/USA%20-%20NASA/2015 01 21 - NASA - Space Station Crew Discusses Life in Space With Students and NASA Administrator Charles Bolden_i7HahmSgrjI - transcript (automated).pdf","Transcript Link")</f>
        <v>Transcript Link</v>
      </c>
    </row>
    <row r="2233" ht="165" spans="1:13">
      <c r="A2233" s="1" t="s">
        <v>10285</v>
      </c>
      <c r="B2233" s="1" t="s">
        <v>13</v>
      </c>
      <c r="C2233" s="4" t="s">
        <v>10294</v>
      </c>
      <c r="D2233" s="1" t="s">
        <v>10295</v>
      </c>
      <c r="E2233" s="1" t="s">
        <v>10296</v>
      </c>
      <c r="F2233" s="4" t="s">
        <v>17</v>
      </c>
      <c r="G2233" s="1" t="s">
        <v>18</v>
      </c>
      <c r="H2233" s="1" t="s">
        <v>19</v>
      </c>
      <c r="I2233" s="1" t="s">
        <v>20</v>
      </c>
      <c r="J2233" s="1" t="s">
        <v>10297</v>
      </c>
      <c r="K2233" s="1" t="s">
        <v>22</v>
      </c>
      <c r="L2233" s="1" t="str">
        <f>HYPERLINK("https://files.afu.se/Downloads/Transcripts/0%20-%20Government/USA%20-%20NASA/2015 01 21 - NASA - Spinoff 2015_oWCWwEv_LcI - transcript (automated).pdf","Transcript Link")</f>
        <v>Transcript Link</v>
      </c>
      <c r="M2233" s="2" t="str">
        <f>HYPERLINK("https://files.afu.se/Downloads/Transcripts/0%20-%20Government/USA%20-%20NASA/2015 01 21 - NASA - Spinoff 2015_oWCWwEv_LcI - transcript (automated).pdf","Transcript Link")</f>
        <v>Transcript Link</v>
      </c>
    </row>
    <row r="2234" ht="165" spans="1:13">
      <c r="A2234" s="1" t="s">
        <v>10285</v>
      </c>
      <c r="B2234" s="1" t="s">
        <v>13</v>
      </c>
      <c r="C2234" s="4" t="s">
        <v>10298</v>
      </c>
      <c r="D2234" s="1" t="s">
        <v>10299</v>
      </c>
      <c r="E2234" s="1" t="s">
        <v>10300</v>
      </c>
      <c r="F2234" s="4" t="s">
        <v>17</v>
      </c>
      <c r="G2234" s="1" t="s">
        <v>18</v>
      </c>
      <c r="H2234" s="1" t="s">
        <v>19</v>
      </c>
      <c r="I2234" s="1" t="s">
        <v>20</v>
      </c>
      <c r="J2234" s="1" t="s">
        <v>10301</v>
      </c>
      <c r="K2234" s="1" t="s">
        <v>22</v>
      </c>
      <c r="L2234" s="1" t="str">
        <f>HYPERLINK("https://files.afu.se/Downloads/Transcripts/0%20-%20Government/USA%20-%20NASA/2015 01 21 - NASA - State of the Union and Climate Change_JlYt-widyIc - transcript (automated).pdf","Transcript Link")</f>
        <v>Transcript Link</v>
      </c>
      <c r="M2234" s="2" t="str">
        <f>HYPERLINK("https://files.afu.se/Downloads/Transcripts/0%20-%20Government/USA%20-%20NASA/2015 01 21 - NASA - State of the Union and Climate Change_JlYt-widyIc - transcript (automated).pdf","Transcript Link")</f>
        <v>Transcript Link</v>
      </c>
    </row>
    <row r="2235" ht="165" spans="1:13">
      <c r="A2235" s="1" t="s">
        <v>10285</v>
      </c>
      <c r="B2235" s="1" t="s">
        <v>13</v>
      </c>
      <c r="C2235" s="4" t="s">
        <v>10302</v>
      </c>
      <c r="D2235" s="1" t="s">
        <v>10303</v>
      </c>
      <c r="E2235" s="1" t="s">
        <v>10304</v>
      </c>
      <c r="F2235" s="4" t="s">
        <v>17</v>
      </c>
      <c r="G2235" s="1" t="s">
        <v>18</v>
      </c>
      <c r="H2235" s="1" t="s">
        <v>19</v>
      </c>
      <c r="I2235" s="1" t="s">
        <v>20</v>
      </c>
      <c r="J2235" s="1" t="s">
        <v>10305</v>
      </c>
      <c r="K2235" s="1" t="s">
        <v>22</v>
      </c>
      <c r="L2235" s="1" t="str">
        <f>HYPERLINK("https://files.afu.se/Downloads/Transcripts/0%20-%20Government/USA%20-%20NASA/2015 01 21 - NASA - State of the Union and NASA_xhyVEbZls54 - transcript (automated).pdf","Transcript Link")</f>
        <v>Transcript Link</v>
      </c>
      <c r="M2235" s="2" t="str">
        <f>HYPERLINK("https://files.afu.se/Downloads/Transcripts/0%20-%20Government/USA%20-%20NASA/2015 01 21 - NASA - State of the Union and NASA_xhyVEbZls54 - transcript (automated).pdf","Transcript Link")</f>
        <v>Transcript Link</v>
      </c>
    </row>
    <row r="2236" ht="390" spans="1:13">
      <c r="A2236" s="1" t="s">
        <v>10306</v>
      </c>
      <c r="B2236" s="1" t="s">
        <v>13</v>
      </c>
      <c r="C2236" s="4" t="s">
        <v>10307</v>
      </c>
      <c r="D2236" s="1" t="s">
        <v>10308</v>
      </c>
      <c r="E2236" s="1" t="s">
        <v>10309</v>
      </c>
      <c r="F2236" s="4" t="s">
        <v>17</v>
      </c>
      <c r="G2236" s="1" t="s">
        <v>18</v>
      </c>
      <c r="H2236" s="1" t="s">
        <v>19</v>
      </c>
      <c r="I2236" s="1" t="s">
        <v>20</v>
      </c>
      <c r="J2236" s="1" t="s">
        <v>10310</v>
      </c>
      <c r="K2236" s="1" t="s">
        <v>22</v>
      </c>
      <c r="L2236" s="1" t="str">
        <f>HYPERLINK("https://files.afu.se/Downloads/Transcripts/0%20-%20Government/USA%20-%20NASA/2015 01 20 - NASA - What's New In Aerospace from the Smithsonian Air and Space Museum in Washington DC_fVfToIq4IEc - transcript (automated).pdf","Transcript Link")</f>
        <v>Transcript Link</v>
      </c>
      <c r="M2236" s="2" t="str">
        <f>HYPERLINK("https://files.afu.se/Downloads/Transcripts/0%20-%20Government/USA%20-%20NASA/2015 01 20 - NASA - What's New In Aerospace from the Smithsonian Air and Space Museum in Washington DC_fVfToIq4IEc - transcript (automated).pdf","Transcript Link")</f>
        <v>Transcript Link</v>
      </c>
    </row>
    <row r="2237" ht="165" spans="1:13">
      <c r="A2237" s="1" t="s">
        <v>10311</v>
      </c>
      <c r="B2237" s="1" t="s">
        <v>13</v>
      </c>
      <c r="C2237" s="4" t="s">
        <v>10312</v>
      </c>
      <c r="D2237" s="1" t="s">
        <v>10313</v>
      </c>
      <c r="E2237" s="1" t="s">
        <v>10314</v>
      </c>
      <c r="F2237" s="4" t="s">
        <v>17</v>
      </c>
      <c r="G2237" s="1" t="s">
        <v>18</v>
      </c>
      <c r="H2237" s="1" t="s">
        <v>19</v>
      </c>
      <c r="I2237" s="1" t="s">
        <v>20</v>
      </c>
      <c r="J2237" s="1" t="s">
        <v>10315</v>
      </c>
      <c r="K2237" s="1" t="s">
        <v>22</v>
      </c>
      <c r="L2237" s="1" t="str">
        <f>HYPERLINK("https://files.afu.se/Downloads/Transcripts/0%20-%20Government/USA%20-%20NASA/2015 01 16 - NASA - Dragon arrives at ISS on This Week @NASA_x-ZgybF-UZ4 - transcript (automated).pdf","Transcript Link")</f>
        <v>Transcript Link</v>
      </c>
      <c r="M2237" s="2" t="str">
        <f>HYPERLINK("https://files.afu.se/Downloads/Transcripts/0%20-%20Government/USA%20-%20NASA/2015 01 16 - NASA - Dragon arrives at ISS on This Week @NASA_x-ZgybF-UZ4 - transcript (automated).pdf","Transcript Link")</f>
        <v>Transcript Link</v>
      </c>
    </row>
    <row r="2238" ht="210" spans="1:13">
      <c r="A2238" s="1" t="s">
        <v>10311</v>
      </c>
      <c r="B2238" s="1" t="s">
        <v>13</v>
      </c>
      <c r="C2238" s="4" t="s">
        <v>10316</v>
      </c>
      <c r="D2238" s="1" t="s">
        <v>10317</v>
      </c>
      <c r="E2238" s="1" t="s">
        <v>10318</v>
      </c>
      <c r="F2238" s="4" t="s">
        <v>17</v>
      </c>
      <c r="G2238" s="1" t="s">
        <v>18</v>
      </c>
      <c r="H2238" s="1" t="s">
        <v>19</v>
      </c>
      <c r="I2238" s="1" t="s">
        <v>20</v>
      </c>
      <c r="J2238" s="1" t="s">
        <v>10319</v>
      </c>
      <c r="K2238" s="1" t="s">
        <v>22</v>
      </c>
      <c r="L2238" s="1" t="str">
        <f>HYPERLINK("https://files.afu.se/Downloads/Transcripts/0%20-%20Government/USA%20-%20NASA/2015 01 16 - NASA - Crew of First Yearlong Expedition Aboard ISS Previews Mission_C7LDBvPTC20 - transcript (automated).pdf","Transcript Link")</f>
        <v>Transcript Link</v>
      </c>
      <c r="M2238" s="2" t="str">
        <f>HYPERLINK("https://files.afu.se/Downloads/Transcripts/0%20-%20Government/USA%20-%20NASA/2015 01 16 - NASA - Crew of First Yearlong Expedition Aboard ISS Previews Mission_C7LDBvPTC20 - transcript (automated).pdf","Transcript Link")</f>
        <v>Transcript Link</v>
      </c>
    </row>
    <row r="2239" ht="195" spans="1:13">
      <c r="A2239" s="1" t="s">
        <v>10320</v>
      </c>
      <c r="B2239" s="1" t="s">
        <v>13</v>
      </c>
      <c r="C2239" s="4" t="s">
        <v>10321</v>
      </c>
      <c r="D2239" s="1" t="s">
        <v>10322</v>
      </c>
      <c r="E2239" s="1" t="s">
        <v>10323</v>
      </c>
      <c r="F2239" s="4" t="s">
        <v>17</v>
      </c>
      <c r="G2239" s="1" t="s">
        <v>18</v>
      </c>
      <c r="H2239" s="1" t="s">
        <v>19</v>
      </c>
      <c r="I2239" s="1" t="s">
        <v>20</v>
      </c>
      <c r="J2239" s="1" t="s">
        <v>10324</v>
      </c>
      <c r="K2239" s="1" t="s">
        <v>22</v>
      </c>
      <c r="L2239" s="1" t="str">
        <f>HYPERLINK("https://files.afu.se/Downloads/Transcripts/0%20-%20Government/USA%20-%20NASA/2015 01 15 - NASA - Mission and Science of Expedition 43 Previewed_cehHygZhh-Q - transcript (automated).pdf","Transcript Link")</f>
        <v>Transcript Link</v>
      </c>
      <c r="M2239" s="2" t="str">
        <f>HYPERLINK("https://files.afu.se/Downloads/Transcripts/0%20-%20Government/USA%20-%20NASA/2015 01 15 - NASA - Mission and Science of Expedition 43 Previewed_cehHygZhh-Q - transcript (automated).pdf","Transcript Link")</f>
        <v>Transcript Link</v>
      </c>
    </row>
    <row r="2240" ht="165" spans="1:13">
      <c r="A2240" s="1" t="s">
        <v>10325</v>
      </c>
      <c r="B2240" s="1" t="s">
        <v>13</v>
      </c>
      <c r="C2240" s="4" t="s">
        <v>10326</v>
      </c>
      <c r="D2240" s="1" t="s">
        <v>10327</v>
      </c>
      <c r="E2240" s="1" t="s">
        <v>10328</v>
      </c>
      <c r="F2240" s="4" t="s">
        <v>17</v>
      </c>
      <c r="G2240" s="1" t="s">
        <v>18</v>
      </c>
      <c r="H2240" s="1" t="s">
        <v>19</v>
      </c>
      <c r="I2240" s="1" t="s">
        <v>20</v>
      </c>
      <c r="J2240" s="1" t="s">
        <v>10329</v>
      </c>
      <c r="K2240" s="1" t="s">
        <v>22</v>
      </c>
      <c r="L2240" s="1" t="str">
        <f>HYPERLINK("https://files.afu.se/Downloads/Transcripts/0%20-%20Government/USA%20-%20NASA/2015 01 12 - NASA - U.S. Cargo Ship Delivers Goods to ISS_GPG2IjLxSqM - transcript (automated).pdf","Transcript Link")</f>
        <v>Transcript Link</v>
      </c>
      <c r="M2240" s="2" t="str">
        <f>HYPERLINK("https://files.afu.se/Downloads/Transcripts/0%20-%20Government/USA%20-%20NASA/2015 01 12 - NASA - U.S. Cargo Ship Delivers Goods to ISS_GPG2IjLxSqM - transcript (automated).pdf","Transcript Link")</f>
        <v>Transcript Link</v>
      </c>
    </row>
    <row r="2241" ht="255" spans="1:13">
      <c r="A2241" s="1" t="s">
        <v>10330</v>
      </c>
      <c r="B2241" s="1" t="s">
        <v>13</v>
      </c>
      <c r="C2241" s="4" t="s">
        <v>10331</v>
      </c>
      <c r="D2241" s="1" t="s">
        <v>10332</v>
      </c>
      <c r="E2241" s="1" t="s">
        <v>10333</v>
      </c>
      <c r="F2241" s="4" t="s">
        <v>17</v>
      </c>
      <c r="G2241" s="1" t="s">
        <v>18</v>
      </c>
      <c r="H2241" s="1" t="s">
        <v>19</v>
      </c>
      <c r="I2241" s="1" t="s">
        <v>20</v>
      </c>
      <c r="J2241" s="1" t="s">
        <v>10334</v>
      </c>
      <c r="K2241" s="1" t="s">
        <v>22</v>
      </c>
      <c r="L2241" s="1" t="str">
        <f>HYPERLINK("https://files.afu.se/Downloads/Transcripts/0%20-%20Government/USA%20-%20NASA/2015 01 10 - NASA - SpaceX - 5 Commercial Resupply Launch from Kennedy Space Center_6PWHWZ8l1hQ - transcript (automated).pdf","Transcript Link")</f>
        <v>Transcript Link</v>
      </c>
      <c r="M2241" s="2" t="str">
        <f>HYPERLINK("https://files.afu.se/Downloads/Transcripts/0%20-%20Government/USA%20-%20NASA/2015 01 10 - NASA - SpaceX - 5 Commercial Resupply Launch from Kennedy Space Center_6PWHWZ8l1hQ - transcript (automated).pdf","Transcript Link")</f>
        <v>Transcript Link</v>
      </c>
    </row>
    <row r="2242" ht="165" spans="1:13">
      <c r="A2242" s="1" t="s">
        <v>10335</v>
      </c>
      <c r="B2242" s="1" t="s">
        <v>13</v>
      </c>
      <c r="C2242" s="4" t="s">
        <v>10336</v>
      </c>
      <c r="D2242" s="1" t="s">
        <v>10337</v>
      </c>
      <c r="E2242" s="1" t="s">
        <v>10338</v>
      </c>
      <c r="F2242" s="4" t="s">
        <v>17</v>
      </c>
      <c r="G2242" s="1" t="s">
        <v>18</v>
      </c>
      <c r="H2242" s="1" t="s">
        <v>19</v>
      </c>
      <c r="I2242" s="1" t="s">
        <v>20</v>
      </c>
      <c r="J2242" s="1" t="s">
        <v>10339</v>
      </c>
      <c r="K2242" s="1" t="s">
        <v>22</v>
      </c>
      <c r="L2242" s="1" t="str">
        <f>HYPERLINK("https://files.afu.se/Downloads/Transcripts/0%20-%20Government/USA%20-%20NASA/2015 01 09 - NASA - SpaceX CRS-5 mission on This Week @NASA_IPFKXtTi1cg - transcript (automated).pdf","Transcript Link")</f>
        <v>Transcript Link</v>
      </c>
      <c r="M2242" s="2" t="str">
        <f>HYPERLINK("https://files.afu.se/Downloads/Transcripts/0%20-%20Government/USA%20-%20NASA/2015 01 09 - NASA - SpaceX CRS-5 mission on This Week @NASA_IPFKXtTi1cg - transcript (automated).pdf","Transcript Link")</f>
        <v>Transcript Link</v>
      </c>
    </row>
    <row r="2243" ht="409.5" spans="1:13">
      <c r="A2243" s="1" t="s">
        <v>10340</v>
      </c>
      <c r="B2243" s="1" t="s">
        <v>13</v>
      </c>
      <c r="C2243" s="4" t="s">
        <v>10341</v>
      </c>
      <c r="D2243" s="1" t="s">
        <v>10342</v>
      </c>
      <c r="E2243" s="1" t="s">
        <v>10343</v>
      </c>
      <c r="F2243" s="4" t="s">
        <v>17</v>
      </c>
      <c r="G2243" s="1" t="s">
        <v>18</v>
      </c>
      <c r="H2243" s="1" t="s">
        <v>19</v>
      </c>
      <c r="I2243" s="1" t="s">
        <v>20</v>
      </c>
      <c r="J2243" s="1" t="s">
        <v>10344</v>
      </c>
      <c r="K2243" s="1" t="s">
        <v>22</v>
      </c>
      <c r="L2243" s="1" t="str">
        <f>HYPERLINK("https://files.afu.se/Downloads/Transcripts/0%20-%20Government/USA%20-%20NASA/2015 01 08 - NASA - NASA Previews New Mission to Track Water in Earth's Soil_lYNBxr_GvYc - transcript (automated).pdf","Transcript Link")</f>
        <v>Transcript Link</v>
      </c>
      <c r="M2243" s="2" t="str">
        <f>HYPERLINK("https://files.afu.se/Downloads/Transcripts/0%20-%20Government/USA%20-%20NASA/2015 01 08 - NASA - NASA Previews New Mission to Track Water in Earth's Soil_lYNBxr_GvYc - transcript (automated).pdf","Transcript Link")</f>
        <v>Transcript Link</v>
      </c>
    </row>
    <row r="2244" ht="255" spans="1:13">
      <c r="A2244" s="1" t="s">
        <v>10345</v>
      </c>
      <c r="B2244" s="1" t="s">
        <v>13</v>
      </c>
      <c r="C2244" s="4" t="s">
        <v>10346</v>
      </c>
      <c r="D2244" s="1" t="s">
        <v>10347</v>
      </c>
      <c r="E2244" s="1" t="s">
        <v>10348</v>
      </c>
      <c r="F2244" s="4" t="s">
        <v>17</v>
      </c>
      <c r="G2244" s="1" t="s">
        <v>18</v>
      </c>
      <c r="H2244" s="1" t="s">
        <v>19</v>
      </c>
      <c r="I2244" s="1" t="s">
        <v>20</v>
      </c>
      <c r="J2244" s="1" t="s">
        <v>10349</v>
      </c>
      <c r="K2244" s="1" t="s">
        <v>22</v>
      </c>
      <c r="L2244" s="1" t="str">
        <f>HYPERLINK("https://files.afu.se/Downloads/Transcripts/0%20-%20Government/USA%20-%20NASA/2015 01 07 - NASA - NASA International Space Station Briefing of the Cloud-Aerosol Transport System (CATS)_3lx7AOzzBdw - transcript (automated).pdf","Transcript Link")</f>
        <v>Transcript Link</v>
      </c>
      <c r="M2244" s="2" t="str">
        <f>HYPERLINK("https://files.afu.se/Downloads/Transcripts/0%20-%20Government/USA%20-%20NASA/2015 01 07 - NASA - NASA International Space Station Briefing of the Cloud-Aerosol Transport System (CATS)_3lx7AOzzBdw - transcript (automated).pdf","Transcript Link")</f>
        <v>Transcript Link</v>
      </c>
    </row>
    <row r="2245" ht="165" spans="1:13">
      <c r="A2245" s="1" t="s">
        <v>10350</v>
      </c>
      <c r="B2245" s="1" t="s">
        <v>13</v>
      </c>
      <c r="C2245" s="4" t="s">
        <v>10351</v>
      </c>
      <c r="D2245" s="1" t="s">
        <v>10352</v>
      </c>
      <c r="E2245" s="1" t="s">
        <v>10353</v>
      </c>
      <c r="F2245" s="4" t="s">
        <v>17</v>
      </c>
      <c r="G2245" s="1" t="s">
        <v>18</v>
      </c>
      <c r="H2245" s="1" t="s">
        <v>19</v>
      </c>
      <c r="I2245" s="1" t="s">
        <v>20</v>
      </c>
      <c r="J2245" s="1" t="s">
        <v>10354</v>
      </c>
      <c r="K2245" s="1" t="s">
        <v>22</v>
      </c>
      <c r="L2245" s="1" t="str">
        <f>HYPERLINK("https://files.afu.se/Downloads/Transcripts/0%20-%20Government/USA%20-%20NASA/2015 01 06 - NASA - NASA Space Station Crew Discusses Life In Space With The Media_Xe5MX-PFc0U - transcript (automated).pdf","Transcript Link")</f>
        <v>Transcript Link</v>
      </c>
      <c r="M2245" s="2" t="str">
        <f>HYPERLINK("https://files.afu.se/Downloads/Transcripts/0%20-%20Government/USA%20-%20NASA/2015 01 06 - NASA - NASA Space Station Crew Discusses Life In Space With The Media_Xe5MX-PFc0U - transcript (automated).pdf","Transcript Link")</f>
        <v>Transcript Link</v>
      </c>
    </row>
    <row r="2246" ht="225" spans="1:13">
      <c r="A2246" s="1" t="s">
        <v>10350</v>
      </c>
      <c r="B2246" s="1" t="s">
        <v>13</v>
      </c>
      <c r="C2246" s="4" t="s">
        <v>10355</v>
      </c>
      <c r="D2246" s="1" t="s">
        <v>10356</v>
      </c>
      <c r="E2246" s="1" t="s">
        <v>10357</v>
      </c>
      <c r="F2246" s="4" t="s">
        <v>17</v>
      </c>
      <c r="G2246" s="1" t="s">
        <v>18</v>
      </c>
      <c r="H2246" s="1" t="s">
        <v>19</v>
      </c>
      <c r="I2246" s="1" t="s">
        <v>20</v>
      </c>
      <c r="J2246" s="1" t="s">
        <v>10358</v>
      </c>
      <c r="K2246" s="1" t="s">
        <v>22</v>
      </c>
      <c r="L2246" s="1" t="str">
        <f>HYPERLINK("https://files.afu.se/Downloads/Transcripts/0%20-%20Government/USA%20-%20NASA/2015 01 06 - NASA - NASA International Space Station Research and Technology Briefing_We7UG63heo4 - transcript (automated).pdf","Transcript Link")</f>
        <v>Transcript Link</v>
      </c>
      <c r="M2246" s="2" t="str">
        <f>HYPERLINK("https://files.afu.se/Downloads/Transcripts/0%20-%20Government/USA%20-%20NASA/2015 01 06 - NASA - NASA International Space Station Research and Technology Briefing_We7UG63heo4 - transcript (automated).pdf","Transcript Link")</f>
        <v>Transcript Link</v>
      </c>
    </row>
    <row r="2247" ht="240" spans="1:13">
      <c r="A2247" s="1" t="s">
        <v>10350</v>
      </c>
      <c r="B2247" s="1" t="s">
        <v>13</v>
      </c>
      <c r="C2247" s="4" t="s">
        <v>10359</v>
      </c>
      <c r="D2247" s="1" t="s">
        <v>10360</v>
      </c>
      <c r="E2247" s="1" t="s">
        <v>10361</v>
      </c>
      <c r="F2247" s="4" t="s">
        <v>17</v>
      </c>
      <c r="G2247" s="1" t="s">
        <v>18</v>
      </c>
      <c r="H2247" s="1" t="s">
        <v>19</v>
      </c>
      <c r="I2247" s="1" t="s">
        <v>20</v>
      </c>
      <c r="J2247" s="1" t="s">
        <v>10362</v>
      </c>
      <c r="K2247" s="1" t="s">
        <v>22</v>
      </c>
      <c r="L2247" s="1" t="str">
        <f>HYPERLINK("https://files.afu.se/Downloads/Transcripts/0%20-%20Government/USA%20-%20NASA/2015 01 06 - NASA - NASA Coverage Set for Fifth SpaceX Resupply Mission to Space Station_VLKLC58nTJY - transcript (automated).pdf","Transcript Link")</f>
        <v>Transcript Link</v>
      </c>
      <c r="M2247" s="2" t="str">
        <f>HYPERLINK("https://files.afu.se/Downloads/Transcripts/0%20-%20Government/USA%20-%20NASA/2015 01 06 - NASA - NASA Coverage Set for Fifth SpaceX Resupply Mission to Space Station_VLKLC58nTJY - transcript (automated).pdf","Transcript Link")</f>
        <v>Transcript Link</v>
      </c>
    </row>
    <row r="2248" ht="165" spans="1:13">
      <c r="A2248" s="1" t="s">
        <v>10363</v>
      </c>
      <c r="B2248" s="1" t="s">
        <v>13</v>
      </c>
      <c r="C2248" s="4" t="s">
        <v>10364</v>
      </c>
      <c r="D2248" s="1" t="s">
        <v>10365</v>
      </c>
      <c r="E2248" s="1" t="s">
        <v>10366</v>
      </c>
      <c r="F2248" s="4" t="s">
        <v>17</v>
      </c>
      <c r="G2248" s="1" t="s">
        <v>18</v>
      </c>
      <c r="H2248" s="1" t="s">
        <v>19</v>
      </c>
      <c r="I2248" s="1" t="s">
        <v>20</v>
      </c>
      <c r="J2248" s="1" t="s">
        <v>10367</v>
      </c>
      <c r="K2248" s="1" t="s">
        <v>22</v>
      </c>
      <c r="L2248" s="1" t="str">
        <f>HYPERLINK("https://files.afu.se/Downloads/Transcripts/0%20-%20Government/USA%20-%20NASA/2014 12 31 - NASA - Happy New Year from NASA Television__odLfGD8WVY - transcript (automated).pdf","Transcript Link")</f>
        <v>Transcript Link</v>
      </c>
      <c r="M2248" s="2" t="str">
        <f>HYPERLINK("https://files.afu.se/Downloads/Transcripts/0%20-%20Government/USA%20-%20NASA/2014 12 31 - NASA - Happy New Year from NASA Television__odLfGD8WVY - transcript (automated).pdf","Transcript Link")</f>
        <v>Transcript Link</v>
      </c>
    </row>
    <row r="2249" ht="165" spans="1:13">
      <c r="A2249" s="1" t="s">
        <v>10368</v>
      </c>
      <c r="B2249" s="1" t="s">
        <v>13</v>
      </c>
      <c r="C2249" s="4" t="s">
        <v>10369</v>
      </c>
      <c r="D2249" s="1" t="s">
        <v>10370</v>
      </c>
      <c r="E2249" s="1" t="s">
        <v>10371</v>
      </c>
      <c r="F2249" s="4" t="s">
        <v>17</v>
      </c>
      <c r="G2249" s="1" t="s">
        <v>18</v>
      </c>
      <c r="H2249" s="1" t="s">
        <v>19</v>
      </c>
      <c r="I2249" s="1" t="s">
        <v>20</v>
      </c>
      <c r="J2249" s="1" t="s">
        <v>10372</v>
      </c>
      <c r="K2249" s="1" t="s">
        <v>22</v>
      </c>
      <c r="L2249" s="1" t="str">
        <f>HYPERLINK("https://files.afu.se/Downloads/Transcripts/0%20-%20Government/USA%20-%20NASA/2014 12 30 - NASA - Happy New Year from the International Space Station_VXvYcIbFVzs - transcript (automated).pdf","Transcript Link")</f>
        <v>Transcript Link</v>
      </c>
      <c r="M2249" s="2" t="str">
        <f>HYPERLINK("https://files.afu.se/Downloads/Transcripts/0%20-%20Government/USA%20-%20NASA/2014 12 30 - NASA - Happy New Year from the International Space Station_VXvYcIbFVzs - transcript (automated).pdf","Transcript Link")</f>
        <v>Transcript Link</v>
      </c>
    </row>
    <row r="2250" ht="165" spans="1:13">
      <c r="A2250" s="1" t="s">
        <v>10368</v>
      </c>
      <c r="B2250" s="1" t="s">
        <v>13</v>
      </c>
      <c r="C2250" s="4" t="s">
        <v>10373</v>
      </c>
      <c r="D2250" s="1" t="s">
        <v>10374</v>
      </c>
      <c r="E2250" s="1" t="s">
        <v>10375</v>
      </c>
      <c r="F2250" s="4" t="s">
        <v>17</v>
      </c>
      <c r="G2250" s="1" t="s">
        <v>18</v>
      </c>
      <c r="H2250" s="1" t="s">
        <v>19</v>
      </c>
      <c r="I2250" s="1" t="s">
        <v>20</v>
      </c>
      <c r="J2250" s="1" t="s">
        <v>10376</v>
      </c>
      <c r="K2250" s="1" t="s">
        <v>22</v>
      </c>
      <c r="L2250" s="1" t="str">
        <f>HYPERLINK("https://files.afu.se/Downloads/Transcripts/0%20-%20Government/USA%20-%20NASA/2014 12 30 - NASA - Space Station Crew Members Discuss Life in Space at Holidays with the Media_UStYetO2icA - transcript (automated).pdf","Transcript Link")</f>
        <v>Transcript Link</v>
      </c>
      <c r="M2250" s="2" t="str">
        <f>HYPERLINK("https://files.afu.se/Downloads/Transcripts/0%20-%20Government/USA%20-%20NASA/2014 12 30 - NASA - Space Station Crew Members Discuss Life in Space at Holidays with the Media_UStYetO2icA - transcript (automated).pdf","Transcript Link")</f>
        <v>Transcript Link</v>
      </c>
    </row>
    <row r="2251" ht="165" spans="1:13">
      <c r="A2251" s="1" t="s">
        <v>10377</v>
      </c>
      <c r="B2251" s="1" t="s">
        <v>13</v>
      </c>
      <c r="C2251" s="4" t="s">
        <v>10378</v>
      </c>
      <c r="D2251" s="1" t="s">
        <v>10379</v>
      </c>
      <c r="E2251" s="1" t="s">
        <v>10380</v>
      </c>
      <c r="F2251" s="4" t="s">
        <v>17</v>
      </c>
      <c r="G2251" s="1" t="s">
        <v>18</v>
      </c>
      <c r="H2251" s="1" t="s">
        <v>19</v>
      </c>
      <c r="I2251" s="1" t="s">
        <v>20</v>
      </c>
      <c r="J2251" s="1" t="s">
        <v>10381</v>
      </c>
      <c r="K2251" s="1" t="s">
        <v>22</v>
      </c>
      <c r="L2251" s="1" t="str">
        <f>HYPERLINK("https://files.afu.se/Downloads/Transcripts/0%20-%20Government/USA%20-%20NASA/2014 12 29 - NASA - Actress Jessica Chastain Looks into the Future of Space Exploration_V22b4Bk7Yd4 - transcript (automated).pdf","Transcript Link")</f>
        <v>Transcript Link</v>
      </c>
      <c r="M2251" s="2" t="str">
        <f>HYPERLINK("https://files.afu.se/Downloads/Transcripts/0%20-%20Government/USA%20-%20NASA/2014 12 29 - NASA - Actress Jessica Chastain Looks into the Future of Space Exploration_V22b4Bk7Yd4 - transcript (automated).pdf","Transcript Link")</f>
        <v>Transcript Link</v>
      </c>
    </row>
    <row r="2252" ht="165" spans="1:13">
      <c r="A2252" s="1" t="s">
        <v>10382</v>
      </c>
      <c r="B2252" s="1" t="s">
        <v>13</v>
      </c>
      <c r="C2252" s="4" t="s">
        <v>10383</v>
      </c>
      <c r="D2252" s="1" t="s">
        <v>10384</v>
      </c>
      <c r="E2252" s="1" t="s">
        <v>10385</v>
      </c>
      <c r="F2252" s="4" t="s">
        <v>17</v>
      </c>
      <c r="G2252" s="1" t="s">
        <v>18</v>
      </c>
      <c r="H2252" s="1" t="s">
        <v>19</v>
      </c>
      <c r="I2252" s="1" t="s">
        <v>20</v>
      </c>
      <c r="J2252" s="1" t="s">
        <v>10386</v>
      </c>
      <c r="K2252" s="1" t="s">
        <v>22</v>
      </c>
      <c r="L2252" s="1" t="str">
        <f>HYPERLINK("https://files.afu.se/Downloads/Transcripts/0%20-%20Government/USA%20-%20NASA/2014 12 24 - NASA - 2014 Year End Video File_JCxjGNECtOw - transcript (automated).pdf","Transcript Link")</f>
        <v>Transcript Link</v>
      </c>
      <c r="M2252" s="2" t="str">
        <f>HYPERLINK("https://files.afu.se/Downloads/Transcripts/0%20-%20Government/USA%20-%20NASA/2014 12 24 - NASA - 2014 Year End Video File_JCxjGNECtOw - transcript (automated).pdf","Transcript Link")</f>
        <v>Transcript Link</v>
      </c>
    </row>
    <row r="2253" ht="165" spans="1:13">
      <c r="A2253" s="1" t="s">
        <v>10387</v>
      </c>
      <c r="B2253" s="1" t="s">
        <v>13</v>
      </c>
      <c r="C2253" s="4" t="s">
        <v>10388</v>
      </c>
      <c r="D2253" s="1" t="s">
        <v>10389</v>
      </c>
      <c r="E2253" s="1" t="s">
        <v>10390</v>
      </c>
      <c r="F2253" s="4" t="s">
        <v>17</v>
      </c>
      <c r="G2253" s="1" t="s">
        <v>18</v>
      </c>
      <c r="H2253" s="1" t="s">
        <v>19</v>
      </c>
      <c r="I2253" s="1" t="s">
        <v>20</v>
      </c>
      <c r="J2253" s="1" t="s">
        <v>10391</v>
      </c>
      <c r="K2253" s="1" t="s">
        <v>22</v>
      </c>
      <c r="L2253" s="1" t="str">
        <f>HYPERLINK("https://files.afu.se/Downloads/Transcripts/0%20-%20Government/USA%20-%20NASA/2014 12 22 - NASA - International Space Station Crew Members Discuss Living in Space During the Holidays with the Media_rxS5PW1faVA - transcript (automated).pdf","Transcript Link")</f>
        <v>Transcript Link</v>
      </c>
      <c r="M2253" s="2" t="str">
        <f>HYPERLINK("https://files.afu.se/Downloads/Transcripts/0%20-%20Government/USA%20-%20NASA/2014 12 22 - NASA - International Space Station Crew Members Discuss Living in Space During the Holidays with the Media_rxS5PW1faVA - transcript (automated).pdf","Transcript Link")</f>
        <v>Transcript Link</v>
      </c>
    </row>
    <row r="2254" ht="165" spans="1:13">
      <c r="A2254" s="1" t="s">
        <v>10387</v>
      </c>
      <c r="B2254" s="1" t="s">
        <v>13</v>
      </c>
      <c r="C2254" s="4" t="s">
        <v>10392</v>
      </c>
      <c r="D2254" s="1" t="s">
        <v>10393</v>
      </c>
      <c r="E2254" s="1" t="s">
        <v>10394</v>
      </c>
      <c r="F2254" s="4" t="s">
        <v>17</v>
      </c>
      <c r="G2254" s="1" t="s">
        <v>18</v>
      </c>
      <c r="H2254" s="1" t="s">
        <v>19</v>
      </c>
      <c r="I2254" s="1" t="s">
        <v>20</v>
      </c>
      <c r="J2254" s="1" t="s">
        <v>10395</v>
      </c>
      <c r="K2254" s="1" t="s">
        <v>22</v>
      </c>
      <c r="L2254" s="1" t="str">
        <f>HYPERLINK("https://files.afu.se/Downloads/Transcripts/0%20-%20Government/USA%20-%20NASA/2014 12 22 - NASA - International Space Station Crew Member Discusses Living in Space with Italian President_WRIVMXdTVA0 - transcript (automated).pdf","Transcript Link")</f>
        <v>Transcript Link</v>
      </c>
      <c r="M2254" s="2" t="str">
        <f>HYPERLINK("https://files.afu.se/Downloads/Transcripts/0%20-%20Government/USA%20-%20NASA/2014 12 22 - NASA - International Space Station Crew Member Discusses Living in Space with Italian President_WRIVMXdTVA0 - transcript (automated).pdf","Transcript Link")</f>
        <v>Transcript Link</v>
      </c>
    </row>
    <row r="2255" ht="165" spans="1:13">
      <c r="A2255" s="1" t="s">
        <v>10387</v>
      </c>
      <c r="B2255" s="1" t="s">
        <v>13</v>
      </c>
      <c r="C2255" s="4" t="s">
        <v>10396</v>
      </c>
      <c r="D2255" s="1" t="s">
        <v>10397</v>
      </c>
      <c r="E2255" s="1" t="s">
        <v>10398</v>
      </c>
      <c r="F2255" s="4" t="s">
        <v>17</v>
      </c>
      <c r="G2255" s="1" t="s">
        <v>18</v>
      </c>
      <c r="H2255" s="1" t="s">
        <v>19</v>
      </c>
      <c r="I2255" s="1" t="s">
        <v>20</v>
      </c>
      <c r="J2255" s="1" t="s">
        <v>10399</v>
      </c>
      <c r="K2255" s="1" t="s">
        <v>22</v>
      </c>
      <c r="L2255" s="1" t="str">
        <f>HYPERLINK("https://files.afu.se/Downloads/Transcripts/0%20-%20Government/USA%20-%20NASA/2014 12 22 - NASA - Space Station Crew Members Offer Christmas Greetings to the World_HrUtJHYWPkY - transcript (automated).pdf","Transcript Link")</f>
        <v>Transcript Link</v>
      </c>
      <c r="M2255" s="2" t="str">
        <f>HYPERLINK("https://files.afu.se/Downloads/Transcripts/0%20-%20Government/USA%20-%20NASA/2014 12 22 - NASA - Space Station Crew Members Offer Christmas Greetings to the World_HrUtJHYWPkY - transcript (automated).pdf","Transcript Link")</f>
        <v>Transcript Link</v>
      </c>
    </row>
    <row r="2256" ht="165" spans="1:13">
      <c r="A2256" s="1" t="s">
        <v>10400</v>
      </c>
      <c r="B2256" s="1" t="s">
        <v>13</v>
      </c>
      <c r="C2256" s="4" t="s">
        <v>10401</v>
      </c>
      <c r="D2256" s="1" t="s">
        <v>10402</v>
      </c>
      <c r="E2256" s="1" t="s">
        <v>10403</v>
      </c>
      <c r="F2256" s="4" t="s">
        <v>17</v>
      </c>
      <c r="G2256" s="1" t="s">
        <v>18</v>
      </c>
      <c r="H2256" s="1" t="s">
        <v>19</v>
      </c>
      <c r="I2256" s="1" t="s">
        <v>20</v>
      </c>
      <c r="J2256" s="1" t="s">
        <v>10404</v>
      </c>
      <c r="K2256" s="1" t="s">
        <v>22</v>
      </c>
      <c r="L2256" s="1" t="str">
        <f>HYPERLINK("https://files.afu.se/Downloads/Transcripts/0%20-%20Government/USA%20-%20NASA/2014 12 19 - NASA - 2014 What Happened This Year @NASA_LveV4vtThOE - transcript (automated).pdf","Transcript Link")</f>
        <v>Transcript Link</v>
      </c>
      <c r="M2256" s="2" t="str">
        <f>HYPERLINK("https://files.afu.se/Downloads/Transcripts/0%20-%20Government/USA%20-%20NASA/2014 12 19 - NASA - 2014 What Happened This Year @NASA_LveV4vtThOE - transcript (automated).pdf","Transcript Link")</f>
        <v>Transcript Link</v>
      </c>
    </row>
    <row r="2257" ht="165" spans="1:13">
      <c r="A2257" s="1" t="s">
        <v>10400</v>
      </c>
      <c r="B2257" s="1" t="s">
        <v>13</v>
      </c>
      <c r="C2257" s="4" t="s">
        <v>10405</v>
      </c>
      <c r="D2257" s="1" t="s">
        <v>10406</v>
      </c>
      <c r="E2257" s="1" t="s">
        <v>10407</v>
      </c>
      <c r="F2257" s="4" t="s">
        <v>17</v>
      </c>
      <c r="G2257" s="1" t="s">
        <v>18</v>
      </c>
      <c r="H2257" s="1" t="s">
        <v>19</v>
      </c>
      <c r="I2257" s="1" t="s">
        <v>20</v>
      </c>
      <c r="J2257" s="1" t="s">
        <v>10408</v>
      </c>
      <c r="K2257" s="1" t="s">
        <v>22</v>
      </c>
      <c r="L2257" s="1" t="str">
        <f>HYPERLINK("https://files.afu.se/Downloads/Transcripts/0%20-%20Government/USA%20-%20NASA/2014 12 19 - NASA - NASA 2014_un7MKRoPQ6o - transcript (automated).pdf","Transcript Link")</f>
        <v>Transcript Link</v>
      </c>
      <c r="M2257" s="2" t="str">
        <f>HYPERLINK("https://files.afu.se/Downloads/Transcripts/0%20-%20Government/USA%20-%20NASA/2014 12 19 - NASA - NASA 2014_un7MKRoPQ6o - transcript (automated).pdf","Transcript Link")</f>
        <v>Transcript Link</v>
      </c>
    </row>
    <row r="2258" ht="165" spans="1:13">
      <c r="A2258" s="1" t="s">
        <v>10400</v>
      </c>
      <c r="B2258" s="1" t="s">
        <v>13</v>
      </c>
      <c r="C2258" s="4" t="s">
        <v>10409</v>
      </c>
      <c r="D2258" s="1" t="s">
        <v>10410</v>
      </c>
      <c r="E2258" s="1" t="s">
        <v>10411</v>
      </c>
      <c r="F2258" s="4" t="s">
        <v>17</v>
      </c>
      <c r="G2258" s="1" t="s">
        <v>18</v>
      </c>
      <c r="H2258" s="1" t="s">
        <v>19</v>
      </c>
      <c r="I2258" s="1" t="s">
        <v>20</v>
      </c>
      <c r="J2258" s="1" t="s">
        <v>10412</v>
      </c>
      <c r="K2258" s="1" t="s">
        <v>22</v>
      </c>
      <c r="L2258" s="1" t="str">
        <f>HYPERLINK("https://files.afu.se/Downloads/Transcripts/0%20-%20Government/USA%20-%20NASA/2014 12 19 - NASA - Video Gives Inside Look at Trial by Fire for NASA's Orion Spacecraft_ibtsgAig3Yk - transcript (automated).pdf","Transcript Link")</f>
        <v>Transcript Link</v>
      </c>
      <c r="M2258" s="2" t="str">
        <f>HYPERLINK("https://files.afu.se/Downloads/Transcripts/0%20-%20Government/USA%20-%20NASA/2014 12 19 - NASA - Video Gives Inside Look at Trial by Fire for NASA's Orion Spacecraft_ibtsgAig3Yk - transcript (automated).pdf","Transcript Link")</f>
        <v>Transcript Link</v>
      </c>
    </row>
    <row r="2259" ht="165" spans="1:13">
      <c r="A2259" s="1" t="s">
        <v>10400</v>
      </c>
      <c r="B2259" s="1" t="s">
        <v>13</v>
      </c>
      <c r="C2259" s="4" t="s">
        <v>10413</v>
      </c>
      <c r="D2259" s="1" t="s">
        <v>10414</v>
      </c>
      <c r="E2259" s="1" t="s">
        <v>10415</v>
      </c>
      <c r="F2259" s="4" t="s">
        <v>17</v>
      </c>
      <c r="G2259" s="1" t="s">
        <v>18</v>
      </c>
      <c r="H2259" s="1" t="s">
        <v>19</v>
      </c>
      <c r="I2259" s="1" t="s">
        <v>20</v>
      </c>
      <c r="J2259" s="1" t="s">
        <v>10416</v>
      </c>
      <c r="K2259" s="1" t="s">
        <v>22</v>
      </c>
      <c r="L2259" s="1" t="str">
        <f>HYPERLINK("https://files.afu.se/Downloads/Transcripts/0%20-%20Government/USA%20-%20NASA/2014 12 19 - NASA - Space Station Partners Discuss Year-Long Mission During Paris News Conference_-qDtz55LezY - transcript (automated).pdf","Transcript Link")</f>
        <v>Transcript Link</v>
      </c>
      <c r="M2259" s="2" t="str">
        <f>HYPERLINK("https://files.afu.se/Downloads/Transcripts/0%20-%20Government/USA%20-%20NASA/2014 12 19 - NASA - Space Station Partners Discuss Year-Long Mission During Paris News Conference_-qDtz55LezY - transcript (automated).pdf","Transcript Link")</f>
        <v>Transcript Link</v>
      </c>
    </row>
    <row r="2260" ht="165" spans="1:13">
      <c r="A2260" s="1" t="s">
        <v>10417</v>
      </c>
      <c r="B2260" s="1" t="s">
        <v>13</v>
      </c>
      <c r="C2260" s="4" t="s">
        <v>10418</v>
      </c>
      <c r="D2260" s="1" t="s">
        <v>10419</v>
      </c>
      <c r="E2260" s="1" t="s">
        <v>10420</v>
      </c>
      <c r="F2260" s="4" t="s">
        <v>17</v>
      </c>
      <c r="G2260" s="1" t="s">
        <v>18</v>
      </c>
      <c r="H2260" s="1" t="s">
        <v>19</v>
      </c>
      <c r="I2260" s="1" t="s">
        <v>20</v>
      </c>
      <c r="J2260" s="1" t="s">
        <v>10421</v>
      </c>
      <c r="K2260" s="1" t="s">
        <v>22</v>
      </c>
      <c r="L2260" s="1" t="str">
        <f>HYPERLINK("https://files.afu.se/Downloads/Transcripts/0%20-%20Government/USA%20-%20NASA/2014 12 17 - NASA - STEM in 30  Kites to Flight  Inventing with the Wright Brothers_8NwZhQ_S3qM - transcript (automated).pdf","Transcript Link")</f>
        <v>Transcript Link</v>
      </c>
      <c r="M2260" s="2" t="str">
        <f>HYPERLINK("https://files.afu.se/Downloads/Transcripts/0%20-%20Government/USA%20-%20NASA/2014 12 17 - NASA - STEM in 30  Kites to Flight  Inventing with the Wright Brothers_8NwZhQ_S3qM - transcript (automated).pdf","Transcript Link")</f>
        <v>Transcript Link</v>
      </c>
    </row>
    <row r="2261" ht="165" spans="1:13">
      <c r="A2261" s="1" t="s">
        <v>10422</v>
      </c>
      <c r="B2261" s="1" t="s">
        <v>13</v>
      </c>
      <c r="C2261" s="4" t="s">
        <v>10423</v>
      </c>
      <c r="D2261" s="1" t="s">
        <v>10424</v>
      </c>
      <c r="E2261" s="1" t="s">
        <v>10425</v>
      </c>
      <c r="F2261" s="4" t="s">
        <v>17</v>
      </c>
      <c r="G2261" s="1" t="s">
        <v>18</v>
      </c>
      <c r="H2261" s="1" t="s">
        <v>19</v>
      </c>
      <c r="I2261" s="1" t="s">
        <v>20</v>
      </c>
      <c r="J2261" s="1" t="s">
        <v>10426</v>
      </c>
      <c r="K2261" s="1" t="s">
        <v>22</v>
      </c>
      <c r="L2261" s="1" t="str">
        <f>HYPERLINK("https://files.afu.se/Downloads/Transcripts/0%20-%20Government/USA%20-%20NASA/2014 12 15 - NASA - ISS Astronaut Talks About Life in Space with BBC_C8ZWjdP74aA - transcript (automated).pdf","Transcript Link")</f>
        <v>Transcript Link</v>
      </c>
      <c r="M2261" s="2" t="str">
        <f>HYPERLINK("https://files.afu.se/Downloads/Transcripts/0%20-%20Government/USA%20-%20NASA/2014 12 15 - NASA - ISS Astronaut Talks About Life in Space with BBC_C8ZWjdP74aA - transcript (automated).pdf","Transcript Link")</f>
        <v>Transcript Link</v>
      </c>
    </row>
    <row r="2262" ht="255" spans="1:13">
      <c r="A2262" s="1" t="s">
        <v>10427</v>
      </c>
      <c r="B2262" s="1" t="s">
        <v>13</v>
      </c>
      <c r="C2262" s="4" t="s">
        <v>10428</v>
      </c>
      <c r="D2262" s="1" t="s">
        <v>10429</v>
      </c>
      <c r="E2262" s="1" t="s">
        <v>10430</v>
      </c>
      <c r="F2262" s="4" t="s">
        <v>17</v>
      </c>
      <c r="G2262" s="1" t="s">
        <v>18</v>
      </c>
      <c r="H2262" s="1" t="s">
        <v>19</v>
      </c>
      <c r="I2262" s="1" t="s">
        <v>20</v>
      </c>
      <c r="J2262" s="1" t="s">
        <v>10431</v>
      </c>
      <c r="K2262" s="1" t="s">
        <v>22</v>
      </c>
      <c r="L2262" s="1" t="str">
        <f>HYPERLINK("https://files.afu.se/Downloads/Transcripts/0%20-%20Government/USA%20-%20NASA/2014 12 12 - NASA - Orion is back on This Week @NASA - December 12, 2014_jQmRxStVXkk - transcript (automated).pdf","Transcript Link")</f>
        <v>Transcript Link</v>
      </c>
      <c r="M2262" s="2" t="str">
        <f>HYPERLINK("https://files.afu.se/Downloads/Transcripts/0%20-%20Government/USA%20-%20NASA/2014 12 12 - NASA - Orion is back on This Week @NASA - December 12, 2014_jQmRxStVXkk - transcript (automated).pdf","Transcript Link")</f>
        <v>Transcript Link</v>
      </c>
    </row>
    <row r="2263" ht="165" spans="1:13">
      <c r="A2263" s="1" t="s">
        <v>10427</v>
      </c>
      <c r="B2263" s="1" t="s">
        <v>13</v>
      </c>
      <c r="C2263" s="4" t="s">
        <v>10432</v>
      </c>
      <c r="D2263" s="1" t="s">
        <v>10433</v>
      </c>
      <c r="E2263" s="1" t="s">
        <v>10434</v>
      </c>
      <c r="F2263" s="4" t="s">
        <v>17</v>
      </c>
      <c r="G2263" s="1" t="s">
        <v>18</v>
      </c>
      <c r="H2263" s="1" t="s">
        <v>19</v>
      </c>
      <c r="I2263" s="1" t="s">
        <v>20</v>
      </c>
      <c r="J2263" s="1" t="s">
        <v>10435</v>
      </c>
      <c r="K2263" s="1" t="s">
        <v>22</v>
      </c>
      <c r="L2263" s="1" t="str">
        <f>HYPERLINK("https://files.afu.se/Downloads/Transcripts/0%20-%20Government/USA%20-%20NASA/2014 12 12 - NASA - European Space Station Crew Member Discusses Life in Space with Italian Media_bm3r3Q2lULo - transcript (automated).pdf","Transcript Link")</f>
        <v>Transcript Link</v>
      </c>
      <c r="M2263" s="2" t="str">
        <f>HYPERLINK("https://files.afu.se/Downloads/Transcripts/0%20-%20Government/USA%20-%20NASA/2014 12 12 - NASA - European Space Station Crew Member Discusses Life in Space with Italian Media_bm3r3Q2lULo - transcript (automated).pdf","Transcript Link")</f>
        <v>Transcript Link</v>
      </c>
    </row>
    <row r="2264" ht="165" spans="1:13">
      <c r="A2264" s="1" t="s">
        <v>10436</v>
      </c>
      <c r="B2264" s="1" t="s">
        <v>13</v>
      </c>
      <c r="C2264" s="4" t="s">
        <v>10437</v>
      </c>
      <c r="D2264" s="1" t="s">
        <v>10438</v>
      </c>
      <c r="E2264" s="1" t="s">
        <v>10439</v>
      </c>
      <c r="F2264" s="4" t="s">
        <v>17</v>
      </c>
      <c r="G2264" s="1" t="s">
        <v>18</v>
      </c>
      <c r="H2264" s="1" t="s">
        <v>19</v>
      </c>
      <c r="I2264" s="1" t="s">
        <v>20</v>
      </c>
      <c r="J2264" s="1" t="s">
        <v>10440</v>
      </c>
      <c r="K2264" s="1" t="s">
        <v>22</v>
      </c>
      <c r="L2264" s="1" t="str">
        <f>HYPERLINK("https://files.afu.se/Downloads/Transcripts/0%20-%20Government/USA%20-%20NASA/2014 12 10 - NASA - Space Station Crew Members Discuss Life in Space with CNN and the US Navy_omnWO_t_zyM - transcript (automated).pdf","Transcript Link")</f>
        <v>Transcript Link</v>
      </c>
      <c r="M2264" s="2" t="str">
        <f>HYPERLINK("https://files.afu.se/Downloads/Transcripts/0%20-%20Government/USA%20-%20NASA/2014 12 10 - NASA - Space Station Crew Members Discuss Life in Space with CNN and the US Navy_omnWO_t_zyM - transcript (automated).pdf","Transcript Link")</f>
        <v>Transcript Link</v>
      </c>
    </row>
    <row r="2265" ht="165" spans="1:13">
      <c r="A2265" s="1" t="s">
        <v>10441</v>
      </c>
      <c r="B2265" s="1" t="s">
        <v>13</v>
      </c>
      <c r="C2265" s="4" t="s">
        <v>10442</v>
      </c>
      <c r="D2265" s="1" t="s">
        <v>10443</v>
      </c>
      <c r="E2265" s="1" t="s">
        <v>10444</v>
      </c>
      <c r="F2265" s="4" t="s">
        <v>17</v>
      </c>
      <c r="G2265" s="1" t="s">
        <v>18</v>
      </c>
      <c r="H2265" s="1" t="s">
        <v>19</v>
      </c>
      <c r="I2265" s="1" t="s">
        <v>20</v>
      </c>
      <c r="J2265" s="1" t="s">
        <v>10445</v>
      </c>
      <c r="K2265" s="1" t="s">
        <v>22</v>
      </c>
      <c r="L2265" s="1" t="str">
        <f>HYPERLINK("https://files.afu.se/Downloads/Transcripts/0%20-%20Government/USA%20-%20NASA/2014 12 09 - NASA - President Obama Recognizes Orion Chief Engineer Julie Kramer White_tuAN3I2KSEk - transcript (automated).pdf","Transcript Link")</f>
        <v>Transcript Link</v>
      </c>
      <c r="M2265" s="2" t="str">
        <f>HYPERLINK("https://files.afu.se/Downloads/Transcripts/0%20-%20Government/USA%20-%20NASA/2014 12 09 - NASA - President Obama Recognizes Orion Chief Engineer Julie Kramer White_tuAN3I2KSEk - transcript (automated).pdf","Transcript Link")</f>
        <v>Transcript Link</v>
      </c>
    </row>
    <row r="2266" ht="165" spans="1:13">
      <c r="A2266" s="1" t="s">
        <v>10446</v>
      </c>
      <c r="B2266" s="1" t="s">
        <v>13</v>
      </c>
      <c r="C2266" s="4" t="s">
        <v>10447</v>
      </c>
      <c r="D2266" s="1" t="s">
        <v>10448</v>
      </c>
      <c r="E2266" s="1" t="s">
        <v>10449</v>
      </c>
      <c r="F2266" s="4" t="s">
        <v>17</v>
      </c>
      <c r="G2266" s="1" t="s">
        <v>18</v>
      </c>
      <c r="H2266" s="1" t="s">
        <v>19</v>
      </c>
      <c r="I2266" s="1" t="s">
        <v>20</v>
      </c>
      <c r="J2266" s="1" t="s">
        <v>10450</v>
      </c>
      <c r="K2266" s="1" t="s">
        <v>22</v>
      </c>
      <c r="L2266" s="1" t="str">
        <f>HYPERLINK("https://files.afu.se/Downloads/Transcripts/0%20-%20Government/USA%20-%20NASA/2014 12 08 - NASA - Orion’s first flight on This Week @NASA - December 8, 2014_MuSnkk2SEN0 - transcript (automated).pdf","Transcript Link")</f>
        <v>Transcript Link</v>
      </c>
      <c r="M2266" s="2" t="str">
        <f>HYPERLINK("https://files.afu.se/Downloads/Transcripts/0%20-%20Government/USA%20-%20NASA/2014 12 08 - NASA - Orion’s first flight on This Week @NASA - December 8, 2014_MuSnkk2SEN0 - transcript (automated).pdf","Transcript Link")</f>
        <v>Transcript Link</v>
      </c>
    </row>
    <row r="2267" ht="165" spans="1:13">
      <c r="A2267" s="1" t="s">
        <v>10446</v>
      </c>
      <c r="B2267" s="1" t="s">
        <v>13</v>
      </c>
      <c r="C2267" s="4" t="s">
        <v>10451</v>
      </c>
      <c r="D2267" s="1" t="s">
        <v>10452</v>
      </c>
      <c r="E2267" s="1" t="s">
        <v>10453</v>
      </c>
      <c r="F2267" s="4" t="s">
        <v>17</v>
      </c>
      <c r="G2267" s="1" t="s">
        <v>18</v>
      </c>
      <c r="H2267" s="1" t="s">
        <v>19</v>
      </c>
      <c r="I2267" s="1" t="s">
        <v>20</v>
      </c>
      <c r="J2267" s="1" t="s">
        <v>10454</v>
      </c>
      <c r="K2267" s="1" t="s">
        <v>22</v>
      </c>
      <c r="L2267" s="1" t="str">
        <f>HYPERLINK("https://files.afu.se/Downloads/Transcripts/0%20-%20Government/USA%20-%20NASA/2014 12 08 - NASA - NASA TV Presents  Inside the ISS - December 2014_wXU0dseMe0s - transcript (automated).pdf","Transcript Link")</f>
        <v>Transcript Link</v>
      </c>
      <c r="M2267" s="2" t="str">
        <f>HYPERLINK("https://files.afu.se/Downloads/Transcripts/0%20-%20Government/USA%20-%20NASA/2014 12 08 - NASA - NASA TV Presents  Inside the ISS - December 2014_wXU0dseMe0s - transcript (automated).pdf","Transcript Link")</f>
        <v>Transcript Link</v>
      </c>
    </row>
    <row r="2268" ht="165" spans="1:13">
      <c r="A2268" s="1" t="s">
        <v>10455</v>
      </c>
      <c r="B2268" s="1" t="s">
        <v>13</v>
      </c>
      <c r="C2268" s="4" t="s">
        <v>10456</v>
      </c>
      <c r="D2268" s="1" t="s">
        <v>10457</v>
      </c>
      <c r="E2268" s="1" t="s">
        <v>10458</v>
      </c>
      <c r="F2268" s="4" t="s">
        <v>17</v>
      </c>
      <c r="G2268" s="1" t="s">
        <v>18</v>
      </c>
      <c r="H2268" s="1" t="s">
        <v>19</v>
      </c>
      <c r="I2268" s="1" t="s">
        <v>20</v>
      </c>
      <c r="J2268" s="1" t="s">
        <v>10459</v>
      </c>
      <c r="K2268" s="1" t="s">
        <v>22</v>
      </c>
      <c r="L2268" s="1" t="str">
        <f>HYPERLINK("https://files.afu.se/Downloads/Transcripts/0%20-%20Government/USA%20-%20NASA/2014 12 05 - NASA -  (See below for updated link to this video)-Orion’s first flight on This Week @NASA_tocdRA-_lLs - transcript (automated).pdf","Transcript Link")</f>
        <v>Transcript Link</v>
      </c>
      <c r="M2268" s="2" t="str">
        <f>HYPERLINK("https://files.afu.se/Downloads/Transcripts/0%20-%20Government/USA%20-%20NASA/2014 12 05 - NASA -  (See below for updated link to this video)-Orion’s first flight on This Week @NASA_tocdRA-_lLs - transcript (automated).pdf","Transcript Link")</f>
        <v>Transcript Link</v>
      </c>
    </row>
    <row r="2269" ht="165" spans="1:13">
      <c r="A2269" s="1" t="s">
        <v>10455</v>
      </c>
      <c r="B2269" s="1" t="s">
        <v>13</v>
      </c>
      <c r="C2269" s="4" t="s">
        <v>10460</v>
      </c>
      <c r="D2269" s="1" t="s">
        <v>10461</v>
      </c>
      <c r="E2269" s="1" t="s">
        <v>10462</v>
      </c>
      <c r="F2269" s="4" t="s">
        <v>17</v>
      </c>
      <c r="G2269" s="1" t="s">
        <v>18</v>
      </c>
      <c r="H2269" s="1" t="s">
        <v>19</v>
      </c>
      <c r="I2269" s="1" t="s">
        <v>20</v>
      </c>
      <c r="J2269" s="1" t="s">
        <v>10463</v>
      </c>
      <c r="K2269" s="1" t="s">
        <v>22</v>
      </c>
      <c r="L2269" s="1" t="str">
        <f>HYPERLINK("https://files.afu.se/Downloads/Transcripts/0%20-%20Government/USA%20-%20NASA/2014 12 05 - NASA - Orion’s First Flight Test Reviewed_6RbgegMSQL0 - transcript (automated).pdf","Transcript Link")</f>
        <v>Transcript Link</v>
      </c>
      <c r="M2269" s="2" t="str">
        <f>HYPERLINK("https://files.afu.se/Downloads/Transcripts/0%20-%20Government/USA%20-%20NASA/2014 12 05 - NASA - Orion’s First Flight Test Reviewed_6RbgegMSQL0 - transcript (automated).pdf","Transcript Link")</f>
        <v>Transcript Link</v>
      </c>
    </row>
    <row r="2270" ht="180" spans="1:13">
      <c r="A2270" s="1" t="s">
        <v>10455</v>
      </c>
      <c r="B2270" s="1" t="s">
        <v>13</v>
      </c>
      <c r="C2270" s="4" t="s">
        <v>10464</v>
      </c>
      <c r="D2270" s="1" t="s">
        <v>10465</v>
      </c>
      <c r="E2270" s="1" t="s">
        <v>10466</v>
      </c>
      <c r="F2270" s="4" t="s">
        <v>17</v>
      </c>
      <c r="G2270" s="1" t="s">
        <v>18</v>
      </c>
      <c r="H2270" s="1" t="s">
        <v>19</v>
      </c>
      <c r="I2270" s="1" t="s">
        <v>20</v>
      </c>
      <c r="J2270" s="1" t="s">
        <v>10467</v>
      </c>
      <c r="K2270" s="1" t="s">
        <v>22</v>
      </c>
      <c r="L2270" s="1" t="str">
        <f>HYPERLINK("https://files.afu.se/Downloads/Transcripts/0%20-%20Government/USA%20-%20NASA/2014 12 05 - NASA - The von Kármán Lecture Series  Dawn’s Mission to the Asteroid Belt_Qa5fQ0dkOW0 - transcript (automated).pdf","Transcript Link")</f>
        <v>Transcript Link</v>
      </c>
      <c r="M2270" s="2" t="str">
        <f>HYPERLINK("https://files.afu.se/Downloads/Transcripts/0%20-%20Government/USA%20-%20NASA/2014 12 05 - NASA - The von Kármán Lecture Series  Dawn’s Mission to the Asteroid Belt_Qa5fQ0dkOW0 - transcript (automated).pdf","Transcript Link")</f>
        <v>Transcript Link</v>
      </c>
    </row>
    <row r="2271" ht="165" spans="1:13">
      <c r="A2271" s="1" t="s">
        <v>10455</v>
      </c>
      <c r="B2271" s="1" t="s">
        <v>13</v>
      </c>
      <c r="C2271" s="4" t="s">
        <v>10468</v>
      </c>
      <c r="D2271" s="1" t="s">
        <v>10469</v>
      </c>
      <c r="F2271" s="4" t="s">
        <v>17</v>
      </c>
      <c r="G2271" s="1" t="s">
        <v>18</v>
      </c>
      <c r="H2271" s="1" t="s">
        <v>19</v>
      </c>
      <c r="I2271" s="1" t="s">
        <v>20</v>
      </c>
      <c r="J2271" s="1" t="s">
        <v>10470</v>
      </c>
      <c r="K2271" s="1" t="s">
        <v>22</v>
      </c>
      <c r="L2271" s="1" t="str">
        <f>HYPERLINK("https://files.afu.se/Downloads/Transcripts/0%20-%20Government/USA%20-%20NASA/2014 12 05 - NASA - Orion Explore and Beyond_DiFBOyTdX9I - transcript (automated).pdf","Transcript Link")</f>
        <v>Transcript Link</v>
      </c>
      <c r="M2271" s="2" t="str">
        <f>HYPERLINK("https://files.afu.se/Downloads/Transcripts/0%20-%20Government/USA%20-%20NASA/2014 12 05 - NASA - Orion Explore and Beyond_DiFBOyTdX9I - transcript (automated).pdf","Transcript Link")</f>
        <v>Transcript Link</v>
      </c>
    </row>
    <row r="2272" ht="165" spans="1:13">
      <c r="A2272" s="1" t="s">
        <v>10455</v>
      </c>
      <c r="B2272" s="1" t="s">
        <v>13</v>
      </c>
      <c r="C2272" s="4" t="s">
        <v>10471</v>
      </c>
      <c r="D2272" s="1" t="s">
        <v>10472</v>
      </c>
      <c r="F2272" s="4" t="s">
        <v>17</v>
      </c>
      <c r="G2272" s="1" t="s">
        <v>18</v>
      </c>
      <c r="H2272" s="1" t="s">
        <v>19</v>
      </c>
      <c r="I2272" s="1" t="s">
        <v>20</v>
      </c>
      <c r="J2272" s="1" t="s">
        <v>10473</v>
      </c>
      <c r="K2272" s="1" t="s">
        <v>22</v>
      </c>
      <c r="L2272" s="1" t="str">
        <f>HYPERLINK("https://files.afu.se/Downloads/Transcripts/0%20-%20Government/USA%20-%20NASA/2014 12 05 - NASA - Orion Navy Preps_ZWEa_uil9bM - transcript (automated).pdf","Transcript Link")</f>
        <v>Transcript Link</v>
      </c>
      <c r="M2272" s="2" t="str">
        <f>HYPERLINK("https://files.afu.se/Downloads/Transcripts/0%20-%20Government/USA%20-%20NASA/2014 12 05 - NASA - Orion Navy Preps_ZWEa_uil9bM - transcript (automated).pdf","Transcript Link")</f>
        <v>Transcript Link</v>
      </c>
    </row>
    <row r="2273" ht="165" spans="1:13">
      <c r="A2273" s="1" t="s">
        <v>10455</v>
      </c>
      <c r="B2273" s="1" t="s">
        <v>13</v>
      </c>
      <c r="C2273" s="4" t="s">
        <v>10474</v>
      </c>
      <c r="D2273" s="1" t="s">
        <v>10475</v>
      </c>
      <c r="F2273" s="4" t="s">
        <v>17</v>
      </c>
      <c r="G2273" s="1" t="s">
        <v>18</v>
      </c>
      <c r="H2273" s="1" t="s">
        <v>19</v>
      </c>
      <c r="I2273" s="1" t="s">
        <v>20</v>
      </c>
      <c r="J2273" s="1" t="s">
        <v>10476</v>
      </c>
      <c r="K2273" s="1" t="s">
        <v>22</v>
      </c>
      <c r="L2273" s="1" t="str">
        <f>HYPERLINK("https://files.afu.se/Downloads/Transcripts/0%20-%20Government/USA%20-%20NASA/2014 12 05 - NASA - Orion Journey To Mars_ThVdnyokBME - transcript (automated).pdf","Transcript Link")</f>
        <v>Transcript Link</v>
      </c>
      <c r="M2273" s="2" t="str">
        <f>HYPERLINK("https://files.afu.se/Downloads/Transcripts/0%20-%20Government/USA%20-%20NASA/2014 12 05 - NASA - Orion Journey To Mars_ThVdnyokBME - transcript (automated).pdf","Transcript Link")</f>
        <v>Transcript Link</v>
      </c>
    </row>
    <row r="2274" ht="165" spans="1:13">
      <c r="A2274" s="1" t="s">
        <v>10455</v>
      </c>
      <c r="B2274" s="1" t="s">
        <v>13</v>
      </c>
      <c r="C2274" s="4" t="s">
        <v>10477</v>
      </c>
      <c r="D2274" s="1" t="s">
        <v>10478</v>
      </c>
      <c r="E2274" s="1" t="s">
        <v>10479</v>
      </c>
      <c r="F2274" s="4" t="s">
        <v>17</v>
      </c>
      <c r="G2274" s="1" t="s">
        <v>18</v>
      </c>
      <c r="H2274" s="1" t="s">
        <v>19</v>
      </c>
      <c r="I2274" s="1" t="s">
        <v>20</v>
      </c>
      <c r="J2274" s="1" t="s">
        <v>10480</v>
      </c>
      <c r="K2274" s="1" t="s">
        <v>22</v>
      </c>
      <c r="L2274" s="1" t="str">
        <f>HYPERLINK("https://files.afu.se/Downloads/Transcripts/0%20-%20Government/USA%20-%20NASA/2014 12 05 - NASA - Orion Soars on First Flight Test_UEuOpxOrA_0 - transcript (automated).pdf","Transcript Link")</f>
        <v>Transcript Link</v>
      </c>
      <c r="M2274" s="2" t="str">
        <f>HYPERLINK("https://files.afu.se/Downloads/Transcripts/0%20-%20Government/USA%20-%20NASA/2014 12 05 - NASA - Orion Soars on First Flight Test_UEuOpxOrA_0 - transcript (automated).pdf","Transcript Link")</f>
        <v>Transcript Link</v>
      </c>
    </row>
    <row r="2275" ht="165" spans="1:13">
      <c r="A2275" s="1" t="s">
        <v>10481</v>
      </c>
      <c r="B2275" s="1" t="s">
        <v>13</v>
      </c>
      <c r="C2275" s="4" t="s">
        <v>10482</v>
      </c>
      <c r="D2275" s="1" t="s">
        <v>10483</v>
      </c>
      <c r="E2275" s="1" t="s">
        <v>10484</v>
      </c>
      <c r="F2275" s="4" t="s">
        <v>17</v>
      </c>
      <c r="G2275" s="1" t="s">
        <v>18</v>
      </c>
      <c r="H2275" s="1" t="s">
        <v>19</v>
      </c>
      <c r="I2275" s="1" t="s">
        <v>20</v>
      </c>
      <c r="J2275" s="1" t="s">
        <v>10485</v>
      </c>
      <c r="K2275" s="1" t="s">
        <v>22</v>
      </c>
      <c r="L2275" s="1" t="str">
        <f>HYPERLINK("https://files.afu.se/Downloads/Transcripts/0%20-%20Government/USA%20-%20NASA/2014 12 04 - NASA - Orion Post-Scrub News Conference_GXm2uZii-_c - transcript (automated).pdf","Transcript Link")</f>
        <v>Transcript Link</v>
      </c>
      <c r="M2275" s="2" t="str">
        <f>HYPERLINK("https://files.afu.se/Downloads/Transcripts/0%20-%20Government/USA%20-%20NASA/2014 12 04 - NASA - Orion Post-Scrub News Conference_GXm2uZii-_c - transcript (automated).pdf","Transcript Link")</f>
        <v>Transcript Link</v>
      </c>
    </row>
    <row r="2276" ht="165" spans="1:13">
      <c r="A2276" s="1" t="s">
        <v>10481</v>
      </c>
      <c r="B2276" s="1" t="s">
        <v>13</v>
      </c>
      <c r="C2276" s="4" t="s">
        <v>10486</v>
      </c>
      <c r="D2276" s="1" t="s">
        <v>10487</v>
      </c>
      <c r="F2276" s="4" t="s">
        <v>17</v>
      </c>
      <c r="G2276" s="1" t="s">
        <v>18</v>
      </c>
      <c r="H2276" s="1" t="s">
        <v>19</v>
      </c>
      <c r="I2276" s="1" t="s">
        <v>20</v>
      </c>
      <c r="J2276" s="1" t="s">
        <v>10488</v>
      </c>
      <c r="K2276" s="1" t="s">
        <v>22</v>
      </c>
      <c r="L2276" s="1" t="str">
        <f>HYPERLINK("https://files.afu.se/Downloads/Transcripts/0%20-%20Government/USA%20-%20NASA/2014 12 04 - NASA - Orion This Year @NASA 2014_hWzSZkWN9H4 - transcript (automated).pdf","Transcript Link")</f>
        <v>Transcript Link</v>
      </c>
      <c r="M2276" s="2" t="str">
        <f>HYPERLINK("https://files.afu.se/Downloads/Transcripts/0%20-%20Government/USA%20-%20NASA/2014 12 04 - NASA - Orion This Year @NASA 2014_hWzSZkWN9H4 - transcript (automated).pdf","Transcript Link")</f>
        <v>Transcript Link</v>
      </c>
    </row>
    <row r="2277" ht="165" spans="1:13">
      <c r="A2277" s="1" t="s">
        <v>10481</v>
      </c>
      <c r="B2277" s="1" t="s">
        <v>13</v>
      </c>
      <c r="C2277" s="4" t="s">
        <v>10489</v>
      </c>
      <c r="D2277" s="1" t="s">
        <v>10490</v>
      </c>
      <c r="F2277" s="4" t="s">
        <v>17</v>
      </c>
      <c r="G2277" s="1" t="s">
        <v>18</v>
      </c>
      <c r="H2277" s="1" t="s">
        <v>19</v>
      </c>
      <c r="I2277" s="1" t="s">
        <v>20</v>
      </c>
      <c r="J2277" s="1" t="s">
        <v>10491</v>
      </c>
      <c r="K2277" s="1" t="s">
        <v>22</v>
      </c>
      <c r="L2277" s="1" t="str">
        <f>HYPERLINK("https://files.afu.se/Downloads/Transcripts/0%20-%20Government/USA%20-%20NASA/2014 12 04 - NASA - Orion Year End Music Video_k0qgrEtoGeY - transcript (automated).pdf","Transcript Link")</f>
        <v>Transcript Link</v>
      </c>
      <c r="M2277" s="2" t="str">
        <f>HYPERLINK("https://files.afu.se/Downloads/Transcripts/0%20-%20Government/USA%20-%20NASA/2014 12 04 - NASA - Orion Year End Music Video_k0qgrEtoGeY - transcript (automated).pdf","Transcript Link")</f>
        <v>Transcript Link</v>
      </c>
    </row>
    <row r="2278" ht="165" spans="1:13">
      <c r="A2278" s="1" t="s">
        <v>10481</v>
      </c>
      <c r="B2278" s="1" t="s">
        <v>13</v>
      </c>
      <c r="C2278" s="4" t="s">
        <v>10492</v>
      </c>
      <c r="D2278" s="1" t="s">
        <v>10493</v>
      </c>
      <c r="F2278" s="4" t="s">
        <v>17</v>
      </c>
      <c r="G2278" s="1" t="s">
        <v>18</v>
      </c>
      <c r="H2278" s="1" t="s">
        <v>19</v>
      </c>
      <c r="I2278" s="1" t="s">
        <v>20</v>
      </c>
      <c r="J2278" s="1" t="s">
        <v>10494</v>
      </c>
      <c r="K2278" s="1" t="s">
        <v>22</v>
      </c>
      <c r="L2278" s="1" t="str">
        <f>HYPERLINK("https://files.afu.se/Downloads/Transcripts/0%20-%20Government/USA%20-%20NASA/2014 12 04 - NASA - Orion Flight Test Opening Video_SaoMxjldSDQ - transcript (automated).pdf","Transcript Link")</f>
        <v>Transcript Link</v>
      </c>
      <c r="M2278" s="2" t="str">
        <f>HYPERLINK("https://files.afu.se/Downloads/Transcripts/0%20-%20Government/USA%20-%20NASA/2014 12 04 - NASA - Orion Flight Test Opening Video_SaoMxjldSDQ - transcript (automated).pdf","Transcript Link")</f>
        <v>Transcript Link</v>
      </c>
    </row>
    <row r="2279" ht="165" spans="1:13">
      <c r="A2279" s="1" t="s">
        <v>10495</v>
      </c>
      <c r="B2279" s="1" t="s">
        <v>13</v>
      </c>
      <c r="C2279" s="4" t="s">
        <v>10496</v>
      </c>
      <c r="D2279" s="1" t="s">
        <v>10497</v>
      </c>
      <c r="E2279" s="1" t="s">
        <v>10498</v>
      </c>
      <c r="F2279" s="4" t="s">
        <v>17</v>
      </c>
      <c r="G2279" s="1" t="s">
        <v>18</v>
      </c>
      <c r="H2279" s="1" t="s">
        <v>19</v>
      </c>
      <c r="I2279" s="1" t="s">
        <v>20</v>
      </c>
      <c r="J2279" s="1" t="s">
        <v>10499</v>
      </c>
      <c r="K2279" s="1" t="s">
        <v>22</v>
      </c>
      <c r="L2279" s="1" t="str">
        <f>HYPERLINK("https://files.afu.se/Downloads/Transcripts/0%20-%20Government/USA%20-%20NASA/2014 12 03 - NASA - NASA Social for Orion’s First Flight Test_Ca1gp-rjbe4 - transcript (automated).pdf","Transcript Link")</f>
        <v>Transcript Link</v>
      </c>
      <c r="M2279" s="2" t="str">
        <f>HYPERLINK("https://files.afu.se/Downloads/Transcripts/0%20-%20Government/USA%20-%20NASA/2014 12 03 - NASA - NASA Social for Orion’s First Flight Test_Ca1gp-rjbe4 - transcript (automated).pdf","Transcript Link")</f>
        <v>Transcript Link</v>
      </c>
    </row>
    <row r="2280" ht="165" spans="1:13">
      <c r="A2280" s="1" t="s">
        <v>10495</v>
      </c>
      <c r="B2280" s="1" t="s">
        <v>13</v>
      </c>
      <c r="C2280" s="4" t="s">
        <v>10500</v>
      </c>
      <c r="D2280" s="1" t="s">
        <v>10501</v>
      </c>
      <c r="F2280" s="4" t="s">
        <v>17</v>
      </c>
      <c r="G2280" s="1" t="s">
        <v>18</v>
      </c>
      <c r="H2280" s="1" t="s">
        <v>19</v>
      </c>
      <c r="I2280" s="1" t="s">
        <v>20</v>
      </c>
      <c r="J2280" s="1" t="s">
        <v>10502</v>
      </c>
      <c r="K2280" s="1" t="s">
        <v>22</v>
      </c>
      <c r="L2280" s="1" t="str">
        <f>HYPERLINK("https://files.afu.se/Downloads/Transcripts/0%20-%20Government/USA%20-%20NASA/2014 12 03 - NASA - Orion Versatility Video_ib4djfbik40 - transcript (automated).pdf","Transcript Link")</f>
        <v>Transcript Link</v>
      </c>
      <c r="M2280" s="2" t="str">
        <f>HYPERLINK("https://files.afu.se/Downloads/Transcripts/0%20-%20Government/USA%20-%20NASA/2014 12 03 - NASA - Orion Versatility Video_ib4djfbik40 - transcript (automated).pdf","Transcript Link")</f>
        <v>Transcript Link</v>
      </c>
    </row>
    <row r="2281" ht="165" spans="1:13">
      <c r="A2281" s="1" t="s">
        <v>10495</v>
      </c>
      <c r="B2281" s="1" t="s">
        <v>13</v>
      </c>
      <c r="C2281" s="4" t="s">
        <v>10503</v>
      </c>
      <c r="D2281" s="1" t="s">
        <v>10504</v>
      </c>
      <c r="F2281" s="4" t="s">
        <v>17</v>
      </c>
      <c r="G2281" s="1" t="s">
        <v>18</v>
      </c>
      <c r="H2281" s="1" t="s">
        <v>19</v>
      </c>
      <c r="I2281" s="1" t="s">
        <v>20</v>
      </c>
      <c r="J2281" s="1" t="s">
        <v>10505</v>
      </c>
      <c r="K2281" s="1" t="s">
        <v>22</v>
      </c>
      <c r="L2281" s="1" t="str">
        <f>HYPERLINK("https://files.afu.se/Downloads/Transcripts/0%20-%20Government/USA%20-%20NASA/2014 12 03 - NASA - Orion Trial By Fire_gjglwMPvzVo - transcript (automated).pdf","Transcript Link")</f>
        <v>Transcript Link</v>
      </c>
      <c r="M2281" s="2" t="str">
        <f>HYPERLINK("https://files.afu.se/Downloads/Transcripts/0%20-%20Government/USA%20-%20NASA/2014 12 03 - NASA - Orion Trial By Fire_gjglwMPvzVo - transcript (automated).pdf","Transcript Link")</f>
        <v>Transcript Link</v>
      </c>
    </row>
    <row r="2282" ht="165" spans="1:13">
      <c r="A2282" s="1" t="s">
        <v>10495</v>
      </c>
      <c r="B2282" s="1" t="s">
        <v>13</v>
      </c>
      <c r="C2282" s="4" t="s">
        <v>10506</v>
      </c>
      <c r="D2282" s="1" t="s">
        <v>10507</v>
      </c>
      <c r="F2282" s="4" t="s">
        <v>17</v>
      </c>
      <c r="G2282" s="1" t="s">
        <v>18</v>
      </c>
      <c r="H2282" s="1" t="s">
        <v>19</v>
      </c>
      <c r="I2282" s="1" t="s">
        <v>20</v>
      </c>
      <c r="J2282" s="1" t="s">
        <v>10508</v>
      </c>
      <c r="K2282" s="1" t="s">
        <v>22</v>
      </c>
      <c r="L2282" s="1" t="str">
        <f>HYPERLINK("https://files.afu.se/Downloads/Transcripts/0%20-%20Government/USA%20-%20NASA/2014 12 03 - NASA - Orion Parachutes Feature_eunS46Yfb2Q - transcript (automated).pdf","Transcript Link")</f>
        <v>Transcript Link</v>
      </c>
      <c r="M2282" s="2" t="str">
        <f>HYPERLINK("https://files.afu.se/Downloads/Transcripts/0%20-%20Government/USA%20-%20NASA/2014 12 03 - NASA - Orion Parachutes Feature_eunS46Yfb2Q - transcript (automated).pdf","Transcript Link")</f>
        <v>Transcript Link</v>
      </c>
    </row>
    <row r="2283" ht="165" spans="1:13">
      <c r="A2283" s="1" t="s">
        <v>10495</v>
      </c>
      <c r="B2283" s="1" t="s">
        <v>13</v>
      </c>
      <c r="C2283" s="4" t="s">
        <v>10509</v>
      </c>
      <c r="D2283" s="1" t="s">
        <v>10510</v>
      </c>
      <c r="F2283" s="4" t="s">
        <v>17</v>
      </c>
      <c r="G2283" s="1" t="s">
        <v>18</v>
      </c>
      <c r="H2283" s="1" t="s">
        <v>19</v>
      </c>
      <c r="I2283" s="1" t="s">
        <v>20</v>
      </c>
      <c r="J2283" s="1" t="s">
        <v>10511</v>
      </c>
      <c r="K2283" s="1" t="s">
        <v>22</v>
      </c>
      <c r="L2283" s="1" t="str">
        <f>HYPERLINK("https://files.afu.se/Downloads/Transcripts/0%20-%20Government/USA%20-%20NASA/2014 12 03 - NASA - Orion NASA's Parallel Path to Human Spaceflight_SXHcRy73dS0 - transcript (automated).pdf","Transcript Link")</f>
        <v>Transcript Link</v>
      </c>
      <c r="M2283" s="2" t="str">
        <f>HYPERLINK("https://files.afu.se/Downloads/Transcripts/0%20-%20Government/USA%20-%20NASA/2014 12 03 - NASA - Orion NASA's Parallel Path to Human Spaceflight_SXHcRy73dS0 - transcript (automated).pdf","Transcript Link")</f>
        <v>Transcript Link</v>
      </c>
    </row>
    <row r="2284" ht="165" spans="1:13">
      <c r="A2284" s="1" t="s">
        <v>10495</v>
      </c>
      <c r="B2284" s="1" t="s">
        <v>13</v>
      </c>
      <c r="C2284" s="4" t="s">
        <v>10512</v>
      </c>
      <c r="D2284" s="1" t="s">
        <v>10513</v>
      </c>
      <c r="F2284" s="4" t="s">
        <v>17</v>
      </c>
      <c r="G2284" s="1" t="s">
        <v>18</v>
      </c>
      <c r="H2284" s="1" t="s">
        <v>19</v>
      </c>
      <c r="I2284" s="1" t="s">
        <v>20</v>
      </c>
      <c r="J2284" s="1" t="s">
        <v>10514</v>
      </c>
      <c r="K2284" s="1" t="s">
        <v>22</v>
      </c>
      <c r="L2284" s="1" t="str">
        <f>HYPERLINK("https://files.afu.se/Downloads/Transcripts/0%20-%20Government/USA%20-%20NASA/2014 12 03 - NASA - Orion Heatshield Feature_LlnSgHdF9WE - transcript (automated).pdf","Transcript Link")</f>
        <v>Transcript Link</v>
      </c>
      <c r="M2284" s="2" t="str">
        <f>HYPERLINK("https://files.afu.se/Downloads/Transcripts/0%20-%20Government/USA%20-%20NASA/2014 12 03 - NASA - Orion Heatshield Feature_LlnSgHdF9WE - transcript (automated).pdf","Transcript Link")</f>
        <v>Transcript Link</v>
      </c>
    </row>
    <row r="2285" ht="165" spans="1:13">
      <c r="A2285" s="1" t="s">
        <v>10495</v>
      </c>
      <c r="B2285" s="1" t="s">
        <v>13</v>
      </c>
      <c r="C2285" s="4" t="s">
        <v>10515</v>
      </c>
      <c r="D2285" s="1" t="s">
        <v>10516</v>
      </c>
      <c r="F2285" s="4" t="s">
        <v>17</v>
      </c>
      <c r="G2285" s="1" t="s">
        <v>18</v>
      </c>
      <c r="H2285" s="1" t="s">
        <v>19</v>
      </c>
      <c r="I2285" s="1" t="s">
        <v>20</v>
      </c>
      <c r="J2285" s="1" t="s">
        <v>10517</v>
      </c>
      <c r="K2285" s="1" t="s">
        <v>22</v>
      </c>
      <c r="L2285" s="1" t="str">
        <f>HYPERLINK("https://files.afu.se/Downloads/Transcripts/0%20-%20Government/USA%20-%20NASA/2014 12 03 - NASA - Orion Flow_O9Tm4N5S4s4 - transcript (automated).pdf","Transcript Link")</f>
        <v>Transcript Link</v>
      </c>
      <c r="M2285" s="2" t="str">
        <f>HYPERLINK("https://files.afu.se/Downloads/Transcripts/0%20-%20Government/USA%20-%20NASA/2014 12 03 - NASA - Orion Flow_O9Tm4N5S4s4 - transcript (automated).pdf","Transcript Link")</f>
        <v>Transcript Link</v>
      </c>
    </row>
    <row r="2286" ht="165" spans="1:13">
      <c r="A2286" s="1" t="s">
        <v>10495</v>
      </c>
      <c r="B2286" s="1" t="s">
        <v>13</v>
      </c>
      <c r="C2286" s="4" t="s">
        <v>10518</v>
      </c>
      <c r="D2286" s="1" t="s">
        <v>10519</v>
      </c>
      <c r="F2286" s="4" t="s">
        <v>17</v>
      </c>
      <c r="G2286" s="1" t="s">
        <v>18</v>
      </c>
      <c r="H2286" s="1" t="s">
        <v>19</v>
      </c>
      <c r="I2286" s="1" t="s">
        <v>20</v>
      </c>
      <c r="J2286" s="1" t="s">
        <v>10520</v>
      </c>
      <c r="K2286" s="1" t="s">
        <v>22</v>
      </c>
      <c r="L2286" s="1" t="str">
        <f>HYPERLINK("https://files.afu.se/Downloads/Transcripts/0%20-%20Government/USA%20-%20NASA/2014 12 03 - NASA - Orion Cockpit Feature_nopcLTKMVU8 - transcript (automated).pdf","Transcript Link")</f>
        <v>Transcript Link</v>
      </c>
      <c r="M2286" s="2" t="str">
        <f>HYPERLINK("https://files.afu.se/Downloads/Transcripts/0%20-%20Government/USA%20-%20NASA/2014 12 03 - NASA - Orion Cockpit Feature_nopcLTKMVU8 - transcript (automated).pdf","Transcript Link")</f>
        <v>Transcript Link</v>
      </c>
    </row>
    <row r="2287" ht="165" spans="1:13">
      <c r="A2287" s="1" t="s">
        <v>10495</v>
      </c>
      <c r="B2287" s="1" t="s">
        <v>13</v>
      </c>
      <c r="C2287" s="4" t="s">
        <v>10521</v>
      </c>
      <c r="D2287" s="1" t="s">
        <v>10522</v>
      </c>
      <c r="E2287" s="1" t="s">
        <v>10523</v>
      </c>
      <c r="F2287" s="4" t="s">
        <v>17</v>
      </c>
      <c r="G2287" s="1" t="s">
        <v>18</v>
      </c>
      <c r="H2287" s="1" t="s">
        <v>19</v>
      </c>
      <c r="I2287" s="1" t="s">
        <v>20</v>
      </c>
      <c r="J2287" s="1" t="s">
        <v>10524</v>
      </c>
      <c r="K2287" s="1" t="s">
        <v>22</v>
      </c>
      <c r="L2287" s="1" t="str">
        <f>HYPERLINK("https://files.afu.se/Downloads/Transcripts/0%20-%20Government/USA%20-%20NASA/2014 12 03 - NASA - Orion’s First Flight Test Previewed_u71bRf54xDw - transcript (automated).pdf","Transcript Link")</f>
        <v>Transcript Link</v>
      </c>
      <c r="M2287" s="2" t="str">
        <f>HYPERLINK("https://files.afu.se/Downloads/Transcripts/0%20-%20Government/USA%20-%20NASA/2014 12 03 - NASA - Orion’s First Flight Test Previewed_u71bRf54xDw - transcript (automated).pdf","Transcript Link")</f>
        <v>Transcript Link</v>
      </c>
    </row>
    <row r="2288" ht="165" spans="1:13">
      <c r="A2288" s="1" t="s">
        <v>10525</v>
      </c>
      <c r="B2288" s="1" t="s">
        <v>13</v>
      </c>
      <c r="C2288" s="4" t="s">
        <v>10526</v>
      </c>
      <c r="D2288" s="1" t="s">
        <v>10527</v>
      </c>
      <c r="E2288" s="1" t="s">
        <v>10528</v>
      </c>
      <c r="F2288" s="4" t="s">
        <v>17</v>
      </c>
      <c r="G2288" s="1" t="s">
        <v>18</v>
      </c>
      <c r="H2288" s="1" t="s">
        <v>19</v>
      </c>
      <c r="I2288" s="1" t="s">
        <v>20</v>
      </c>
      <c r="J2288" s="1" t="s">
        <v>10529</v>
      </c>
      <c r="K2288" s="1" t="s">
        <v>22</v>
      </c>
      <c r="L2288" s="1" t="str">
        <f>HYPERLINK("https://files.afu.se/Downloads/Transcripts/0%20-%20Government/USA%20-%20NASA/2014 12 02 - NASA - Orion Flight Test Prelaunch Status and Overview Briefing_-jNzvLOHLJw - transcript (automated).pdf","Transcript Link")</f>
        <v>Transcript Link</v>
      </c>
      <c r="M2288" s="2" t="str">
        <f>HYPERLINK("https://files.afu.se/Downloads/Transcripts/0%20-%20Government/USA%20-%20NASA/2014 12 02 - NASA - Orion Flight Test Prelaunch Status and Overview Briefing_-jNzvLOHLJw - transcript (automated).pdf","Transcript Link")</f>
        <v>Transcript Link</v>
      </c>
    </row>
    <row r="2289" ht="165" spans="1:13">
      <c r="A2289" s="1" t="s">
        <v>10525</v>
      </c>
      <c r="B2289" s="1" t="s">
        <v>13</v>
      </c>
      <c r="C2289" s="4" t="s">
        <v>10530</v>
      </c>
      <c r="D2289" s="1" t="s">
        <v>10531</v>
      </c>
      <c r="E2289" s="1" t="s">
        <v>10532</v>
      </c>
      <c r="F2289" s="4" t="s">
        <v>17</v>
      </c>
      <c r="G2289" s="1" t="s">
        <v>18</v>
      </c>
      <c r="H2289" s="1" t="s">
        <v>19</v>
      </c>
      <c r="I2289" s="1" t="s">
        <v>20</v>
      </c>
      <c r="J2289" s="1" t="s">
        <v>10533</v>
      </c>
      <c r="K2289" s="1" t="s">
        <v>22</v>
      </c>
      <c r="L2289" s="1" t="str">
        <f>HYPERLINK("https://files.afu.se/Downloads/Transcripts/0%20-%20Government/USA%20-%20NASA/2014 12 02 - NASA - NASA’s Journey to Mars News Briefing_zBoj-1m-qLU - transcript (automated).pdf","Transcript Link")</f>
        <v>Transcript Link</v>
      </c>
      <c r="M2289" s="2" t="str">
        <f>HYPERLINK("https://files.afu.se/Downloads/Transcripts/0%20-%20Government/USA%20-%20NASA/2014 12 02 - NASA - NASA’s Journey to Mars News Briefing_zBoj-1m-qLU - transcript (automated).pdf","Transcript Link")</f>
        <v>Transcript Link</v>
      </c>
    </row>
    <row r="2290" ht="165" spans="1:13">
      <c r="A2290" s="1" t="s">
        <v>10534</v>
      </c>
      <c r="B2290" s="1" t="s">
        <v>13</v>
      </c>
      <c r="C2290" s="4" t="s">
        <v>10535</v>
      </c>
      <c r="D2290" s="1" t="s">
        <v>10536</v>
      </c>
      <c r="E2290" s="1" t="s">
        <v>10537</v>
      </c>
      <c r="F2290" s="4" t="s">
        <v>17</v>
      </c>
      <c r="G2290" s="1" t="s">
        <v>18</v>
      </c>
      <c r="H2290" s="1" t="s">
        <v>19</v>
      </c>
      <c r="I2290" s="1" t="s">
        <v>20</v>
      </c>
      <c r="J2290" s="1" t="s">
        <v>10538</v>
      </c>
      <c r="K2290" s="1" t="s">
        <v>22</v>
      </c>
      <c r="L2290" s="1" t="str">
        <f>HYPERLINK("https://files.afu.se/Downloads/Transcripts/0%20-%20Government/USA%20-%20NASA/2014 12 01 - NASA - Beautiful Earth-Global Precipitation Measurement Mission_cKGc3iFighE - transcript (automated).pdf","Transcript Link")</f>
        <v>Transcript Link</v>
      </c>
      <c r="M2290" s="2" t="str">
        <f>HYPERLINK("https://files.afu.se/Downloads/Transcripts/0%20-%20Government/USA%20-%20NASA/2014 12 01 - NASA - Beautiful Earth-Global Precipitation Measurement Mission_cKGc3iFighE - transcript (automated).pdf","Transcript Link")</f>
        <v>Transcript Link</v>
      </c>
    </row>
    <row r="2291" ht="210" spans="1:13">
      <c r="A2291" s="1" t="s">
        <v>10534</v>
      </c>
      <c r="B2291" s="1" t="s">
        <v>13</v>
      </c>
      <c r="C2291" s="4" t="s">
        <v>10539</v>
      </c>
      <c r="D2291" s="1" t="s">
        <v>10540</v>
      </c>
      <c r="E2291" s="1" t="s">
        <v>10541</v>
      </c>
      <c r="F2291" s="4" t="s">
        <v>17</v>
      </c>
      <c r="G2291" s="1" t="s">
        <v>18</v>
      </c>
      <c r="H2291" s="1" t="s">
        <v>19</v>
      </c>
      <c r="I2291" s="1" t="s">
        <v>20</v>
      </c>
      <c r="J2291" s="1" t="s">
        <v>10542</v>
      </c>
      <c r="K2291" s="1" t="s">
        <v>22</v>
      </c>
      <c r="L2291" s="1" t="str">
        <f>HYPERLINK("https://files.afu.se/Downloads/Transcripts/0%20-%20Government/USA%20-%20NASA/2014 12 01 - NASA - Why I Give  NASA Employee Miriam Moreno_5lTSXDufSPk - transcript (automated).pdf","Transcript Link")</f>
        <v>Transcript Link</v>
      </c>
      <c r="M2291" s="2" t="str">
        <f>HYPERLINK("https://files.afu.se/Downloads/Transcripts/0%20-%20Government/USA%20-%20NASA/2014 12 01 - NASA - Why I Give  NASA Employee Miriam Moreno_5lTSXDufSPk - transcript (automated).pdf","Transcript Link")</f>
        <v>Transcript Link</v>
      </c>
    </row>
    <row r="2292" ht="180" spans="1:13">
      <c r="A2292" s="1" t="s">
        <v>10543</v>
      </c>
      <c r="B2292" s="1" t="s">
        <v>13</v>
      </c>
      <c r="C2292" s="4" t="s">
        <v>10544</v>
      </c>
      <c r="D2292" s="1" t="s">
        <v>10545</v>
      </c>
      <c r="E2292" s="1" t="s">
        <v>10546</v>
      </c>
      <c r="F2292" s="4" t="s">
        <v>17</v>
      </c>
      <c r="G2292" s="1" t="s">
        <v>18</v>
      </c>
      <c r="H2292" s="1" t="s">
        <v>19</v>
      </c>
      <c r="I2292" s="1" t="s">
        <v>20</v>
      </c>
      <c r="J2292" s="1" t="s">
        <v>10547</v>
      </c>
      <c r="K2292" s="1" t="s">
        <v>22</v>
      </c>
      <c r="L2292" s="1" t="str">
        <f>HYPERLINK("https://files.afu.se/Downloads/Transcripts/0%20-%20Government/USA%20-%20NASA/2014 11 28 - NASA - New crew launches to ISS on This Week @NASA - November 28, 2014_-Qx6cbXWD0Y - transcript (automated).pdf","Transcript Link")</f>
        <v>Transcript Link</v>
      </c>
      <c r="M2292" s="2" t="str">
        <f>HYPERLINK("https://files.afu.se/Downloads/Transcripts/0%20-%20Government/USA%20-%20NASA/2014 11 28 - NASA - New crew launches to ISS on This Week @NASA - November 28, 2014_-Qx6cbXWD0Y - transcript (automated).pdf","Transcript Link")</f>
        <v>Transcript Link</v>
      </c>
    </row>
    <row r="2293" ht="165" spans="1:13">
      <c r="A2293" s="1" t="s">
        <v>10548</v>
      </c>
      <c r="B2293" s="1" t="s">
        <v>13</v>
      </c>
      <c r="C2293" s="4" t="s">
        <v>10549</v>
      </c>
      <c r="D2293" s="1" t="s">
        <v>10550</v>
      </c>
      <c r="E2293" s="1" t="s">
        <v>10551</v>
      </c>
      <c r="F2293" s="4" t="s">
        <v>17</v>
      </c>
      <c r="G2293" s="1" t="s">
        <v>18</v>
      </c>
      <c r="H2293" s="1" t="s">
        <v>19</v>
      </c>
      <c r="I2293" s="1" t="s">
        <v>20</v>
      </c>
      <c r="J2293" s="1" t="s">
        <v>10552</v>
      </c>
      <c r="K2293" s="1" t="s">
        <v>22</v>
      </c>
      <c r="L2293" s="1" t="str">
        <f>HYPERLINK("https://files.afu.se/Downloads/Transcripts/0%20-%20Government/USA%20-%20NASA/2014 11 25 - NASA - International Space Station Crew Discusses Life In Space With Tennessee and Maryland Media_tLmQW-4yO1k - transcript (automated).pdf","Transcript Link")</f>
        <v>Transcript Link</v>
      </c>
      <c r="M2293" s="2" t="str">
        <f>HYPERLINK("https://files.afu.se/Downloads/Transcripts/0%20-%20Government/USA%20-%20NASA/2014 11 25 - NASA - International Space Station Crew Discusses Life In Space With Tennessee and Maryland Media_tLmQW-4yO1k - transcript (automated).pdf","Transcript Link")</f>
        <v>Transcript Link</v>
      </c>
    </row>
    <row r="2294" ht="165" spans="1:13">
      <c r="A2294" s="1" t="s">
        <v>10553</v>
      </c>
      <c r="B2294" s="1" t="s">
        <v>13</v>
      </c>
      <c r="C2294" s="4" t="s">
        <v>10554</v>
      </c>
      <c r="D2294" s="1" t="s">
        <v>10555</v>
      </c>
      <c r="E2294" s="1" t="s">
        <v>10556</v>
      </c>
      <c r="F2294" s="4" t="s">
        <v>17</v>
      </c>
      <c r="G2294" s="1" t="s">
        <v>18</v>
      </c>
      <c r="H2294" s="1" t="s">
        <v>19</v>
      </c>
      <c r="I2294" s="1" t="s">
        <v>20</v>
      </c>
      <c r="J2294" s="1" t="s">
        <v>10557</v>
      </c>
      <c r="K2294" s="1" t="s">
        <v>22</v>
      </c>
      <c r="L2294" s="1" t="str">
        <f>HYPERLINK("https://files.afu.se/Downloads/Transcripts/0%20-%20Government/USA%20-%20NASA/2014 11 24 - NASA - Welcome to the Space Station!_VcI9tTUDFTQ - transcript (automated).pdf","Transcript Link")</f>
        <v>Transcript Link</v>
      </c>
      <c r="M2294" s="2" t="str">
        <f>HYPERLINK("https://files.afu.se/Downloads/Transcripts/0%20-%20Government/USA%20-%20NASA/2014 11 24 - NASA - Welcome to the Space Station!_VcI9tTUDFTQ - transcript (automated).pdf","Transcript Link")</f>
        <v>Transcript Link</v>
      </c>
    </row>
    <row r="2295" ht="165" spans="1:13">
      <c r="A2295" s="1" t="s">
        <v>10553</v>
      </c>
      <c r="B2295" s="1" t="s">
        <v>13</v>
      </c>
      <c r="C2295" s="4" t="s">
        <v>10558</v>
      </c>
      <c r="D2295" s="1" t="s">
        <v>10559</v>
      </c>
      <c r="E2295" s="1" t="s">
        <v>10560</v>
      </c>
      <c r="F2295" s="4" t="s">
        <v>17</v>
      </c>
      <c r="G2295" s="1" t="s">
        <v>18</v>
      </c>
      <c r="H2295" s="1" t="s">
        <v>19</v>
      </c>
      <c r="I2295" s="1" t="s">
        <v>20</v>
      </c>
      <c r="J2295" s="1" t="s">
        <v>10561</v>
      </c>
      <c r="K2295" s="1" t="s">
        <v>22</v>
      </c>
      <c r="L2295" s="1" t="str">
        <f>HYPERLINK("https://files.afu.se/Downloads/Transcripts/0%20-%20Government/USA%20-%20NASA/2014 11 24 - NASA - New Crew Docks to ISS_GyJGuZnUKoc - transcript (automated).pdf","Transcript Link")</f>
        <v>Transcript Link</v>
      </c>
      <c r="M2295" s="2" t="str">
        <f>HYPERLINK("https://files.afu.se/Downloads/Transcripts/0%20-%20Government/USA%20-%20NASA/2014 11 24 - NASA - New Crew Docks to ISS_GyJGuZnUKoc - transcript (automated).pdf","Transcript Link")</f>
        <v>Transcript Link</v>
      </c>
    </row>
    <row r="2296" ht="165" spans="1:13">
      <c r="A2296" s="1" t="s">
        <v>10562</v>
      </c>
      <c r="B2296" s="1" t="s">
        <v>13</v>
      </c>
      <c r="C2296" s="4" t="s">
        <v>10563</v>
      </c>
      <c r="D2296" s="1" t="s">
        <v>10564</v>
      </c>
      <c r="E2296" s="1" t="s">
        <v>10565</v>
      </c>
      <c r="F2296" s="4" t="s">
        <v>17</v>
      </c>
      <c r="G2296" s="1" t="s">
        <v>18</v>
      </c>
      <c r="H2296" s="1" t="s">
        <v>19</v>
      </c>
      <c r="I2296" s="1" t="s">
        <v>20</v>
      </c>
      <c r="J2296" s="1" t="s">
        <v>10566</v>
      </c>
      <c r="K2296" s="1" t="s">
        <v>22</v>
      </c>
      <c r="L2296" s="1" t="str">
        <f>HYPERLINK("https://files.afu.se/Downloads/Transcripts/0%20-%20Government/USA%20-%20NASA/2014 11 23 - NASA - Expedition 42 43 Launches to the ISS_h3V_vR5IJ_I - transcript (automated).pdf","Transcript Link")</f>
        <v>Transcript Link</v>
      </c>
      <c r="M2296" s="2" t="str">
        <f>HYPERLINK("https://files.afu.se/Downloads/Transcripts/0%20-%20Government/USA%20-%20NASA/2014 11 23 - NASA - Expedition 42 43 Launches to the ISS_h3V_vR5IJ_I - transcript (automated).pdf","Transcript Link")</f>
        <v>Transcript Link</v>
      </c>
    </row>
    <row r="2297" ht="165" spans="1:13">
      <c r="A2297" s="1" t="s">
        <v>10567</v>
      </c>
      <c r="B2297" s="1" t="s">
        <v>13</v>
      </c>
      <c r="C2297" s="4" t="s">
        <v>10568</v>
      </c>
      <c r="D2297" s="1" t="s">
        <v>10569</v>
      </c>
      <c r="E2297" s="1" t="s">
        <v>10570</v>
      </c>
      <c r="F2297" s="4" t="s">
        <v>17</v>
      </c>
      <c r="G2297" s="1" t="s">
        <v>18</v>
      </c>
      <c r="H2297" s="1" t="s">
        <v>19</v>
      </c>
      <c r="I2297" s="1" t="s">
        <v>20</v>
      </c>
      <c r="J2297" s="1" t="s">
        <v>10571</v>
      </c>
      <c r="K2297" s="1" t="s">
        <v>22</v>
      </c>
      <c r="L2297" s="1" t="str">
        <f>HYPERLINK("https://files.afu.se/Downloads/Transcripts/0%20-%20Government/USA%20-%20NASA/2014 11 22 - NASA - Expedition 42 43 Crew Meets Officials and Reporters_un1QjgeVWk8 - transcript (automated).pdf","Transcript Link")</f>
        <v>Transcript Link</v>
      </c>
      <c r="M2297" s="2" t="str">
        <f>HYPERLINK("https://files.afu.se/Downloads/Transcripts/0%20-%20Government/USA%20-%20NASA/2014 11 22 - NASA - Expedition 42 43 Crew Meets Officials and Reporters_un1QjgeVWk8 - transcript (automated).pdf","Transcript Link")</f>
        <v>Transcript Link</v>
      </c>
    </row>
    <row r="2298" ht="165" spans="1:13">
      <c r="A2298" s="1" t="s">
        <v>10572</v>
      </c>
      <c r="B2298" s="1" t="s">
        <v>13</v>
      </c>
      <c r="C2298" s="4" t="s">
        <v>10573</v>
      </c>
      <c r="D2298" s="1" t="s">
        <v>10574</v>
      </c>
      <c r="E2298" s="1" t="s">
        <v>10575</v>
      </c>
      <c r="F2298" s="4" t="s">
        <v>17</v>
      </c>
      <c r="G2298" s="1" t="s">
        <v>18</v>
      </c>
      <c r="H2298" s="1" t="s">
        <v>19</v>
      </c>
      <c r="I2298" s="1" t="s">
        <v>20</v>
      </c>
      <c r="J2298" s="1" t="s">
        <v>10576</v>
      </c>
      <c r="K2298" s="1" t="s">
        <v>22</v>
      </c>
      <c r="L2298" s="1" t="str">
        <f>HYPERLINK("https://files.afu.se/Downloads/Transcripts/0%20-%20Government/USA%20-%20NASA/2014 11 21 - NASA - NASA is with you when you fly on This Week @NASA - November 21, 2014_3PNRy8XymFo - transcript (automated).pdf","Transcript Link")</f>
        <v>Transcript Link</v>
      </c>
      <c r="M2298" s="2" t="str">
        <f>HYPERLINK("https://files.afu.se/Downloads/Transcripts/0%20-%20Government/USA%20-%20NASA/2014 11 21 - NASA - NASA is with you when you fly on This Week @NASA - November 21, 2014_3PNRy8XymFo - transcript (automated).pdf","Transcript Link")</f>
        <v>Transcript Link</v>
      </c>
    </row>
    <row r="2299" ht="165" spans="1:13">
      <c r="A2299" s="1" t="s">
        <v>10572</v>
      </c>
      <c r="B2299" s="1" t="s">
        <v>13</v>
      </c>
      <c r="C2299" s="4" t="s">
        <v>10577</v>
      </c>
      <c r="D2299" s="1" t="s">
        <v>10578</v>
      </c>
      <c r="E2299" s="1" t="s">
        <v>10579</v>
      </c>
      <c r="F2299" s="4" t="s">
        <v>17</v>
      </c>
      <c r="G2299" s="1" t="s">
        <v>18</v>
      </c>
      <c r="H2299" s="1" t="s">
        <v>19</v>
      </c>
      <c r="I2299" s="1" t="s">
        <v>20</v>
      </c>
      <c r="J2299" s="1" t="s">
        <v>10580</v>
      </c>
      <c r="K2299" s="1" t="s">
        <v>22</v>
      </c>
      <c r="L2299" s="1" t="str">
        <f>HYPERLINK("https://files.afu.se/Downloads/Transcripts/0%20-%20Government/USA%20-%20NASA/2014 11 21 - NASA - ISS Commander talks sports with ESPN_yG8EdmkLXdk - transcript (automated).pdf","Transcript Link")</f>
        <v>Transcript Link</v>
      </c>
      <c r="M2299" s="2" t="str">
        <f>HYPERLINK("https://files.afu.se/Downloads/Transcripts/0%20-%20Government/USA%20-%20NASA/2014 11 21 - NASA - ISS Commander talks sports with ESPN_yG8EdmkLXdk - transcript (automated).pdf","Transcript Link")</f>
        <v>Transcript Link</v>
      </c>
    </row>
    <row r="2300" ht="165" spans="1:13">
      <c r="A2300" s="1" t="s">
        <v>10581</v>
      </c>
      <c r="B2300" s="1" t="s">
        <v>13</v>
      </c>
      <c r="C2300" s="4" t="s">
        <v>10582</v>
      </c>
      <c r="D2300" s="1" t="s">
        <v>10583</v>
      </c>
      <c r="E2300" s="1" t="s">
        <v>10584</v>
      </c>
      <c r="F2300" s="4" t="s">
        <v>17</v>
      </c>
      <c r="G2300" s="1" t="s">
        <v>18</v>
      </c>
      <c r="H2300" s="1" t="s">
        <v>19</v>
      </c>
      <c r="I2300" s="1" t="s">
        <v>20</v>
      </c>
      <c r="J2300" s="1" t="s">
        <v>10585</v>
      </c>
      <c r="K2300" s="1" t="s">
        <v>22</v>
      </c>
      <c r="L2300" s="1" t="str">
        <f>HYPERLINK("https://files.afu.se/Downloads/Transcripts/0%20-%20Government/USA%20-%20NASA/2014 11 20 - NASA - Launch day cometh for next ISS crew_vNR1pWZ42oI - transcript (automated).pdf","Transcript Link")</f>
        <v>Transcript Link</v>
      </c>
      <c r="M2300" s="2" t="str">
        <f>HYPERLINK("https://files.afu.se/Downloads/Transcripts/0%20-%20Government/USA%20-%20NASA/2014 11 20 - NASA - Launch day cometh for next ISS crew_vNR1pWZ42oI - transcript (automated).pdf","Transcript Link")</f>
        <v>Transcript Link</v>
      </c>
    </row>
    <row r="2301" ht="165" spans="1:13">
      <c r="A2301" s="1" t="s">
        <v>10586</v>
      </c>
      <c r="B2301" s="1" t="s">
        <v>13</v>
      </c>
      <c r="C2301" s="4" t="s">
        <v>10587</v>
      </c>
      <c r="D2301" s="1" t="s">
        <v>10588</v>
      </c>
      <c r="E2301" s="1" t="s">
        <v>10589</v>
      </c>
      <c r="F2301" s="4" t="s">
        <v>17</v>
      </c>
      <c r="G2301" s="1" t="s">
        <v>18</v>
      </c>
      <c r="H2301" s="1" t="s">
        <v>19</v>
      </c>
      <c r="I2301" s="1" t="s">
        <v>20</v>
      </c>
      <c r="J2301" s="1" t="s">
        <v>10590</v>
      </c>
      <c r="K2301" s="1" t="s">
        <v>22</v>
      </c>
      <c r="L2301" s="1" t="str">
        <f>HYPERLINK("https://files.afu.se/Downloads/Transcripts/0%20-%20Government/USA%20-%20NASA/2014 11 19 - NASA - All you ever wanted to know about space food_GaI88NgH9dw - transcript (automated).pdf","Transcript Link")</f>
        <v>Transcript Link</v>
      </c>
      <c r="M2301" s="2" t="str">
        <f>HYPERLINK("https://files.afu.se/Downloads/Transcripts/0%20-%20Government/USA%20-%20NASA/2014 11 19 - NASA - All you ever wanted to know about space food_GaI88NgH9dw - transcript (automated).pdf","Transcript Link")</f>
        <v>Transcript Link</v>
      </c>
    </row>
    <row r="2302" ht="165" spans="1:13">
      <c r="A2302" s="1" t="s">
        <v>10591</v>
      </c>
      <c r="B2302" s="1" t="s">
        <v>13</v>
      </c>
      <c r="C2302" s="4" t="s">
        <v>10592</v>
      </c>
      <c r="D2302" s="1" t="s">
        <v>10593</v>
      </c>
      <c r="E2302" s="1" t="s">
        <v>10594</v>
      </c>
      <c r="F2302" s="4" t="s">
        <v>17</v>
      </c>
      <c r="G2302" s="1" t="s">
        <v>18</v>
      </c>
      <c r="H2302" s="1" t="s">
        <v>19</v>
      </c>
      <c r="I2302" s="1" t="s">
        <v>20</v>
      </c>
      <c r="J2302" s="1" t="s">
        <v>10595</v>
      </c>
      <c r="K2302" s="1" t="s">
        <v>22</v>
      </c>
      <c r="L2302" s="1" t="str">
        <f>HYPERLINK("https://files.afu.se/Downloads/Transcripts/0%20-%20Government/USA%20-%20NASA/2014 11 18 - NASA - Next ISS Crew Prepares for Launch_fBhQRD_eA3s - transcript (automated).pdf","Transcript Link")</f>
        <v>Transcript Link</v>
      </c>
      <c r="M2302" s="2" t="str">
        <f>HYPERLINK("https://files.afu.se/Downloads/Transcripts/0%20-%20Government/USA%20-%20NASA/2014 11 18 - NASA - Next ISS Crew Prepares for Launch_fBhQRD_eA3s - transcript (automated).pdf","Transcript Link")</f>
        <v>Transcript Link</v>
      </c>
    </row>
    <row r="2303" ht="165" spans="1:13">
      <c r="A2303" s="1" t="s">
        <v>10596</v>
      </c>
      <c r="B2303" s="1" t="s">
        <v>13</v>
      </c>
      <c r="C2303" s="4" t="s">
        <v>10597</v>
      </c>
      <c r="D2303" s="1" t="s">
        <v>10598</v>
      </c>
      <c r="E2303" s="1" t="s">
        <v>10599</v>
      </c>
      <c r="F2303" s="4" t="s">
        <v>17</v>
      </c>
      <c r="G2303" s="1" t="s">
        <v>18</v>
      </c>
      <c r="H2303" s="1" t="s">
        <v>19</v>
      </c>
      <c r="I2303" s="1" t="s">
        <v>20</v>
      </c>
      <c r="J2303" s="1" t="s">
        <v>10600</v>
      </c>
      <c r="K2303" s="1" t="s">
        <v>22</v>
      </c>
      <c r="L2303" s="1" t="str">
        <f>HYPERLINK("https://files.afu.se/Downloads/Transcripts/0%20-%20Government/USA%20-%20NASA/2014 11 14 - NASA - Orion rolled out and mated on This Week @NASA - November 14, 2014_OJsBU1jYpoo - transcript (automated).pdf","Transcript Link")</f>
        <v>Transcript Link</v>
      </c>
      <c r="M2303" s="2" t="str">
        <f>HYPERLINK("https://files.afu.se/Downloads/Transcripts/0%20-%20Government/USA%20-%20NASA/2014 11 14 - NASA - Orion rolled out and mated on This Week @NASA - November 14, 2014_OJsBU1jYpoo - transcript (automated).pdf","Transcript Link")</f>
        <v>Transcript Link</v>
      </c>
    </row>
    <row r="2304" ht="165" spans="1:13">
      <c r="A2304" s="1" t="s">
        <v>10601</v>
      </c>
      <c r="B2304" s="1" t="s">
        <v>13</v>
      </c>
      <c r="C2304" s="4" t="s">
        <v>10602</v>
      </c>
      <c r="D2304" s="1" t="s">
        <v>10603</v>
      </c>
      <c r="E2304" s="1" t="s">
        <v>10604</v>
      </c>
      <c r="F2304" s="4" t="s">
        <v>17</v>
      </c>
      <c r="G2304" s="1" t="s">
        <v>18</v>
      </c>
      <c r="H2304" s="1" t="s">
        <v>19</v>
      </c>
      <c r="I2304" s="1" t="s">
        <v>20</v>
      </c>
      <c r="J2304" s="1" t="s">
        <v>10605</v>
      </c>
      <c r="K2304" s="1" t="s">
        <v>22</v>
      </c>
      <c r="L2304" s="1" t="str">
        <f>HYPERLINK("https://files.afu.se/Downloads/Transcripts/0%20-%20Government/USA%20-%20NASA/2014 11 13 - NASA - Countdown to Launch Live Event from the National Air and Space Museum in Washington D.C._BrP3vKO3oP8 - transcript (automated).pdf","Transcript Link")</f>
        <v>Transcript Link</v>
      </c>
      <c r="M2304" s="2" t="str">
        <f>HYPERLINK("https://files.afu.se/Downloads/Transcripts/0%20-%20Government/USA%20-%20NASA/2014 11 13 - NASA - Countdown to Launch Live Event from the National Air and Space Museum in Washington D.C._BrP3vKO3oP8 - transcript (automated).pdf","Transcript Link")</f>
        <v>Transcript Link</v>
      </c>
    </row>
    <row r="2305" ht="195" spans="1:13">
      <c r="A2305" s="1" t="s">
        <v>10601</v>
      </c>
      <c r="B2305" s="1" t="s">
        <v>13</v>
      </c>
      <c r="C2305" s="4" t="s">
        <v>10606</v>
      </c>
      <c r="D2305" s="1" t="s">
        <v>10607</v>
      </c>
      <c r="E2305" s="1" t="s">
        <v>10608</v>
      </c>
      <c r="F2305" s="4" t="s">
        <v>17</v>
      </c>
      <c r="G2305" s="1" t="s">
        <v>18</v>
      </c>
      <c r="H2305" s="1" t="s">
        <v>19</v>
      </c>
      <c r="I2305" s="1" t="s">
        <v>20</v>
      </c>
      <c r="J2305" s="1" t="s">
        <v>10609</v>
      </c>
      <c r="K2305" s="1" t="s">
        <v>22</v>
      </c>
      <c r="L2305" s="1" t="str">
        <f>HYPERLINK("https://files.afu.se/Downloads/Transcripts/0%20-%20Government/USA%20-%20NASA/2014 11 13 - NASA - Expedition 42 43 Crew Departs Star City for Baikonur Cosmodrome in Kazakhstan_lZ310kCDVJg - transcript (automated).pdf","Transcript Link")</f>
        <v>Transcript Link</v>
      </c>
      <c r="M2305" s="2" t="str">
        <f>HYPERLINK("https://files.afu.se/Downloads/Transcripts/0%20-%20Government/USA%20-%20NASA/2014 11 13 - NASA - Expedition 42 43 Crew Departs Star City for Baikonur Cosmodrome in Kazakhstan_lZ310kCDVJg - transcript (automated).pdf","Transcript Link")</f>
        <v>Transcript Link</v>
      </c>
    </row>
    <row r="2306" ht="165" spans="1:13">
      <c r="A2306" s="1" t="s">
        <v>10610</v>
      </c>
      <c r="B2306" s="1" t="s">
        <v>13</v>
      </c>
      <c r="C2306" s="4" t="s">
        <v>10611</v>
      </c>
      <c r="D2306" s="1" t="s">
        <v>10612</v>
      </c>
      <c r="E2306" s="1" t="s">
        <v>10613</v>
      </c>
      <c r="F2306" s="4" t="s">
        <v>17</v>
      </c>
      <c r="G2306" s="1" t="s">
        <v>18</v>
      </c>
      <c r="H2306" s="1" t="s">
        <v>19</v>
      </c>
      <c r="I2306" s="1" t="s">
        <v>20</v>
      </c>
      <c r="J2306" s="1" t="s">
        <v>10614</v>
      </c>
      <c r="K2306" s="1" t="s">
        <v>22</v>
      </c>
      <c r="L2306" s="1" t="str">
        <f>HYPERLINK("https://files.afu.se/Downloads/Transcripts/0%20-%20Government/USA%20-%20NASA/2014 11 12 - NASA - Get Ready to Celebrate 25 years of Hubble!_oZ5ydKUzkds - transcript (automated).pdf","Transcript Link")</f>
        <v>Transcript Link</v>
      </c>
      <c r="M2306" s="2" t="str">
        <f>HYPERLINK("https://files.afu.se/Downloads/Transcripts/0%20-%20Government/USA%20-%20NASA/2014 11 12 - NASA - Get Ready to Celebrate 25 years of Hubble!_oZ5ydKUzkds - transcript (automated).pdf","Transcript Link")</f>
        <v>Transcript Link</v>
      </c>
    </row>
    <row r="2307" ht="165" spans="1:13">
      <c r="A2307" s="1" t="s">
        <v>10610</v>
      </c>
      <c r="B2307" s="1" t="s">
        <v>13</v>
      </c>
      <c r="C2307" s="4" t="s">
        <v>10615</v>
      </c>
      <c r="D2307" s="1" t="s">
        <v>10616</v>
      </c>
      <c r="E2307" s="1" t="s">
        <v>10617</v>
      </c>
      <c r="F2307" s="4" t="s">
        <v>17</v>
      </c>
      <c r="G2307" s="1" t="s">
        <v>18</v>
      </c>
      <c r="H2307" s="1" t="s">
        <v>19</v>
      </c>
      <c r="I2307" s="1" t="s">
        <v>20</v>
      </c>
      <c r="J2307" s="1" t="s">
        <v>10618</v>
      </c>
      <c r="K2307" s="1" t="s">
        <v>22</v>
      </c>
      <c r="L2307" s="1" t="str">
        <f>HYPERLINK("https://files.afu.se/Downloads/Transcripts/0%20-%20Government/USA%20-%20NASA/2014 11 12 - NASA - NASA’s Orion Spacecraft Set to Roll out to Launch Pad for its First Test Flight_8jsRs6HYlLo - transcript (automated).pdf","Transcript Link")</f>
        <v>Transcript Link</v>
      </c>
      <c r="M2307" s="2" t="str">
        <f>HYPERLINK("https://files.afu.se/Downloads/Transcripts/0%20-%20Government/USA%20-%20NASA/2014 11 12 - NASA - NASA’s Orion Spacecraft Set to Roll out to Launch Pad for its First Test Flight_8jsRs6HYlLo - transcript (automated).pdf","Transcript Link")</f>
        <v>Transcript Link</v>
      </c>
    </row>
    <row r="2308" ht="210" spans="1:13">
      <c r="A2308" s="1" t="s">
        <v>10619</v>
      </c>
      <c r="B2308" s="1" t="s">
        <v>13</v>
      </c>
      <c r="C2308" s="4" t="s">
        <v>10620</v>
      </c>
      <c r="D2308" s="1" t="s">
        <v>10621</v>
      </c>
      <c r="E2308" s="1" t="s">
        <v>10622</v>
      </c>
      <c r="F2308" s="4" t="s">
        <v>17</v>
      </c>
      <c r="G2308" s="1" t="s">
        <v>18</v>
      </c>
      <c r="H2308" s="1" t="s">
        <v>19</v>
      </c>
      <c r="I2308" s="1" t="s">
        <v>20</v>
      </c>
      <c r="J2308" s="1" t="s">
        <v>10623</v>
      </c>
      <c r="K2308" s="1" t="s">
        <v>22</v>
      </c>
      <c r="L2308" s="1" t="str">
        <f>HYPERLINK("https://files.afu.se/Downloads/Transcripts/0%20-%20Government/USA%20-%20NASA/2014 11 10 - NASA - NASA Conducts Media Briefing on Orion Spacecraft Roll out to Launch Pad for First Test Flight_v8PVrn6lyx0 - transcript (automated).pdf","Transcript Link")</f>
        <v>Transcript Link</v>
      </c>
      <c r="M2308" s="2" t="str">
        <f>HYPERLINK("https://files.afu.se/Downloads/Transcripts/0%20-%20Government/USA%20-%20NASA/2014 11 10 - NASA - NASA Conducts Media Briefing on Orion Spacecraft Roll out to Launch Pad for First Test Flight_v8PVrn6lyx0 - transcript (automated).pdf","Transcript Link")</f>
        <v>Transcript Link</v>
      </c>
    </row>
    <row r="2309" ht="345" spans="1:13">
      <c r="A2309" s="1" t="s">
        <v>10619</v>
      </c>
      <c r="B2309" s="1" t="s">
        <v>13</v>
      </c>
      <c r="C2309" s="4" t="s">
        <v>10624</v>
      </c>
      <c r="D2309" s="1" t="s">
        <v>10625</v>
      </c>
      <c r="E2309" s="1" t="s">
        <v>10626</v>
      </c>
      <c r="F2309" s="4" t="s">
        <v>17</v>
      </c>
      <c r="G2309" s="1" t="s">
        <v>18</v>
      </c>
      <c r="H2309" s="1" t="s">
        <v>19</v>
      </c>
      <c r="I2309" s="1" t="s">
        <v>20</v>
      </c>
      <c r="J2309" s="1" t="s">
        <v>10627</v>
      </c>
      <c r="K2309" s="1" t="s">
        <v>22</v>
      </c>
      <c r="L2309" s="1" t="str">
        <f>HYPERLINK("https://files.afu.se/Downloads/Transcripts/0%20-%20Government/USA%20-%20NASA/2014 11 10 - NASA - Coming Soon  Orion Flight Test_aHRuyNXuLxg - transcript (automated).pdf","Transcript Link")</f>
        <v>Transcript Link</v>
      </c>
      <c r="M2309" s="2" t="str">
        <f>HYPERLINK("https://files.afu.se/Downloads/Transcripts/0%20-%20Government/USA%20-%20NASA/2014 11 10 - NASA - Coming Soon  Orion Flight Test_aHRuyNXuLxg - transcript (automated).pdf","Transcript Link")</f>
        <v>Transcript Link</v>
      </c>
    </row>
    <row r="2310" ht="165" spans="1:13">
      <c r="A2310" s="1" t="s">
        <v>10619</v>
      </c>
      <c r="B2310" s="1" t="s">
        <v>13</v>
      </c>
      <c r="C2310" s="4" t="s">
        <v>10628</v>
      </c>
      <c r="D2310" s="1" t="s">
        <v>10629</v>
      </c>
      <c r="E2310" s="1" t="s">
        <v>10630</v>
      </c>
      <c r="F2310" s="4" t="s">
        <v>17</v>
      </c>
      <c r="G2310" s="1" t="s">
        <v>18</v>
      </c>
      <c r="H2310" s="1" t="s">
        <v>19</v>
      </c>
      <c r="I2310" s="1" t="s">
        <v>20</v>
      </c>
      <c r="J2310" s="1" t="s">
        <v>10631</v>
      </c>
      <c r="K2310" s="1" t="s">
        <v>22</v>
      </c>
      <c r="L2310" s="1" t="str">
        <f>HYPERLINK("https://files.afu.se/Downloads/Transcripts/0%20-%20Government/USA%20-%20NASA/2014 11 10 - NASA - NASA Inspires Brad Paisley_zbUNeyGRErQ - transcript (automated).pdf","Transcript Link")</f>
        <v>Transcript Link</v>
      </c>
      <c r="M2310" s="2" t="str">
        <f>HYPERLINK("https://files.afu.se/Downloads/Transcripts/0%20-%20Government/USA%20-%20NASA/2014 11 10 - NASA - NASA Inspires Brad Paisley_zbUNeyGRErQ - transcript (automated).pdf","Transcript Link")</f>
        <v>Transcript Link</v>
      </c>
    </row>
    <row r="2311" ht="210" spans="1:13">
      <c r="A2311" s="1" t="s">
        <v>10619</v>
      </c>
      <c r="B2311" s="1" t="s">
        <v>13</v>
      </c>
      <c r="C2311" s="4" t="s">
        <v>10632</v>
      </c>
      <c r="D2311" s="1" t="s">
        <v>10633</v>
      </c>
      <c r="E2311" s="1" t="s">
        <v>10634</v>
      </c>
      <c r="F2311" s="4" t="s">
        <v>17</v>
      </c>
      <c r="G2311" s="1" t="s">
        <v>18</v>
      </c>
      <c r="H2311" s="1" t="s">
        <v>19</v>
      </c>
      <c r="I2311" s="1" t="s">
        <v>20</v>
      </c>
      <c r="J2311" s="1" t="s">
        <v>10635</v>
      </c>
      <c r="K2311" s="1" t="s">
        <v>22</v>
      </c>
      <c r="L2311" s="1" t="str">
        <f>HYPERLINK("https://files.afu.se/Downloads/Transcripts/0%20-%20Government/USA%20-%20NASA/2014 11 10 - NASA - Expedition 41 Crew Receives a Warm Welcome in Kazakhstan and Russia_uhsb7EWLzuo - transcript (automated).pdf","Transcript Link")</f>
        <v>Transcript Link</v>
      </c>
      <c r="M2311" s="2" t="str">
        <f>HYPERLINK("https://files.afu.se/Downloads/Transcripts/0%20-%20Government/USA%20-%20NASA/2014 11 10 - NASA - Expedition 41 Crew Receives a Warm Welcome in Kazakhstan and Russia_uhsb7EWLzuo - transcript (automated).pdf","Transcript Link")</f>
        <v>Transcript Link</v>
      </c>
    </row>
    <row r="2312" ht="225" spans="1:13">
      <c r="A2312" s="1" t="s">
        <v>10619</v>
      </c>
      <c r="B2312" s="1" t="s">
        <v>13</v>
      </c>
      <c r="C2312" s="4" t="s">
        <v>10636</v>
      </c>
      <c r="D2312" s="1" t="s">
        <v>10637</v>
      </c>
      <c r="E2312" s="1" t="s">
        <v>10638</v>
      </c>
      <c r="F2312" s="4" t="s">
        <v>17</v>
      </c>
      <c r="G2312" s="1" t="s">
        <v>18</v>
      </c>
      <c r="H2312" s="1" t="s">
        <v>19</v>
      </c>
      <c r="I2312" s="1" t="s">
        <v>20</v>
      </c>
      <c r="J2312" s="1" t="s">
        <v>10639</v>
      </c>
      <c r="K2312" s="1" t="s">
        <v>22</v>
      </c>
      <c r="L2312" s="1" t="str">
        <f>HYPERLINK("https://files.afu.se/Downloads/Transcripts/0%20-%20Government/USA%20-%20NASA/2014 11 10 - NASA - International Space Station Expedition 41 Astronaut Crew Lands Safely in Kazakhstan_RPkMWIzvgJA - transcript (automated).pdf","Transcript Link")</f>
        <v>Transcript Link</v>
      </c>
      <c r="M2312" s="2" t="str">
        <f>HYPERLINK("https://files.afu.se/Downloads/Transcripts/0%20-%20Government/USA%20-%20NASA/2014 11 10 - NASA - International Space Station Expedition 41 Astronaut Crew Lands Safely in Kazakhstan_RPkMWIzvgJA - transcript (automated).pdf","Transcript Link")</f>
        <v>Transcript Link</v>
      </c>
    </row>
    <row r="2313" ht="165" spans="1:13">
      <c r="A2313" s="1" t="s">
        <v>10619</v>
      </c>
      <c r="B2313" s="1" t="s">
        <v>13</v>
      </c>
      <c r="C2313" s="4" t="s">
        <v>10640</v>
      </c>
      <c r="D2313" s="1" t="s">
        <v>10641</v>
      </c>
      <c r="E2313" s="1" t="s">
        <v>10642</v>
      </c>
      <c r="F2313" s="4" t="s">
        <v>17</v>
      </c>
      <c r="G2313" s="1" t="s">
        <v>18</v>
      </c>
      <c r="H2313" s="1" t="s">
        <v>19</v>
      </c>
      <c r="I2313" s="1" t="s">
        <v>20</v>
      </c>
      <c r="J2313" s="1" t="s">
        <v>10643</v>
      </c>
      <c r="K2313" s="1" t="s">
        <v>22</v>
      </c>
      <c r="L2313" s="1" t="str">
        <f>HYPERLINK("https://files.afu.se/Downloads/Transcripts/0%20-%20Government/USA%20-%20NASA/2014 11 10 - NASA - Expedition 41 Crew Successfully Departs the International Space Station and heads back to Earth_Hne7jqoF0Sk - transcript (automated).pdf","Transcript Link")</f>
        <v>Transcript Link</v>
      </c>
      <c r="M2313" s="2" t="str">
        <f>HYPERLINK("https://files.afu.se/Downloads/Transcripts/0%20-%20Government/USA%20-%20NASA/2014 11 10 - NASA - Expedition 41 Crew Successfully Departs the International Space Station and heads back to Earth_Hne7jqoF0Sk - transcript (automated).pdf","Transcript Link")</f>
        <v>Transcript Link</v>
      </c>
    </row>
    <row r="2314" ht="165" spans="1:13">
      <c r="A2314" s="1" t="s">
        <v>10644</v>
      </c>
      <c r="B2314" s="1" t="s">
        <v>13</v>
      </c>
      <c r="C2314" s="4" t="s">
        <v>10645</v>
      </c>
      <c r="D2314" s="1" t="s">
        <v>10646</v>
      </c>
      <c r="E2314" s="1" t="s">
        <v>10647</v>
      </c>
      <c r="F2314" s="4" t="s">
        <v>17</v>
      </c>
      <c r="G2314" s="1" t="s">
        <v>18</v>
      </c>
      <c r="H2314" s="1" t="s">
        <v>19</v>
      </c>
      <c r="I2314" s="1" t="s">
        <v>20</v>
      </c>
      <c r="J2314" s="1" t="s">
        <v>10648</v>
      </c>
      <c r="K2314" s="1" t="s">
        <v>22</v>
      </c>
      <c r="L2314" s="1" t="str">
        <f>HYPERLINK("https://files.afu.se/Downloads/Transcripts/0%20-%20Government/USA%20-%20NASA/2014 11 09 - NASA - Expedition 41 Crew Hands Over Reins of ISS, Prepares to Head Home_o9vsHSE8i4E - transcript (automated).pdf","Transcript Link")</f>
        <v>Transcript Link</v>
      </c>
      <c r="M2314" s="2" t="str">
        <f>HYPERLINK("https://files.afu.se/Downloads/Transcripts/0%20-%20Government/USA%20-%20NASA/2014 11 09 - NASA - Expedition 41 Crew Hands Over Reins of ISS, Prepares to Head Home_o9vsHSE8i4E - transcript (automated).pdf","Transcript Link")</f>
        <v>Transcript Link</v>
      </c>
    </row>
    <row r="2315" ht="165" spans="1:13">
      <c r="A2315" s="1" t="s">
        <v>10649</v>
      </c>
      <c r="B2315" s="1" t="s">
        <v>13</v>
      </c>
      <c r="C2315" s="4" t="s">
        <v>10650</v>
      </c>
      <c r="D2315" s="1" t="s">
        <v>10651</v>
      </c>
      <c r="E2315" s="1" t="s">
        <v>10652</v>
      </c>
      <c r="F2315" s="4" t="s">
        <v>17</v>
      </c>
      <c r="G2315" s="1" t="s">
        <v>18</v>
      </c>
      <c r="H2315" s="1" t="s">
        <v>19</v>
      </c>
      <c r="I2315" s="1" t="s">
        <v>20</v>
      </c>
      <c r="J2315" s="1" t="s">
        <v>10653</v>
      </c>
      <c r="K2315" s="1" t="s">
        <v>22</v>
      </c>
      <c r="L2315" s="1" t="str">
        <f>HYPERLINK("https://files.afu.se/Downloads/Transcripts/0%20-%20Government/USA%20-%20NASA/2014 11 07 - NASA - Orion flight test previewed on This Week @NASA - November 7, 2014_gI8Dk9CeeZA - transcript (automated).pdf","Transcript Link")</f>
        <v>Transcript Link</v>
      </c>
      <c r="M2315" s="2" t="str">
        <f>HYPERLINK("https://files.afu.se/Downloads/Transcripts/0%20-%20Government/USA%20-%20NASA/2014 11 07 - NASA - Orion flight test previewed on This Week @NASA - November 7, 2014_gI8Dk9CeeZA - transcript (automated).pdf","Transcript Link")</f>
        <v>Transcript Link</v>
      </c>
    </row>
    <row r="2316" ht="165" spans="1:13">
      <c r="A2316" s="1" t="s">
        <v>10649</v>
      </c>
      <c r="B2316" s="1" t="s">
        <v>13</v>
      </c>
      <c r="C2316" s="4" t="s">
        <v>10654</v>
      </c>
      <c r="D2316" s="1" t="s">
        <v>10655</v>
      </c>
      <c r="E2316" s="1" t="s">
        <v>10656</v>
      </c>
      <c r="F2316" s="4" t="s">
        <v>17</v>
      </c>
      <c r="G2316" s="1" t="s">
        <v>18</v>
      </c>
      <c r="H2316" s="1" t="s">
        <v>19</v>
      </c>
      <c r="I2316" s="1" t="s">
        <v>20</v>
      </c>
      <c r="J2316" s="1" t="s">
        <v>10657</v>
      </c>
      <c r="K2316" s="1" t="s">
        <v>22</v>
      </c>
      <c r="L2316" s="1" t="str">
        <f>HYPERLINK("https://files.afu.se/Downloads/Transcripts/0%20-%20Government/USA%20-%20NASA/2014 11 07 - NASA - The von Karman Lecture Series NASA Asteroid Redirect_PIbGuKQS_F8 - transcript (automated).pdf","Transcript Link")</f>
        <v>Transcript Link</v>
      </c>
      <c r="M2316" s="2" t="str">
        <f>HYPERLINK("https://files.afu.se/Downloads/Transcripts/0%20-%20Government/USA%20-%20NASA/2014 11 07 - NASA - The von Karman Lecture Series NASA Asteroid Redirect_PIbGuKQS_F8 - transcript (automated).pdf","Transcript Link")</f>
        <v>Transcript Link</v>
      </c>
    </row>
    <row r="2317" ht="165" spans="1:13">
      <c r="A2317" s="1" t="s">
        <v>10658</v>
      </c>
      <c r="B2317" s="1" t="s">
        <v>13</v>
      </c>
      <c r="C2317" s="4" t="s">
        <v>10659</v>
      </c>
      <c r="D2317" s="1" t="s">
        <v>10660</v>
      </c>
      <c r="E2317" s="1" t="s">
        <v>10661</v>
      </c>
      <c r="F2317" s="4" t="s">
        <v>17</v>
      </c>
      <c r="G2317" s="1" t="s">
        <v>18</v>
      </c>
      <c r="H2317" s="1" t="s">
        <v>19</v>
      </c>
      <c r="I2317" s="1" t="s">
        <v>20</v>
      </c>
      <c r="J2317" s="1" t="s">
        <v>10662</v>
      </c>
      <c r="K2317" s="1" t="s">
        <v>22</v>
      </c>
      <c r="L2317" s="1" t="str">
        <f>HYPERLINK("https://files.afu.se/Downloads/Transcripts/0%20-%20Government/USA%20-%20NASA/2014 11 06 - NASA - Next ISS Crew Participates in Pre Flight Activities_X7Akd7rCKmI - transcript (automated).pdf","Transcript Link")</f>
        <v>Transcript Link</v>
      </c>
      <c r="M2317" s="2" t="str">
        <f>HYPERLINK("https://files.afu.se/Downloads/Transcripts/0%20-%20Government/USA%20-%20NASA/2014 11 06 - NASA - Next ISS Crew Participates in Pre Flight Activities_X7Akd7rCKmI - transcript (automated).pdf","Transcript Link")</f>
        <v>Transcript Link</v>
      </c>
    </row>
    <row r="2318" ht="165" spans="1:13">
      <c r="A2318" s="1" t="s">
        <v>10658</v>
      </c>
      <c r="B2318" s="1" t="s">
        <v>13</v>
      </c>
      <c r="C2318" s="4" t="s">
        <v>10663</v>
      </c>
      <c r="D2318" s="1" t="s">
        <v>10664</v>
      </c>
      <c r="E2318" s="1" t="s">
        <v>10665</v>
      </c>
      <c r="F2318" s="4" t="s">
        <v>17</v>
      </c>
      <c r="G2318" s="1" t="s">
        <v>18</v>
      </c>
      <c r="H2318" s="1" t="s">
        <v>19</v>
      </c>
      <c r="I2318" s="1" t="s">
        <v>20</v>
      </c>
      <c r="J2318" s="1" t="s">
        <v>10666</v>
      </c>
      <c r="K2318" s="1" t="s">
        <v>22</v>
      </c>
      <c r="L2318" s="1" t="str">
        <f>HYPERLINK("https://files.afu.se/Downloads/Transcripts/0%20-%20Government/USA%20-%20NASA/2014 11 06 - NASA - NASA Previews Orion Spacecraft’s First Flight Test_mu98Eq-goT4 - transcript (automated).pdf","Transcript Link")</f>
        <v>Transcript Link</v>
      </c>
      <c r="M2318" s="2" t="str">
        <f>HYPERLINK("https://files.afu.se/Downloads/Transcripts/0%20-%20Government/USA%20-%20NASA/2014 11 06 - NASA - NASA Previews Orion Spacecraft’s First Flight Test_mu98Eq-goT4 - transcript (automated).pdf","Transcript Link")</f>
        <v>Transcript Link</v>
      </c>
    </row>
    <row r="2319" ht="165" spans="1:13">
      <c r="A2319" s="1" t="s">
        <v>10667</v>
      </c>
      <c r="B2319" s="1" t="s">
        <v>13</v>
      </c>
      <c r="C2319" s="4" t="s">
        <v>10668</v>
      </c>
      <c r="D2319" s="1" t="s">
        <v>10669</v>
      </c>
      <c r="E2319" s="1" t="s">
        <v>10670</v>
      </c>
      <c r="F2319" s="4" t="s">
        <v>17</v>
      </c>
      <c r="G2319" s="1" t="s">
        <v>18</v>
      </c>
      <c r="H2319" s="1" t="s">
        <v>19</v>
      </c>
      <c r="I2319" s="1" t="s">
        <v>20</v>
      </c>
      <c r="J2319" s="1" t="s">
        <v>10671</v>
      </c>
      <c r="K2319" s="1" t="s">
        <v>22</v>
      </c>
      <c r="L2319" s="1" t="str">
        <f>HYPERLINK("https://files.afu.se/Downloads/Transcripts/0%20-%20Government/USA%20-%20NASA/2014 11 05 - NASA - NASA’s supersonic flying saucer highlighted_bvqfkNoQunE - transcript (automated).pdf","Transcript Link")</f>
        <v>Transcript Link</v>
      </c>
      <c r="M2319" s="2" t="str">
        <f>HYPERLINK("https://files.afu.se/Downloads/Transcripts/0%20-%20Government/USA%20-%20NASA/2014 11 05 - NASA - NASA’s supersonic flying saucer highlighted_bvqfkNoQunE - transcript (automated).pdf","Transcript Link")</f>
        <v>Transcript Link</v>
      </c>
    </row>
    <row r="2320" ht="165" spans="1:13">
      <c r="A2320" s="1" t="s">
        <v>10672</v>
      </c>
      <c r="B2320" s="1" t="s">
        <v>13</v>
      </c>
      <c r="C2320" s="4" t="s">
        <v>10673</v>
      </c>
      <c r="D2320" s="1" t="s">
        <v>10674</v>
      </c>
      <c r="E2320" s="1" t="s">
        <v>10675</v>
      </c>
      <c r="F2320" s="4" t="s">
        <v>17</v>
      </c>
      <c r="G2320" s="1" t="s">
        <v>18</v>
      </c>
      <c r="H2320" s="1" t="s">
        <v>19</v>
      </c>
      <c r="I2320" s="1" t="s">
        <v>20</v>
      </c>
      <c r="J2320" s="1" t="s">
        <v>10676</v>
      </c>
      <c r="K2320" s="1" t="s">
        <v>22</v>
      </c>
      <c r="L2320" s="1" t="str">
        <f>HYPERLINK("https://files.afu.se/Downloads/Transcripts/0%20-%20Government/USA%20-%20NASA/2014 11 04 - NASA - ISS Astronaut Talks with Members of the German Parliament_msnQUTLIJB4 - transcript (automated).pdf","Transcript Link")</f>
        <v>Transcript Link</v>
      </c>
      <c r="M2320" s="2" t="str">
        <f>HYPERLINK("https://files.afu.se/Downloads/Transcripts/0%20-%20Government/USA%20-%20NASA/2014 11 04 - NASA - ISS Astronaut Talks with Members of the German Parliament_msnQUTLIJB4 - transcript (automated).pdf","Transcript Link")</f>
        <v>Transcript Link</v>
      </c>
    </row>
    <row r="2321" ht="165" spans="1:13">
      <c r="A2321" s="1" t="s">
        <v>10677</v>
      </c>
      <c r="B2321" s="1" t="s">
        <v>13</v>
      </c>
      <c r="C2321" s="4" t="s">
        <v>10678</v>
      </c>
      <c r="D2321" s="1" t="s">
        <v>10679</v>
      </c>
      <c r="E2321" s="1" t="s">
        <v>10680</v>
      </c>
      <c r="F2321" s="4" t="s">
        <v>17</v>
      </c>
      <c r="G2321" s="1" t="s">
        <v>18</v>
      </c>
      <c r="H2321" s="1" t="s">
        <v>19</v>
      </c>
      <c r="I2321" s="1" t="s">
        <v>20</v>
      </c>
      <c r="J2321" s="1" t="s">
        <v>10681</v>
      </c>
      <c r="K2321" s="1" t="s">
        <v>22</v>
      </c>
      <c r="L2321" s="1" t="str">
        <f>HYPERLINK("https://files.afu.se/Downloads/Transcripts/0%20-%20Government/USA%20-%20NASA/2014 11 03 - NASA - Space Station Crew Member Discusses His Mission and Upcoming Homecoming_maSAdw4tPQo - transcript (automated).pdf","Transcript Link")</f>
        <v>Transcript Link</v>
      </c>
      <c r="M2321" s="2" t="str">
        <f>HYPERLINK("https://files.afu.se/Downloads/Transcripts/0%20-%20Government/USA%20-%20NASA/2014 11 03 - NASA - Space Station Crew Member Discusses His Mission and Upcoming Homecoming_maSAdw4tPQo - transcript (automated).pdf","Transcript Link")</f>
        <v>Transcript Link</v>
      </c>
    </row>
    <row r="2322" ht="165" spans="1:13">
      <c r="A2322" s="1" t="s">
        <v>10682</v>
      </c>
      <c r="B2322" s="1" t="s">
        <v>13</v>
      </c>
      <c r="C2322" s="4" t="s">
        <v>10683</v>
      </c>
      <c r="D2322" s="1" t="s">
        <v>10684</v>
      </c>
      <c r="E2322" s="1" t="s">
        <v>10685</v>
      </c>
      <c r="F2322" s="4" t="s">
        <v>17</v>
      </c>
      <c r="G2322" s="1" t="s">
        <v>18</v>
      </c>
      <c r="H2322" s="1" t="s">
        <v>19</v>
      </c>
      <c r="I2322" s="1" t="s">
        <v>20</v>
      </c>
      <c r="J2322" s="1" t="s">
        <v>10686</v>
      </c>
      <c r="K2322" s="1" t="s">
        <v>22</v>
      </c>
      <c r="L2322" s="1" t="str">
        <f>HYPERLINK("https://files.afu.se/Downloads/Transcripts/0%20-%20Government/USA%20-%20NASA/2014 10 31 - NASA - SpaceX Dragon returns on This Week @NASA- October 31, 2014_Yu_wwVEqR-E - transcript (automated).pdf","Transcript Link")</f>
        <v>Transcript Link</v>
      </c>
      <c r="M2322" s="2" t="str">
        <f>HYPERLINK("https://files.afu.se/Downloads/Transcripts/0%20-%20Government/USA%20-%20NASA/2014 10 31 - NASA - SpaceX Dragon returns on This Week @NASA- October 31, 2014_Yu_wwVEqR-E - transcript (automated).pdf","Transcript Link")</f>
        <v>Transcript Link</v>
      </c>
    </row>
    <row r="2323" ht="180" spans="1:13">
      <c r="A2323" s="1" t="s">
        <v>10682</v>
      </c>
      <c r="B2323" s="1" t="s">
        <v>13</v>
      </c>
      <c r="C2323" s="4" t="s">
        <v>10687</v>
      </c>
      <c r="D2323" s="1" t="s">
        <v>10688</v>
      </c>
      <c r="E2323" s="1" t="s">
        <v>10689</v>
      </c>
      <c r="F2323" s="4" t="s">
        <v>17</v>
      </c>
      <c r="G2323" s="1" t="s">
        <v>18</v>
      </c>
      <c r="H2323" s="1" t="s">
        <v>19</v>
      </c>
      <c r="I2323" s="1" t="s">
        <v>20</v>
      </c>
      <c r="J2323" s="1" t="s">
        <v>10690</v>
      </c>
      <c r="K2323" s="1" t="s">
        <v>22</v>
      </c>
      <c r="L2323" s="1" t="str">
        <f>HYPERLINK("https://files.afu.se/Downloads/Transcripts/0%20-%20Government/USA%20-%20NASA/2014 10 31 - NASA - Expedition 42 43 Crew Undergoes Final Training In Star City, Russia_AE98uJB-_zU - transcript (automated).pdf","Transcript Link")</f>
        <v>Transcript Link</v>
      </c>
      <c r="M2323" s="2" t="str">
        <f>HYPERLINK("https://files.afu.se/Downloads/Transcripts/0%20-%20Government/USA%20-%20NASA/2014 10 31 - NASA - Expedition 42 43 Crew Undergoes Final Training In Star City, Russia_AE98uJB-_zU - transcript (automated).pdf","Transcript Link")</f>
        <v>Transcript Link</v>
      </c>
    </row>
    <row r="2324" ht="165" spans="1:13">
      <c r="A2324" s="1" t="s">
        <v>10691</v>
      </c>
      <c r="B2324" s="1" t="s">
        <v>13</v>
      </c>
      <c r="C2324" s="4" t="s">
        <v>10692</v>
      </c>
      <c r="D2324" s="1" t="s">
        <v>10693</v>
      </c>
      <c r="E2324" s="1" t="s">
        <v>10694</v>
      </c>
      <c r="F2324" s="4" t="s">
        <v>17</v>
      </c>
      <c r="G2324" s="1" t="s">
        <v>18</v>
      </c>
      <c r="H2324" s="1" t="s">
        <v>19</v>
      </c>
      <c r="I2324" s="1" t="s">
        <v>20</v>
      </c>
      <c r="J2324" s="1" t="s">
        <v>10695</v>
      </c>
      <c r="K2324" s="1" t="s">
        <v>22</v>
      </c>
      <c r="L2324" s="1" t="str">
        <f>HYPERLINK("https://files.afu.se/Downloads/Transcripts/0%20-%20Government/USA%20-%20NASA/2014 10 30 - NASA - German Astronaut On International Space Station Discusses Life In Orbit With German Media_LqwgLz6N83s - transcript (automated).pdf","Transcript Link")</f>
        <v>Transcript Link</v>
      </c>
      <c r="M2324" s="2" t="str">
        <f>HYPERLINK("https://files.afu.se/Downloads/Transcripts/0%20-%20Government/USA%20-%20NASA/2014 10 30 - NASA - German Astronaut On International Space Station Discusses Life In Orbit With German Media_LqwgLz6N83s - transcript (automated).pdf","Transcript Link")</f>
        <v>Transcript Link</v>
      </c>
    </row>
    <row r="2325" ht="180" spans="1:13">
      <c r="A2325" s="1" t="s">
        <v>10696</v>
      </c>
      <c r="B2325" s="1" t="s">
        <v>13</v>
      </c>
      <c r="C2325" s="4" t="s">
        <v>10697</v>
      </c>
      <c r="D2325" s="1" t="s">
        <v>10698</v>
      </c>
      <c r="E2325" s="1" t="s">
        <v>10699</v>
      </c>
      <c r="F2325" s="4" t="s">
        <v>17</v>
      </c>
      <c r="G2325" s="1" t="s">
        <v>18</v>
      </c>
      <c r="H2325" s="1" t="s">
        <v>19</v>
      </c>
      <c r="I2325" s="1" t="s">
        <v>20</v>
      </c>
      <c r="J2325" s="1" t="s">
        <v>10700</v>
      </c>
      <c r="K2325" s="1" t="s">
        <v>22</v>
      </c>
      <c r="L2325" s="1" t="str">
        <f>HYPERLINK("https://files.afu.se/Downloads/Transcripts/0%20-%20Government/USA%20-%20NASA/2014 10 29 - NASA - Russian Progress 57 Cargo Ship Launches To The International Space Station_CGgp4DsRyCM - transcript (automated).pdf","Transcript Link")</f>
        <v>Transcript Link</v>
      </c>
      <c r="M2325" s="2" t="str">
        <f>HYPERLINK("https://files.afu.se/Downloads/Transcripts/0%20-%20Government/USA%20-%20NASA/2014 10 29 - NASA - Russian Progress 57 Cargo Ship Launches To The International Space Station_CGgp4DsRyCM - transcript (automated).pdf","Transcript Link")</f>
        <v>Transcript Link</v>
      </c>
    </row>
    <row r="2326" ht="180" spans="1:13">
      <c r="A2326" s="1" t="s">
        <v>10696</v>
      </c>
      <c r="B2326" s="1" t="s">
        <v>13</v>
      </c>
      <c r="C2326" s="4" t="s">
        <v>10701</v>
      </c>
      <c r="D2326" s="1" t="s">
        <v>10702</v>
      </c>
      <c r="E2326" s="1" t="s">
        <v>10703</v>
      </c>
      <c r="F2326" s="4" t="s">
        <v>17</v>
      </c>
      <c r="G2326" s="1" t="s">
        <v>18</v>
      </c>
      <c r="H2326" s="1" t="s">
        <v>19</v>
      </c>
      <c r="I2326" s="1" t="s">
        <v>20</v>
      </c>
      <c r="J2326" s="1" t="s">
        <v>10704</v>
      </c>
      <c r="K2326" s="1" t="s">
        <v>22</v>
      </c>
      <c r="L2326" s="1" t="str">
        <f>HYPERLINK("https://files.afu.se/Downloads/Transcripts/0%20-%20Government/USA%20-%20NASA/2014 10 29 - NASA - NASA Holds News Conference Following Orbital Launch Mishap_y5HaD5zZjeE - transcript (automated).pdf","Transcript Link")</f>
        <v>Transcript Link</v>
      </c>
      <c r="M2326" s="2" t="str">
        <f>HYPERLINK("https://files.afu.se/Downloads/Transcripts/0%20-%20Government/USA%20-%20NASA/2014 10 29 - NASA - NASA Holds News Conference Following Orbital Launch Mishap_y5HaD5zZjeE - transcript (automated).pdf","Transcript Link")</f>
        <v>Transcript Link</v>
      </c>
    </row>
    <row r="2327" ht="165" spans="1:13">
      <c r="A2327" s="1" t="s">
        <v>10705</v>
      </c>
      <c r="B2327" s="1" t="s">
        <v>13</v>
      </c>
      <c r="C2327" s="4" t="s">
        <v>10706</v>
      </c>
      <c r="D2327" s="1" t="s">
        <v>10707</v>
      </c>
      <c r="E2327" s="1" t="s">
        <v>10708</v>
      </c>
      <c r="F2327" s="4" t="s">
        <v>17</v>
      </c>
      <c r="G2327" s="1" t="s">
        <v>18</v>
      </c>
      <c r="H2327" s="1" t="s">
        <v>19</v>
      </c>
      <c r="I2327" s="1" t="s">
        <v>20</v>
      </c>
      <c r="J2327" s="1" t="s">
        <v>10709</v>
      </c>
      <c r="K2327" s="1" t="s">
        <v>22</v>
      </c>
      <c r="L2327" s="1" t="str">
        <f>HYPERLINK("https://files.afu.se/Downloads/Transcripts/0%20-%20Government/USA%20-%20NASA/2014 10 28 - NASA - 2014 NASA Halloween Animated Greetings_nM9x7TYcxBU - transcript (automated).pdf","Transcript Link")</f>
        <v>Transcript Link</v>
      </c>
      <c r="M2327" s="2" t="str">
        <f>HYPERLINK("https://files.afu.se/Downloads/Transcripts/0%20-%20Government/USA%20-%20NASA/2014 10 28 - NASA - 2014 NASA Halloween Animated Greetings_nM9x7TYcxBU - transcript (automated).pdf","Transcript Link")</f>
        <v>Transcript Link</v>
      </c>
    </row>
    <row r="2328" ht="180" spans="1:13">
      <c r="A2328" s="1" t="s">
        <v>10705</v>
      </c>
      <c r="B2328" s="1" t="s">
        <v>13</v>
      </c>
      <c r="C2328" s="4" t="s">
        <v>10710</v>
      </c>
      <c r="D2328" s="1" t="s">
        <v>10711</v>
      </c>
      <c r="E2328" s="1" t="s">
        <v>10712</v>
      </c>
      <c r="F2328" s="4" t="s">
        <v>17</v>
      </c>
      <c r="G2328" s="1" t="s">
        <v>18</v>
      </c>
      <c r="H2328" s="1" t="s">
        <v>19</v>
      </c>
      <c r="I2328" s="1" t="s">
        <v>20</v>
      </c>
      <c r="J2328" s="1" t="s">
        <v>10713</v>
      </c>
      <c r="K2328" s="1" t="s">
        <v>22</v>
      </c>
      <c r="L2328" s="1" t="str">
        <f>HYPERLINK("https://files.afu.se/Downloads/Transcripts/0%20-%20Government/USA%20-%20NASA/2014 10 28 - NASA - NASA Administrator Charles Bolden Discusses Science With Space Station Crew_6mqhqojL26c - transcript (automated).pdf","Transcript Link")</f>
        <v>Transcript Link</v>
      </c>
      <c r="M2328" s="2" t="str">
        <f>HYPERLINK("https://files.afu.se/Downloads/Transcripts/0%20-%20Government/USA%20-%20NASA/2014 10 28 - NASA - NASA Administrator Charles Bolden Discusses Science With Space Station Crew_6mqhqojL26c - transcript (automated).pdf","Transcript Link")</f>
        <v>Transcript Link</v>
      </c>
    </row>
    <row r="2329" ht="210" spans="1:13">
      <c r="A2329" s="1" t="s">
        <v>10714</v>
      </c>
      <c r="B2329" s="1" t="s">
        <v>13</v>
      </c>
      <c r="C2329" s="4" t="s">
        <v>10715</v>
      </c>
      <c r="D2329" s="1" t="s">
        <v>10716</v>
      </c>
      <c r="E2329" s="1" t="s">
        <v>10717</v>
      </c>
      <c r="F2329" s="4" t="s">
        <v>17</v>
      </c>
      <c r="G2329" s="1" t="s">
        <v>18</v>
      </c>
      <c r="H2329" s="1" t="s">
        <v>19</v>
      </c>
      <c r="I2329" s="1" t="s">
        <v>20</v>
      </c>
      <c r="J2329" s="1" t="s">
        <v>10718</v>
      </c>
      <c r="K2329" s="1" t="s">
        <v>22</v>
      </c>
      <c r="L2329" s="1" t="str">
        <f>HYPERLINK("https://files.afu.se/Downloads/Transcripts/0%20-%20Government/USA%20-%20NASA/2014 10 27 - NASA - Hawking ISS Crew Q&amp;A_nSUWvG2OA3I - transcript (automated).pdf","Transcript Link")</f>
        <v>Transcript Link</v>
      </c>
      <c r="M2329" s="2" t="str">
        <f>HYPERLINK("https://files.afu.se/Downloads/Transcripts/0%20-%20Government/USA%20-%20NASA/2014 10 27 - NASA - Hawking ISS Crew Q&amp;A_nSUWvG2OA3I - transcript (automated).pdf","Transcript Link")</f>
        <v>Transcript Link</v>
      </c>
    </row>
    <row r="2330" ht="165" spans="1:13">
      <c r="A2330" s="1" t="s">
        <v>10714</v>
      </c>
      <c r="B2330" s="1" t="s">
        <v>13</v>
      </c>
      <c r="C2330" s="4" t="s">
        <v>10719</v>
      </c>
      <c r="D2330" s="1" t="s">
        <v>10720</v>
      </c>
      <c r="E2330" s="1" t="s">
        <v>10721</v>
      </c>
      <c r="F2330" s="4" t="s">
        <v>17</v>
      </c>
      <c r="G2330" s="1" t="s">
        <v>18</v>
      </c>
      <c r="H2330" s="1" t="s">
        <v>19</v>
      </c>
      <c r="I2330" s="1" t="s">
        <v>20</v>
      </c>
      <c r="J2330" s="1" t="s">
        <v>10722</v>
      </c>
      <c r="K2330" s="1" t="s">
        <v>22</v>
      </c>
      <c r="L2330" s="1" t="str">
        <f>HYPERLINK("https://files.afu.se/Downloads/Transcripts/0%20-%20Government/USA%20-%20NASA/2014 10 27 - NASA - Actor Eddie Redmayne on Stephen Hawking's Links to NASA_38UaR2zNM9w - transcript (automated).pdf","Transcript Link")</f>
        <v>Transcript Link</v>
      </c>
      <c r="M2330" s="2" t="str">
        <f>HYPERLINK("https://files.afu.se/Downloads/Transcripts/0%20-%20Government/USA%20-%20NASA/2014 10 27 - NASA - Actor Eddie Redmayne on Stephen Hawking's Links to NASA_38UaR2zNM9w - transcript (automated).pdf","Transcript Link")</f>
        <v>Transcript Link</v>
      </c>
    </row>
    <row r="2331" ht="180" spans="1:13">
      <c r="A2331" s="1" t="s">
        <v>10714</v>
      </c>
      <c r="B2331" s="1" t="s">
        <v>13</v>
      </c>
      <c r="C2331" s="4" t="s">
        <v>10723</v>
      </c>
      <c r="D2331" s="1" t="s">
        <v>10724</v>
      </c>
      <c r="E2331" s="1" t="s">
        <v>10725</v>
      </c>
      <c r="F2331" s="4" t="s">
        <v>17</v>
      </c>
      <c r="G2331" s="1" t="s">
        <v>18</v>
      </c>
      <c r="H2331" s="1" t="s">
        <v>19</v>
      </c>
      <c r="I2331" s="1" t="s">
        <v>20</v>
      </c>
      <c r="J2331" s="1" t="s">
        <v>10726</v>
      </c>
      <c r="K2331" s="1" t="s">
        <v>22</v>
      </c>
      <c r="L2331" s="1" t="str">
        <f>HYPERLINK("https://files.afu.se/Downloads/Transcripts/0%20-%20Government/USA%20-%20NASA/2014 10 27 - NASA - Professor Stephen Hawking on Space Exploration_3frrRHEOEVU - transcript (automated).pdf","Transcript Link")</f>
        <v>Transcript Link</v>
      </c>
      <c r="M2331" s="2" t="str">
        <f>HYPERLINK("https://files.afu.se/Downloads/Transcripts/0%20-%20Government/USA%20-%20NASA/2014 10 27 - NASA - Professor Stephen Hawking on Space Exploration_3frrRHEOEVU - transcript (automated).pdf","Transcript Link")</f>
        <v>Transcript Link</v>
      </c>
    </row>
    <row r="2332" ht="409.5" spans="1:13">
      <c r="A2332" s="1" t="s">
        <v>10714</v>
      </c>
      <c r="B2332" s="1" t="s">
        <v>13</v>
      </c>
      <c r="C2332" s="4" t="s">
        <v>10727</v>
      </c>
      <c r="D2332" s="1" t="s">
        <v>10728</v>
      </c>
      <c r="E2332" s="1" t="s">
        <v>10729</v>
      </c>
      <c r="F2332" s="4" t="s">
        <v>17</v>
      </c>
      <c r="G2332" s="1" t="s">
        <v>18</v>
      </c>
      <c r="H2332" s="1" t="s">
        <v>19</v>
      </c>
      <c r="I2332" s="1" t="s">
        <v>20</v>
      </c>
      <c r="J2332" s="1" t="s">
        <v>10730</v>
      </c>
      <c r="K2332" s="1" t="s">
        <v>22</v>
      </c>
      <c r="L2332" s="1" t="str">
        <f>HYPERLINK("https://files.afu.se/Downloads/Transcripts/0%20-%20Government/USA%20-%20NASA/2014 10 27 - NASA - Destination Station From NASA's Marshall Space Flight Center Discusses Technology Aboard The ISS_aqtWOk7Y0NE - transcript (automated).pdf","Transcript Link")</f>
        <v>Transcript Link</v>
      </c>
      <c r="M2332" s="2" t="str">
        <f>HYPERLINK("https://files.afu.se/Downloads/Transcripts/0%20-%20Government/USA%20-%20NASA/2014 10 27 - NASA - Destination Station From NASA's Marshall Space Flight Center Discusses Technology Aboard The ISS_aqtWOk7Y0NE - transcript (automated).pdf","Transcript Link")</f>
        <v>Transcript Link</v>
      </c>
    </row>
    <row r="2333" ht="165" spans="1:13">
      <c r="A2333" s="1" t="s">
        <v>10714</v>
      </c>
      <c r="B2333" s="1" t="s">
        <v>13</v>
      </c>
      <c r="C2333" s="4" t="s">
        <v>10731</v>
      </c>
      <c r="D2333" s="1" t="s">
        <v>7734</v>
      </c>
      <c r="E2333" s="1" t="s">
        <v>10732</v>
      </c>
      <c r="F2333" s="4" t="s">
        <v>17</v>
      </c>
      <c r="G2333" s="1" t="s">
        <v>18</v>
      </c>
      <c r="H2333" s="1" t="s">
        <v>19</v>
      </c>
      <c r="I2333" s="1" t="s">
        <v>20</v>
      </c>
      <c r="J2333" s="1" t="s">
        <v>10733</v>
      </c>
      <c r="K2333" s="1" t="s">
        <v>22</v>
      </c>
      <c r="L2333" s="1" t="str">
        <f>HYPERLINK("https://files.afu.se/Downloads/Transcripts/0%20-%20Government/USA%20-%20NASA/2014 10 27 - NASA - Russian Cargo Ship Departs the International Space Station_3cO_tzZ2nNI - transcript (automated).pdf","Transcript Link")</f>
        <v>Transcript Link</v>
      </c>
      <c r="M2333" s="2" t="str">
        <f>HYPERLINK("https://files.afu.se/Downloads/Transcripts/0%20-%20Government/USA%20-%20NASA/2014 10 27 - NASA - Russian Cargo Ship Departs the International Space Station_3cO_tzZ2nNI - transcript (automated).pdf","Transcript Link")</f>
        <v>Transcript Link</v>
      </c>
    </row>
    <row r="2334" ht="240" spans="1:13">
      <c r="A2334" s="1" t="s">
        <v>10734</v>
      </c>
      <c r="B2334" s="1" t="s">
        <v>13</v>
      </c>
      <c r="C2334" s="4" t="s">
        <v>10735</v>
      </c>
      <c r="D2334" s="1" t="s">
        <v>10736</v>
      </c>
      <c r="E2334" s="1" t="s">
        <v>10737</v>
      </c>
      <c r="F2334" s="4" t="s">
        <v>17</v>
      </c>
      <c r="G2334" s="1" t="s">
        <v>18</v>
      </c>
      <c r="H2334" s="1" t="s">
        <v>19</v>
      </c>
      <c r="I2334" s="1" t="s">
        <v>20</v>
      </c>
      <c r="J2334" s="1" t="s">
        <v>10738</v>
      </c>
      <c r="K2334" s="1" t="s">
        <v>22</v>
      </c>
      <c r="L2334" s="1" t="str">
        <f>HYPERLINK("https://files.afu.se/Downloads/Transcripts/0%20-%20Government/USA%20-%20NASA/2014 10 26 - NASA - Orbital and NASA hold a status briefing about next mission to resupply International Space Station_VH09j8CqfKc - transcript (automated).pdf","Transcript Link")</f>
        <v>Transcript Link</v>
      </c>
      <c r="M2334" s="2" t="str">
        <f>HYPERLINK("https://files.afu.se/Downloads/Transcripts/0%20-%20Government/USA%20-%20NASA/2014 10 26 - NASA - Orbital and NASA hold a status briefing about next mission to resupply International Space Station_VH09j8CqfKc - transcript (automated).pdf","Transcript Link")</f>
        <v>Transcript Link</v>
      </c>
    </row>
    <row r="2335" ht="345" spans="1:13">
      <c r="A2335" s="1" t="s">
        <v>10734</v>
      </c>
      <c r="B2335" s="1" t="s">
        <v>13</v>
      </c>
      <c r="C2335" s="4" t="s">
        <v>10739</v>
      </c>
      <c r="D2335" s="1" t="s">
        <v>10740</v>
      </c>
      <c r="E2335" s="1" t="s">
        <v>10741</v>
      </c>
      <c r="F2335" s="4" t="s">
        <v>17</v>
      </c>
      <c r="G2335" s="1" t="s">
        <v>18</v>
      </c>
      <c r="H2335" s="1" t="s">
        <v>19</v>
      </c>
      <c r="I2335" s="1" t="s">
        <v>20</v>
      </c>
      <c r="J2335" s="1" t="s">
        <v>10742</v>
      </c>
      <c r="K2335" s="1" t="s">
        <v>22</v>
      </c>
      <c r="L2335" s="1" t="str">
        <f>HYPERLINK("https://files.afu.se/Downloads/Transcripts/0%20-%20Government/USA%20-%20NASA/2014 10 26 - NASA - Orbital and NASA hold science briefing update for next resupply mission to ISS_r-A52OhSvw8 - transcript (automated).pdf","Transcript Link")</f>
        <v>Transcript Link</v>
      </c>
      <c r="M2335" s="2" t="str">
        <f>HYPERLINK("https://files.afu.se/Downloads/Transcripts/0%20-%20Government/USA%20-%20NASA/2014 10 26 - NASA - Orbital and NASA hold science briefing update for next resupply mission to ISS_r-A52OhSvw8 - transcript (automated).pdf","Transcript Link")</f>
        <v>Transcript Link</v>
      </c>
    </row>
    <row r="2336" ht="165" spans="1:13">
      <c r="A2336" s="1" t="s">
        <v>10743</v>
      </c>
      <c r="B2336" s="1" t="s">
        <v>13</v>
      </c>
      <c r="C2336" s="4" t="s">
        <v>10744</v>
      </c>
      <c r="D2336" s="1" t="s">
        <v>10745</v>
      </c>
      <c r="E2336" s="1" t="s">
        <v>10746</v>
      </c>
      <c r="F2336" s="4" t="s">
        <v>17</v>
      </c>
      <c r="G2336" s="1" t="s">
        <v>18</v>
      </c>
      <c r="H2336" s="1" t="s">
        <v>19</v>
      </c>
      <c r="I2336" s="1" t="s">
        <v>20</v>
      </c>
      <c r="J2336" s="1" t="s">
        <v>10747</v>
      </c>
      <c r="K2336" s="1" t="s">
        <v>22</v>
      </c>
      <c r="L2336" s="1" t="str">
        <f>HYPERLINK("https://files.afu.se/Downloads/Transcripts/0%20-%20Government/USA%20-%20NASA/2014 10 25 - NASA - Dragon Departs the ISS_gVd0F5WnNf0 - transcript (automated).pdf","Transcript Link")</f>
        <v>Transcript Link</v>
      </c>
      <c r="M2336" s="2" t="str">
        <f>HYPERLINK("https://files.afu.se/Downloads/Transcripts/0%20-%20Government/USA%20-%20NASA/2014 10 25 - NASA - Dragon Departs the ISS_gVd0F5WnNf0 - transcript (automated).pdf","Transcript Link")</f>
        <v>Transcript Link</v>
      </c>
    </row>
    <row r="2337" ht="225" spans="1:13">
      <c r="A2337" s="1" t="s">
        <v>10748</v>
      </c>
      <c r="B2337" s="1" t="s">
        <v>13</v>
      </c>
      <c r="C2337" s="4" t="s">
        <v>10749</v>
      </c>
      <c r="D2337" s="1" t="s">
        <v>10750</v>
      </c>
      <c r="E2337" s="1" t="s">
        <v>10751</v>
      </c>
      <c r="F2337" s="4" t="s">
        <v>17</v>
      </c>
      <c r="G2337" s="1" t="s">
        <v>18</v>
      </c>
      <c r="H2337" s="1" t="s">
        <v>19</v>
      </c>
      <c r="I2337" s="1" t="s">
        <v>20</v>
      </c>
      <c r="J2337" s="1" t="s">
        <v>10752</v>
      </c>
      <c r="K2337" s="1" t="s">
        <v>22</v>
      </c>
      <c r="L2337" s="1" t="str">
        <f>HYPERLINK("https://files.afu.se/Downloads/Transcripts/0%20-%20Government/USA%20-%20NASA/2014 10 24 - NASA - Images From Comet’s Mars Flyby On This Week @NASA- October 24, 2014_8Vcrq6PX8Pk - transcript (automated).pdf","Transcript Link")</f>
        <v>Transcript Link</v>
      </c>
      <c r="M2337" s="2" t="str">
        <f>HYPERLINK("https://files.afu.se/Downloads/Transcripts/0%20-%20Government/USA%20-%20NASA/2014 10 24 - NASA - Images From Comet’s Mars Flyby On This Week @NASA- October 24, 2014_8Vcrq6PX8Pk - transcript (automated).pdf","Transcript Link")</f>
        <v>Transcript Link</v>
      </c>
    </row>
    <row r="2338" ht="165" spans="1:13">
      <c r="A2338" s="1" t="s">
        <v>10753</v>
      </c>
      <c r="B2338" s="1" t="s">
        <v>13</v>
      </c>
      <c r="C2338" s="4" t="s">
        <v>10754</v>
      </c>
      <c r="D2338" s="1" t="s">
        <v>10755</v>
      </c>
      <c r="E2338" s="1" t="s">
        <v>10756</v>
      </c>
      <c r="F2338" s="4" t="s">
        <v>17</v>
      </c>
      <c r="G2338" s="1" t="s">
        <v>18</v>
      </c>
      <c r="H2338" s="1" t="s">
        <v>19</v>
      </c>
      <c r="I2338" s="1" t="s">
        <v>20</v>
      </c>
      <c r="J2338" s="1" t="s">
        <v>10757</v>
      </c>
      <c r="K2338" s="1" t="s">
        <v>22</v>
      </c>
      <c r="L2338" s="1" t="str">
        <f>HYPERLINK("https://files.afu.se/Downloads/Transcripts/0%20-%20Government/USA%20-%20NASA/2014 10 23 - NASA - ISS Astronaut talks Space and Sports_sMaUUwci1YA - transcript (automated).pdf","Transcript Link")</f>
        <v>Transcript Link</v>
      </c>
      <c r="M2338" s="2" t="str">
        <f>HYPERLINK("https://files.afu.se/Downloads/Transcripts/0%20-%20Government/USA%20-%20NASA/2014 10 23 - NASA - ISS Astronaut talks Space and Sports_sMaUUwci1YA - transcript (automated).pdf","Transcript Link")</f>
        <v>Transcript Link</v>
      </c>
    </row>
    <row r="2339" ht="165" spans="1:13">
      <c r="A2339" s="1" t="s">
        <v>10753</v>
      </c>
      <c r="B2339" s="1" t="s">
        <v>13</v>
      </c>
      <c r="C2339" s="4" t="s">
        <v>10758</v>
      </c>
      <c r="D2339" s="1" t="s">
        <v>10759</v>
      </c>
      <c r="E2339" s="1" t="s">
        <v>10760</v>
      </c>
      <c r="F2339" s="4" t="s">
        <v>17</v>
      </c>
      <c r="G2339" s="1" t="s">
        <v>18</v>
      </c>
      <c r="H2339" s="1" t="s">
        <v>19</v>
      </c>
      <c r="I2339" s="1" t="s">
        <v>20</v>
      </c>
      <c r="J2339" s="1" t="s">
        <v>10761</v>
      </c>
      <c r="K2339" s="1" t="s">
        <v>22</v>
      </c>
      <c r="L2339" s="1" t="str">
        <f>HYPERLINK("https://files.afu.se/Downloads/Transcripts/0%20-%20Government/USA%20-%20NASA/2014 10 23 - NASA - Space Station Astronaut Talks Space with Students_L-nELgBjsaY - transcript (automated).pdf","Transcript Link")</f>
        <v>Transcript Link</v>
      </c>
      <c r="M2339" s="2" t="str">
        <f>HYPERLINK("https://files.afu.se/Downloads/Transcripts/0%20-%20Government/USA%20-%20NASA/2014 10 23 - NASA - Space Station Astronaut Talks Space with Students_L-nELgBjsaY - transcript (automated).pdf","Transcript Link")</f>
        <v>Transcript Link</v>
      </c>
    </row>
    <row r="2340" ht="165" spans="1:13">
      <c r="A2340" s="1" t="s">
        <v>10762</v>
      </c>
      <c r="B2340" s="1" t="s">
        <v>13</v>
      </c>
      <c r="C2340" s="4" t="s">
        <v>10763</v>
      </c>
      <c r="D2340" s="1" t="s">
        <v>10764</v>
      </c>
      <c r="E2340" s="1" t="s">
        <v>10765</v>
      </c>
      <c r="F2340" s="4" t="s">
        <v>17</v>
      </c>
      <c r="G2340" s="1" t="s">
        <v>18</v>
      </c>
      <c r="H2340" s="1" t="s">
        <v>19</v>
      </c>
      <c r="I2340" s="1" t="s">
        <v>20</v>
      </c>
      <c r="J2340" s="1" t="s">
        <v>10766</v>
      </c>
      <c r="K2340" s="1" t="s">
        <v>22</v>
      </c>
      <c r="L2340" s="1" t="str">
        <f>HYPERLINK("https://files.afu.se/Downloads/Transcripts/0%20-%20Government/USA%20-%20NASA/2014 10 22 - NASA - Space Station Spacewalk_STUyjTO8gQw - transcript (automated).pdf","Transcript Link")</f>
        <v>Transcript Link</v>
      </c>
      <c r="M2340" s="2" t="str">
        <f>HYPERLINK("https://files.afu.se/Downloads/Transcripts/0%20-%20Government/USA%20-%20NASA/2014 10 22 - NASA - Space Station Spacewalk_STUyjTO8gQw - transcript (automated).pdf","Transcript Link")</f>
        <v>Transcript Link</v>
      </c>
    </row>
    <row r="2341" ht="180" spans="1:13">
      <c r="A2341" s="1" t="s">
        <v>10767</v>
      </c>
      <c r="B2341" s="1" t="s">
        <v>13</v>
      </c>
      <c r="C2341" s="4" t="s">
        <v>10768</v>
      </c>
      <c r="D2341" s="1" t="s">
        <v>10769</v>
      </c>
      <c r="E2341" s="1" t="s">
        <v>10770</v>
      </c>
      <c r="F2341" s="4" t="s">
        <v>17</v>
      </c>
      <c r="G2341" s="1" t="s">
        <v>18</v>
      </c>
      <c r="H2341" s="1" t="s">
        <v>19</v>
      </c>
      <c r="I2341" s="1" t="s">
        <v>20</v>
      </c>
      <c r="J2341" s="1" t="s">
        <v>10771</v>
      </c>
      <c r="K2341" s="1" t="s">
        <v>22</v>
      </c>
      <c r="L2341" s="1" t="str">
        <f>HYPERLINK("https://files.afu.se/Downloads/Transcripts/0%20-%20Government/USA%20-%20NASA/2014 10 17 - NASA - Power Spacewalk on This Week @NASA - October 17, 2014_cOGNsTd4cb4 - transcript (automated).pdf","Transcript Link")</f>
        <v>Transcript Link</v>
      </c>
      <c r="M2341" s="2" t="str">
        <f>HYPERLINK("https://files.afu.se/Downloads/Transcripts/0%20-%20Government/USA%20-%20NASA/2014 10 17 - NASA - Power Spacewalk on This Week @NASA - October 17, 2014_cOGNsTd4cb4 - transcript (automated).pdf","Transcript Link")</f>
        <v>Transcript Link</v>
      </c>
    </row>
    <row r="2342" ht="165" spans="1:13">
      <c r="A2342" s="1" t="s">
        <v>10767</v>
      </c>
      <c r="B2342" s="1" t="s">
        <v>13</v>
      </c>
      <c r="C2342" s="4" t="s">
        <v>10772</v>
      </c>
      <c r="D2342" s="1" t="s">
        <v>10773</v>
      </c>
      <c r="E2342" s="1" t="s">
        <v>10774</v>
      </c>
      <c r="F2342" s="4" t="s">
        <v>17</v>
      </c>
      <c r="G2342" s="1" t="s">
        <v>18</v>
      </c>
      <c r="H2342" s="1" t="s">
        <v>19</v>
      </c>
      <c r="I2342" s="1" t="s">
        <v>20</v>
      </c>
      <c r="J2342" s="1" t="s">
        <v>10775</v>
      </c>
      <c r="K2342" s="1" t="s">
        <v>22</v>
      </c>
      <c r="L2342" s="1" t="str">
        <f>HYPERLINK("https://files.afu.se/Downloads/Transcripts/0%20-%20Government/USA%20-%20NASA/2014 10 17 - NASA - NASA Hispanic Heritage Month Profile - Vicente Suarez_oGwYFO0csdM - transcript (automated).pdf","Transcript Link")</f>
        <v>Transcript Link</v>
      </c>
      <c r="M2342" s="2" t="str">
        <f>HYPERLINK("https://files.afu.se/Downloads/Transcripts/0%20-%20Government/USA%20-%20NASA/2014 10 17 - NASA - NASA Hispanic Heritage Month Profile - Vicente Suarez_oGwYFO0csdM - transcript (automated).pdf","Transcript Link")</f>
        <v>Transcript Link</v>
      </c>
    </row>
    <row r="2343" ht="240" spans="1:13">
      <c r="A2343" s="1" t="s">
        <v>10776</v>
      </c>
      <c r="B2343" s="1" t="s">
        <v>13</v>
      </c>
      <c r="C2343" s="4" t="s">
        <v>10777</v>
      </c>
      <c r="D2343" s="1" t="s">
        <v>10778</v>
      </c>
      <c r="E2343" s="1" t="s">
        <v>10779</v>
      </c>
      <c r="F2343" s="4" t="s">
        <v>17</v>
      </c>
      <c r="G2343" s="1" t="s">
        <v>18</v>
      </c>
      <c r="H2343" s="1" t="s">
        <v>19</v>
      </c>
      <c r="I2343" s="1" t="s">
        <v>20</v>
      </c>
      <c r="J2343" s="1" t="s">
        <v>10780</v>
      </c>
      <c r="K2343" s="1" t="s">
        <v>22</v>
      </c>
      <c r="L2343" s="1" t="str">
        <f>HYPERLINK("https://files.afu.se/Downloads/Transcripts/0%20-%20Government/USA%20-%20NASA/2014 10 15 - NASA - NASA Astronauts Conduct Space Walk To Make Important Repairs On International Space Station_cOhkcXf416g - transcript (automated).pdf","Transcript Link")</f>
        <v>Transcript Link</v>
      </c>
      <c r="M2343" s="2" t="str">
        <f>HYPERLINK("https://files.afu.se/Downloads/Transcripts/0%20-%20Government/USA%20-%20NASA/2014 10 15 - NASA - NASA Astronauts Conduct Space Walk To Make Important Repairs On International Space Station_cOhkcXf416g - transcript (automated).pdf","Transcript Link")</f>
        <v>Transcript Link</v>
      </c>
    </row>
    <row r="2344" ht="165" spans="1:13">
      <c r="A2344" s="1" t="s">
        <v>10781</v>
      </c>
      <c r="B2344" s="1" t="s">
        <v>13</v>
      </c>
      <c r="C2344" s="4" t="s">
        <v>10782</v>
      </c>
      <c r="D2344" s="1" t="s">
        <v>10783</v>
      </c>
      <c r="E2344" s="1" t="s">
        <v>10784</v>
      </c>
      <c r="F2344" s="4" t="s">
        <v>17</v>
      </c>
      <c r="G2344" s="1" t="s">
        <v>18</v>
      </c>
      <c r="H2344" s="1" t="s">
        <v>19</v>
      </c>
      <c r="I2344" s="1" t="s">
        <v>20</v>
      </c>
      <c r="J2344" s="1" t="s">
        <v>10785</v>
      </c>
      <c r="K2344" s="1" t="s">
        <v>22</v>
      </c>
      <c r="L2344" s="1" t="str">
        <f>HYPERLINK("https://files.afu.se/Downloads/Transcripts/0%20-%20Government/USA%20-%20NASA/2014 10 10 - NASA - U.S. spacewalk on ISS on This Week @NASA - October 10, 2014_DcouM-KGoR4 - transcript (automated).pdf","Transcript Link")</f>
        <v>Transcript Link</v>
      </c>
      <c r="M2344" s="2" t="str">
        <f>HYPERLINK("https://files.afu.se/Downloads/Transcripts/0%20-%20Government/USA%20-%20NASA/2014 10 10 - NASA - U.S. spacewalk on ISS on This Week @NASA - October 10, 2014_DcouM-KGoR4 - transcript (automated).pdf","Transcript Link")</f>
        <v>Transcript Link</v>
      </c>
    </row>
    <row r="2345" ht="165" spans="1:13">
      <c r="A2345" s="1" t="s">
        <v>10781</v>
      </c>
      <c r="B2345" s="1" t="s">
        <v>13</v>
      </c>
      <c r="C2345" s="4" t="s">
        <v>10786</v>
      </c>
      <c r="D2345" s="1" t="s">
        <v>10787</v>
      </c>
      <c r="E2345" s="1" t="s">
        <v>10788</v>
      </c>
      <c r="F2345" s="4" t="s">
        <v>17</v>
      </c>
      <c r="G2345" s="1" t="s">
        <v>18</v>
      </c>
      <c r="H2345" s="1" t="s">
        <v>19</v>
      </c>
      <c r="I2345" s="1" t="s">
        <v>20</v>
      </c>
      <c r="J2345" s="1" t="s">
        <v>10789</v>
      </c>
      <c r="K2345" s="1" t="s">
        <v>22</v>
      </c>
      <c r="L2345" s="1" t="str">
        <f>HYPERLINK("https://files.afu.se/Downloads/Transcripts/0%20-%20Government/USA%20-%20NASA/2014 10 10 - NASA - Space Station Astronaut Discusses Life in Space_EyJHo50UNsk - transcript (automated).pdf","Transcript Link")</f>
        <v>Transcript Link</v>
      </c>
      <c r="M2345" s="2" t="str">
        <f>HYPERLINK("https://files.afu.se/Downloads/Transcripts/0%20-%20Government/USA%20-%20NASA/2014 10 10 - NASA - Space Station Astronaut Discusses Life in Space_EyJHo50UNsk - transcript (automated).pdf","Transcript Link")</f>
        <v>Transcript Link</v>
      </c>
    </row>
    <row r="2346" ht="165" spans="1:13">
      <c r="A2346" s="1" t="s">
        <v>10781</v>
      </c>
      <c r="B2346" s="1" t="s">
        <v>13</v>
      </c>
      <c r="C2346" s="4" t="s">
        <v>10790</v>
      </c>
      <c r="D2346" s="1" t="s">
        <v>10791</v>
      </c>
      <c r="E2346" s="1" t="s">
        <v>10792</v>
      </c>
      <c r="F2346" s="4" t="s">
        <v>17</v>
      </c>
      <c r="G2346" s="1" t="s">
        <v>18</v>
      </c>
      <c r="H2346" s="1" t="s">
        <v>19</v>
      </c>
      <c r="I2346" s="1" t="s">
        <v>20</v>
      </c>
      <c r="J2346" s="1" t="s">
        <v>10793</v>
      </c>
      <c r="K2346" s="1" t="s">
        <v>22</v>
      </c>
      <c r="L2346" s="1" t="str">
        <f>HYPERLINK("https://files.afu.se/Downloads/Transcripts/0%20-%20Government/USA%20-%20NASA/2014 10 10 - NASA - Rosetta - A Lesson on Comets_urXuyEpkiTw - transcript (automated).pdf","Transcript Link")</f>
        <v>Transcript Link</v>
      </c>
      <c r="M2346" s="2" t="str">
        <f>HYPERLINK("https://files.afu.se/Downloads/Transcripts/0%20-%20Government/USA%20-%20NASA/2014 10 10 - NASA - Rosetta - A Lesson on Comets_urXuyEpkiTw - transcript (automated).pdf","Transcript Link")</f>
        <v>Transcript Link</v>
      </c>
    </row>
    <row r="2347" ht="210" spans="1:13">
      <c r="A2347" s="1" t="s">
        <v>10794</v>
      </c>
      <c r="B2347" s="1" t="s">
        <v>13</v>
      </c>
      <c r="C2347" s="4" t="s">
        <v>10795</v>
      </c>
      <c r="D2347" s="1" t="s">
        <v>10796</v>
      </c>
      <c r="E2347" s="1" t="s">
        <v>10797</v>
      </c>
      <c r="F2347" s="4" t="s">
        <v>17</v>
      </c>
      <c r="G2347" s="1" t="s">
        <v>18</v>
      </c>
      <c r="H2347" s="1" t="s">
        <v>19</v>
      </c>
      <c r="I2347" s="1" t="s">
        <v>20</v>
      </c>
      <c r="J2347" s="1" t="s">
        <v>10798</v>
      </c>
      <c r="K2347" s="1" t="s">
        <v>22</v>
      </c>
      <c r="L2347" s="1" t="str">
        <f>HYPERLINK("https://files.afu.se/Downloads/Transcripts/0%20-%20Government/USA%20-%20NASA/2014 10 09 - NASA - NASA Prepares to Eye Comet’s Flyby of Mars_yICO-Fy3RQ0 - transcript (automated).pdf","Transcript Link")</f>
        <v>Transcript Link</v>
      </c>
      <c r="M2347" s="2" t="str">
        <f>HYPERLINK("https://files.afu.se/Downloads/Transcripts/0%20-%20Government/USA%20-%20NASA/2014 10 09 - NASA - NASA Prepares to Eye Comet’s Flyby of Mars_yICO-Fy3RQ0 - transcript (automated).pdf","Transcript Link")</f>
        <v>Transcript Link</v>
      </c>
    </row>
    <row r="2348" ht="225" spans="1:13">
      <c r="A2348" s="1" t="s">
        <v>10799</v>
      </c>
      <c r="B2348" s="1" t="s">
        <v>13</v>
      </c>
      <c r="C2348" s="4" t="s">
        <v>10800</v>
      </c>
      <c r="D2348" s="1" t="s">
        <v>10801</v>
      </c>
      <c r="E2348" s="1" t="s">
        <v>10802</v>
      </c>
      <c r="F2348" s="4" t="s">
        <v>17</v>
      </c>
      <c r="G2348" s="1" t="s">
        <v>18</v>
      </c>
      <c r="H2348" s="1" t="s">
        <v>19</v>
      </c>
      <c r="I2348" s="1" t="s">
        <v>20</v>
      </c>
      <c r="J2348" s="1" t="s">
        <v>10803</v>
      </c>
      <c r="K2348" s="1" t="s">
        <v>22</v>
      </c>
      <c r="L2348" s="1" t="str">
        <f>HYPERLINK("https://files.afu.se/Downloads/Transcripts/0%20-%20Government/USA%20-%20NASA/2014 10 08 - NASA - NASA Premieres ‘Trial By Fire’ video on Orion’s Flight Test_w2kSeINalHg - transcript (automated).pdf","Transcript Link")</f>
        <v>Transcript Link</v>
      </c>
      <c r="M2348" s="2" t="str">
        <f>HYPERLINK("https://files.afu.se/Downloads/Transcripts/0%20-%20Government/USA%20-%20NASA/2014 10 08 - NASA - NASA Premieres ‘Trial By Fire’ video on Orion’s Flight Test_w2kSeINalHg - transcript (automated).pdf","Transcript Link")</f>
        <v>Transcript Link</v>
      </c>
    </row>
    <row r="2349" ht="165" spans="1:13">
      <c r="A2349" s="1" t="s">
        <v>10804</v>
      </c>
      <c r="B2349" s="1" t="s">
        <v>13</v>
      </c>
      <c r="C2349" s="4" t="s">
        <v>10805</v>
      </c>
      <c r="D2349" s="1" t="s">
        <v>10806</v>
      </c>
      <c r="E2349" s="1" t="s">
        <v>10807</v>
      </c>
      <c r="F2349" s="4" t="s">
        <v>17</v>
      </c>
      <c r="G2349" s="1" t="s">
        <v>18</v>
      </c>
      <c r="H2349" s="1" t="s">
        <v>19</v>
      </c>
      <c r="I2349" s="1" t="s">
        <v>20</v>
      </c>
      <c r="J2349" s="1" t="s">
        <v>10808</v>
      </c>
      <c r="K2349" s="1" t="s">
        <v>22</v>
      </c>
      <c r="L2349" s="1" t="str">
        <f>HYPERLINK("https://files.afu.se/Downloads/Transcripts/0%20-%20Government/USA%20-%20NASA/2014 10 07 - NASA - NASA Astronauts Conduct Spacewalk on ISS_dkfW1Q1T72c - transcript (automated).pdf","Transcript Link")</f>
        <v>Transcript Link</v>
      </c>
      <c r="M2349" s="2" t="str">
        <f>HYPERLINK("https://files.afu.se/Downloads/Transcripts/0%20-%20Government/USA%20-%20NASA/2014 10 07 - NASA - NASA Astronauts Conduct Spacewalk on ISS_dkfW1Q1T72c - transcript (automated).pdf","Transcript Link")</f>
        <v>Transcript Link</v>
      </c>
    </row>
    <row r="2350" ht="409.5" spans="1:13">
      <c r="A2350" s="1" t="s">
        <v>10809</v>
      </c>
      <c r="B2350" s="1" t="s">
        <v>13</v>
      </c>
      <c r="C2350" s="4" t="s">
        <v>10810</v>
      </c>
      <c r="D2350" s="1" t="s">
        <v>10811</v>
      </c>
      <c r="E2350" s="1" t="s">
        <v>10812</v>
      </c>
      <c r="F2350" s="4" t="s">
        <v>17</v>
      </c>
      <c r="G2350" s="1" t="s">
        <v>18</v>
      </c>
      <c r="H2350" s="1" t="s">
        <v>19</v>
      </c>
      <c r="I2350" s="1" t="s">
        <v>20</v>
      </c>
      <c r="J2350" s="1" t="s">
        <v>10813</v>
      </c>
      <c r="K2350" s="1" t="s">
        <v>22</v>
      </c>
      <c r="L2350" s="1" t="str">
        <f>HYPERLINK("https://files.afu.se/Downloads/Transcripts/0%20-%20Government/USA%20-%20NASA/2014 10 06 - NASA - ISS Space Walk Briefing for Expedition Crew 41 from NASA's Johnson Space Center, Texas_nymxP4q0yTo - transcript (automated).pdf","Transcript Link")</f>
        <v>Transcript Link</v>
      </c>
      <c r="M2350" s="2" t="str">
        <f>HYPERLINK("https://files.afu.se/Downloads/Transcripts/0%20-%20Government/USA%20-%20NASA/2014 10 06 - NASA - ISS Space Walk Briefing for Expedition Crew 41 from NASA's Johnson Space Center, Texas_nymxP4q0yTo - transcript (automated).pdf","Transcript Link")</f>
        <v>Transcript Link</v>
      </c>
    </row>
    <row r="2351" ht="180" spans="1:13">
      <c r="A2351" s="1" t="s">
        <v>10814</v>
      </c>
      <c r="B2351" s="1" t="s">
        <v>13</v>
      </c>
      <c r="C2351" s="4" t="s">
        <v>10815</v>
      </c>
      <c r="D2351" s="1" t="s">
        <v>10816</v>
      </c>
      <c r="E2351" s="1" t="s">
        <v>10817</v>
      </c>
      <c r="F2351" s="4" t="s">
        <v>17</v>
      </c>
      <c r="G2351" s="1" t="s">
        <v>18</v>
      </c>
      <c r="H2351" s="1" t="s">
        <v>19</v>
      </c>
      <c r="I2351" s="1" t="s">
        <v>20</v>
      </c>
      <c r="J2351" s="1" t="s">
        <v>10818</v>
      </c>
      <c r="K2351" s="1" t="s">
        <v>22</v>
      </c>
      <c r="L2351" s="1" t="str">
        <f>HYPERLINK("https://files.afu.se/Downloads/Transcripts/0%20-%20Government/USA%20-%20NASA/2014 10 03 - NASA - Orion moved at Kennedy Space Center on This Week @NASA - October 3, 2014_mZtORUPr9jQ - transcript (automated).pdf","Transcript Link")</f>
        <v>Transcript Link</v>
      </c>
      <c r="M2351" s="2" t="str">
        <f>HYPERLINK("https://files.afu.se/Downloads/Transcripts/0%20-%20Government/USA%20-%20NASA/2014 10 03 - NASA - Orion moved at Kennedy Space Center on This Week @NASA - October 3, 2014_mZtORUPr9jQ - transcript (automated).pdf","Transcript Link")</f>
        <v>Transcript Link</v>
      </c>
    </row>
    <row r="2352" ht="165" spans="1:13">
      <c r="A2352" s="1" t="s">
        <v>10819</v>
      </c>
      <c r="B2352" s="1" t="s">
        <v>13</v>
      </c>
      <c r="C2352" s="4" t="s">
        <v>10820</v>
      </c>
      <c r="D2352" s="1" t="s">
        <v>10821</v>
      </c>
      <c r="E2352" s="1" t="s">
        <v>10822</v>
      </c>
      <c r="F2352" s="4" t="s">
        <v>17</v>
      </c>
      <c r="G2352" s="1" t="s">
        <v>18</v>
      </c>
      <c r="H2352" s="1" t="s">
        <v>19</v>
      </c>
      <c r="I2352" s="1" t="s">
        <v>20</v>
      </c>
      <c r="J2352" s="1" t="s">
        <v>10823</v>
      </c>
      <c r="K2352" s="1" t="s">
        <v>22</v>
      </c>
      <c r="L2352" s="1" t="str">
        <f>HYPERLINK("https://files.afu.se/Downloads/Transcripts/0%20-%20Government/USA%20-%20NASA/2014 10 01 - NASA - Conflict Resolution Day_NWwRALI55kY - transcript (automated).pdf","Transcript Link")</f>
        <v>Transcript Link</v>
      </c>
      <c r="M2352" s="2" t="str">
        <f>HYPERLINK("https://files.afu.se/Downloads/Transcripts/0%20-%20Government/USA%20-%20NASA/2014 10 01 - NASA - Conflict Resolution Day_NWwRALI55kY - transcript (automated).pdf","Transcript Link")</f>
        <v>Transcript Link</v>
      </c>
    </row>
    <row r="2353" ht="165" spans="1:13">
      <c r="A2353" s="1" t="s">
        <v>10824</v>
      </c>
      <c r="B2353" s="1" t="s">
        <v>13</v>
      </c>
      <c r="C2353" s="4" t="s">
        <v>10825</v>
      </c>
      <c r="D2353" s="1" t="s">
        <v>8565</v>
      </c>
      <c r="F2353" s="4" t="s">
        <v>17</v>
      </c>
      <c r="G2353" s="1" t="s">
        <v>18</v>
      </c>
      <c r="H2353" s="1" t="s">
        <v>19</v>
      </c>
      <c r="I2353" s="1" t="s">
        <v>20</v>
      </c>
      <c r="J2353" s="1" t="s">
        <v>10826</v>
      </c>
      <c r="K2353" s="1" t="s">
        <v>22</v>
      </c>
      <c r="L2353" s="1" t="str">
        <f>HYPERLINK("https://files.afu.se/Downloads/Transcripts/0%20-%20Government/USA%20-%20NASA/2014 09 30 - NASA - NASA and the Combined Federal Campaign_BZnykzJXIbo - transcript (automated).pdf","Transcript Link")</f>
        <v>Transcript Link</v>
      </c>
      <c r="M2353" s="2" t="str">
        <f>HYPERLINK("https://files.afu.se/Downloads/Transcripts/0%20-%20Government/USA%20-%20NASA/2014 09 30 - NASA - NASA and the Combined Federal Campaign_BZnykzJXIbo - transcript (automated).pdf","Transcript Link")</f>
        <v>Transcript Link</v>
      </c>
    </row>
    <row r="2354" ht="165" spans="1:13">
      <c r="A2354" s="1" t="s">
        <v>10827</v>
      </c>
      <c r="B2354" s="1" t="s">
        <v>13</v>
      </c>
      <c r="C2354" s="4" t="s">
        <v>10828</v>
      </c>
      <c r="D2354" s="1" t="s">
        <v>10829</v>
      </c>
      <c r="E2354" s="1" t="s">
        <v>10830</v>
      </c>
      <c r="F2354" s="4" t="s">
        <v>17</v>
      </c>
      <c r="G2354" s="1" t="s">
        <v>18</v>
      </c>
      <c r="H2354" s="1" t="s">
        <v>19</v>
      </c>
      <c r="I2354" s="1" t="s">
        <v>20</v>
      </c>
      <c r="J2354" s="1" t="s">
        <v>10831</v>
      </c>
      <c r="K2354" s="1" t="s">
        <v>22</v>
      </c>
      <c r="L2354" s="1" t="str">
        <f>HYPERLINK("https://files.afu.se/Downloads/Transcripts/0%20-%20Government/USA%20-%20NASA/2014 09 26 - NASA - New Crew Launches to the ISS on This Week @NASA - September 26, 2014_RkO4orNOcmY - transcript (automated).pdf","Transcript Link")</f>
        <v>Transcript Link</v>
      </c>
      <c r="M2354" s="2" t="str">
        <f>HYPERLINK("https://files.afu.se/Downloads/Transcripts/0%20-%20Government/USA%20-%20NASA/2014 09 26 - NASA - New Crew Launches to the ISS on This Week @NASA - September 26, 2014_RkO4orNOcmY - transcript (automated).pdf","Transcript Link")</f>
        <v>Transcript Link</v>
      </c>
    </row>
    <row r="2355" ht="270" spans="1:13">
      <c r="A2355" s="1" t="s">
        <v>10827</v>
      </c>
      <c r="B2355" s="1" t="s">
        <v>13</v>
      </c>
      <c r="C2355" s="4" t="s">
        <v>10832</v>
      </c>
      <c r="D2355" s="1" t="s">
        <v>10833</v>
      </c>
      <c r="E2355" s="1" t="s">
        <v>10834</v>
      </c>
      <c r="F2355" s="4" t="s">
        <v>17</v>
      </c>
      <c r="G2355" s="1" t="s">
        <v>18</v>
      </c>
      <c r="H2355" s="1" t="s">
        <v>19</v>
      </c>
      <c r="I2355" s="1" t="s">
        <v>20</v>
      </c>
      <c r="J2355" s="1" t="s">
        <v>10835</v>
      </c>
      <c r="K2355" s="1" t="s">
        <v>22</v>
      </c>
      <c r="L2355" s="1" t="str">
        <f>HYPERLINK("https://files.afu.se/Downloads/Transcripts/0%20-%20Government/USA%20-%20NASA/2014 09 26 - NASA - Expedition 41 42  Launches, Arrives, and Enters the International Space Station_BEtPwTzQGk8 - transcript (automated).pdf","Transcript Link")</f>
        <v>Transcript Link</v>
      </c>
      <c r="M2355" s="2" t="str">
        <f>HYPERLINK("https://files.afu.se/Downloads/Transcripts/0%20-%20Government/USA%20-%20NASA/2014 09 26 - NASA - Expedition 41 42  Launches, Arrives, and Enters the International Space Station_BEtPwTzQGk8 - transcript (automated).pdf","Transcript Link")</f>
        <v>Transcript Link</v>
      </c>
    </row>
    <row r="2356" ht="165" spans="1:13">
      <c r="A2356" s="1" t="s">
        <v>10827</v>
      </c>
      <c r="B2356" s="1" t="s">
        <v>13</v>
      </c>
      <c r="C2356" s="4" t="s">
        <v>10836</v>
      </c>
      <c r="D2356" s="1" t="s">
        <v>10837</v>
      </c>
      <c r="E2356" s="1" t="s">
        <v>10838</v>
      </c>
      <c r="F2356" s="4" t="s">
        <v>17</v>
      </c>
      <c r="G2356" s="1" t="s">
        <v>18</v>
      </c>
      <c r="H2356" s="1" t="s">
        <v>19</v>
      </c>
      <c r="I2356" s="1" t="s">
        <v>20</v>
      </c>
      <c r="J2356" s="1" t="s">
        <v>10839</v>
      </c>
      <c r="K2356" s="1" t="s">
        <v>22</v>
      </c>
      <c r="L2356" s="1" t="str">
        <f>HYPERLINK("https://files.afu.se/Downloads/Transcripts/0%20-%20Government/USA%20-%20NASA/2014 09 26 - NASA - Expedition 41 42 Crew Enters the International Space Station for the First Time_k8Uihe3ggfI - transcript (automated).pdf","Transcript Link")</f>
        <v>Transcript Link</v>
      </c>
      <c r="M2356" s="2" t="str">
        <f>HYPERLINK("https://files.afu.se/Downloads/Transcripts/0%20-%20Government/USA%20-%20NASA/2014 09 26 - NASA - Expedition 41 42 Crew Enters the International Space Station for the First Time_k8Uihe3ggfI - transcript (automated).pdf","Transcript Link")</f>
        <v>Transcript Link</v>
      </c>
    </row>
    <row r="2357" ht="165" spans="1:13">
      <c r="A2357" s="1" t="s">
        <v>10827</v>
      </c>
      <c r="B2357" s="1" t="s">
        <v>13</v>
      </c>
      <c r="C2357" s="4" t="s">
        <v>10840</v>
      </c>
      <c r="D2357" s="1" t="s">
        <v>10841</v>
      </c>
      <c r="E2357" s="1" t="s">
        <v>10842</v>
      </c>
      <c r="F2357" s="4" t="s">
        <v>17</v>
      </c>
      <c r="G2357" s="1" t="s">
        <v>18</v>
      </c>
      <c r="H2357" s="1" t="s">
        <v>19</v>
      </c>
      <c r="I2357" s="1" t="s">
        <v>20</v>
      </c>
      <c r="J2357" s="1" t="s">
        <v>10843</v>
      </c>
      <c r="K2357" s="1" t="s">
        <v>22</v>
      </c>
      <c r="L2357" s="1" t="str">
        <f>HYPERLINK("https://files.afu.se/Downloads/Transcripts/0%20-%20Government/USA%20-%20NASA/2014 09 26 - NASA - Expedition 41 42 Crew Docks to the International Space Station_O99lOZOfCK4 - transcript (automated).pdf","Transcript Link")</f>
        <v>Transcript Link</v>
      </c>
      <c r="M2357" s="2" t="str">
        <f>HYPERLINK("https://files.afu.se/Downloads/Transcripts/0%20-%20Government/USA%20-%20NASA/2014 09 26 - NASA - Expedition 41 42 Crew Docks to the International Space Station_O99lOZOfCK4 - transcript (automated).pdf","Transcript Link")</f>
        <v>Transcript Link</v>
      </c>
    </row>
    <row r="2358" ht="165" spans="1:13">
      <c r="A2358" s="1" t="s">
        <v>10844</v>
      </c>
      <c r="B2358" s="1" t="s">
        <v>13</v>
      </c>
      <c r="C2358" s="4" t="s">
        <v>10845</v>
      </c>
      <c r="D2358" s="1" t="s">
        <v>10846</v>
      </c>
      <c r="E2358" s="1" t="s">
        <v>10847</v>
      </c>
      <c r="F2358" s="4" t="s">
        <v>17</v>
      </c>
      <c r="G2358" s="1" t="s">
        <v>18</v>
      </c>
      <c r="H2358" s="1" t="s">
        <v>19</v>
      </c>
      <c r="I2358" s="1" t="s">
        <v>20</v>
      </c>
      <c r="J2358" s="1" t="s">
        <v>10848</v>
      </c>
      <c r="K2358" s="1" t="s">
        <v>22</v>
      </c>
      <c r="L2358" s="1" t="str">
        <f>HYPERLINK("https://files.afu.se/Downloads/Transcripts/0%20-%20Government/USA%20-%20NASA/2014 09 25 - NASA - Expedition 41 42 Launches to the International Space Station_-I6JPWJKTbg - transcript (automated).pdf","Transcript Link")</f>
        <v>Transcript Link</v>
      </c>
      <c r="M2358" s="2" t="str">
        <f>HYPERLINK("https://files.afu.se/Downloads/Transcripts/0%20-%20Government/USA%20-%20NASA/2014 09 25 - NASA - Expedition 41 42 Launches to the International Space Station_-I6JPWJKTbg - transcript (automated).pdf","Transcript Link")</f>
        <v>Transcript Link</v>
      </c>
    </row>
    <row r="2359" ht="225" spans="1:13">
      <c r="A2359" s="1" t="s">
        <v>10849</v>
      </c>
      <c r="B2359" s="1" t="s">
        <v>13</v>
      </c>
      <c r="C2359" s="4" t="s">
        <v>10850</v>
      </c>
      <c r="D2359" s="1" t="s">
        <v>10851</v>
      </c>
      <c r="E2359" s="1" t="s">
        <v>10852</v>
      </c>
      <c r="F2359" s="4" t="s">
        <v>17</v>
      </c>
      <c r="G2359" s="1" t="s">
        <v>18</v>
      </c>
      <c r="H2359" s="1" t="s">
        <v>19</v>
      </c>
      <c r="I2359" s="1" t="s">
        <v>20</v>
      </c>
      <c r="J2359" s="1" t="s">
        <v>10853</v>
      </c>
      <c r="K2359" s="1" t="s">
        <v>22</v>
      </c>
      <c r="L2359" s="1" t="str">
        <f>HYPERLINK("https://files.afu.se/Downloads/Transcripts/0%20-%20Government/USA%20-%20NASA/2014 09 24 - NASA - Space Station Crew Member Discusses the Future with Former President Clinton_-riwCepog-o - transcript (automated).pdf","Transcript Link")</f>
        <v>Transcript Link</v>
      </c>
      <c r="M2359" s="2" t="str">
        <f>HYPERLINK("https://files.afu.se/Downloads/Transcripts/0%20-%20Government/USA%20-%20NASA/2014 09 24 - NASA - Space Station Crew Member Discusses the Future with Former President Clinton_-riwCepog-o - transcript (automated).pdf","Transcript Link")</f>
        <v>Transcript Link</v>
      </c>
    </row>
    <row r="2360" ht="165" spans="1:13">
      <c r="A2360" s="1" t="s">
        <v>10849</v>
      </c>
      <c r="B2360" s="1" t="s">
        <v>13</v>
      </c>
      <c r="C2360" s="4" t="s">
        <v>10854</v>
      </c>
      <c r="D2360" s="1" t="s">
        <v>10855</v>
      </c>
      <c r="E2360" s="1" t="s">
        <v>10856</v>
      </c>
      <c r="F2360" s="4" t="s">
        <v>17</v>
      </c>
      <c r="G2360" s="1" t="s">
        <v>18</v>
      </c>
      <c r="H2360" s="1" t="s">
        <v>19</v>
      </c>
      <c r="I2360" s="1" t="s">
        <v>20</v>
      </c>
      <c r="J2360" s="1" t="s">
        <v>10857</v>
      </c>
      <c r="K2360" s="1" t="s">
        <v>22</v>
      </c>
      <c r="L2360" s="1" t="str">
        <f>HYPERLINK("https://files.afu.se/Downloads/Transcripts/0%20-%20Government/USA%20-%20NASA/2014 09 24 - NASA - MAVEN Arrives at Mars_qPD647b3HXg - transcript (automated).pdf","Transcript Link")</f>
        <v>Transcript Link</v>
      </c>
      <c r="M2360" s="2" t="str">
        <f>HYPERLINK("https://files.afu.se/Downloads/Transcripts/0%20-%20Government/USA%20-%20NASA/2014 09 24 - NASA - MAVEN Arrives at Mars_qPD647b3HXg - transcript (automated).pdf","Transcript Link")</f>
        <v>Transcript Link</v>
      </c>
    </row>
    <row r="2361" ht="210" spans="1:13">
      <c r="A2361" s="1" t="s">
        <v>10849</v>
      </c>
      <c r="B2361" s="1" t="s">
        <v>13</v>
      </c>
      <c r="C2361" s="4" t="s">
        <v>10858</v>
      </c>
      <c r="D2361" s="1" t="s">
        <v>10859</v>
      </c>
      <c r="E2361" s="1" t="s">
        <v>10860</v>
      </c>
      <c r="F2361" s="4" t="s">
        <v>17</v>
      </c>
      <c r="G2361" s="1" t="s">
        <v>18</v>
      </c>
      <c r="H2361" s="1" t="s">
        <v>19</v>
      </c>
      <c r="I2361" s="1" t="s">
        <v>20</v>
      </c>
      <c r="J2361" s="1" t="s">
        <v>10861</v>
      </c>
      <c r="K2361" s="1" t="s">
        <v>22</v>
      </c>
      <c r="L2361" s="1" t="str">
        <f>HYPERLINK("https://files.afu.se/Downloads/Transcripts/0%20-%20Government/USA%20-%20NASA/2014 09 24 - NASA - Expedition 41 42 Crew Meets Russian Commission Officials and Reporters as Launch Approaches_HROoSDMd4Ag - transcript (automated).pdf","Transcript Link")</f>
        <v>Transcript Link</v>
      </c>
      <c r="M2361" s="2" t="str">
        <f>HYPERLINK("https://files.afu.se/Downloads/Transcripts/0%20-%20Government/USA%20-%20NASA/2014 09 24 - NASA - Expedition 41 42 Crew Meets Russian Commission Officials and Reporters as Launch Approaches_HROoSDMd4Ag - transcript (automated).pdf","Transcript Link")</f>
        <v>Transcript Link</v>
      </c>
    </row>
    <row r="2362" ht="165" spans="1:13">
      <c r="A2362" s="1" t="s">
        <v>10849</v>
      </c>
      <c r="B2362" s="1" t="s">
        <v>13</v>
      </c>
      <c r="C2362" s="4" t="s">
        <v>10862</v>
      </c>
      <c r="D2362" s="1" t="s">
        <v>10863</v>
      </c>
      <c r="E2362" s="1" t="s">
        <v>10864</v>
      </c>
      <c r="F2362" s="4" t="s">
        <v>17</v>
      </c>
      <c r="G2362" s="1" t="s">
        <v>18</v>
      </c>
      <c r="H2362" s="1" t="s">
        <v>19</v>
      </c>
      <c r="I2362" s="1" t="s">
        <v>20</v>
      </c>
      <c r="J2362" s="1" t="s">
        <v>10865</v>
      </c>
      <c r="K2362" s="1" t="s">
        <v>22</v>
      </c>
      <c r="L2362" s="1" t="str">
        <f>HYPERLINK("https://files.afu.se/Downloads/Transcripts/0%20-%20Government/USA%20-%20NASA/2014 09 24 - NASA - The Expedition 41 42 Soyuz Rocket Moves to Its Launch Pad_ENDpURNxDr4 - transcript (automated).pdf","Transcript Link")</f>
        <v>Transcript Link</v>
      </c>
      <c r="M2362" s="2" t="str">
        <f>HYPERLINK("https://files.afu.se/Downloads/Transcripts/0%20-%20Government/USA%20-%20NASA/2014 09 24 - NASA - The Expedition 41 42 Soyuz Rocket Moves to Its Launch Pad_ENDpURNxDr4 - transcript (automated).pdf","Transcript Link")</f>
        <v>Transcript Link</v>
      </c>
    </row>
    <row r="2363" ht="180" spans="1:13">
      <c r="A2363" s="1" t="s">
        <v>10866</v>
      </c>
      <c r="B2363" s="1" t="s">
        <v>13</v>
      </c>
      <c r="C2363" s="4" t="s">
        <v>10867</v>
      </c>
      <c r="D2363" s="1" t="s">
        <v>10868</v>
      </c>
      <c r="E2363" s="1" t="s">
        <v>10869</v>
      </c>
      <c r="F2363" s="4" t="s">
        <v>17</v>
      </c>
      <c r="G2363" s="1" t="s">
        <v>18</v>
      </c>
      <c r="H2363" s="1" t="s">
        <v>19</v>
      </c>
      <c r="I2363" s="1" t="s">
        <v>20</v>
      </c>
      <c r="J2363" s="1" t="s">
        <v>10870</v>
      </c>
      <c r="K2363" s="1" t="s">
        <v>22</v>
      </c>
      <c r="L2363" s="1" t="str">
        <f>HYPERLINK("https://files.afu.se/Downloads/Transcripts/0%20-%20Government/USA%20-%20NASA/2014 09 23 - NASA - U S Cargo Ship Arrives and Grapples at the International Space Station_DxeGTQX5mRg - transcript (automated).pdf","Transcript Link")</f>
        <v>Transcript Link</v>
      </c>
      <c r="M2363" s="2" t="str">
        <f>HYPERLINK("https://files.afu.se/Downloads/Transcripts/0%20-%20Government/USA%20-%20NASA/2014 09 23 - NASA - U S Cargo Ship Arrives and Grapples at the International Space Station_DxeGTQX5mRg - transcript (automated).pdf","Transcript Link")</f>
        <v>Transcript Link</v>
      </c>
    </row>
    <row r="2364" ht="165" spans="1:13">
      <c r="A2364" s="1" t="s">
        <v>10871</v>
      </c>
      <c r="B2364" s="1" t="s">
        <v>13</v>
      </c>
      <c r="C2364" s="4" t="s">
        <v>10872</v>
      </c>
      <c r="D2364" s="1" t="s">
        <v>10873</v>
      </c>
      <c r="E2364" s="1" t="s">
        <v>10874</v>
      </c>
      <c r="F2364" s="4" t="s">
        <v>17</v>
      </c>
      <c r="G2364" s="1" t="s">
        <v>18</v>
      </c>
      <c r="H2364" s="1" t="s">
        <v>19</v>
      </c>
      <c r="I2364" s="1" t="s">
        <v>20</v>
      </c>
      <c r="J2364" s="1" t="s">
        <v>10875</v>
      </c>
      <c r="K2364" s="1" t="s">
        <v>22</v>
      </c>
      <c r="L2364" s="1" t="str">
        <f>HYPERLINK("https://files.afu.se/Downloads/Transcripts/0%20-%20Government/USA%20-%20NASA/2014 09 22 - NASA - The Expedition 41 42 Soyuz Spacecraft and Crew are Prepared for Launch_RajMklyfGpQ - transcript (automated).pdf","Transcript Link")</f>
        <v>Transcript Link</v>
      </c>
      <c r="M2364" s="2" t="str">
        <f>HYPERLINK("https://files.afu.se/Downloads/Transcripts/0%20-%20Government/USA%20-%20NASA/2014 09 22 - NASA - The Expedition 41 42 Soyuz Spacecraft and Crew are Prepared for Launch_RajMklyfGpQ - transcript (automated).pdf","Transcript Link")</f>
        <v>Transcript Link</v>
      </c>
    </row>
    <row r="2365" ht="195" spans="1:13">
      <c r="A2365" s="1" t="s">
        <v>10871</v>
      </c>
      <c r="B2365" s="1" t="s">
        <v>13</v>
      </c>
      <c r="C2365" s="4" t="s">
        <v>10876</v>
      </c>
      <c r="D2365" s="1" t="s">
        <v>10877</v>
      </c>
      <c r="E2365" s="1" t="s">
        <v>10878</v>
      </c>
      <c r="F2365" s="4" t="s">
        <v>17</v>
      </c>
      <c r="G2365" s="1" t="s">
        <v>18</v>
      </c>
      <c r="H2365" s="1" t="s">
        <v>19</v>
      </c>
      <c r="I2365" s="1" t="s">
        <v>20</v>
      </c>
      <c r="J2365" s="1" t="s">
        <v>10879</v>
      </c>
      <c r="K2365" s="1" t="s">
        <v>22</v>
      </c>
      <c r="L2365" s="1" t="str">
        <f>HYPERLINK("https://files.afu.se/Downloads/Transcripts/0%20-%20Government/USA%20-%20NASA/2014 09 22 - NASA - Returning Human Spaceflight to America on This Week @NASA - September 22, 2014_FJPl70WZtJ0 - transcript (automated).pdf","Transcript Link")</f>
        <v>Transcript Link</v>
      </c>
      <c r="M2365" s="2" t="str">
        <f>HYPERLINK("https://files.afu.se/Downloads/Transcripts/0%20-%20Government/USA%20-%20NASA/2014 09 22 - NASA - Returning Human Spaceflight to America on This Week @NASA - September 22, 2014_FJPl70WZtJ0 - transcript (automated).pdf","Transcript Link")</f>
        <v>Transcript Link</v>
      </c>
    </row>
    <row r="2366" ht="315" spans="1:13">
      <c r="A2366" s="1" t="s">
        <v>10871</v>
      </c>
      <c r="B2366" s="1" t="s">
        <v>13</v>
      </c>
      <c r="C2366" s="4" t="s">
        <v>10880</v>
      </c>
      <c r="D2366" s="1" t="s">
        <v>10881</v>
      </c>
      <c r="E2366" s="1" t="s">
        <v>10882</v>
      </c>
      <c r="F2366" s="4" t="s">
        <v>17</v>
      </c>
      <c r="G2366" s="1" t="s">
        <v>18</v>
      </c>
      <c r="H2366" s="1" t="s">
        <v>19</v>
      </c>
      <c r="I2366" s="1" t="s">
        <v>20</v>
      </c>
      <c r="J2366" s="1" t="s">
        <v>10883</v>
      </c>
      <c r="K2366" s="1" t="s">
        <v>22</v>
      </c>
      <c r="L2366" s="1" t="str">
        <f>HYPERLINK("https://files.afu.se/Downloads/Transcripts/0%20-%20Government/USA%20-%20NASA/2014 09 22 - NASA - MAVEN Post Mars Orbit Insertion News Conference_tILvsZ0j4Ac - transcript (automated).pdf","Transcript Link")</f>
        <v>Transcript Link</v>
      </c>
      <c r="M2366" s="2" t="str">
        <f>HYPERLINK("https://files.afu.se/Downloads/Transcripts/0%20-%20Government/USA%20-%20NASA/2014 09 22 - NASA - MAVEN Post Mars Orbit Insertion News Conference_tILvsZ0j4Ac - transcript (automated).pdf","Transcript Link")</f>
        <v>Transcript Link</v>
      </c>
    </row>
    <row r="2367" ht="165" spans="1:13">
      <c r="A2367" s="1" t="s">
        <v>10884</v>
      </c>
      <c r="B2367" s="1" t="s">
        <v>13</v>
      </c>
      <c r="C2367" s="4" t="s">
        <v>10885</v>
      </c>
      <c r="D2367" s="1" t="s">
        <v>10886</v>
      </c>
      <c r="E2367" s="1" t="s">
        <v>10887</v>
      </c>
      <c r="F2367" s="4" t="s">
        <v>17</v>
      </c>
      <c r="G2367" s="1" t="s">
        <v>18</v>
      </c>
      <c r="H2367" s="1" t="s">
        <v>19</v>
      </c>
      <c r="I2367" s="1" t="s">
        <v>20</v>
      </c>
      <c r="J2367" s="1" t="s">
        <v>10888</v>
      </c>
      <c r="K2367" s="1" t="s">
        <v>22</v>
      </c>
      <c r="L2367" s="1" t="str">
        <f>HYPERLINK("https://files.afu.se/Downloads/Transcripts/0%20-%20Government/USA%20-%20NASA/2014 09 21 - NASA - SpaceX CRS-4 Post Launch Briefing_GmMOM2uJdKk - transcript (automated).pdf","Transcript Link")</f>
        <v>Transcript Link</v>
      </c>
      <c r="M2367" s="2" t="str">
        <f>HYPERLINK("https://files.afu.se/Downloads/Transcripts/0%20-%20Government/USA%20-%20NASA/2014 09 21 - NASA - SpaceX CRS-4 Post Launch Briefing_GmMOM2uJdKk - transcript (automated).pdf","Transcript Link")</f>
        <v>Transcript Link</v>
      </c>
    </row>
    <row r="2368" ht="165" spans="1:13">
      <c r="A2368" s="1" t="s">
        <v>10884</v>
      </c>
      <c r="B2368" s="1" t="s">
        <v>13</v>
      </c>
      <c r="C2368" s="4" t="s">
        <v>10889</v>
      </c>
      <c r="D2368" s="1" t="s">
        <v>10890</v>
      </c>
      <c r="E2368" s="1" t="s">
        <v>10891</v>
      </c>
      <c r="F2368" s="4" t="s">
        <v>17</v>
      </c>
      <c r="G2368" s="1" t="s">
        <v>18</v>
      </c>
      <c r="H2368" s="1" t="s">
        <v>19</v>
      </c>
      <c r="I2368" s="1" t="s">
        <v>20</v>
      </c>
      <c r="J2368" s="1" t="s">
        <v>10892</v>
      </c>
      <c r="K2368" s="1" t="s">
        <v>22</v>
      </c>
      <c r="L2368" s="1" t="str">
        <f>HYPERLINK("https://files.afu.se/Downloads/Transcripts/0%20-%20Government/USA%20-%20NASA/2014 09 21 - NASA - SpaceX Dragon launches to the ISS_kbivNwbD9to - transcript (automated).pdf","Transcript Link")</f>
        <v>Transcript Link</v>
      </c>
      <c r="M2368" s="2" t="str">
        <f>HYPERLINK("https://files.afu.se/Downloads/Transcripts/0%20-%20Government/USA%20-%20NASA/2014 09 21 - NASA - SpaceX Dragon launches to the ISS_kbivNwbD9to - transcript (automated).pdf","Transcript Link")</f>
        <v>Transcript Link</v>
      </c>
    </row>
    <row r="2369" ht="165" spans="1:13">
      <c r="A2369" s="1" t="s">
        <v>10893</v>
      </c>
      <c r="B2369" s="1" t="s">
        <v>13</v>
      </c>
      <c r="C2369" s="4" t="s">
        <v>10894</v>
      </c>
      <c r="D2369" s="1" t="s">
        <v>10895</v>
      </c>
      <c r="E2369" s="1" t="s">
        <v>10896</v>
      </c>
      <c r="F2369" s="4" t="s">
        <v>17</v>
      </c>
      <c r="G2369" s="1" t="s">
        <v>18</v>
      </c>
      <c r="H2369" s="1" t="s">
        <v>19</v>
      </c>
      <c r="I2369" s="1" t="s">
        <v>20</v>
      </c>
      <c r="J2369" s="1" t="s">
        <v>10897</v>
      </c>
      <c r="K2369" s="1" t="s">
        <v>22</v>
      </c>
      <c r="L2369" s="1" t="str">
        <f>HYPERLINK("https://files.afu.se/Downloads/Transcripts/0%20-%20Government/USA%20-%20NASA/2014 09 19 - NASA - Next SpaceX mission to ISS previewed_9TUQ52907ew - transcript (automated).pdf","Transcript Link")</f>
        <v>Transcript Link</v>
      </c>
      <c r="M2369" s="2" t="str">
        <f>HYPERLINK("https://files.afu.se/Downloads/Transcripts/0%20-%20Government/USA%20-%20NASA/2014 09 19 - NASA - Next SpaceX mission to ISS previewed_9TUQ52907ew - transcript (automated).pdf","Transcript Link")</f>
        <v>Transcript Link</v>
      </c>
    </row>
    <row r="2370" ht="165" spans="1:13">
      <c r="A2370" s="1" t="s">
        <v>10893</v>
      </c>
      <c r="B2370" s="1" t="s">
        <v>13</v>
      </c>
      <c r="C2370" s="4" t="s">
        <v>10898</v>
      </c>
      <c r="D2370" s="1" t="s">
        <v>10899</v>
      </c>
      <c r="E2370" s="1" t="s">
        <v>10900</v>
      </c>
      <c r="F2370" s="4" t="s">
        <v>17</v>
      </c>
      <c r="G2370" s="1" t="s">
        <v>18</v>
      </c>
      <c r="H2370" s="1" t="s">
        <v>19</v>
      </c>
      <c r="I2370" s="1" t="s">
        <v>20</v>
      </c>
      <c r="J2370" s="1" t="s">
        <v>10901</v>
      </c>
      <c r="K2370" s="1" t="s">
        <v>22</v>
      </c>
      <c r="L2370" s="1" t="str">
        <f>HYPERLINK("https://files.afu.se/Downloads/Transcripts/0%20-%20Government/USA%20-%20NASA/2014 09 19 - NASA - ISS “View from the Top” Briefing_I8Xou0VU4LA - transcript (automated).pdf","Transcript Link")</f>
        <v>Transcript Link</v>
      </c>
      <c r="M2370" s="2" t="str">
        <f>HYPERLINK("https://files.afu.se/Downloads/Transcripts/0%20-%20Government/USA%20-%20NASA/2014 09 19 - NASA - ISS “View from the Top” Briefing_I8Xou0VU4LA - transcript (automated).pdf","Transcript Link")</f>
        <v>Transcript Link</v>
      </c>
    </row>
    <row r="2371" ht="165" spans="1:13">
      <c r="A2371" s="1" t="s">
        <v>10902</v>
      </c>
      <c r="B2371" s="1" t="s">
        <v>13</v>
      </c>
      <c r="C2371" s="4" t="s">
        <v>10903</v>
      </c>
      <c r="D2371" s="1" t="s">
        <v>10904</v>
      </c>
      <c r="E2371" s="1" t="s">
        <v>10905</v>
      </c>
      <c r="F2371" s="4" t="s">
        <v>17</v>
      </c>
      <c r="G2371" s="1" t="s">
        <v>18</v>
      </c>
      <c r="H2371" s="1" t="s">
        <v>19</v>
      </c>
      <c r="I2371" s="1" t="s">
        <v>20</v>
      </c>
      <c r="J2371" s="1" t="s">
        <v>10906</v>
      </c>
      <c r="K2371" s="1" t="s">
        <v>22</v>
      </c>
      <c r="L2371" s="1" t="str">
        <f>HYPERLINK("https://files.afu.se/Downloads/Transcripts/0%20-%20Government/USA%20-%20NASA/2014 09 18 - NASA - Crew Members Headed to ISS Preview Their Mission_mb29WucJwoA - transcript (automated).pdf","Transcript Link")</f>
        <v>Transcript Link</v>
      </c>
      <c r="M2371" s="2" t="str">
        <f>HYPERLINK("https://files.afu.se/Downloads/Transcripts/0%20-%20Government/USA%20-%20NASA/2014 09 18 - NASA - Crew Members Headed to ISS Preview Their Mission_mb29WucJwoA - transcript (automated).pdf","Transcript Link")</f>
        <v>Transcript Link</v>
      </c>
    </row>
    <row r="2372" ht="165" spans="1:13">
      <c r="A2372" s="1" t="s">
        <v>10902</v>
      </c>
      <c r="B2372" s="1" t="s">
        <v>13</v>
      </c>
      <c r="C2372" s="4" t="s">
        <v>10907</v>
      </c>
      <c r="D2372" s="1" t="s">
        <v>10908</v>
      </c>
      <c r="E2372" s="1" t="s">
        <v>10909</v>
      </c>
      <c r="F2372" s="4" t="s">
        <v>17</v>
      </c>
      <c r="G2372" s="1" t="s">
        <v>18</v>
      </c>
      <c r="H2372" s="1" t="s">
        <v>19</v>
      </c>
      <c r="I2372" s="1" t="s">
        <v>20</v>
      </c>
      <c r="J2372" s="1" t="s">
        <v>10910</v>
      </c>
      <c r="K2372" s="1" t="s">
        <v>22</v>
      </c>
      <c r="L2372" s="1" t="str">
        <f>HYPERLINK("https://files.afu.se/Downloads/Transcripts/0%20-%20Government/USA%20-%20NASA/2014 09 18 - NASA - SpaceX CRS-4 Model Organisms Cargo Previewed_laPX7h9W9To - transcript (automated).pdf","Transcript Link")</f>
        <v>Transcript Link</v>
      </c>
      <c r="M2372" s="2" t="str">
        <f>HYPERLINK("https://files.afu.se/Downloads/Transcripts/0%20-%20Government/USA%20-%20NASA/2014 09 18 - NASA - SpaceX CRS-4 Model Organisms Cargo Previewed_laPX7h9W9To - transcript (automated).pdf","Transcript Link")</f>
        <v>Transcript Link</v>
      </c>
    </row>
    <row r="2373" ht="165" spans="1:13">
      <c r="A2373" s="1" t="s">
        <v>10902</v>
      </c>
      <c r="B2373" s="1" t="s">
        <v>13</v>
      </c>
      <c r="C2373" s="4" t="s">
        <v>10911</v>
      </c>
      <c r="D2373" s="1" t="s">
        <v>10912</v>
      </c>
      <c r="E2373" s="1" t="s">
        <v>10913</v>
      </c>
      <c r="F2373" s="4" t="s">
        <v>17</v>
      </c>
      <c r="G2373" s="1" t="s">
        <v>18</v>
      </c>
      <c r="H2373" s="1" t="s">
        <v>19</v>
      </c>
      <c r="I2373" s="1" t="s">
        <v>20</v>
      </c>
      <c r="J2373" s="1" t="s">
        <v>10914</v>
      </c>
      <c r="K2373" s="1" t="s">
        <v>22</v>
      </c>
      <c r="L2373" s="1" t="str">
        <f>HYPERLINK("https://files.afu.se/Downloads/Transcripts/0%20-%20Government/USA%20-%20NASA/2014 09 18 - NASA - ISS Astronaut Helps Make a Difference from space_nuyVedH-I0o - transcript (automated).pdf","Transcript Link")</f>
        <v>Transcript Link</v>
      </c>
      <c r="M2373" s="2" t="str">
        <f>HYPERLINK("https://files.afu.se/Downloads/Transcripts/0%20-%20Government/USA%20-%20NASA/2014 09 18 - NASA - ISS Astronaut Helps Make a Difference from space_nuyVedH-I0o - transcript (automated).pdf","Transcript Link")</f>
        <v>Transcript Link</v>
      </c>
    </row>
    <row r="2374" ht="165" spans="1:13">
      <c r="A2374" s="1" t="s">
        <v>10902</v>
      </c>
      <c r="B2374" s="1" t="s">
        <v>13</v>
      </c>
      <c r="C2374" s="4" t="s">
        <v>10915</v>
      </c>
      <c r="D2374" s="1" t="s">
        <v>10916</v>
      </c>
      <c r="E2374" s="1" t="s">
        <v>10917</v>
      </c>
      <c r="F2374" s="4" t="s">
        <v>17</v>
      </c>
      <c r="G2374" s="1" t="s">
        <v>18</v>
      </c>
      <c r="H2374" s="1" t="s">
        <v>19</v>
      </c>
      <c r="I2374" s="1" t="s">
        <v>20</v>
      </c>
      <c r="J2374" s="1" t="s">
        <v>10918</v>
      </c>
      <c r="K2374" s="1" t="s">
        <v>22</v>
      </c>
      <c r="L2374" s="1" t="str">
        <f>HYPERLINK("https://files.afu.se/Downloads/Transcripts/0%20-%20Government/USA%20-%20NASA/2014 09 18 - NASA - SpaceX CRS-4 Technology Cargo Previewed_4x_yvE_M11w - transcript (automated).pdf","Transcript Link")</f>
        <v>Transcript Link</v>
      </c>
      <c r="M2374" s="2" t="str">
        <f>HYPERLINK("https://files.afu.se/Downloads/Transcripts/0%20-%20Government/USA%20-%20NASA/2014 09 18 - NASA - SpaceX CRS-4 Technology Cargo Previewed_4x_yvE_M11w - transcript (automated).pdf","Transcript Link")</f>
        <v>Transcript Link</v>
      </c>
    </row>
    <row r="2375" ht="165" spans="1:13">
      <c r="A2375" s="1" t="s">
        <v>10902</v>
      </c>
      <c r="B2375" s="1" t="s">
        <v>13</v>
      </c>
      <c r="C2375" s="4" t="s">
        <v>10919</v>
      </c>
      <c r="D2375" s="1" t="s">
        <v>10920</v>
      </c>
      <c r="E2375" s="1" t="s">
        <v>10921</v>
      </c>
      <c r="F2375" s="4" t="s">
        <v>17</v>
      </c>
      <c r="G2375" s="1" t="s">
        <v>18</v>
      </c>
      <c r="H2375" s="1" t="s">
        <v>19</v>
      </c>
      <c r="I2375" s="1" t="s">
        <v>20</v>
      </c>
      <c r="J2375" s="1" t="s">
        <v>10922</v>
      </c>
      <c r="K2375" s="1" t="s">
        <v>22</v>
      </c>
      <c r="L2375" s="1" t="str">
        <f>HYPERLINK("https://files.afu.se/Downloads/Transcripts/0%20-%20Government/USA%20-%20NASA/2014 09 18 - NASA - SpaceX CRS-4 Earth Science Cargo Previewed_5Y7ufkhlHKI - transcript (automated).pdf","Transcript Link")</f>
        <v>Transcript Link</v>
      </c>
      <c r="M2375" s="2" t="str">
        <f>HYPERLINK("https://files.afu.se/Downloads/Transcripts/0%20-%20Government/USA%20-%20NASA/2014 09 18 - NASA - SpaceX CRS-4 Earth Science Cargo Previewed_5Y7ufkhlHKI - transcript (automated).pdf","Transcript Link")</f>
        <v>Transcript Link</v>
      </c>
    </row>
    <row r="2376" ht="165" spans="1:13">
      <c r="A2376" s="1" t="s">
        <v>10902</v>
      </c>
      <c r="B2376" s="1" t="s">
        <v>13</v>
      </c>
      <c r="C2376" s="4" t="s">
        <v>10923</v>
      </c>
      <c r="D2376" s="1" t="s">
        <v>10924</v>
      </c>
      <c r="E2376" s="1" t="s">
        <v>10925</v>
      </c>
      <c r="F2376" s="4" t="s">
        <v>17</v>
      </c>
      <c r="G2376" s="1" t="s">
        <v>18</v>
      </c>
      <c r="H2376" s="1" t="s">
        <v>19</v>
      </c>
      <c r="I2376" s="1" t="s">
        <v>20</v>
      </c>
      <c r="J2376" s="1" t="s">
        <v>10926</v>
      </c>
      <c r="K2376" s="1" t="s">
        <v>22</v>
      </c>
      <c r="L2376" s="1" t="str">
        <f>HYPERLINK("https://files.afu.se/Downloads/Transcripts/0%20-%20Government/USA%20-%20NASA/2014 09 18 - NASA - Next Space Station Crew Prepares for Launch_R2pRE1TX4Y0 - transcript (automated).pdf","Transcript Link")</f>
        <v>Transcript Link</v>
      </c>
      <c r="M2376" s="2" t="str">
        <f>HYPERLINK("https://files.afu.se/Downloads/Transcripts/0%20-%20Government/USA%20-%20NASA/2014 09 18 - NASA - Next Space Station Crew Prepares for Launch_R2pRE1TX4Y0 - transcript (automated).pdf","Transcript Link")</f>
        <v>Transcript Link</v>
      </c>
    </row>
    <row r="2377" ht="165" spans="1:13">
      <c r="A2377" s="1" t="s">
        <v>10927</v>
      </c>
      <c r="B2377" s="1" t="s">
        <v>13</v>
      </c>
      <c r="C2377" s="4" t="s">
        <v>10928</v>
      </c>
      <c r="D2377" s="1" t="s">
        <v>10929</v>
      </c>
      <c r="E2377" s="1" t="s">
        <v>10930</v>
      </c>
      <c r="F2377" s="4" t="s">
        <v>17</v>
      </c>
      <c r="G2377" s="1" t="s">
        <v>18</v>
      </c>
      <c r="H2377" s="1" t="s">
        <v>19</v>
      </c>
      <c r="I2377" s="1" t="s">
        <v>20</v>
      </c>
      <c r="J2377" s="1" t="s">
        <v>10931</v>
      </c>
      <c r="K2377" s="1" t="s">
        <v>22</v>
      </c>
      <c r="L2377" s="1" t="str">
        <f>HYPERLINK("https://files.afu.se/Downloads/Transcripts/0%20-%20Government/USA%20-%20NASA/2014 09 17 - NASA - Arrival of Spacecraft at Mars, Previewed_MJQBTWKhSgo - transcript (automated).pdf","Transcript Link")</f>
        <v>Transcript Link</v>
      </c>
      <c r="M2377" s="2" t="str">
        <f>HYPERLINK("https://files.afu.se/Downloads/Transcripts/0%20-%20Government/USA%20-%20NASA/2014 09 17 - NASA - Arrival of Spacecraft at Mars, Previewed_MJQBTWKhSgo - transcript (automated).pdf","Transcript Link")</f>
        <v>Transcript Link</v>
      </c>
    </row>
    <row r="2378" ht="165" spans="1:13">
      <c r="A2378" s="1" t="s">
        <v>10927</v>
      </c>
      <c r="B2378" s="1" t="s">
        <v>13</v>
      </c>
      <c r="C2378" s="4" t="s">
        <v>10932</v>
      </c>
      <c r="D2378" s="1" t="s">
        <v>10933</v>
      </c>
      <c r="E2378" s="1" t="s">
        <v>10934</v>
      </c>
      <c r="F2378" s="4" t="s">
        <v>17</v>
      </c>
      <c r="G2378" s="1" t="s">
        <v>18</v>
      </c>
      <c r="H2378" s="1" t="s">
        <v>19</v>
      </c>
      <c r="I2378" s="1" t="s">
        <v>20</v>
      </c>
      <c r="J2378" s="1" t="s">
        <v>10935</v>
      </c>
      <c r="K2378" s="1" t="s">
        <v>22</v>
      </c>
      <c r="L2378" s="1" t="str">
        <f>HYPERLINK("https://files.afu.se/Downloads/Transcripts/0%20-%20Government/USA%20-%20NASA/2014 09 17 - NASA - European Astronaut Answers Questions from Space_Oq0DqAyh_NA - transcript (automated).pdf","Transcript Link")</f>
        <v>Transcript Link</v>
      </c>
      <c r="M2378" s="2" t="str">
        <f>HYPERLINK("https://files.afu.se/Downloads/Transcripts/0%20-%20Government/USA%20-%20NASA/2014 09 17 - NASA - European Astronaut Answers Questions from Space_Oq0DqAyh_NA - transcript (automated).pdf","Transcript Link")</f>
        <v>Transcript Link</v>
      </c>
    </row>
    <row r="2379" ht="165" spans="1:13">
      <c r="A2379" s="1" t="s">
        <v>10936</v>
      </c>
      <c r="B2379" s="1" t="s">
        <v>13</v>
      </c>
      <c r="C2379" s="4" t="s">
        <v>10937</v>
      </c>
      <c r="D2379" s="1" t="s">
        <v>10938</v>
      </c>
      <c r="E2379" s="1" t="s">
        <v>10939</v>
      </c>
      <c r="F2379" s="4" t="s">
        <v>17</v>
      </c>
      <c r="G2379" s="1" t="s">
        <v>18</v>
      </c>
      <c r="H2379" s="1" t="s">
        <v>19</v>
      </c>
      <c r="I2379" s="1" t="s">
        <v>20</v>
      </c>
      <c r="J2379" s="1" t="s">
        <v>10940</v>
      </c>
      <c r="K2379" s="1" t="s">
        <v>22</v>
      </c>
      <c r="L2379" s="1" t="str">
        <f>HYPERLINK("https://files.afu.se/Downloads/Transcripts/0%20-%20Government/USA%20-%20NASA/2014 09 16 - NASA - NASA Chooses Boeing and SpaceX Companies to Transport U.S. Astronauts to ISS_kECY85DM2I8 - transcript (automated).pdf","Transcript Link")</f>
        <v>Transcript Link</v>
      </c>
      <c r="M2379" s="2" t="str">
        <f>HYPERLINK("https://files.afu.se/Downloads/Transcripts/0%20-%20Government/USA%20-%20NASA/2014 09 16 - NASA - NASA Chooses Boeing and SpaceX Companies to Transport U.S. Astronauts to ISS_kECY85DM2I8 - transcript (automated).pdf","Transcript Link")</f>
        <v>Transcript Link</v>
      </c>
    </row>
    <row r="2380" ht="195" spans="1:13">
      <c r="A2380" s="1" t="s">
        <v>10941</v>
      </c>
      <c r="B2380" s="1" t="s">
        <v>13</v>
      </c>
      <c r="C2380" s="4" t="s">
        <v>10942</v>
      </c>
      <c r="D2380" s="1" t="s">
        <v>10943</v>
      </c>
      <c r="E2380" s="1" t="s">
        <v>10944</v>
      </c>
      <c r="F2380" s="4" t="s">
        <v>17</v>
      </c>
      <c r="G2380" s="1" t="s">
        <v>18</v>
      </c>
      <c r="H2380" s="1" t="s">
        <v>19</v>
      </c>
      <c r="I2380" s="1" t="s">
        <v>20</v>
      </c>
      <c r="J2380" s="1" t="s">
        <v>10945</v>
      </c>
      <c r="K2380" s="1" t="s">
        <v>22</v>
      </c>
      <c r="L2380" s="1" t="str">
        <f>HYPERLINK("https://files.afu.se/Downloads/Transcripts/0%20-%20Government/USA%20-%20NASA/2014 09 12 - NASA - Rocket welding tool ready on This Week @NASA - September 12, 2014_7W1HpkqSysM - transcript (automated).pdf","Transcript Link")</f>
        <v>Transcript Link</v>
      </c>
      <c r="M2380" s="2" t="str">
        <f>HYPERLINK("https://files.afu.se/Downloads/Transcripts/0%20-%20Government/USA%20-%20NASA/2014 09 12 - NASA - Rocket welding tool ready on This Week @NASA - September 12, 2014_7W1HpkqSysM - transcript (automated).pdf","Transcript Link")</f>
        <v>Transcript Link</v>
      </c>
    </row>
    <row r="2381" ht="270" spans="1:13">
      <c r="A2381" s="1" t="s">
        <v>10941</v>
      </c>
      <c r="B2381" s="1" t="s">
        <v>13</v>
      </c>
      <c r="C2381" s="4" t="s">
        <v>10946</v>
      </c>
      <c r="D2381" s="1" t="s">
        <v>10947</v>
      </c>
      <c r="E2381" s="1" t="s">
        <v>10948</v>
      </c>
      <c r="F2381" s="4" t="s">
        <v>17</v>
      </c>
      <c r="G2381" s="1" t="s">
        <v>18</v>
      </c>
      <c r="H2381" s="1" t="s">
        <v>19</v>
      </c>
      <c r="I2381" s="1" t="s">
        <v>20</v>
      </c>
      <c r="J2381" s="1" t="s">
        <v>10949</v>
      </c>
      <c r="K2381" s="1" t="s">
        <v>22</v>
      </c>
      <c r="L2381" s="1" t="str">
        <f>HYPERLINK("https://files.afu.se/Downloads/Transcripts/0%20-%20Government/USA%20-%20NASA/2014 09 12 - NASA - NASA Administrator Marks Completion of World’s Largest Spacecraft Welding Tool for Space Launch Sys_ab3WDxn1_0o - transcript (automated).pdf","Transcript Link")</f>
        <v>Transcript Link</v>
      </c>
      <c r="M2381" s="2" t="str">
        <f>HYPERLINK("https://files.afu.se/Downloads/Transcripts/0%20-%20Government/USA%20-%20NASA/2014 09 12 - NASA - NASA Administrator Marks Completion of World’s Largest Spacecraft Welding Tool for Space Launch Sys_ab3WDxn1_0o - transcript (automated).pdf","Transcript Link")</f>
        <v>Transcript Link</v>
      </c>
    </row>
    <row r="2382" ht="240" spans="1:13">
      <c r="A2382" s="1" t="s">
        <v>10941</v>
      </c>
      <c r="B2382" s="1" t="s">
        <v>13</v>
      </c>
      <c r="C2382" s="4" t="s">
        <v>10950</v>
      </c>
      <c r="D2382" s="1" t="s">
        <v>10951</v>
      </c>
      <c r="E2382" s="1" t="s">
        <v>10952</v>
      </c>
      <c r="F2382" s="4" t="s">
        <v>17</v>
      </c>
      <c r="G2382" s="1" t="s">
        <v>18</v>
      </c>
      <c r="H2382" s="1" t="s">
        <v>19</v>
      </c>
      <c r="I2382" s="1" t="s">
        <v>20</v>
      </c>
      <c r="J2382" s="1" t="s">
        <v>10953</v>
      </c>
      <c r="K2382" s="1" t="s">
        <v>22</v>
      </c>
      <c r="L2382" s="1" t="str">
        <f>HYPERLINK("https://files.afu.se/Downloads/Transcripts/0%20-%20Government/USA%20-%20NASA/2014 09 12 - NASA - Expedition 41 42 Crew Departs for Kazakh Launch Site_rsshvou0zok - transcript (automated).pdf","Transcript Link")</f>
        <v>Transcript Link</v>
      </c>
      <c r="M2382" s="2" t="str">
        <f>HYPERLINK("https://files.afu.se/Downloads/Transcripts/0%20-%20Government/USA%20-%20NASA/2014 09 12 - NASA - Expedition 41 42 Crew Departs for Kazakh Launch Site_rsshvou0zok - transcript (automated).pdf","Transcript Link")</f>
        <v>Transcript Link</v>
      </c>
    </row>
    <row r="2383" ht="165" spans="1:13">
      <c r="A2383" s="1" t="s">
        <v>10941</v>
      </c>
      <c r="B2383" s="1" t="s">
        <v>13</v>
      </c>
      <c r="C2383" s="4" t="s">
        <v>10954</v>
      </c>
      <c r="D2383" s="1" t="s">
        <v>10955</v>
      </c>
      <c r="E2383" s="1" t="s">
        <v>10956</v>
      </c>
      <c r="F2383" s="4" t="s">
        <v>17</v>
      </c>
      <c r="G2383" s="1" t="s">
        <v>18</v>
      </c>
      <c r="H2383" s="1" t="s">
        <v>19</v>
      </c>
      <c r="I2383" s="1" t="s">
        <v>20</v>
      </c>
      <c r="J2383" s="1" t="s">
        <v>10957</v>
      </c>
      <c r="K2383" s="1" t="s">
        <v>22</v>
      </c>
      <c r="L2383" s="1" t="str">
        <f>HYPERLINK("https://files.afu.se/Downloads/Transcripts/0%20-%20Government/USA%20-%20NASA/2014 09 12 - NASA - 200th Anniversary of The Star-Spangled Banner_YrdQuXSUG60 - transcript (automated).pdf","Transcript Link")</f>
        <v>Transcript Link</v>
      </c>
      <c r="M2383" s="2" t="str">
        <f>HYPERLINK("https://files.afu.se/Downloads/Transcripts/0%20-%20Government/USA%20-%20NASA/2014 09 12 - NASA - 200th Anniversary of The Star-Spangled Banner_YrdQuXSUG60 - transcript (automated).pdf","Transcript Link")</f>
        <v>Transcript Link</v>
      </c>
    </row>
    <row r="2384" ht="165" spans="1:13">
      <c r="A2384" s="1" t="s">
        <v>10958</v>
      </c>
      <c r="B2384" s="1" t="s">
        <v>13</v>
      </c>
      <c r="C2384" s="4" t="s">
        <v>10959</v>
      </c>
      <c r="D2384" s="1" t="s">
        <v>10960</v>
      </c>
      <c r="E2384" s="1" t="s">
        <v>10961</v>
      </c>
      <c r="F2384" s="4" t="s">
        <v>17</v>
      </c>
      <c r="G2384" s="1" t="s">
        <v>18</v>
      </c>
      <c r="H2384" s="1" t="s">
        <v>19</v>
      </c>
      <c r="I2384" s="1" t="s">
        <v>20</v>
      </c>
      <c r="J2384" s="1" t="s">
        <v>10962</v>
      </c>
      <c r="K2384" s="1" t="s">
        <v>22</v>
      </c>
      <c r="L2384" s="1" t="str">
        <f>HYPERLINK("https://files.afu.se/Downloads/Transcripts/0%20-%20Government/USA%20-%20NASA/2014 09 11 - NASA - Expedition 40 Crew Bids Farewell, Undocks and Safely Lands in Kazakhstan_bkePmysM-AI - transcript (automated).pdf","Transcript Link")</f>
        <v>Transcript Link</v>
      </c>
      <c r="M2384" s="2" t="str">
        <f>HYPERLINK("https://files.afu.se/Downloads/Transcripts/0%20-%20Government/USA%20-%20NASA/2014 09 11 - NASA - Expedition 40 Crew Bids Farewell, Undocks and Safely Lands in Kazakhstan_bkePmysM-AI - transcript (automated).pdf","Transcript Link")</f>
        <v>Transcript Link</v>
      </c>
    </row>
    <row r="2385" ht="180" spans="1:13">
      <c r="A2385" s="1" t="s">
        <v>10963</v>
      </c>
      <c r="B2385" s="1" t="s">
        <v>13</v>
      </c>
      <c r="C2385" s="4" t="s">
        <v>10964</v>
      </c>
      <c r="D2385" s="1" t="s">
        <v>10965</v>
      </c>
      <c r="E2385" s="1" t="s">
        <v>10966</v>
      </c>
      <c r="F2385" s="4" t="s">
        <v>17</v>
      </c>
      <c r="G2385" s="1" t="s">
        <v>18</v>
      </c>
      <c r="H2385" s="1" t="s">
        <v>19</v>
      </c>
      <c r="I2385" s="1" t="s">
        <v>20</v>
      </c>
      <c r="J2385" s="1" t="s">
        <v>10967</v>
      </c>
      <c r="K2385" s="1" t="s">
        <v>22</v>
      </c>
      <c r="L2385" s="1" t="str">
        <f>HYPERLINK("https://files.afu.se/Downloads/Transcripts/0%20-%20Government/USA%20-%20NASA/2014 09 09 - NASA - Expedition 40 Hands Over the Space Station to Expedition 41_PZil9FxJE98 - transcript (automated).pdf","Transcript Link")</f>
        <v>Transcript Link</v>
      </c>
      <c r="M2385" s="2" t="str">
        <f>HYPERLINK("https://files.afu.se/Downloads/Transcripts/0%20-%20Government/USA%20-%20NASA/2014 09 09 - NASA - Expedition 40 Hands Over the Space Station to Expedition 41_PZil9FxJE98 - transcript (automated).pdf","Transcript Link")</f>
        <v>Transcript Link</v>
      </c>
    </row>
    <row r="2386" ht="210" spans="1:13">
      <c r="A2386" s="1" t="s">
        <v>10968</v>
      </c>
      <c r="B2386" s="1" t="s">
        <v>13</v>
      </c>
      <c r="C2386" s="4" t="s">
        <v>10969</v>
      </c>
      <c r="D2386" s="1" t="s">
        <v>10970</v>
      </c>
      <c r="E2386" s="1" t="s">
        <v>10971</v>
      </c>
      <c r="F2386" s="4" t="s">
        <v>17</v>
      </c>
      <c r="G2386" s="1" t="s">
        <v>18</v>
      </c>
      <c r="H2386" s="1" t="s">
        <v>19</v>
      </c>
      <c r="I2386" s="1" t="s">
        <v>20</v>
      </c>
      <c r="J2386" s="1" t="s">
        <v>10972</v>
      </c>
      <c r="K2386" s="1" t="s">
        <v>22</v>
      </c>
      <c r="L2386" s="1" t="str">
        <f>HYPERLINK("https://files.afu.se/Downloads/Transcripts/0%20-%20Government/USA%20-%20NASA/2014 09 08 - NASA - NASA Hosts Media Briefing to Announce New Earth Observing Role for International Space Station_AOFmungRM4s - transcript (automated).pdf","Transcript Link")</f>
        <v>Transcript Link</v>
      </c>
      <c r="M2386" s="2" t="str">
        <f>HYPERLINK("https://files.afu.se/Downloads/Transcripts/0%20-%20Government/USA%20-%20NASA/2014 09 08 - NASA - NASA Hosts Media Briefing to Announce New Earth Observing Role for International Space Station_AOFmungRM4s - transcript (automated).pdf","Transcript Link")</f>
        <v>Transcript Link</v>
      </c>
    </row>
    <row r="2387" ht="240" spans="1:13">
      <c r="A2387" s="1" t="s">
        <v>10968</v>
      </c>
      <c r="B2387" s="1" t="s">
        <v>13</v>
      </c>
      <c r="C2387" s="4" t="s">
        <v>10973</v>
      </c>
      <c r="D2387" s="1" t="s">
        <v>10974</v>
      </c>
      <c r="E2387" s="1" t="s">
        <v>10975</v>
      </c>
      <c r="F2387" s="4" t="s">
        <v>17</v>
      </c>
      <c r="G2387" s="1" t="s">
        <v>18</v>
      </c>
      <c r="H2387" s="1" t="s">
        <v>19</v>
      </c>
      <c r="I2387" s="1" t="s">
        <v>20</v>
      </c>
      <c r="J2387" s="1" t="s">
        <v>10976</v>
      </c>
      <c r="K2387" s="1" t="s">
        <v>22</v>
      </c>
      <c r="L2387" s="1" t="str">
        <f>HYPERLINK("https://files.afu.se/Downloads/Transcripts/0%20-%20Government/USA%20-%20NASA/2014 09 08 - NASA - Expedition 41 42 Crew Conducts News Conference and Traditional Ceremonies in Russia_-WgKSmKiLyI - transcript (automated).pdf","Transcript Link")</f>
        <v>Transcript Link</v>
      </c>
      <c r="M2387" s="2" t="str">
        <f>HYPERLINK("https://files.afu.se/Downloads/Transcripts/0%20-%20Government/USA%20-%20NASA/2014 09 08 - NASA - Expedition 41 42 Crew Conducts News Conference and Traditional Ceremonies in Russia_-WgKSmKiLyI - transcript (automated).pdf","Transcript Link")</f>
        <v>Transcript Link</v>
      </c>
    </row>
    <row r="2388" ht="180" spans="1:13">
      <c r="A2388" s="1" t="s">
        <v>10977</v>
      </c>
      <c r="B2388" s="1" t="s">
        <v>13</v>
      </c>
      <c r="C2388" s="4" t="s">
        <v>10978</v>
      </c>
      <c r="D2388" s="1" t="s">
        <v>10979</v>
      </c>
      <c r="E2388" s="1" t="s">
        <v>10980</v>
      </c>
      <c r="F2388" s="4" t="s">
        <v>17</v>
      </c>
      <c r="G2388" s="1" t="s">
        <v>18</v>
      </c>
      <c r="H2388" s="1" t="s">
        <v>19</v>
      </c>
      <c r="I2388" s="1" t="s">
        <v>20</v>
      </c>
      <c r="J2388" s="1" t="s">
        <v>10981</v>
      </c>
      <c r="K2388" s="1" t="s">
        <v>22</v>
      </c>
      <c r="L2388" s="1" t="str">
        <f>HYPERLINK("https://files.afu.se/Downloads/Transcripts/0%20-%20Government/USA%20-%20NASA/2014 09 05 - NASA - Global Precipitation Measurement mission data released on This Week @NASA - September 5, 2014_na-jdsUWAGE - transcript (automated).pdf","Transcript Link")</f>
        <v>Transcript Link</v>
      </c>
      <c r="M2388" s="2" t="str">
        <f>HYPERLINK("https://files.afu.se/Downloads/Transcripts/0%20-%20Government/USA%20-%20NASA/2014 09 05 - NASA - Global Precipitation Measurement mission data released on This Week @NASA - September 5, 2014_na-jdsUWAGE - transcript (automated).pdf","Transcript Link")</f>
        <v>Transcript Link</v>
      </c>
    </row>
    <row r="2389" ht="165" spans="1:13">
      <c r="A2389" s="1" t="s">
        <v>10982</v>
      </c>
      <c r="B2389" s="1" t="s">
        <v>13</v>
      </c>
      <c r="C2389" s="4" t="s">
        <v>10983</v>
      </c>
      <c r="D2389" s="1" t="s">
        <v>10984</v>
      </c>
      <c r="E2389" s="1" t="s">
        <v>10985</v>
      </c>
      <c r="F2389" s="4" t="s">
        <v>17</v>
      </c>
      <c r="G2389" s="1" t="s">
        <v>18</v>
      </c>
      <c r="H2389" s="1" t="s">
        <v>19</v>
      </c>
      <c r="I2389" s="1" t="s">
        <v>20</v>
      </c>
      <c r="J2389" s="1" t="s">
        <v>10986</v>
      </c>
      <c r="K2389" s="1" t="s">
        <v>22</v>
      </c>
      <c r="L2389" s="1" t="str">
        <f>HYPERLINK("https://files.afu.se/Downloads/Transcripts/0%20-%20Government/USA%20-%20NASA/2014 09 04 - NASA - Space Station Crew Member Pays Tribute to His Hometown from Orbit_eOzbd1DO5pw - transcript (automated).pdf","Transcript Link")</f>
        <v>Transcript Link</v>
      </c>
      <c r="M2389" s="2" t="str">
        <f>HYPERLINK("https://files.afu.se/Downloads/Transcripts/0%20-%20Government/USA%20-%20NASA/2014 09 04 - NASA - Space Station Crew Member Pays Tribute to His Hometown from Orbit_eOzbd1DO5pw - transcript (automated).pdf","Transcript Link")</f>
        <v>Transcript Link</v>
      </c>
    </row>
    <row r="2390" ht="195" spans="1:13">
      <c r="A2390" s="1" t="s">
        <v>10982</v>
      </c>
      <c r="B2390" s="1" t="s">
        <v>13</v>
      </c>
      <c r="C2390" s="4" t="s">
        <v>10987</v>
      </c>
      <c r="D2390" s="1" t="s">
        <v>10988</v>
      </c>
      <c r="E2390" s="1" t="s">
        <v>10989</v>
      </c>
      <c r="F2390" s="4" t="s">
        <v>17</v>
      </c>
      <c r="G2390" s="1" t="s">
        <v>18</v>
      </c>
      <c r="H2390" s="1" t="s">
        <v>19</v>
      </c>
      <c r="I2390" s="1" t="s">
        <v>20</v>
      </c>
      <c r="J2390" s="1" t="s">
        <v>10990</v>
      </c>
      <c r="K2390" s="1" t="s">
        <v>22</v>
      </c>
      <c r="L2390" s="1" t="str">
        <f>HYPERLINK("https://files.afu.se/Downloads/Transcripts/0%20-%20Government/USA%20-%20NASA/2014 09 04 - NASA - Expedition 41 42 Crew Undergoes Final Training Outside Moscow_Ys9ciDf2WXU - transcript (automated).pdf","Transcript Link")</f>
        <v>Transcript Link</v>
      </c>
      <c r="M2390" s="2" t="str">
        <f>HYPERLINK("https://files.afu.se/Downloads/Transcripts/0%20-%20Government/USA%20-%20NASA/2014 09 04 - NASA - Expedition 41 42 Crew Undergoes Final Training Outside Moscow_Ys9ciDf2WXU - transcript (automated).pdf","Transcript Link")</f>
        <v>Transcript Link</v>
      </c>
    </row>
    <row r="2391" ht="165" spans="1:13">
      <c r="A2391" s="1" t="s">
        <v>10991</v>
      </c>
      <c r="B2391" s="1" t="s">
        <v>13</v>
      </c>
      <c r="C2391" s="4" t="s">
        <v>10992</v>
      </c>
      <c r="D2391" s="1" t="s">
        <v>10993</v>
      </c>
      <c r="E2391" s="1" t="s">
        <v>10994</v>
      </c>
      <c r="F2391" s="4" t="s">
        <v>17</v>
      </c>
      <c r="G2391" s="1" t="s">
        <v>18</v>
      </c>
      <c r="H2391" s="1" t="s">
        <v>19</v>
      </c>
      <c r="I2391" s="1" t="s">
        <v>20</v>
      </c>
      <c r="J2391" s="1" t="s">
        <v>10995</v>
      </c>
      <c r="K2391" s="1" t="s">
        <v>22</v>
      </c>
      <c r="L2391" s="1" t="str">
        <f>HYPERLINK("https://files.afu.se/Downloads/Transcripts/0%20-%20Government/USA%20-%20NASA/2014 09 02 - NASA - Space Station Crew Discusses Life in Space with Mississippi Students_4AV6ju3IyEQ - transcript (automated).pdf","Transcript Link")</f>
        <v>Transcript Link</v>
      </c>
      <c r="M2391" s="2" t="str">
        <f>HYPERLINK("https://files.afu.se/Downloads/Transcripts/0%20-%20Government/USA%20-%20NASA/2014 09 02 - NASA - Space Station Crew Discusses Life in Space with Mississippi Students_4AV6ju3IyEQ - transcript (automated).pdf","Transcript Link")</f>
        <v>Transcript Link</v>
      </c>
    </row>
    <row r="2392" ht="165" spans="1:13">
      <c r="A2392" s="1" t="s">
        <v>10991</v>
      </c>
      <c r="B2392" s="1" t="s">
        <v>13</v>
      </c>
      <c r="C2392" s="4" t="s">
        <v>10996</v>
      </c>
      <c r="D2392" s="1" t="s">
        <v>10997</v>
      </c>
      <c r="E2392" s="1" t="s">
        <v>10998</v>
      </c>
      <c r="F2392" s="4" t="s">
        <v>17</v>
      </c>
      <c r="G2392" s="1" t="s">
        <v>18</v>
      </c>
      <c r="H2392" s="1" t="s">
        <v>19</v>
      </c>
      <c r="I2392" s="1" t="s">
        <v>20</v>
      </c>
      <c r="J2392" s="1" t="s">
        <v>10999</v>
      </c>
      <c r="K2392" s="1" t="s">
        <v>22</v>
      </c>
      <c r="L2392" s="1" t="str">
        <f>HYPERLINK("https://files.afu.se/Downloads/Transcripts/0%20-%20Government/USA%20-%20NASA/2014 09 02 - NASA - Space Station Crew Member Discusses Life In Space With German Media_7fubA64JzlM - transcript (automated).pdf","Transcript Link")</f>
        <v>Transcript Link</v>
      </c>
      <c r="M2392" s="2" t="str">
        <f>HYPERLINK("https://files.afu.se/Downloads/Transcripts/0%20-%20Government/USA%20-%20NASA/2014 09 02 - NASA - Space Station Crew Member Discusses Life In Space With German Media_7fubA64JzlM - transcript (automated).pdf","Transcript Link")</f>
        <v>Transcript Link</v>
      </c>
    </row>
    <row r="2393" ht="195" spans="1:13">
      <c r="A2393" s="1" t="s">
        <v>11000</v>
      </c>
      <c r="B2393" s="1" t="s">
        <v>13</v>
      </c>
      <c r="C2393" s="4" t="s">
        <v>11001</v>
      </c>
      <c r="D2393" s="1" t="s">
        <v>11002</v>
      </c>
      <c r="E2393" s="1" t="s">
        <v>11003</v>
      </c>
      <c r="F2393" s="4" t="s">
        <v>17</v>
      </c>
      <c r="G2393" s="1" t="s">
        <v>18</v>
      </c>
      <c r="H2393" s="1" t="s">
        <v>19</v>
      </c>
      <c r="I2393" s="1" t="s">
        <v>20</v>
      </c>
      <c r="J2393" s="1" t="s">
        <v>11004</v>
      </c>
      <c r="K2393" s="1" t="s">
        <v>22</v>
      </c>
      <c r="L2393" s="1" t="str">
        <f>HYPERLINK("https://files.afu.se/Downloads/Transcripts/0%20-%20Government/USA%20-%20NASA/2014 08 29 - NASA - Space Launch System milestone on This Week @NASA - August 29, 2014_V4J822SfkSI - transcript (automated).pdf","Transcript Link")</f>
        <v>Transcript Link</v>
      </c>
      <c r="M2393" s="2" t="str">
        <f>HYPERLINK("https://files.afu.se/Downloads/Transcripts/0%20-%20Government/USA%20-%20NASA/2014 08 29 - NASA - Space Launch System milestone on This Week @NASA - August 29, 2014_V4J822SfkSI - transcript (automated).pdf","Transcript Link")</f>
        <v>Transcript Link</v>
      </c>
    </row>
    <row r="2394" ht="165" spans="1:13">
      <c r="A2394" s="1" t="s">
        <v>11005</v>
      </c>
      <c r="B2394" s="1" t="s">
        <v>13</v>
      </c>
      <c r="C2394" s="4" t="s">
        <v>11006</v>
      </c>
      <c r="D2394" s="1" t="s">
        <v>11007</v>
      </c>
      <c r="E2394" s="1" t="s">
        <v>11008</v>
      </c>
      <c r="F2394" s="4" t="s">
        <v>17</v>
      </c>
      <c r="G2394" s="1" t="s">
        <v>18</v>
      </c>
      <c r="H2394" s="1" t="s">
        <v>19</v>
      </c>
      <c r="I2394" s="1" t="s">
        <v>20</v>
      </c>
      <c r="J2394" s="1" t="s">
        <v>11009</v>
      </c>
      <c r="K2394" s="1" t="s">
        <v>22</v>
      </c>
      <c r="L2394" s="1" t="str">
        <f>HYPERLINK("https://files.afu.se/Downloads/Transcripts/0%20-%20Government/USA%20-%20NASA/2014 08 27 - NASA - ISS Benefits for Humanity  Found at Sea_0o37HWuVJvM - transcript (automated).pdf","Transcript Link")</f>
        <v>Transcript Link</v>
      </c>
      <c r="M2394" s="2" t="str">
        <f>HYPERLINK("https://files.afu.se/Downloads/Transcripts/0%20-%20Government/USA%20-%20NASA/2014 08 27 - NASA - ISS Benefits for Humanity  Found at Sea_0o37HWuVJvM - transcript (automated).pdf","Transcript Link")</f>
        <v>Transcript Link</v>
      </c>
    </row>
    <row r="2395" ht="165" spans="1:13">
      <c r="A2395" s="1" t="s">
        <v>11005</v>
      </c>
      <c r="B2395" s="1" t="s">
        <v>13</v>
      </c>
      <c r="C2395" s="4" t="s">
        <v>11010</v>
      </c>
      <c r="D2395" s="1" t="s">
        <v>4935</v>
      </c>
      <c r="E2395" s="1" t="s">
        <v>11011</v>
      </c>
      <c r="F2395" s="4" t="s">
        <v>17</v>
      </c>
      <c r="G2395" s="1" t="s">
        <v>18</v>
      </c>
      <c r="H2395" s="1" t="s">
        <v>19</v>
      </c>
      <c r="I2395" s="1" t="s">
        <v>20</v>
      </c>
      <c r="J2395" s="1" t="s">
        <v>11012</v>
      </c>
      <c r="K2395" s="1" t="s">
        <v>22</v>
      </c>
      <c r="L2395" s="1" t="str">
        <f>HYPERLINK("https://files.afu.se/Downloads/Transcripts/0%20-%20Government/USA%20-%20NASA/2014 08 27 - NASA - Space Station Crew Discusses Life in Space with California Students_pCXstv8R1rc - transcript (automated).pdf","Transcript Link")</f>
        <v>Transcript Link</v>
      </c>
      <c r="M2395" s="2" t="str">
        <f>HYPERLINK("https://files.afu.se/Downloads/Transcripts/0%20-%20Government/USA%20-%20NASA/2014 08 27 - NASA - Space Station Crew Discusses Life in Space with California Students_pCXstv8R1rc - transcript (automated).pdf","Transcript Link")</f>
        <v>Transcript Link</v>
      </c>
    </row>
    <row r="2396" ht="165" spans="1:13">
      <c r="A2396" s="1" t="s">
        <v>11013</v>
      </c>
      <c r="B2396" s="1" t="s">
        <v>13</v>
      </c>
      <c r="C2396" s="4" t="s">
        <v>11014</v>
      </c>
      <c r="D2396" s="1" t="s">
        <v>11015</v>
      </c>
      <c r="E2396" s="1" t="s">
        <v>11016</v>
      </c>
      <c r="F2396" s="4" t="s">
        <v>17</v>
      </c>
      <c r="G2396" s="1" t="s">
        <v>18</v>
      </c>
      <c r="H2396" s="1" t="s">
        <v>19</v>
      </c>
      <c r="I2396" s="1" t="s">
        <v>20</v>
      </c>
      <c r="J2396" s="1" t="s">
        <v>11017</v>
      </c>
      <c r="K2396" s="1" t="s">
        <v>22</v>
      </c>
      <c r="L2396" s="1" t="str">
        <f>HYPERLINK("https://files.afu.se/Downloads/Transcripts/0%20-%20Government/USA%20-%20NASA/2014 08 26 - NASA - The Connection Between the New Horizons and Voyager Missions_DaUhaVUN3Yc - transcript (automated).pdf","Transcript Link")</f>
        <v>Transcript Link</v>
      </c>
      <c r="M2396" s="2" t="str">
        <f>HYPERLINK("https://files.afu.se/Downloads/Transcripts/0%20-%20Government/USA%20-%20NASA/2014 08 26 - NASA - The Connection Between the New Horizons and Voyager Missions_DaUhaVUN3Yc - transcript (automated).pdf","Transcript Link")</f>
        <v>Transcript Link</v>
      </c>
    </row>
    <row r="2397" ht="165" spans="1:13">
      <c r="A2397" s="1" t="s">
        <v>11018</v>
      </c>
      <c r="B2397" s="1" t="s">
        <v>13</v>
      </c>
      <c r="C2397" s="4" t="s">
        <v>11019</v>
      </c>
      <c r="D2397" s="1" t="s">
        <v>11020</v>
      </c>
      <c r="E2397" s="1" t="s">
        <v>11021</v>
      </c>
      <c r="F2397" s="4" t="s">
        <v>17</v>
      </c>
      <c r="G2397" s="1" t="s">
        <v>18</v>
      </c>
      <c r="H2397" s="1" t="s">
        <v>19</v>
      </c>
      <c r="I2397" s="1" t="s">
        <v>20</v>
      </c>
      <c r="J2397" s="1" t="s">
        <v>11022</v>
      </c>
      <c r="K2397" s="1" t="s">
        <v>22</v>
      </c>
      <c r="L2397" s="1" t="str">
        <f>HYPERLINK("https://files.afu.se/Downloads/Transcripts/0%20-%20Government/USA%20-%20NASA/2014 08 25 - NASA - NASA's New Horizons Mission Continuing Voyager's Legacy of Exploration_z3ekr2CXlK0 - transcript (automated).pdf","Transcript Link")</f>
        <v>Transcript Link</v>
      </c>
      <c r="M2397" s="2" t="str">
        <f>HYPERLINK("https://files.afu.se/Downloads/Transcripts/0%20-%20Government/USA%20-%20NASA/2014 08 25 - NASA - NASA's New Horizons Mission Continuing Voyager's Legacy of Exploration_z3ekr2CXlK0 - transcript (automated).pdf","Transcript Link")</f>
        <v>Transcript Link</v>
      </c>
    </row>
    <row r="2398" ht="165" spans="1:13">
      <c r="A2398" s="1" t="s">
        <v>11018</v>
      </c>
      <c r="B2398" s="1" t="s">
        <v>13</v>
      </c>
      <c r="C2398" s="4" t="s">
        <v>11023</v>
      </c>
      <c r="D2398" s="1" t="s">
        <v>11024</v>
      </c>
      <c r="E2398" s="1" t="s">
        <v>11025</v>
      </c>
      <c r="F2398" s="4" t="s">
        <v>17</v>
      </c>
      <c r="G2398" s="1" t="s">
        <v>18</v>
      </c>
      <c r="H2398" s="1" t="s">
        <v>19</v>
      </c>
      <c r="I2398" s="1" t="s">
        <v>20</v>
      </c>
      <c r="J2398" s="1" t="s">
        <v>11026</v>
      </c>
      <c r="K2398" s="1" t="s">
        <v>22</v>
      </c>
      <c r="L2398" s="1" t="str">
        <f>HYPERLINK("https://files.afu.se/Downloads/Transcripts/0%20-%20Government/USA%20-%20NASA/2014 08 25 - NASA - Orion’s protective backshell installed on This Week @NASA - August 25, 2014_KuZpBHT-nxo - transcript (automated).pdf","Transcript Link")</f>
        <v>Transcript Link</v>
      </c>
      <c r="M2398" s="2" t="str">
        <f>HYPERLINK("https://files.afu.se/Downloads/Transcripts/0%20-%20Government/USA%20-%20NASA/2014 08 25 - NASA - Orion’s protective backshell installed on This Week @NASA - August 25, 2014_KuZpBHT-nxo - transcript (automated).pdf","Transcript Link")</f>
        <v>Transcript Link</v>
      </c>
    </row>
    <row r="2399" ht="165" spans="1:13">
      <c r="A2399" s="1" t="s">
        <v>11027</v>
      </c>
      <c r="B2399" s="1" t="s">
        <v>13</v>
      </c>
      <c r="C2399" s="4" t="s">
        <v>11028</v>
      </c>
      <c r="D2399" s="1" t="s">
        <v>11029</v>
      </c>
      <c r="E2399" s="1" t="s">
        <v>11025</v>
      </c>
      <c r="F2399" s="4" t="s">
        <v>17</v>
      </c>
      <c r="G2399" s="1" t="s">
        <v>18</v>
      </c>
      <c r="H2399" s="1" t="s">
        <v>19</v>
      </c>
      <c r="I2399" s="1" t="s">
        <v>20</v>
      </c>
      <c r="J2399" s="1" t="s">
        <v>11030</v>
      </c>
      <c r="K2399" s="1" t="s">
        <v>22</v>
      </c>
      <c r="L2399" s="1" t="str">
        <f>HYPERLINK("https://files.afu.se/Downloads/Transcripts/0%20-%20Government/USA%20-%20NASA/2014 08 22 - NASA - Orion’s protective backshell installed on This Week @NASA_GmcPePyFUsc - transcript (automated).pdf","Transcript Link")</f>
        <v>Transcript Link</v>
      </c>
      <c r="M2399" s="2" t="str">
        <f>HYPERLINK("https://files.afu.se/Downloads/Transcripts/0%20-%20Government/USA%20-%20NASA/2014 08 22 - NASA - Orion’s protective backshell installed on This Week @NASA_GmcPePyFUsc - transcript (automated).pdf","Transcript Link")</f>
        <v>Transcript Link</v>
      </c>
    </row>
    <row r="2400" ht="165" spans="1:13">
      <c r="A2400" s="1" t="s">
        <v>11027</v>
      </c>
      <c r="B2400" s="1" t="s">
        <v>13</v>
      </c>
      <c r="C2400" s="4" t="s">
        <v>11031</v>
      </c>
      <c r="D2400" s="1" t="s">
        <v>11032</v>
      </c>
      <c r="E2400" s="1" t="s">
        <v>11033</v>
      </c>
      <c r="F2400" s="4" t="s">
        <v>17</v>
      </c>
      <c r="G2400" s="1" t="s">
        <v>18</v>
      </c>
      <c r="H2400" s="1" t="s">
        <v>19</v>
      </c>
      <c r="I2400" s="1" t="s">
        <v>20</v>
      </c>
      <c r="J2400" s="1" t="s">
        <v>11034</v>
      </c>
      <c r="K2400" s="1" t="s">
        <v>22</v>
      </c>
      <c r="L2400" s="1" t="str">
        <f>HYPERLINK("https://files.afu.se/Downloads/Transcripts/0%20-%20Government/USA%20-%20NASA/2014 08 22 - NASA - Space Station Astronaut Takes Social Media Questions_ohEouaSMm5g - transcript (automated).pdf","Transcript Link")</f>
        <v>Transcript Link</v>
      </c>
      <c r="M2400" s="2" t="str">
        <f>HYPERLINK("https://files.afu.se/Downloads/Transcripts/0%20-%20Government/USA%20-%20NASA/2014 08 22 - NASA - Space Station Astronaut Takes Social Media Questions_ohEouaSMm5g - transcript (automated).pdf","Transcript Link")</f>
        <v>Transcript Link</v>
      </c>
    </row>
    <row r="2401" ht="165" spans="1:13">
      <c r="A2401" s="1" t="s">
        <v>11035</v>
      </c>
      <c r="B2401" s="1" t="s">
        <v>13</v>
      </c>
      <c r="C2401" s="4" t="s">
        <v>11036</v>
      </c>
      <c r="D2401" s="1" t="s">
        <v>11037</v>
      </c>
      <c r="E2401" s="1" t="s">
        <v>11038</v>
      </c>
      <c r="F2401" s="4" t="s">
        <v>17</v>
      </c>
      <c r="G2401" s="1" t="s">
        <v>18</v>
      </c>
      <c r="H2401" s="1" t="s">
        <v>19</v>
      </c>
      <c r="I2401" s="1" t="s">
        <v>20</v>
      </c>
      <c r="J2401" s="1" t="s">
        <v>11039</v>
      </c>
      <c r="K2401" s="1" t="s">
        <v>22</v>
      </c>
      <c r="L2401" s="1" t="str">
        <f>HYPERLINK("https://files.afu.se/Downloads/Transcripts/0%20-%20Government/USA%20-%20NASA/2014 08 20 - NASA - Ancient Earth, Alien Earths_jwvj9SUUVlo - transcript (automated).pdf","Transcript Link")</f>
        <v>Transcript Link</v>
      </c>
      <c r="M2401" s="2" t="str">
        <f>HYPERLINK("https://files.afu.se/Downloads/Transcripts/0%20-%20Government/USA%20-%20NASA/2014 08 20 - NASA - Ancient Earth, Alien Earths_jwvj9SUUVlo - transcript (automated).pdf","Transcript Link")</f>
        <v>Transcript Link</v>
      </c>
    </row>
    <row r="2402" ht="165" spans="1:13">
      <c r="A2402" s="1" t="s">
        <v>11040</v>
      </c>
      <c r="B2402" s="1" t="s">
        <v>13</v>
      </c>
      <c r="C2402" s="4" t="s">
        <v>11041</v>
      </c>
      <c r="D2402" s="1" t="s">
        <v>11042</v>
      </c>
      <c r="E2402" s="1" t="s">
        <v>11043</v>
      </c>
      <c r="F2402" s="4" t="s">
        <v>17</v>
      </c>
      <c r="G2402" s="1" t="s">
        <v>18</v>
      </c>
      <c r="H2402" s="1" t="s">
        <v>19</v>
      </c>
      <c r="I2402" s="1" t="s">
        <v>20</v>
      </c>
      <c r="J2402" s="1" t="s">
        <v>11044</v>
      </c>
      <c r="K2402" s="1" t="s">
        <v>22</v>
      </c>
      <c r="L2402" s="1" t="str">
        <f>HYPERLINK("https://files.afu.se/Downloads/Transcripts/0%20-%20Government/USA%20-%20NASA/2014 08 19 - NASA - Space Station Astronaut Talks with Maryland Media_ntZgIBLkGWA - transcript (automated).pdf","Transcript Link")</f>
        <v>Transcript Link</v>
      </c>
      <c r="M2402" s="2" t="str">
        <f>HYPERLINK("https://files.afu.se/Downloads/Transcripts/0%20-%20Government/USA%20-%20NASA/2014 08 19 - NASA - Space Station Astronaut Talks with Maryland Media_ntZgIBLkGWA - transcript (automated).pdf","Transcript Link")</f>
        <v>Transcript Link</v>
      </c>
    </row>
    <row r="2403" ht="165" spans="1:13">
      <c r="A2403" s="1" t="s">
        <v>11045</v>
      </c>
      <c r="B2403" s="1" t="s">
        <v>13</v>
      </c>
      <c r="C2403" s="4" t="s">
        <v>11046</v>
      </c>
      <c r="D2403" s="1" t="s">
        <v>11047</v>
      </c>
      <c r="E2403" s="1" t="s">
        <v>11048</v>
      </c>
      <c r="F2403" s="4" t="s">
        <v>17</v>
      </c>
      <c r="G2403" s="1" t="s">
        <v>18</v>
      </c>
      <c r="H2403" s="1" t="s">
        <v>19</v>
      </c>
      <c r="I2403" s="1" t="s">
        <v>20</v>
      </c>
      <c r="J2403" s="1" t="s">
        <v>11049</v>
      </c>
      <c r="K2403" s="1" t="s">
        <v>22</v>
      </c>
      <c r="L2403" s="1" t="str">
        <f>HYPERLINK("https://files.afu.se/Downloads/Transcripts/0%20-%20Government/USA%20-%20NASA/2014 08 18 - NASA - Space Station Crew Conducts Spacewalk_JZRrvEJqSM8 - transcript (automated).pdf","Transcript Link")</f>
        <v>Transcript Link</v>
      </c>
      <c r="M2403" s="2" t="str">
        <f>HYPERLINK("https://files.afu.se/Downloads/Transcripts/0%20-%20Government/USA%20-%20NASA/2014 08 18 - NASA - Space Station Crew Conducts Spacewalk_JZRrvEJqSM8 - transcript (automated).pdf","Transcript Link")</f>
        <v>Transcript Link</v>
      </c>
    </row>
    <row r="2404" ht="165" spans="1:13">
      <c r="A2404" s="1" t="s">
        <v>11050</v>
      </c>
      <c r="B2404" s="1" t="s">
        <v>13</v>
      </c>
      <c r="C2404" s="4" t="s">
        <v>11051</v>
      </c>
      <c r="D2404" s="1" t="s">
        <v>11052</v>
      </c>
      <c r="E2404" s="1" t="s">
        <v>11053</v>
      </c>
      <c r="F2404" s="4" t="s">
        <v>17</v>
      </c>
      <c r="G2404" s="1" t="s">
        <v>18</v>
      </c>
      <c r="H2404" s="1" t="s">
        <v>19</v>
      </c>
      <c r="I2404" s="1" t="s">
        <v>20</v>
      </c>
      <c r="J2404" s="1" t="s">
        <v>11054</v>
      </c>
      <c r="K2404" s="1" t="s">
        <v>22</v>
      </c>
      <c r="L2404" s="1" t="str">
        <f>HYPERLINK("https://files.afu.se/Downloads/Transcripts/0%20-%20Government/USA%20-%20NASA/2014 08 15 - NASA - Carbon Observatory’s First Data on This Week @NASA - August 15, 2014_zvafM0N-zXE - transcript (automated).pdf","Transcript Link")</f>
        <v>Transcript Link</v>
      </c>
      <c r="M2404" s="2" t="str">
        <f>HYPERLINK("https://files.afu.se/Downloads/Transcripts/0%20-%20Government/USA%20-%20NASA/2014 08 15 - NASA - Carbon Observatory’s First Data on This Week @NASA - August 15, 2014_zvafM0N-zXE - transcript (automated).pdf","Transcript Link")</f>
        <v>Transcript Link</v>
      </c>
    </row>
    <row r="2405" ht="165" spans="1:13">
      <c r="A2405" s="1" t="s">
        <v>11055</v>
      </c>
      <c r="B2405" s="1" t="s">
        <v>13</v>
      </c>
      <c r="C2405" s="4" t="s">
        <v>11056</v>
      </c>
      <c r="D2405" s="1" t="s">
        <v>11057</v>
      </c>
      <c r="E2405" s="1" t="s">
        <v>11058</v>
      </c>
      <c r="F2405" s="4" t="s">
        <v>17</v>
      </c>
      <c r="G2405" s="1" t="s">
        <v>18</v>
      </c>
      <c r="H2405" s="1" t="s">
        <v>19</v>
      </c>
      <c r="I2405" s="1" t="s">
        <v>20</v>
      </c>
      <c r="J2405" s="1" t="s">
        <v>11059</v>
      </c>
      <c r="K2405" s="1" t="s">
        <v>22</v>
      </c>
      <c r="L2405" s="1" t="str">
        <f>HYPERLINK("https://files.afu.se/Downloads/Transcripts/0%20-%20Government/USA%20-%20NASA/2014 08 14 - NASA - NASA Honors Employees Efforts with Agency's Highest Award_aYy_I3gNm6c - transcript (automated).pdf","Transcript Link")</f>
        <v>Transcript Link</v>
      </c>
      <c r="M2405" s="2" t="str">
        <f>HYPERLINK("https://files.afu.se/Downloads/Transcripts/0%20-%20Government/USA%20-%20NASA/2014 08 14 - NASA - NASA Honors Employees Efforts with Agency's Highest Award_aYy_I3gNm6c - transcript (automated).pdf","Transcript Link")</f>
        <v>Transcript Link</v>
      </c>
    </row>
    <row r="2406" ht="165" spans="1:13">
      <c r="A2406" s="1" t="s">
        <v>11060</v>
      </c>
      <c r="B2406" s="1" t="s">
        <v>13</v>
      </c>
      <c r="C2406" s="4" t="s">
        <v>11061</v>
      </c>
      <c r="D2406" s="1" t="s">
        <v>11062</v>
      </c>
      <c r="E2406" s="1" t="s">
        <v>11063</v>
      </c>
      <c r="F2406" s="4" t="s">
        <v>17</v>
      </c>
      <c r="G2406" s="1" t="s">
        <v>18</v>
      </c>
      <c r="H2406" s="1" t="s">
        <v>19</v>
      </c>
      <c r="I2406" s="1" t="s">
        <v>20</v>
      </c>
      <c r="J2406" s="1" t="s">
        <v>11064</v>
      </c>
      <c r="K2406" s="1" t="s">
        <v>22</v>
      </c>
      <c r="L2406" s="1" t="str">
        <f>HYPERLINK("https://files.afu.se/Downloads/Transcripts/0%20-%20Government/USA%20-%20NASA/2014 08 12 - NASA - European Cargo Craft Makes Final visit to the ISS_D0pjgbjTJ8o - transcript (automated).pdf","Transcript Link")</f>
        <v>Transcript Link</v>
      </c>
      <c r="M2406" s="2" t="str">
        <f>HYPERLINK("https://files.afu.se/Downloads/Transcripts/0%20-%20Government/USA%20-%20NASA/2014 08 12 - NASA - European Cargo Craft Makes Final visit to the ISS_D0pjgbjTJ8o - transcript (automated).pdf","Transcript Link")</f>
        <v>Transcript Link</v>
      </c>
    </row>
    <row r="2407" ht="165" spans="1:13">
      <c r="A2407" s="1" t="s">
        <v>11065</v>
      </c>
      <c r="B2407" s="1" t="s">
        <v>13</v>
      </c>
      <c r="C2407" s="4" t="s">
        <v>11066</v>
      </c>
      <c r="D2407" s="1" t="s">
        <v>11067</v>
      </c>
      <c r="E2407" s="1" t="s">
        <v>11068</v>
      </c>
      <c r="F2407" s="4" t="s">
        <v>17</v>
      </c>
      <c r="G2407" s="1" t="s">
        <v>18</v>
      </c>
      <c r="H2407" s="1" t="s">
        <v>19</v>
      </c>
      <c r="I2407" s="1" t="s">
        <v>20</v>
      </c>
      <c r="J2407" s="1" t="s">
        <v>11069</v>
      </c>
      <c r="K2407" s="1" t="s">
        <v>22</v>
      </c>
      <c r="L2407" s="1" t="str">
        <f>HYPERLINK("https://files.afu.se/Downloads/Transcripts/0%20-%20Government/USA%20-%20NASA/2014 08 11 - NASA - Space station astronaut talks with DC media_dZ95-pE5XvY - transcript (automated).pdf","Transcript Link")</f>
        <v>Transcript Link</v>
      </c>
      <c r="M2407" s="2" t="str">
        <f>HYPERLINK("https://files.afu.se/Downloads/Transcripts/0%20-%20Government/USA%20-%20NASA/2014 08 11 - NASA - Space station astronaut talks with DC media_dZ95-pE5XvY - transcript (automated).pdf","Transcript Link")</f>
        <v>Transcript Link</v>
      </c>
    </row>
    <row r="2408" ht="165" spans="1:13">
      <c r="A2408" s="1" t="s">
        <v>11070</v>
      </c>
      <c r="B2408" s="1" t="s">
        <v>13</v>
      </c>
      <c r="C2408" s="4" t="s">
        <v>11071</v>
      </c>
      <c r="D2408" s="1" t="s">
        <v>11072</v>
      </c>
      <c r="E2408" s="1" t="s">
        <v>11073</v>
      </c>
      <c r="F2408" s="4" t="s">
        <v>17</v>
      </c>
      <c r="G2408" s="1" t="s">
        <v>18</v>
      </c>
      <c r="H2408" s="1" t="s">
        <v>19</v>
      </c>
      <c r="I2408" s="1" t="s">
        <v>20</v>
      </c>
      <c r="J2408" s="1" t="s">
        <v>11074</v>
      </c>
      <c r="K2408" s="1" t="s">
        <v>22</v>
      </c>
      <c r="L2408" s="1" t="str">
        <f>HYPERLINK("https://files.afu.se/Downloads/Transcripts/0%20-%20Government/USA%20-%20NASA/2014 08 08 - NASA - NASA Press Briefing Includes Early Test Results for New Planetary Landing Technology_d3TxllHkNWk - transcript (automated).pdf","Transcript Link")</f>
        <v>Transcript Link</v>
      </c>
      <c r="M2408" s="2" t="str">
        <f>HYPERLINK("https://files.afu.se/Downloads/Transcripts/0%20-%20Government/USA%20-%20NASA/2014 08 08 - NASA - NASA Press Briefing Includes Early Test Results for New Planetary Landing Technology_d3TxllHkNWk - transcript (automated).pdf","Transcript Link")</f>
        <v>Transcript Link</v>
      </c>
    </row>
    <row r="2409" ht="180" spans="1:13">
      <c r="A2409" s="1" t="s">
        <v>11070</v>
      </c>
      <c r="B2409" s="1" t="s">
        <v>13</v>
      </c>
      <c r="C2409" s="4" t="s">
        <v>11075</v>
      </c>
      <c r="D2409" s="1" t="s">
        <v>11076</v>
      </c>
      <c r="E2409" s="1" t="s">
        <v>11077</v>
      </c>
      <c r="F2409" s="4" t="s">
        <v>17</v>
      </c>
      <c r="G2409" s="1" t="s">
        <v>18</v>
      </c>
      <c r="H2409" s="1" t="s">
        <v>19</v>
      </c>
      <c r="I2409" s="1" t="s">
        <v>20</v>
      </c>
      <c r="J2409" s="1" t="s">
        <v>11078</v>
      </c>
      <c r="K2409" s="1" t="s">
        <v>22</v>
      </c>
      <c r="L2409" s="1" t="str">
        <f>HYPERLINK("https://files.afu.se/Downloads/Transcripts/0%20-%20Government/USA%20-%20NASA/2014 08 08 - NASA - Orion recovery test update on This Week @NASA - August 8, 2014_bLzYYbB64Vc - transcript (automated).pdf","Transcript Link")</f>
        <v>Transcript Link</v>
      </c>
      <c r="M2409" s="2" t="str">
        <f>HYPERLINK("https://files.afu.se/Downloads/Transcripts/0%20-%20Government/USA%20-%20NASA/2014 08 08 - NASA - Orion recovery test update on This Week @NASA - August 8, 2014_bLzYYbB64Vc - transcript (automated).pdf","Transcript Link")</f>
        <v>Transcript Link</v>
      </c>
    </row>
    <row r="2410" ht="210" spans="1:13">
      <c r="A2410" s="1" t="s">
        <v>11070</v>
      </c>
      <c r="B2410" s="1" t="s">
        <v>13</v>
      </c>
      <c r="C2410" s="4" t="s">
        <v>11079</v>
      </c>
      <c r="D2410" s="1" t="s">
        <v>11080</v>
      </c>
      <c r="E2410" s="1" t="s">
        <v>11081</v>
      </c>
      <c r="F2410" s="4" t="s">
        <v>17</v>
      </c>
      <c r="G2410" s="1" t="s">
        <v>18</v>
      </c>
      <c r="H2410" s="1" t="s">
        <v>19</v>
      </c>
      <c r="I2410" s="1" t="s">
        <v>20</v>
      </c>
      <c r="J2410" s="1" t="s">
        <v>11082</v>
      </c>
      <c r="K2410" s="1" t="s">
        <v>22</v>
      </c>
      <c r="L2410" s="1" t="str">
        <f>HYPERLINK("https://files.afu.se/Downloads/Transcripts/0%20-%20Government/USA%20-%20NASA/2014 08 08 - NASA - NASA Flying Laboratories Study Our World_iNonPahJlK8 - transcript (automated).pdf","Transcript Link")</f>
        <v>Transcript Link</v>
      </c>
      <c r="M2410" s="2" t="str">
        <f>HYPERLINK("https://files.afu.se/Downloads/Transcripts/0%20-%20Government/USA%20-%20NASA/2014 08 08 - NASA - NASA Flying Laboratories Study Our World_iNonPahJlK8 - transcript (automated).pdf","Transcript Link")</f>
        <v>Transcript Link</v>
      </c>
    </row>
    <row r="2411" ht="210" spans="1:13">
      <c r="A2411" s="1" t="s">
        <v>11083</v>
      </c>
      <c r="B2411" s="1" t="s">
        <v>13</v>
      </c>
      <c r="C2411" s="4" t="s">
        <v>11084</v>
      </c>
      <c r="D2411" s="1" t="s">
        <v>11085</v>
      </c>
      <c r="E2411" s="1" t="s">
        <v>11086</v>
      </c>
      <c r="F2411" s="4" t="s">
        <v>17</v>
      </c>
      <c r="G2411" s="1" t="s">
        <v>18</v>
      </c>
      <c r="H2411" s="1" t="s">
        <v>19</v>
      </c>
      <c r="I2411" s="1" t="s">
        <v>20</v>
      </c>
      <c r="J2411" s="1" t="s">
        <v>11087</v>
      </c>
      <c r="K2411" s="1" t="s">
        <v>22</v>
      </c>
      <c r="L2411" s="1" t="str">
        <f>HYPERLINK("https://files.afu.se/Downloads/Transcripts/0%20-%20Government/USA%20-%20NASA/2014 08 07 - NASA - NASA Glenn and Partners studying Lake Erie algal bloom_zXjj32yknWg - transcript (automated).pdf","Transcript Link")</f>
        <v>Transcript Link</v>
      </c>
      <c r="M2411" s="2" t="str">
        <f>HYPERLINK("https://files.afu.se/Downloads/Transcripts/0%20-%20Government/USA%20-%20NASA/2014 08 07 - NASA - NASA Glenn and Partners studying Lake Erie algal bloom_zXjj32yknWg - transcript (automated).pdf","Transcript Link")</f>
        <v>Transcript Link</v>
      </c>
    </row>
    <row r="2412" ht="165" spans="1:13">
      <c r="A2412" s="1" t="s">
        <v>11088</v>
      </c>
      <c r="B2412" s="1" t="s">
        <v>13</v>
      </c>
      <c r="C2412" s="4" t="s">
        <v>11089</v>
      </c>
      <c r="D2412" s="1" t="s">
        <v>11090</v>
      </c>
      <c r="E2412" s="1" t="s">
        <v>11091</v>
      </c>
      <c r="F2412" s="4" t="s">
        <v>17</v>
      </c>
      <c r="G2412" s="1" t="s">
        <v>18</v>
      </c>
      <c r="H2412" s="1" t="s">
        <v>19</v>
      </c>
      <c r="I2412" s="1" t="s">
        <v>20</v>
      </c>
      <c r="J2412" s="1" t="s">
        <v>11092</v>
      </c>
      <c r="K2412" s="1" t="s">
        <v>22</v>
      </c>
      <c r="L2412" s="1" t="str">
        <f>HYPERLINK("https://files.afu.se/Downloads/Transcripts/0%20-%20Government/USA%20-%20NASA/2014 08 06 - NASA - Maryland Astronaut Talks to Home State Media About Life in Space_znjNu8Ui7Ls - transcript (automated).pdf","Transcript Link")</f>
        <v>Transcript Link</v>
      </c>
      <c r="M2412" s="2" t="str">
        <f>HYPERLINK("https://files.afu.se/Downloads/Transcripts/0%20-%20Government/USA%20-%20NASA/2014 08 06 - NASA - Maryland Astronaut Talks to Home State Media About Life in Space_znjNu8Ui7Ls - transcript (automated).pdf","Transcript Link")</f>
        <v>Transcript Link</v>
      </c>
    </row>
    <row r="2413" ht="165" spans="1:13">
      <c r="A2413" s="1" t="s">
        <v>11093</v>
      </c>
      <c r="B2413" s="1" t="s">
        <v>13</v>
      </c>
      <c r="C2413" s="4" t="s">
        <v>11094</v>
      </c>
      <c r="D2413" s="1" t="s">
        <v>11095</v>
      </c>
      <c r="E2413" s="1" t="s">
        <v>11096</v>
      </c>
      <c r="F2413" s="4" t="s">
        <v>17</v>
      </c>
      <c r="G2413" s="1" t="s">
        <v>18</v>
      </c>
      <c r="H2413" s="1" t="s">
        <v>19</v>
      </c>
      <c r="I2413" s="1" t="s">
        <v>20</v>
      </c>
      <c r="J2413" s="1" t="s">
        <v>11097</v>
      </c>
      <c r="K2413" s="1" t="s">
        <v>22</v>
      </c>
      <c r="L2413" s="1" t="str">
        <f>HYPERLINK("https://files.afu.se/Downloads/Transcripts/0%20-%20Government/USA%20-%20NASA/2014 08 01 - NASA - Preparing for Orion Recovery Test on This Week @NASA - August 1, 2014_aKwjcS37Wvw - transcript (automated).pdf","Transcript Link")</f>
        <v>Transcript Link</v>
      </c>
      <c r="M2413" s="2" t="str">
        <f>HYPERLINK("https://files.afu.se/Downloads/Transcripts/0%20-%20Government/USA%20-%20NASA/2014 08 01 - NASA - Preparing for Orion Recovery Test on This Week @NASA - August 1, 2014_aKwjcS37Wvw - transcript (automated).pdf","Transcript Link")</f>
        <v>Transcript Link</v>
      </c>
    </row>
    <row r="2414" ht="165" spans="1:13">
      <c r="A2414" s="1" t="s">
        <v>11098</v>
      </c>
      <c r="B2414" s="1" t="s">
        <v>13</v>
      </c>
      <c r="C2414" s="4" t="s">
        <v>11099</v>
      </c>
      <c r="D2414" s="1" t="s">
        <v>11100</v>
      </c>
      <c r="E2414" s="1" t="s">
        <v>11101</v>
      </c>
      <c r="F2414" s="4" t="s">
        <v>17</v>
      </c>
      <c r="G2414" s="1" t="s">
        <v>18</v>
      </c>
      <c r="H2414" s="1" t="s">
        <v>19</v>
      </c>
      <c r="I2414" s="1" t="s">
        <v>20</v>
      </c>
      <c r="J2414" s="1" t="s">
        <v>11102</v>
      </c>
      <c r="K2414" s="1" t="s">
        <v>22</v>
      </c>
      <c r="L2414" s="1" t="str">
        <f>HYPERLINK("https://files.afu.se/Downloads/Transcripts/0%20-%20Government/USA%20-%20NASA/2014 07 31 - NASA - Mars 2020 Rover and Beyond News Teleconference from NASA Headquarters in Washington DC_1cRhU6bMLis - transcript (automated).pdf","Transcript Link")</f>
        <v>Transcript Link</v>
      </c>
      <c r="M2414" s="2" t="str">
        <f>HYPERLINK("https://files.afu.se/Downloads/Transcripts/0%20-%20Government/USA%20-%20NASA/2014 07 31 - NASA - Mars 2020 Rover and Beyond News Teleconference from NASA Headquarters in Washington DC_1cRhU6bMLis - transcript (automated).pdf","Transcript Link")</f>
        <v>Transcript Link</v>
      </c>
    </row>
    <row r="2415" ht="165" spans="1:13">
      <c r="A2415" s="1" t="s">
        <v>11098</v>
      </c>
      <c r="B2415" s="1" t="s">
        <v>13</v>
      </c>
      <c r="C2415" s="4" t="s">
        <v>11103</v>
      </c>
      <c r="D2415" s="1" t="s">
        <v>11104</v>
      </c>
      <c r="E2415" s="1" t="s">
        <v>11105</v>
      </c>
      <c r="F2415" s="4" t="s">
        <v>17</v>
      </c>
      <c r="G2415" s="1" t="s">
        <v>18</v>
      </c>
      <c r="H2415" s="1" t="s">
        <v>19</v>
      </c>
      <c r="I2415" s="1" t="s">
        <v>20</v>
      </c>
      <c r="J2415" s="1" t="s">
        <v>11106</v>
      </c>
      <c r="K2415" s="1" t="s">
        <v>22</v>
      </c>
      <c r="L2415" s="1" t="str">
        <f>HYPERLINK("https://files.afu.se/Downloads/Transcripts/0%20-%20Government/USA%20-%20NASA/2014 07 31 - NASA - NASA Astronaut ISS Crew Member Reid Wiseman Discusses Life in Space with ABC's  Nightline _WD7GVvkDjy0 - transcript (automated).pdf","Transcript Link")</f>
        <v>Transcript Link</v>
      </c>
      <c r="M2415" s="2" t="str">
        <f>HYPERLINK("https://files.afu.se/Downloads/Transcripts/0%20-%20Government/USA%20-%20NASA/2014 07 31 - NASA - NASA Astronaut ISS Crew Member Reid Wiseman Discusses Life in Space with ABC's  Nightline _WD7GVvkDjy0 - transcript (automated).pdf","Transcript Link")</f>
        <v>Transcript Link</v>
      </c>
    </row>
    <row r="2416" ht="225" spans="1:13">
      <c r="A2416" s="1" t="s">
        <v>11107</v>
      </c>
      <c r="B2416" s="1" t="s">
        <v>13</v>
      </c>
      <c r="C2416" s="4" t="s">
        <v>11108</v>
      </c>
      <c r="D2416" s="1" t="s">
        <v>11109</v>
      </c>
      <c r="E2416" s="1" t="s">
        <v>11110</v>
      </c>
      <c r="F2416" s="4" t="s">
        <v>17</v>
      </c>
      <c r="G2416" s="1" t="s">
        <v>18</v>
      </c>
      <c r="H2416" s="1" t="s">
        <v>19</v>
      </c>
      <c r="I2416" s="1" t="s">
        <v>20</v>
      </c>
      <c r="J2416" s="1" t="s">
        <v>11111</v>
      </c>
      <c r="K2416" s="1" t="s">
        <v>22</v>
      </c>
      <c r="L2416" s="1" t="str">
        <f>HYPERLINK("https://files.afu.se/Downloads/Transcripts/0%20-%20Government/USA%20-%20NASA/2014 07 30 - NASA - Final European Resupply Cargo Ship Begins Its Journey To The Space Station_iZDoZnyPwNs - transcript (automated).pdf","Transcript Link")</f>
        <v>Transcript Link</v>
      </c>
      <c r="M2416" s="2" t="str">
        <f>HYPERLINK("https://files.afu.se/Downloads/Transcripts/0%20-%20Government/USA%20-%20NASA/2014 07 30 - NASA - Final European Resupply Cargo Ship Begins Its Journey To The Space Station_iZDoZnyPwNs - transcript (automated).pdf","Transcript Link")</f>
        <v>Transcript Link</v>
      </c>
    </row>
    <row r="2417" ht="165" spans="1:13">
      <c r="A2417" s="1" t="s">
        <v>11112</v>
      </c>
      <c r="B2417" s="1" t="s">
        <v>13</v>
      </c>
      <c r="C2417" s="4" t="s">
        <v>11113</v>
      </c>
      <c r="D2417" s="1" t="s">
        <v>11114</v>
      </c>
      <c r="E2417" s="1" t="s">
        <v>11115</v>
      </c>
      <c r="F2417" s="4" t="s">
        <v>17</v>
      </c>
      <c r="G2417" s="1" t="s">
        <v>18</v>
      </c>
      <c r="H2417" s="1" t="s">
        <v>19</v>
      </c>
      <c r="I2417" s="1" t="s">
        <v>20</v>
      </c>
      <c r="J2417" s="1" t="s">
        <v>11116</v>
      </c>
      <c r="K2417" s="1" t="s">
        <v>22</v>
      </c>
      <c r="L2417" s="1" t="str">
        <f>HYPERLINK("https://files.afu.se/Downloads/Transcripts/0%20-%20Government/USA%20-%20NASA/2014 07 29 - NASA - International Space Station Inflight Discussion with ESA Astronaut Alexander Gerst and German Media_KtbLnLsNeTU - transcript (automated).pdf","Transcript Link")</f>
        <v>Transcript Link</v>
      </c>
      <c r="M2417" s="2" t="str">
        <f>HYPERLINK("https://files.afu.se/Downloads/Transcripts/0%20-%20Government/USA%20-%20NASA/2014 07 29 - NASA - International Space Station Inflight Discussion with ESA Astronaut Alexander Gerst and German Media_KtbLnLsNeTU - transcript (automated).pdf","Transcript Link")</f>
        <v>Transcript Link</v>
      </c>
    </row>
    <row r="2418" ht="180" spans="1:13">
      <c r="A2418" s="1" t="s">
        <v>11117</v>
      </c>
      <c r="B2418" s="1" t="s">
        <v>13</v>
      </c>
      <c r="C2418" s="4" t="s">
        <v>11118</v>
      </c>
      <c r="D2418" s="1" t="s">
        <v>11119</v>
      </c>
      <c r="E2418" s="1" t="s">
        <v>11120</v>
      </c>
      <c r="F2418" s="4" t="s">
        <v>17</v>
      </c>
      <c r="G2418" s="1" t="s">
        <v>18</v>
      </c>
      <c r="H2418" s="1" t="s">
        <v>19</v>
      </c>
      <c r="I2418" s="1" t="s">
        <v>20</v>
      </c>
      <c r="J2418" s="1" t="s">
        <v>11121</v>
      </c>
      <c r="K2418" s="1" t="s">
        <v>22</v>
      </c>
      <c r="L2418" s="1" t="str">
        <f>HYPERLINK("https://files.afu.se/Downloads/Transcripts/0%20-%20Government/USA%20-%20NASA/2014 07 25 - NASA - Apollo 11 celebration, Next Giant Leap anticipation on This Week @NASA_esPBHUIw91Q - transcript (automated).pdf","Transcript Link")</f>
        <v>Transcript Link</v>
      </c>
      <c r="M2418" s="2" t="str">
        <f>HYPERLINK("https://files.afu.se/Downloads/Transcripts/0%20-%20Government/USA%20-%20NASA/2014 07 25 - NASA - Apollo 11 celebration, Next Giant Leap anticipation on This Week @NASA_esPBHUIw91Q - transcript (automated).pdf","Transcript Link")</f>
        <v>Transcript Link</v>
      </c>
    </row>
    <row r="2419" ht="165" spans="1:13">
      <c r="A2419" s="1" t="s">
        <v>11117</v>
      </c>
      <c r="B2419" s="1" t="s">
        <v>13</v>
      </c>
      <c r="C2419" s="4" t="s">
        <v>11122</v>
      </c>
      <c r="D2419" s="1" t="s">
        <v>11123</v>
      </c>
      <c r="E2419" s="1" t="s">
        <v>11124</v>
      </c>
      <c r="F2419" s="4" t="s">
        <v>17</v>
      </c>
      <c r="G2419" s="1" t="s">
        <v>18</v>
      </c>
      <c r="H2419" s="1" t="s">
        <v>19</v>
      </c>
      <c r="I2419" s="1" t="s">
        <v>20</v>
      </c>
      <c r="J2419" s="1" t="s">
        <v>11125</v>
      </c>
      <c r="K2419" s="1" t="s">
        <v>22</v>
      </c>
      <c r="L2419" s="1" t="str">
        <f>HYPERLINK("https://files.afu.se/Downloads/Transcripts/0%20-%20Government/USA%20-%20NASA/2014 07 25 - NASA - Apollo 11 Mission Audio - Day 9_SVYGhsBter8 - transcript (automated).pdf","Transcript Link")</f>
        <v>Transcript Link</v>
      </c>
      <c r="M2419" s="2" t="str">
        <f>HYPERLINK("https://files.afu.se/Downloads/Transcripts/0%20-%20Government/USA%20-%20NASA/2014 07 25 - NASA - Apollo 11 Mission Audio - Day 9_SVYGhsBter8 - transcript (automated).pdf","Transcript Link")</f>
        <v>Transcript Link</v>
      </c>
    </row>
    <row r="2420" ht="165" spans="1:13">
      <c r="A2420" s="1" t="s">
        <v>11117</v>
      </c>
      <c r="B2420" s="1" t="s">
        <v>13</v>
      </c>
      <c r="C2420" s="4" t="s">
        <v>11126</v>
      </c>
      <c r="D2420" s="1" t="s">
        <v>11127</v>
      </c>
      <c r="E2420" s="1" t="s">
        <v>11128</v>
      </c>
      <c r="F2420" s="4" t="s">
        <v>17</v>
      </c>
      <c r="G2420" s="1" t="s">
        <v>18</v>
      </c>
      <c r="H2420" s="1" t="s">
        <v>19</v>
      </c>
      <c r="I2420" s="1" t="s">
        <v>20</v>
      </c>
      <c r="J2420" s="1" t="s">
        <v>11129</v>
      </c>
      <c r="K2420" s="1" t="s">
        <v>22</v>
      </c>
      <c r="L2420" s="1" t="str">
        <f>HYPERLINK("https://files.afu.se/Downloads/Transcripts/0%20-%20Government/USA%20-%20NASA/2014 07 25 - NASA - NASA's Next Giant Leap_xwhnXJdJEk8 - transcript (automated).pdf","Transcript Link")</f>
        <v>Transcript Link</v>
      </c>
      <c r="M2420" s="2" t="str">
        <f>HYPERLINK("https://files.afu.se/Downloads/Transcripts/0%20-%20Government/USA%20-%20NASA/2014 07 25 - NASA - NASA's Next Giant Leap_xwhnXJdJEk8 - transcript (automated).pdf","Transcript Link")</f>
        <v>Transcript Link</v>
      </c>
    </row>
    <row r="2421" ht="165" spans="1:13">
      <c r="A2421" s="1" t="s">
        <v>11130</v>
      </c>
      <c r="B2421" s="1" t="s">
        <v>13</v>
      </c>
      <c r="C2421" s="4" t="s">
        <v>11131</v>
      </c>
      <c r="D2421" s="1" t="s">
        <v>11132</v>
      </c>
      <c r="E2421" s="1" t="s">
        <v>11133</v>
      </c>
      <c r="F2421" s="4" t="s">
        <v>17</v>
      </c>
      <c r="G2421" s="1" t="s">
        <v>18</v>
      </c>
      <c r="H2421" s="1" t="s">
        <v>19</v>
      </c>
      <c r="I2421" s="1" t="s">
        <v>20</v>
      </c>
      <c r="J2421" s="1" t="s">
        <v>11134</v>
      </c>
      <c r="K2421" s="1" t="s">
        <v>22</v>
      </c>
      <c r="L2421" s="1" t="str">
        <f>HYPERLINK("https://files.afu.se/Downloads/Transcripts/0%20-%20Government/USA%20-%20NASA/2014 07 24 - NASA - ISS Astronauts Appear in the House_mS0Ykvj4P1I - transcript (automated).pdf","Transcript Link")</f>
        <v>Transcript Link</v>
      </c>
      <c r="M2421" s="2" t="str">
        <f>HYPERLINK("https://files.afu.se/Downloads/Transcripts/0%20-%20Government/USA%20-%20NASA/2014 07 24 - NASA - ISS Astronauts Appear in the House_mS0Ykvj4P1I - transcript (automated).pdf","Transcript Link")</f>
        <v>Transcript Link</v>
      </c>
    </row>
    <row r="2422" ht="165" spans="1:13">
      <c r="A2422" s="1" t="s">
        <v>11130</v>
      </c>
      <c r="B2422" s="1" t="s">
        <v>13</v>
      </c>
      <c r="C2422" s="4" t="s">
        <v>11135</v>
      </c>
      <c r="D2422" s="1" t="s">
        <v>11136</v>
      </c>
      <c r="E2422" s="1" t="s">
        <v>11137</v>
      </c>
      <c r="F2422" s="4" t="s">
        <v>17</v>
      </c>
      <c r="G2422" s="1" t="s">
        <v>18</v>
      </c>
      <c r="H2422" s="1" t="s">
        <v>19</v>
      </c>
      <c r="I2422" s="1" t="s">
        <v>20</v>
      </c>
      <c r="J2422" s="1" t="s">
        <v>11138</v>
      </c>
      <c r="K2422" s="1" t="s">
        <v>22</v>
      </c>
      <c r="L2422" s="1" t="str">
        <f>HYPERLINK("https://files.afu.se/Downloads/Transcripts/0%20-%20Government/USA%20-%20NASA/2014 07 24 - NASA - Apollo 11 Mission Audio - Day 8_UMFolzWdnWw - transcript (automated).pdf","Transcript Link")</f>
        <v>Transcript Link</v>
      </c>
      <c r="M2422" s="2" t="str">
        <f>HYPERLINK("https://files.afu.se/Downloads/Transcripts/0%20-%20Government/USA%20-%20NASA/2014 07 24 - NASA - Apollo 11 Mission Audio - Day 8_UMFolzWdnWw - transcript (automated).pdf","Transcript Link")</f>
        <v>Transcript Link</v>
      </c>
    </row>
    <row r="2423" ht="165" spans="1:13">
      <c r="A2423" s="1" t="s">
        <v>11130</v>
      </c>
      <c r="B2423" s="1" t="s">
        <v>13</v>
      </c>
      <c r="C2423" s="4" t="s">
        <v>11139</v>
      </c>
      <c r="D2423" s="1" t="s">
        <v>11140</v>
      </c>
      <c r="E2423" s="1" t="s">
        <v>11141</v>
      </c>
      <c r="F2423" s="4" t="s">
        <v>17</v>
      </c>
      <c r="G2423" s="1" t="s">
        <v>18</v>
      </c>
      <c r="H2423" s="1" t="s">
        <v>19</v>
      </c>
      <c r="I2423" s="1" t="s">
        <v>20</v>
      </c>
      <c r="J2423" s="1" t="s">
        <v>11142</v>
      </c>
      <c r="K2423" s="1" t="s">
        <v>22</v>
      </c>
      <c r="L2423" s="1" t="str">
        <f>HYPERLINK("https://files.afu.se/Downloads/Transcripts/0%20-%20Government/USA%20-%20NASA/2014 07 24 - NASA - Apollo 11 Mission Audio - Day 7_6MAVU9EkMWE - transcript (automated).pdf","Transcript Link")</f>
        <v>Transcript Link</v>
      </c>
      <c r="M2423" s="2" t="str">
        <f>HYPERLINK("https://files.afu.se/Downloads/Transcripts/0%20-%20Government/USA%20-%20NASA/2014 07 24 - NASA - Apollo 11 Mission Audio - Day 7_6MAVU9EkMWE - transcript (automated).pdf","Transcript Link")</f>
        <v>Transcript Link</v>
      </c>
    </row>
    <row r="2424" ht="165" spans="1:13">
      <c r="A2424" s="1" t="s">
        <v>11130</v>
      </c>
      <c r="B2424" s="1" t="s">
        <v>13</v>
      </c>
      <c r="C2424" s="4" t="s">
        <v>11143</v>
      </c>
      <c r="D2424" s="1" t="s">
        <v>11144</v>
      </c>
      <c r="E2424" s="1" t="s">
        <v>11145</v>
      </c>
      <c r="F2424" s="4" t="s">
        <v>17</v>
      </c>
      <c r="G2424" s="1" t="s">
        <v>18</v>
      </c>
      <c r="H2424" s="1" t="s">
        <v>19</v>
      </c>
      <c r="I2424" s="1" t="s">
        <v>20</v>
      </c>
      <c r="J2424" s="1" t="s">
        <v>11146</v>
      </c>
      <c r="K2424" s="1" t="s">
        <v>22</v>
      </c>
      <c r="L2424" s="1" t="str">
        <f>HYPERLINK("https://files.afu.se/Downloads/Transcripts/0%20-%20Government/USA%20-%20NASA/2014 07 24 - NASA - Apollo 11 Mission Audio - Day 6_TZuOBSgTJGs - transcript (automated).pdf","Transcript Link")</f>
        <v>Transcript Link</v>
      </c>
      <c r="M2424" s="2" t="str">
        <f>HYPERLINK("https://files.afu.se/Downloads/Transcripts/0%20-%20Government/USA%20-%20NASA/2014 07 24 - NASA - Apollo 11 Mission Audio - Day 6_TZuOBSgTJGs - transcript (automated).pdf","Transcript Link")</f>
        <v>Transcript Link</v>
      </c>
    </row>
    <row r="2425" ht="165" spans="1:13">
      <c r="A2425" s="1" t="s">
        <v>11130</v>
      </c>
      <c r="B2425" s="1" t="s">
        <v>13</v>
      </c>
      <c r="C2425" s="4" t="s">
        <v>11147</v>
      </c>
      <c r="D2425" s="1" t="s">
        <v>11148</v>
      </c>
      <c r="E2425" s="1" t="s">
        <v>11149</v>
      </c>
      <c r="F2425" s="4" t="s">
        <v>17</v>
      </c>
      <c r="G2425" s="1" t="s">
        <v>18</v>
      </c>
      <c r="H2425" s="1" t="s">
        <v>19</v>
      </c>
      <c r="I2425" s="1" t="s">
        <v>20</v>
      </c>
      <c r="J2425" s="1" t="s">
        <v>11150</v>
      </c>
      <c r="K2425" s="1" t="s">
        <v>22</v>
      </c>
      <c r="L2425" s="1" t="str">
        <f>HYPERLINK("https://files.afu.se/Downloads/Transcripts/0%20-%20Government/USA%20-%20NASA/2014 07 24 - NASA - Apollo 11 Mission Audio - Day 5_fktWJ0M80QE - transcript (automated).pdf","Transcript Link")</f>
        <v>Transcript Link</v>
      </c>
      <c r="M2425" s="2" t="str">
        <f>HYPERLINK("https://files.afu.se/Downloads/Transcripts/0%20-%20Government/USA%20-%20NASA/2014 07 24 - NASA - Apollo 11 Mission Audio - Day 5_fktWJ0M80QE - transcript (automated).pdf","Transcript Link")</f>
        <v>Transcript Link</v>
      </c>
    </row>
    <row r="2426" ht="165" spans="1:13">
      <c r="A2426" s="1" t="s">
        <v>11130</v>
      </c>
      <c r="B2426" s="1" t="s">
        <v>13</v>
      </c>
      <c r="C2426" s="4" t="s">
        <v>11151</v>
      </c>
      <c r="D2426" s="1" t="s">
        <v>11152</v>
      </c>
      <c r="E2426" s="1" t="s">
        <v>11153</v>
      </c>
      <c r="F2426" s="4" t="s">
        <v>17</v>
      </c>
      <c r="G2426" s="1" t="s">
        <v>18</v>
      </c>
      <c r="H2426" s="1" t="s">
        <v>19</v>
      </c>
      <c r="I2426" s="1" t="s">
        <v>20</v>
      </c>
      <c r="J2426" s="1" t="s">
        <v>11154</v>
      </c>
      <c r="K2426" s="1" t="s">
        <v>22</v>
      </c>
      <c r="L2426" s="1" t="str">
        <f>HYPERLINK("https://files.afu.se/Downloads/Transcripts/0%20-%20Government/USA%20-%20NASA/2014 07 24 - NASA - Apollo 11 Mission Audio - Day 4_fCp0SDEJsp8 - transcript (automated).pdf","Transcript Link")</f>
        <v>Transcript Link</v>
      </c>
      <c r="M2426" s="2" t="str">
        <f>HYPERLINK("https://files.afu.se/Downloads/Transcripts/0%20-%20Government/USA%20-%20NASA/2014 07 24 - NASA - Apollo 11 Mission Audio - Day 4_fCp0SDEJsp8 - transcript (automated).pdf","Transcript Link")</f>
        <v>Transcript Link</v>
      </c>
    </row>
    <row r="2427" ht="165" spans="1:13">
      <c r="A2427" s="1" t="s">
        <v>11130</v>
      </c>
      <c r="B2427" s="1" t="s">
        <v>13</v>
      </c>
      <c r="C2427" s="4" t="s">
        <v>11155</v>
      </c>
      <c r="D2427" s="1" t="s">
        <v>11156</v>
      </c>
      <c r="E2427" s="1" t="s">
        <v>11157</v>
      </c>
      <c r="F2427" s="4" t="s">
        <v>17</v>
      </c>
      <c r="G2427" s="1" t="s">
        <v>18</v>
      </c>
      <c r="H2427" s="1" t="s">
        <v>19</v>
      </c>
      <c r="I2427" s="1" t="s">
        <v>20</v>
      </c>
      <c r="J2427" s="1" t="s">
        <v>11158</v>
      </c>
      <c r="K2427" s="1" t="s">
        <v>22</v>
      </c>
      <c r="L2427" s="1" t="str">
        <f>HYPERLINK("https://files.afu.se/Downloads/Transcripts/0%20-%20Government/USA%20-%20NASA/2014 07 24 - NASA - Apollo 11 Mission Audio - Day 3_ywNx2-u1HMM - transcript (automated).pdf","Transcript Link")</f>
        <v>Transcript Link</v>
      </c>
      <c r="M2427" s="2" t="str">
        <f>HYPERLINK("https://files.afu.se/Downloads/Transcripts/0%20-%20Government/USA%20-%20NASA/2014 07 24 - NASA - Apollo 11 Mission Audio - Day 3_ywNx2-u1HMM - transcript (automated).pdf","Transcript Link")</f>
        <v>Transcript Link</v>
      </c>
    </row>
    <row r="2428" ht="165" spans="1:13">
      <c r="A2428" s="1" t="s">
        <v>11130</v>
      </c>
      <c r="B2428" s="1" t="s">
        <v>13</v>
      </c>
      <c r="C2428" s="4" t="s">
        <v>11159</v>
      </c>
      <c r="D2428" s="1" t="s">
        <v>11160</v>
      </c>
      <c r="E2428" s="1" t="s">
        <v>11161</v>
      </c>
      <c r="F2428" s="4" t="s">
        <v>17</v>
      </c>
      <c r="G2428" s="1" t="s">
        <v>18</v>
      </c>
      <c r="H2428" s="1" t="s">
        <v>19</v>
      </c>
      <c r="I2428" s="1" t="s">
        <v>20</v>
      </c>
      <c r="J2428" s="1" t="s">
        <v>11162</v>
      </c>
      <c r="K2428" s="1" t="s">
        <v>22</v>
      </c>
      <c r="L2428" s="1" t="str">
        <f>HYPERLINK("https://files.afu.se/Downloads/Transcripts/0%20-%20Government/USA%20-%20NASA/2014 07 24 - NASA - New Russian Supply Ship Arrives at the ISS_p7oOPjwnDow - transcript (automated).pdf","Transcript Link")</f>
        <v>Transcript Link</v>
      </c>
      <c r="M2428" s="2" t="str">
        <f>HYPERLINK("https://files.afu.se/Downloads/Transcripts/0%20-%20Government/USA%20-%20NASA/2014 07 24 - NASA - New Russian Supply Ship Arrives at the ISS_p7oOPjwnDow - transcript (automated).pdf","Transcript Link")</f>
        <v>Transcript Link</v>
      </c>
    </row>
    <row r="2429" ht="165" spans="1:13">
      <c r="A2429" s="1" t="s">
        <v>11163</v>
      </c>
      <c r="B2429" s="1" t="s">
        <v>13</v>
      </c>
      <c r="C2429" s="4" t="s">
        <v>11164</v>
      </c>
      <c r="D2429" s="1" t="s">
        <v>11165</v>
      </c>
      <c r="E2429" s="1" t="s">
        <v>11166</v>
      </c>
      <c r="F2429" s="4" t="s">
        <v>17</v>
      </c>
      <c r="G2429" s="1" t="s">
        <v>18</v>
      </c>
      <c r="H2429" s="1" t="s">
        <v>19</v>
      </c>
      <c r="I2429" s="1" t="s">
        <v>20</v>
      </c>
      <c r="J2429" s="1" t="s">
        <v>11167</v>
      </c>
      <c r="K2429" s="1" t="s">
        <v>22</v>
      </c>
      <c r="L2429" s="1" t="str">
        <f>HYPERLINK("https://files.afu.se/Downloads/Transcripts/0%20-%20Government/USA%20-%20NASA/2014 07 23 - NASA - New Russian Supply Ship Heads to the ISS__WXyZLVXcKg - transcript (automated).pdf","Transcript Link")</f>
        <v>Transcript Link</v>
      </c>
      <c r="M2429" s="2" t="str">
        <f>HYPERLINK("https://files.afu.se/Downloads/Transcripts/0%20-%20Government/USA%20-%20NASA/2014 07 23 - NASA - New Russian Supply Ship Heads to the ISS__WXyZLVXcKg - transcript (automated).pdf","Transcript Link")</f>
        <v>Transcript Link</v>
      </c>
    </row>
    <row r="2430" ht="165" spans="1:13">
      <c r="A2430" s="1" t="s">
        <v>11163</v>
      </c>
      <c r="B2430" s="1" t="s">
        <v>13</v>
      </c>
      <c r="C2430" s="4" t="s">
        <v>11168</v>
      </c>
      <c r="D2430" s="1" t="s">
        <v>11169</v>
      </c>
      <c r="E2430" s="1" t="s">
        <v>11170</v>
      </c>
      <c r="F2430" s="4" t="s">
        <v>17</v>
      </c>
      <c r="G2430" s="1" t="s">
        <v>18</v>
      </c>
      <c r="H2430" s="1" t="s">
        <v>19</v>
      </c>
      <c r="I2430" s="1" t="s">
        <v>20</v>
      </c>
      <c r="J2430" s="1" t="s">
        <v>11171</v>
      </c>
      <c r="K2430" s="1" t="s">
        <v>22</v>
      </c>
      <c r="L2430" s="1" t="str">
        <f>HYPERLINK("https://files.afu.se/Downloads/Transcripts/0%20-%20Government/USA%20-%20NASA/2014 07 23 - NASA - Apollo 11 Mission Audio - Day 2_keZZ5444sK0 - transcript (automated).pdf","Transcript Link")</f>
        <v>Transcript Link</v>
      </c>
      <c r="M2430" s="2" t="str">
        <f>HYPERLINK("https://files.afu.se/Downloads/Transcripts/0%20-%20Government/USA%20-%20NASA/2014 07 23 - NASA - Apollo 11 Mission Audio - Day 2_keZZ5444sK0 - transcript (automated).pdf","Transcript Link")</f>
        <v>Transcript Link</v>
      </c>
    </row>
    <row r="2431" ht="165" spans="1:13">
      <c r="A2431" s="1" t="s">
        <v>11163</v>
      </c>
      <c r="B2431" s="1" t="s">
        <v>13</v>
      </c>
      <c r="C2431" s="4" t="s">
        <v>11172</v>
      </c>
      <c r="D2431" s="1" t="s">
        <v>11173</v>
      </c>
      <c r="E2431" s="1" t="s">
        <v>11174</v>
      </c>
      <c r="F2431" s="4" t="s">
        <v>17</v>
      </c>
      <c r="G2431" s="1" t="s">
        <v>18</v>
      </c>
      <c r="H2431" s="1" t="s">
        <v>19</v>
      </c>
      <c r="I2431" s="1" t="s">
        <v>20</v>
      </c>
      <c r="J2431" s="1" t="s">
        <v>11175</v>
      </c>
      <c r="K2431" s="1" t="s">
        <v>22</v>
      </c>
      <c r="L2431" s="1" t="str">
        <f>HYPERLINK("https://files.afu.se/Downloads/Transcripts/0%20-%20Government/USA%20-%20NASA/2014 07 23 - NASA - Apollo 11 Mission Audio - Day 1_DejhGSEu8wk - transcript (automated).pdf","Transcript Link")</f>
        <v>Transcript Link</v>
      </c>
      <c r="M2431" s="2" t="str">
        <f>HYPERLINK("https://files.afu.se/Downloads/Transcripts/0%20-%20Government/USA%20-%20NASA/2014 07 23 - NASA - Apollo 11 Mission Audio - Day 1_DejhGSEu8wk - transcript (automated).pdf","Transcript Link")</f>
        <v>Transcript Link</v>
      </c>
    </row>
    <row r="2432" ht="165" spans="1:13">
      <c r="A2432" s="1" t="s">
        <v>11176</v>
      </c>
      <c r="B2432" s="1" t="s">
        <v>13</v>
      </c>
      <c r="C2432" s="4" t="s">
        <v>11177</v>
      </c>
      <c r="D2432" s="1" t="s">
        <v>11178</v>
      </c>
      <c r="E2432" s="1" t="s">
        <v>11179</v>
      </c>
      <c r="F2432" s="4" t="s">
        <v>17</v>
      </c>
      <c r="G2432" s="1" t="s">
        <v>18</v>
      </c>
      <c r="H2432" s="1" t="s">
        <v>19</v>
      </c>
      <c r="I2432" s="1" t="s">
        <v>20</v>
      </c>
      <c r="J2432" s="1" t="s">
        <v>11180</v>
      </c>
      <c r="K2432" s="1" t="s">
        <v>22</v>
      </c>
      <c r="L2432" s="1" t="str">
        <f>HYPERLINK("https://files.afu.se/Downloads/Transcripts/0%20-%20Government/USA%20-%20NASA/2014 07 22 - NASA - Russian Cargo Ship Departs the ISS_evSZKd037BM - transcript (automated).pdf","Transcript Link")</f>
        <v>Transcript Link</v>
      </c>
      <c r="M2432" s="2" t="str">
        <f>HYPERLINK("https://files.afu.se/Downloads/Transcripts/0%20-%20Government/USA%20-%20NASA/2014 07 22 - NASA - Russian Cargo Ship Departs the ISS_evSZKd037BM - transcript (automated).pdf","Transcript Link")</f>
        <v>Transcript Link</v>
      </c>
    </row>
    <row r="2433" ht="285" spans="1:13">
      <c r="A2433" s="1" t="s">
        <v>11181</v>
      </c>
      <c r="B2433" s="1" t="s">
        <v>13</v>
      </c>
      <c r="C2433" s="4" t="s">
        <v>11182</v>
      </c>
      <c r="D2433" s="1" t="s">
        <v>11183</v>
      </c>
      <c r="E2433" s="1" t="s">
        <v>11184</v>
      </c>
      <c r="F2433" s="4" t="s">
        <v>17</v>
      </c>
      <c r="G2433" s="1" t="s">
        <v>18</v>
      </c>
      <c r="H2433" s="1" t="s">
        <v>19</v>
      </c>
      <c r="I2433" s="1" t="s">
        <v>20</v>
      </c>
      <c r="J2433" s="1" t="s">
        <v>11185</v>
      </c>
      <c r="K2433" s="1" t="s">
        <v>22</v>
      </c>
      <c r="L2433" s="1" t="str">
        <f>HYPERLINK("https://files.afu.se/Downloads/Transcripts/0%20-%20Government/USA%20-%20NASA/2014 07 21 - NASA - NASA Renames Historic Facility in Honor of Neil Armstrong_foJGr-Re1RM - transcript (automated).pdf","Transcript Link")</f>
        <v>Transcript Link</v>
      </c>
      <c r="M2433" s="2" t="str">
        <f>HYPERLINK("https://files.afu.se/Downloads/Transcripts/0%20-%20Government/USA%20-%20NASA/2014 07 21 - NASA - NASA Renames Historic Facility in Honor of Neil Armstrong_foJGr-Re1RM - transcript (automated).pdf","Transcript Link")</f>
        <v>Transcript Link</v>
      </c>
    </row>
    <row r="2434" ht="165" spans="1:13">
      <c r="A2434" s="1" t="s">
        <v>11186</v>
      </c>
      <c r="B2434" s="1" t="s">
        <v>13</v>
      </c>
      <c r="C2434" s="4" t="s">
        <v>11187</v>
      </c>
      <c r="D2434" s="1" t="s">
        <v>11188</v>
      </c>
      <c r="E2434" s="1" t="s">
        <v>11189</v>
      </c>
      <c r="F2434" s="4" t="s">
        <v>17</v>
      </c>
      <c r="G2434" s="1" t="s">
        <v>18</v>
      </c>
      <c r="H2434" s="1" t="s">
        <v>19</v>
      </c>
      <c r="I2434" s="1" t="s">
        <v>20</v>
      </c>
      <c r="J2434" s="1" t="s">
        <v>11190</v>
      </c>
      <c r="K2434" s="1" t="s">
        <v>22</v>
      </c>
      <c r="L2434" s="1" t="str">
        <f>HYPERLINK("https://files.afu.se/Downloads/Transcripts/0%20-%20Government/USA%20-%20NASA/2014 07 18 - NASA - NASA Celebrates Apollo 11 45th Anniversary and Looks Forward to its Next Giant Leap_lXYYuz2oFvQ - transcript (automated).pdf","Transcript Link")</f>
        <v>Transcript Link</v>
      </c>
      <c r="M2434" s="2" t="str">
        <f>HYPERLINK("https://files.afu.se/Downloads/Transcripts/0%20-%20Government/USA%20-%20NASA/2014 07 18 - NASA - NASA Celebrates Apollo 11 45th Anniversary and Looks Forward to its Next Giant Leap_lXYYuz2oFvQ - transcript (automated).pdf","Transcript Link")</f>
        <v>Transcript Link</v>
      </c>
    </row>
    <row r="2435" ht="165" spans="1:13">
      <c r="A2435" s="1" t="s">
        <v>11186</v>
      </c>
      <c r="B2435" s="1" t="s">
        <v>13</v>
      </c>
      <c r="C2435" s="4" t="s">
        <v>11191</v>
      </c>
      <c r="D2435" s="1" t="s">
        <v>11127</v>
      </c>
      <c r="E2435" s="1" t="s">
        <v>11192</v>
      </c>
      <c r="F2435" s="4" t="s">
        <v>17</v>
      </c>
      <c r="G2435" s="1" t="s">
        <v>18</v>
      </c>
      <c r="H2435" s="1" t="s">
        <v>19</v>
      </c>
      <c r="I2435" s="1" t="s">
        <v>20</v>
      </c>
      <c r="J2435" s="1" t="s">
        <v>11193</v>
      </c>
      <c r="K2435" s="1" t="s">
        <v>22</v>
      </c>
      <c r="L2435" s="1" t="str">
        <f>HYPERLINK("https://files.afu.se/Downloads/Transcripts/0%20-%20Government/USA%20-%20NASA/2014 07 18 - NASA - NASA's Next Giant Leap_QjmjfM7LV0Q - transcript (automated).pdf","Transcript Link")</f>
        <v>Transcript Link</v>
      </c>
      <c r="M2435" s="2" t="str">
        <f>HYPERLINK("https://files.afu.se/Downloads/Transcripts/0%20-%20Government/USA%20-%20NASA/2014 07 18 - NASA - NASA's Next Giant Leap_QjmjfM7LV0Q - transcript (automated).pdf","Transcript Link")</f>
        <v>Transcript Link</v>
      </c>
    </row>
    <row r="2436" ht="270" spans="1:13">
      <c r="A2436" s="1" t="s">
        <v>11186</v>
      </c>
      <c r="B2436" s="1" t="s">
        <v>13</v>
      </c>
      <c r="C2436" s="4" t="s">
        <v>11194</v>
      </c>
      <c r="D2436" s="1" t="s">
        <v>11195</v>
      </c>
      <c r="E2436" s="1" t="s">
        <v>11196</v>
      </c>
      <c r="F2436" s="4" t="s">
        <v>17</v>
      </c>
      <c r="G2436" s="1" t="s">
        <v>18</v>
      </c>
      <c r="H2436" s="1" t="s">
        <v>19</v>
      </c>
      <c r="I2436" s="1" t="s">
        <v>20</v>
      </c>
      <c r="J2436" s="1" t="s">
        <v>11197</v>
      </c>
      <c r="K2436" s="1" t="s">
        <v>22</v>
      </c>
      <c r="L2436" s="1" t="str">
        <f>HYPERLINK("https://files.afu.se/Downloads/Transcripts/0%20-%20Government/USA%20-%20NASA/2014 07 18 - NASA - Apollo 11 yesterday, Next Giant Leap tomorrow on This Week @NASA_3kH3WfpDKW0 - transcript (automated).pdf","Transcript Link")</f>
        <v>Transcript Link</v>
      </c>
      <c r="M2436" s="2" t="str">
        <f>HYPERLINK("https://files.afu.se/Downloads/Transcripts/0%20-%20Government/USA%20-%20NASA/2014 07 18 - NASA - Apollo 11 yesterday, Next Giant Leap tomorrow on This Week @NASA_3kH3WfpDKW0 - transcript (automated).pdf","Transcript Link")</f>
        <v>Transcript Link</v>
      </c>
    </row>
    <row r="2437" ht="165" spans="1:13">
      <c r="A2437" s="1" t="s">
        <v>11198</v>
      </c>
      <c r="B2437" s="1" t="s">
        <v>13</v>
      </c>
      <c r="C2437" s="4" t="s">
        <v>11199</v>
      </c>
      <c r="D2437" s="1" t="s">
        <v>11200</v>
      </c>
      <c r="E2437" s="1" t="s">
        <v>11201</v>
      </c>
      <c r="F2437" s="4" t="s">
        <v>17</v>
      </c>
      <c r="G2437" s="1" t="s">
        <v>18</v>
      </c>
      <c r="H2437" s="1" t="s">
        <v>19</v>
      </c>
      <c r="I2437" s="1" t="s">
        <v>20</v>
      </c>
      <c r="J2437" s="1" t="s">
        <v>11202</v>
      </c>
      <c r="K2437" s="1" t="s">
        <v>22</v>
      </c>
      <c r="L2437" s="1" t="str">
        <f>HYPERLINK("https://files.afu.se/Downloads/Transcripts/0%20-%20Government/USA%20-%20NASA/2014 07 17 - NASA - Time of Apollo_hbgxzA2VQC0 - transcript (automated).pdf","Transcript Link")</f>
        <v>Transcript Link</v>
      </c>
      <c r="M2437" s="2" t="str">
        <f>HYPERLINK("https://files.afu.se/Downloads/Transcripts/0%20-%20Government/USA%20-%20NASA/2014 07 17 - NASA - Time of Apollo_hbgxzA2VQC0 - transcript (automated).pdf","Transcript Link")</f>
        <v>Transcript Link</v>
      </c>
    </row>
    <row r="2438" ht="165" spans="1:13">
      <c r="A2438" s="1" t="s">
        <v>11198</v>
      </c>
      <c r="B2438" s="1" t="s">
        <v>13</v>
      </c>
      <c r="C2438" s="4" t="s">
        <v>11203</v>
      </c>
      <c r="D2438" s="1" t="s">
        <v>11204</v>
      </c>
      <c r="E2438" s="1" t="s">
        <v>11205</v>
      </c>
      <c r="F2438" s="4" t="s">
        <v>17</v>
      </c>
      <c r="G2438" s="1" t="s">
        <v>18</v>
      </c>
      <c r="H2438" s="1" t="s">
        <v>19</v>
      </c>
      <c r="I2438" s="1" t="s">
        <v>20</v>
      </c>
      <c r="J2438" s="1" t="s">
        <v>11206</v>
      </c>
      <c r="K2438" s="1" t="s">
        <v>22</v>
      </c>
      <c r="L2438" s="1" t="str">
        <f>HYPERLINK("https://files.afu.se/Downloads/Transcripts/0%20-%20Government/USA%20-%20NASA/2014 07 17 - NASA - 300 Feet to the Moon_Z5YQ8azP_Zs - transcript (automated).pdf","Transcript Link")</f>
        <v>Transcript Link</v>
      </c>
      <c r="M2438" s="2" t="str">
        <f>HYPERLINK("https://files.afu.se/Downloads/Transcripts/0%20-%20Government/USA%20-%20NASA/2014 07 17 - NASA - 300 Feet to the Moon_Z5YQ8azP_Zs - transcript (automated).pdf","Transcript Link")</f>
        <v>Transcript Link</v>
      </c>
    </row>
    <row r="2439" ht="270" spans="1:13">
      <c r="A2439" s="1" t="s">
        <v>11198</v>
      </c>
      <c r="B2439" s="1" t="s">
        <v>13</v>
      </c>
      <c r="C2439" s="4" t="s">
        <v>11207</v>
      </c>
      <c r="D2439" s="1" t="s">
        <v>11208</v>
      </c>
      <c r="E2439" s="1" t="s">
        <v>11209</v>
      </c>
      <c r="F2439" s="4" t="s">
        <v>17</v>
      </c>
      <c r="G2439" s="1" t="s">
        <v>18</v>
      </c>
      <c r="H2439" s="1" t="s">
        <v>19</v>
      </c>
      <c r="I2439" s="1" t="s">
        <v>20</v>
      </c>
      <c r="J2439" s="1" t="s">
        <v>11210</v>
      </c>
      <c r="K2439" s="1" t="s">
        <v>22</v>
      </c>
      <c r="L2439" s="1" t="str">
        <f>HYPERLINK("https://files.afu.se/Downloads/Transcripts/0%20-%20Government/USA%20-%20NASA/2014 07 17 - NASA - Restored Apollo 11 Moonwalk - Original NASA EVA Mission Video - Walking on the Moon_S9HdPi9Ikhk - transcript (automated).pdf","Transcript Link")</f>
        <v>Transcript Link</v>
      </c>
      <c r="M2439" s="2" t="str">
        <f>HYPERLINK("https://files.afu.se/Downloads/Transcripts/0%20-%20Government/USA%20-%20NASA/2014 07 17 - NASA - Restored Apollo 11 Moonwalk - Original NASA EVA Mission Video - Walking on the Moon_S9HdPi9Ikhk - transcript (automated).pdf","Transcript Link")</f>
        <v>Transcript Link</v>
      </c>
    </row>
    <row r="2440" ht="165" spans="1:13">
      <c r="A2440" s="1" t="s">
        <v>11198</v>
      </c>
      <c r="B2440" s="1" t="s">
        <v>13</v>
      </c>
      <c r="C2440" s="4" t="s">
        <v>11211</v>
      </c>
      <c r="D2440" s="1" t="s">
        <v>11212</v>
      </c>
      <c r="E2440" s="1" t="s">
        <v>11213</v>
      </c>
      <c r="F2440" s="4" t="s">
        <v>17</v>
      </c>
      <c r="G2440" s="1" t="s">
        <v>18</v>
      </c>
      <c r="H2440" s="1" t="s">
        <v>19</v>
      </c>
      <c r="I2440" s="1" t="s">
        <v>20</v>
      </c>
      <c r="J2440" s="1" t="s">
        <v>11214</v>
      </c>
      <c r="K2440" s="1" t="s">
        <v>22</v>
      </c>
      <c r="L2440" s="1" t="str">
        <f>HYPERLINK("https://files.afu.se/Downloads/Transcripts/0%20-%20Government/USA%20-%20NASA/2014 07 17 - NASA - ISS Expedition 41-42 Crew News Conference_DwybgxL0Yag - transcript (automated).pdf","Transcript Link")</f>
        <v>Transcript Link</v>
      </c>
      <c r="M2440" s="2" t="str">
        <f>HYPERLINK("https://files.afu.se/Downloads/Transcripts/0%20-%20Government/USA%20-%20NASA/2014 07 17 - NASA - ISS Expedition 41-42 Crew News Conference_DwybgxL0Yag - transcript (automated).pdf","Transcript Link")</f>
        <v>Transcript Link</v>
      </c>
    </row>
    <row r="2441" ht="165" spans="1:13">
      <c r="A2441" s="1" t="s">
        <v>11198</v>
      </c>
      <c r="B2441" s="1" t="s">
        <v>13</v>
      </c>
      <c r="C2441" s="4" t="s">
        <v>11215</v>
      </c>
      <c r="D2441" s="1" t="s">
        <v>11216</v>
      </c>
      <c r="E2441" s="1" t="s">
        <v>11217</v>
      </c>
      <c r="F2441" s="4" t="s">
        <v>17</v>
      </c>
      <c r="G2441" s="1" t="s">
        <v>18</v>
      </c>
      <c r="H2441" s="1" t="s">
        <v>19</v>
      </c>
      <c r="I2441" s="1" t="s">
        <v>20</v>
      </c>
      <c r="J2441" s="1" t="s">
        <v>11218</v>
      </c>
      <c r="K2441" s="1" t="s">
        <v>22</v>
      </c>
      <c r="L2441" s="1" t="str">
        <f>HYPERLINK("https://files.afu.se/Downloads/Transcripts/0%20-%20Government/USA%20-%20NASA/2014 07 17 - NASA - NASA Space Station Commander Discusses Life And Work Floating In Space with Denver Media_KXfxH4FRObY - transcript (automated).pdf","Transcript Link")</f>
        <v>Transcript Link</v>
      </c>
      <c r="M2441" s="2" t="str">
        <f>HYPERLINK("https://files.afu.se/Downloads/Transcripts/0%20-%20Government/USA%20-%20NASA/2014 07 17 - NASA - NASA Space Station Commander Discusses Life And Work Floating In Space with Denver Media_KXfxH4FRObY - transcript (automated).pdf","Transcript Link")</f>
        <v>Transcript Link</v>
      </c>
    </row>
    <row r="2442" ht="165" spans="1:13">
      <c r="A2442" s="1" t="s">
        <v>11219</v>
      </c>
      <c r="B2442" s="1" t="s">
        <v>13</v>
      </c>
      <c r="C2442" s="4" t="s">
        <v>11220</v>
      </c>
      <c r="D2442" s="1" t="s">
        <v>11221</v>
      </c>
      <c r="E2442" s="1" t="s">
        <v>11222</v>
      </c>
      <c r="F2442" s="4" t="s">
        <v>17</v>
      </c>
      <c r="G2442" s="1" t="s">
        <v>18</v>
      </c>
      <c r="H2442" s="1" t="s">
        <v>19</v>
      </c>
      <c r="I2442" s="1" t="s">
        <v>20</v>
      </c>
      <c r="J2442" s="1" t="s">
        <v>11223</v>
      </c>
      <c r="K2442" s="1" t="s">
        <v>22</v>
      </c>
      <c r="L2442" s="1" t="str">
        <f>HYPERLINK("https://files.afu.se/Downloads/Transcripts/0%20-%20Government/USA%20-%20NASA/2014 07 16 - NASA - The Journeys of Apollo_GNJpoP642wc - transcript (automated).pdf","Transcript Link")</f>
        <v>Transcript Link</v>
      </c>
      <c r="M2442" s="2" t="str">
        <f>HYPERLINK("https://files.afu.se/Downloads/Transcripts/0%20-%20Government/USA%20-%20NASA/2014 07 16 - NASA - The Journeys of Apollo_GNJpoP642wc - transcript (automated).pdf","Transcript Link")</f>
        <v>Transcript Link</v>
      </c>
    </row>
    <row r="2443" ht="165" spans="1:13">
      <c r="A2443" s="1" t="s">
        <v>11219</v>
      </c>
      <c r="B2443" s="1" t="s">
        <v>13</v>
      </c>
      <c r="C2443" s="4" t="s">
        <v>11224</v>
      </c>
      <c r="D2443" s="1" t="s">
        <v>11225</v>
      </c>
      <c r="E2443" s="1" t="s">
        <v>11226</v>
      </c>
      <c r="F2443" s="4" t="s">
        <v>17</v>
      </c>
      <c r="G2443" s="1" t="s">
        <v>18</v>
      </c>
      <c r="H2443" s="1" t="s">
        <v>19</v>
      </c>
      <c r="I2443" s="1" t="s">
        <v>20</v>
      </c>
      <c r="J2443" s="1" t="s">
        <v>11227</v>
      </c>
      <c r="K2443" s="1" t="s">
        <v>22</v>
      </c>
      <c r="L2443" s="1" t="str">
        <f>HYPERLINK("https://files.afu.se/Downloads/Transcripts/0%20-%20Government/USA%20-%20NASA/2014 07 16 - NASA - Apollo 11   For All Mankind_HxgoV9IMgCg - transcript (automated).pdf","Transcript Link")</f>
        <v>Transcript Link</v>
      </c>
      <c r="M2443" s="2" t="str">
        <f>HYPERLINK("https://files.afu.se/Downloads/Transcripts/0%20-%20Government/USA%20-%20NASA/2014 07 16 - NASA - Apollo 11   For All Mankind_HxgoV9IMgCg - transcript (automated).pdf","Transcript Link")</f>
        <v>Transcript Link</v>
      </c>
    </row>
    <row r="2444" ht="165" spans="1:13">
      <c r="A2444" s="1" t="s">
        <v>11219</v>
      </c>
      <c r="B2444" s="1" t="s">
        <v>13</v>
      </c>
      <c r="C2444" s="4" t="s">
        <v>11228</v>
      </c>
      <c r="D2444" s="1" t="s">
        <v>11229</v>
      </c>
      <c r="E2444" s="1" t="s">
        <v>11230</v>
      </c>
      <c r="F2444" s="4" t="s">
        <v>17</v>
      </c>
      <c r="G2444" s="1" t="s">
        <v>18</v>
      </c>
      <c r="H2444" s="1" t="s">
        <v>19</v>
      </c>
      <c r="I2444" s="1" t="s">
        <v>20</v>
      </c>
      <c r="J2444" s="1" t="s">
        <v>11231</v>
      </c>
      <c r="K2444" s="1" t="s">
        <v>22</v>
      </c>
      <c r="L2444" s="1" t="str">
        <f>HYPERLINK("https://files.afu.se/Downloads/Transcripts/0%20-%20Government/USA%20-%20NASA/2014 07 16 - NASA - The Flight of Apollo 11_qUe5IpDBcsM - transcript (automated).pdf","Transcript Link")</f>
        <v>Transcript Link</v>
      </c>
      <c r="M2444" s="2" t="str">
        <f>HYPERLINK("https://files.afu.se/Downloads/Transcripts/0%20-%20Government/USA%20-%20NASA/2014 07 16 - NASA - The Flight of Apollo 11_qUe5IpDBcsM - transcript (automated).pdf","Transcript Link")</f>
        <v>Transcript Link</v>
      </c>
    </row>
    <row r="2445" ht="165" spans="1:13">
      <c r="A2445" s="1" t="s">
        <v>11219</v>
      </c>
      <c r="B2445" s="1" t="s">
        <v>13</v>
      </c>
      <c r="C2445" s="4" t="s">
        <v>11232</v>
      </c>
      <c r="D2445" s="1" t="s">
        <v>11233</v>
      </c>
      <c r="E2445" s="1" t="s">
        <v>11234</v>
      </c>
      <c r="F2445" s="4" t="s">
        <v>17</v>
      </c>
      <c r="G2445" s="1" t="s">
        <v>18</v>
      </c>
      <c r="H2445" s="1" t="s">
        <v>19</v>
      </c>
      <c r="I2445" s="1" t="s">
        <v>20</v>
      </c>
      <c r="J2445" s="1" t="s">
        <v>11235</v>
      </c>
      <c r="K2445" s="1" t="s">
        <v>22</v>
      </c>
      <c r="L2445" s="1" t="str">
        <f>HYPERLINK("https://files.afu.se/Downloads/Transcripts/0%20-%20Government/USA%20-%20NASA/2014 07 16 - NASA - Apollo 11 45th Anniversary Resource Reel_SMA0zbFK5jE - transcript (automated).pdf","Transcript Link")</f>
        <v>Transcript Link</v>
      </c>
      <c r="M2445" s="2" t="str">
        <f>HYPERLINK("https://files.afu.se/Downloads/Transcripts/0%20-%20Government/USA%20-%20NASA/2014 07 16 - NASA - Apollo 11 45th Anniversary Resource Reel_SMA0zbFK5jE - transcript (automated).pdf","Transcript Link")</f>
        <v>Transcript Link</v>
      </c>
    </row>
    <row r="2446" ht="210" spans="1:13">
      <c r="A2446" s="1" t="s">
        <v>11219</v>
      </c>
      <c r="B2446" s="1" t="s">
        <v>13</v>
      </c>
      <c r="C2446" s="4" t="s">
        <v>11236</v>
      </c>
      <c r="D2446" s="1" t="s">
        <v>11237</v>
      </c>
      <c r="E2446" s="1" t="s">
        <v>11238</v>
      </c>
      <c r="F2446" s="4" t="s">
        <v>17</v>
      </c>
      <c r="G2446" s="1" t="s">
        <v>18</v>
      </c>
      <c r="H2446" s="1" t="s">
        <v>19</v>
      </c>
      <c r="I2446" s="1" t="s">
        <v>20</v>
      </c>
      <c r="J2446" s="1" t="s">
        <v>11239</v>
      </c>
      <c r="K2446" s="1" t="s">
        <v>22</v>
      </c>
      <c r="L2446" s="1" t="str">
        <f>HYPERLINK("https://files.afu.se/Downloads/Transcripts/0%20-%20Government/USA%20-%20NASA/2014 07 16 - NASA - U.S. Cargo Ship Arrives And Grapples With The International Space Station_fFRBJ13Zx6I - transcript (automated).pdf","Transcript Link")</f>
        <v>Transcript Link</v>
      </c>
      <c r="M2446" s="2" t="str">
        <f>HYPERLINK("https://files.afu.se/Downloads/Transcripts/0%20-%20Government/USA%20-%20NASA/2014 07 16 - NASA - U.S. Cargo Ship Arrives And Grapples With The International Space Station_fFRBJ13Zx6I - transcript (automated).pdf","Transcript Link")</f>
        <v>Transcript Link</v>
      </c>
    </row>
    <row r="2447" ht="165" spans="1:13">
      <c r="A2447" s="1" t="s">
        <v>11219</v>
      </c>
      <c r="B2447" s="1" t="s">
        <v>13</v>
      </c>
      <c r="C2447" s="4" t="s">
        <v>11240</v>
      </c>
      <c r="D2447" s="1" t="s">
        <v>11241</v>
      </c>
      <c r="E2447" s="1" t="s">
        <v>11242</v>
      </c>
      <c r="F2447" s="4" t="s">
        <v>17</v>
      </c>
      <c r="G2447" s="1" t="s">
        <v>18</v>
      </c>
      <c r="H2447" s="1" t="s">
        <v>19</v>
      </c>
      <c r="I2447" s="1" t="s">
        <v>20</v>
      </c>
      <c r="J2447" s="1" t="s">
        <v>11243</v>
      </c>
      <c r="K2447" s="1" t="s">
        <v>22</v>
      </c>
      <c r="L2447" s="1" t="str">
        <f>HYPERLINK("https://files.afu.se/Downloads/Transcripts/0%20-%20Government/USA%20-%20NASA/2014 07 16 - NASA - ISS Apollo 11 45th Anniversary Message_oCh5HLyOufw - transcript (automated).pdf","Transcript Link")</f>
        <v>Transcript Link</v>
      </c>
      <c r="M2447" s="2" t="str">
        <f>HYPERLINK("https://files.afu.se/Downloads/Transcripts/0%20-%20Government/USA%20-%20NASA/2014 07 16 - NASA - ISS Apollo 11 45th Anniversary Message_oCh5HLyOufw - transcript (automated).pdf","Transcript Link")</f>
        <v>Transcript Link</v>
      </c>
    </row>
    <row r="2448" ht="165" spans="1:13">
      <c r="A2448" s="1" t="s">
        <v>11244</v>
      </c>
      <c r="B2448" s="1" t="s">
        <v>13</v>
      </c>
      <c r="C2448" s="4" t="s">
        <v>11245</v>
      </c>
      <c r="D2448" s="1" t="s">
        <v>11246</v>
      </c>
      <c r="E2448" s="1" t="s">
        <v>11247</v>
      </c>
      <c r="F2448" s="4" t="s">
        <v>17</v>
      </c>
      <c r="G2448" s="1" t="s">
        <v>18</v>
      </c>
      <c r="H2448" s="1" t="s">
        <v>19</v>
      </c>
      <c r="I2448" s="1" t="s">
        <v>20</v>
      </c>
      <c r="J2448" s="1" t="s">
        <v>11248</v>
      </c>
      <c r="K2448" s="1" t="s">
        <v>22</v>
      </c>
      <c r="L2448" s="1" t="str">
        <f>HYPERLINK("https://files.afu.se/Downloads/Transcripts/0%20-%20Government/USA%20-%20NASA/2014 07 14 - NASA - Space Experts Discuss the Search for Life in the Universe at NASA_GNjuz6MO0eU - transcript (automated).pdf","Transcript Link")</f>
        <v>Transcript Link</v>
      </c>
      <c r="M2448" s="2" t="str">
        <f>HYPERLINK("https://files.afu.se/Downloads/Transcripts/0%20-%20Government/USA%20-%20NASA/2014 07 14 - NASA - Space Experts Discuss the Search for Life in the Universe at NASA_GNjuz6MO0eU - transcript (automated).pdf","Transcript Link")</f>
        <v>Transcript Link</v>
      </c>
    </row>
    <row r="2449" ht="165" spans="1:13">
      <c r="A2449" s="1" t="s">
        <v>11244</v>
      </c>
      <c r="B2449" s="1" t="s">
        <v>13</v>
      </c>
      <c r="C2449" s="4" t="s">
        <v>11249</v>
      </c>
      <c r="D2449" s="1" t="s">
        <v>11250</v>
      </c>
      <c r="E2449" s="1" t="s">
        <v>11251</v>
      </c>
      <c r="F2449" s="4" t="s">
        <v>17</v>
      </c>
      <c r="G2449" s="1" t="s">
        <v>18</v>
      </c>
      <c r="H2449" s="1" t="s">
        <v>19</v>
      </c>
      <c r="I2449" s="1" t="s">
        <v>20</v>
      </c>
      <c r="J2449" s="1" t="s">
        <v>11252</v>
      </c>
      <c r="K2449" s="1" t="s">
        <v>22</v>
      </c>
      <c r="L2449" s="1" t="str">
        <f>HYPERLINK("https://files.afu.se/Downloads/Transcripts/0%20-%20Government/USA%20-%20NASA/2014 07 14 - NASA - Orbital 2 Mission Underway on This Week @NASA_102ZxBw2-4M - transcript (automated).pdf","Transcript Link")</f>
        <v>Transcript Link</v>
      </c>
      <c r="M2449" s="2" t="str">
        <f>HYPERLINK("https://files.afu.se/Downloads/Transcripts/0%20-%20Government/USA%20-%20NASA/2014 07 14 - NASA - Orbital 2 Mission Underway on This Week @NASA_102ZxBw2-4M - transcript (automated).pdf","Transcript Link")</f>
        <v>Transcript Link</v>
      </c>
    </row>
    <row r="2450" ht="409.5" spans="1:13">
      <c r="A2450" s="1" t="s">
        <v>11244</v>
      </c>
      <c r="B2450" s="1" t="s">
        <v>13</v>
      </c>
      <c r="C2450" s="4" t="s">
        <v>11253</v>
      </c>
      <c r="D2450" s="1" t="s">
        <v>11254</v>
      </c>
      <c r="E2450" s="1" t="s">
        <v>11255</v>
      </c>
      <c r="F2450" s="4" t="s">
        <v>17</v>
      </c>
      <c r="G2450" s="1" t="s">
        <v>18</v>
      </c>
      <c r="H2450" s="1" t="s">
        <v>19</v>
      </c>
      <c r="I2450" s="1" t="s">
        <v>20</v>
      </c>
      <c r="J2450" s="1" t="s">
        <v>11256</v>
      </c>
      <c r="K2450" s="1" t="s">
        <v>22</v>
      </c>
      <c r="L2450" s="1" t="str">
        <f>HYPERLINK("https://files.afu.se/Downloads/Transcripts/0%20-%20Government/USA%20-%20NASA/2014 07 14 - NASA - NASA Administrator Charles Bolden Apollo 11 45th Anniversary Message_HKz757B7yY8 - transcript (automated).pdf","Transcript Link")</f>
        <v>Transcript Link</v>
      </c>
      <c r="M2450" s="2" t="str">
        <f>HYPERLINK("https://files.afu.se/Downloads/Transcripts/0%20-%20Government/USA%20-%20NASA/2014 07 14 - NASA - NASA Administrator Charles Bolden Apollo 11 45th Anniversary Message_HKz757B7yY8 - transcript (automated).pdf","Transcript Link")</f>
        <v>Transcript Link</v>
      </c>
    </row>
    <row r="2451" ht="210" spans="1:13">
      <c r="A2451" s="1" t="s">
        <v>11257</v>
      </c>
      <c r="B2451" s="1" t="s">
        <v>13</v>
      </c>
      <c r="C2451" s="4" t="s">
        <v>11258</v>
      </c>
      <c r="D2451" s="1" t="s">
        <v>11259</v>
      </c>
      <c r="E2451" s="1" t="s">
        <v>11260</v>
      </c>
      <c r="F2451" s="4" t="s">
        <v>17</v>
      </c>
      <c r="G2451" s="1" t="s">
        <v>18</v>
      </c>
      <c r="H2451" s="1" t="s">
        <v>19</v>
      </c>
      <c r="I2451" s="1" t="s">
        <v>20</v>
      </c>
      <c r="J2451" s="1" t="s">
        <v>11261</v>
      </c>
      <c r="K2451" s="1" t="s">
        <v>22</v>
      </c>
      <c r="L2451" s="1" t="str">
        <f>HYPERLINK("https://files.afu.se/Downloads/Transcripts/0%20-%20Government/USA%20-%20NASA/2014 07 13 - NASA - Post launch status of Orbital 2 Mission updated_zg4DWPGjxTc - transcript (automated).pdf","Transcript Link")</f>
        <v>Transcript Link</v>
      </c>
      <c r="M2451" s="2" t="str">
        <f>HYPERLINK("https://files.afu.se/Downloads/Transcripts/0%20-%20Government/USA%20-%20NASA/2014 07 13 - NASA - Post launch status of Orbital 2 Mission updated_zg4DWPGjxTc - transcript (automated).pdf","Transcript Link")</f>
        <v>Transcript Link</v>
      </c>
    </row>
    <row r="2452" ht="165" spans="1:13">
      <c r="A2452" s="1" t="s">
        <v>11257</v>
      </c>
      <c r="B2452" s="1" t="s">
        <v>13</v>
      </c>
      <c r="C2452" s="4" t="s">
        <v>11262</v>
      </c>
      <c r="D2452" s="1" t="s">
        <v>11263</v>
      </c>
      <c r="E2452" s="1" t="s">
        <v>11264</v>
      </c>
      <c r="F2452" s="4" t="s">
        <v>17</v>
      </c>
      <c r="G2452" s="1" t="s">
        <v>18</v>
      </c>
      <c r="H2452" s="1" t="s">
        <v>19</v>
      </c>
      <c r="I2452" s="1" t="s">
        <v>20</v>
      </c>
      <c r="J2452" s="1" t="s">
        <v>11265</v>
      </c>
      <c r="K2452" s="1" t="s">
        <v>22</v>
      </c>
      <c r="L2452" s="1" t="str">
        <f>HYPERLINK("https://files.afu.se/Downloads/Transcripts/0%20-%20Government/USA%20-%20NASA/2014 07 13 - NASA - Launch of Orbital-2 Mission to the International Space Station_KA3RhUsbf20 - transcript (automated).pdf","Transcript Link")</f>
        <v>Transcript Link</v>
      </c>
      <c r="M2452" s="2" t="str">
        <f>HYPERLINK("https://files.afu.se/Downloads/Transcripts/0%20-%20Government/USA%20-%20NASA/2014 07 13 - NASA - Launch of Orbital-2 Mission to the International Space Station_KA3RhUsbf20 - transcript (automated).pdf","Transcript Link")</f>
        <v>Transcript Link</v>
      </c>
    </row>
    <row r="2453" ht="255" spans="1:13">
      <c r="A2453" s="1" t="s">
        <v>11266</v>
      </c>
      <c r="B2453" s="1" t="s">
        <v>13</v>
      </c>
      <c r="C2453" s="4" t="s">
        <v>11267</v>
      </c>
      <c r="D2453" s="1" t="s">
        <v>11268</v>
      </c>
      <c r="E2453" s="1" t="s">
        <v>11269</v>
      </c>
      <c r="F2453" s="4" t="s">
        <v>17</v>
      </c>
      <c r="G2453" s="1" t="s">
        <v>18</v>
      </c>
      <c r="H2453" s="1" t="s">
        <v>19</v>
      </c>
      <c r="I2453" s="1" t="s">
        <v>20</v>
      </c>
      <c r="J2453" s="1" t="s">
        <v>11270</v>
      </c>
      <c r="K2453" s="1" t="s">
        <v>22</v>
      </c>
      <c r="L2453" s="1" t="str">
        <f>HYPERLINK("https://files.afu.se/Downloads/Transcripts/0%20-%20Government/USA%20-%20NASA/2014 07 12 - NASA - Orbital 2 Mission to the space station previewed_oBDhn0aPuqk - transcript (automated).pdf","Transcript Link")</f>
        <v>Transcript Link</v>
      </c>
      <c r="M2453" s="2" t="str">
        <f>HYPERLINK("https://files.afu.se/Downloads/Transcripts/0%20-%20Government/USA%20-%20NASA/2014 07 12 - NASA - Orbital 2 Mission to the space station previewed_oBDhn0aPuqk - transcript (automated).pdf","Transcript Link")</f>
        <v>Transcript Link</v>
      </c>
    </row>
    <row r="2454" ht="195" spans="1:13">
      <c r="A2454" s="1" t="s">
        <v>11271</v>
      </c>
      <c r="B2454" s="1" t="s">
        <v>13</v>
      </c>
      <c r="C2454" s="4" t="s">
        <v>11272</v>
      </c>
      <c r="D2454" s="1" t="s">
        <v>11273</v>
      </c>
      <c r="E2454" s="1" t="s">
        <v>11274</v>
      </c>
      <c r="F2454" s="4" t="s">
        <v>17</v>
      </c>
      <c r="G2454" s="1" t="s">
        <v>18</v>
      </c>
      <c r="H2454" s="1" t="s">
        <v>19</v>
      </c>
      <c r="I2454" s="1" t="s">
        <v>20</v>
      </c>
      <c r="J2454" s="1" t="s">
        <v>11275</v>
      </c>
      <c r="K2454" s="1" t="s">
        <v>22</v>
      </c>
      <c r="L2454" s="1" t="str">
        <f>HYPERLINK("https://files.afu.se/Downloads/Transcripts/0%20-%20Government/USA%20-%20NASA/2014 07 11 - NASA - Briefing Previews Science and Tech Cargo For the Orbital-2 Mission_p4WJEOnxnXM - transcript (automated).pdf","Transcript Link")</f>
        <v>Transcript Link</v>
      </c>
      <c r="M2454" s="2" t="str">
        <f>HYPERLINK("https://files.afu.se/Downloads/Transcripts/0%20-%20Government/USA%20-%20NASA/2014 07 11 - NASA - Briefing Previews Science and Tech Cargo For the Orbital-2 Mission_p4WJEOnxnXM - transcript (automated).pdf","Transcript Link")</f>
        <v>Transcript Link</v>
      </c>
    </row>
    <row r="2455" ht="165" spans="1:13">
      <c r="A2455" s="1" t="s">
        <v>11271</v>
      </c>
      <c r="B2455" s="1" t="s">
        <v>13</v>
      </c>
      <c r="C2455" s="4" t="s">
        <v>11276</v>
      </c>
      <c r="D2455" s="1" t="s">
        <v>11277</v>
      </c>
      <c r="E2455" s="1" t="s">
        <v>11278</v>
      </c>
      <c r="F2455" s="4" t="s">
        <v>17</v>
      </c>
      <c r="G2455" s="1" t="s">
        <v>18</v>
      </c>
      <c r="H2455" s="1" t="s">
        <v>19</v>
      </c>
      <c r="I2455" s="1" t="s">
        <v>20</v>
      </c>
      <c r="J2455" s="1" t="s">
        <v>11279</v>
      </c>
      <c r="K2455" s="1" t="s">
        <v>22</v>
      </c>
      <c r="L2455" s="1" t="str">
        <f>HYPERLINK("https://files.afu.se/Downloads/Transcripts/0%20-%20Government/USA%20-%20NASA/2014 07 11 - NASA - Aquarius maps soil moisture on This Week @NASA_BlVQs_wcYzA - transcript (automated).pdf","Transcript Link")</f>
        <v>Transcript Link</v>
      </c>
      <c r="M2455" s="2" t="str">
        <f>HYPERLINK("https://files.afu.se/Downloads/Transcripts/0%20-%20Government/USA%20-%20NASA/2014 07 11 - NASA - Aquarius maps soil moisture on This Week @NASA_BlVQs_wcYzA - transcript (automated).pdf","Transcript Link")</f>
        <v>Transcript Link</v>
      </c>
    </row>
    <row r="2456" ht="165" spans="1:13">
      <c r="A2456" s="1" t="s">
        <v>11280</v>
      </c>
      <c r="B2456" s="1" t="s">
        <v>13</v>
      </c>
      <c r="C2456" s="4" t="s">
        <v>11281</v>
      </c>
      <c r="D2456" s="1" t="s">
        <v>11282</v>
      </c>
      <c r="E2456" s="1" t="s">
        <v>11283</v>
      </c>
      <c r="F2456" s="4" t="s">
        <v>17</v>
      </c>
      <c r="G2456" s="1" t="s">
        <v>18</v>
      </c>
      <c r="H2456" s="1" t="s">
        <v>19</v>
      </c>
      <c r="I2456" s="1" t="s">
        <v>20</v>
      </c>
      <c r="J2456" s="1" t="s">
        <v>11284</v>
      </c>
      <c r="K2456" s="1" t="s">
        <v>22</v>
      </c>
      <c r="L2456" s="1" t="str">
        <f>HYPERLINK("https://files.afu.se/Downloads/Transcripts/0%20-%20Government/USA%20-%20NASA/2014 07 10 - NASA - Pre-launch Activities Complete for Supply Mission to ISS_qAbni7TDJ_U - transcript (automated).pdf","Transcript Link")</f>
        <v>Transcript Link</v>
      </c>
      <c r="M2456" s="2" t="str">
        <f>HYPERLINK("https://files.afu.se/Downloads/Transcripts/0%20-%20Government/USA%20-%20NASA/2014 07 10 - NASA - Pre-launch Activities Complete for Supply Mission to ISS_qAbni7TDJ_U - transcript (automated).pdf","Transcript Link")</f>
        <v>Transcript Link</v>
      </c>
    </row>
    <row r="2457" ht="165" spans="1:13">
      <c r="A2457" s="1" t="s">
        <v>11285</v>
      </c>
      <c r="B2457" s="1" t="s">
        <v>13</v>
      </c>
      <c r="C2457" s="4" t="s">
        <v>11286</v>
      </c>
      <c r="D2457" s="1" t="s">
        <v>11287</v>
      </c>
      <c r="E2457" s="1" t="s">
        <v>11288</v>
      </c>
      <c r="F2457" s="4" t="s">
        <v>17</v>
      </c>
      <c r="G2457" s="1" t="s">
        <v>18</v>
      </c>
      <c r="H2457" s="1" t="s">
        <v>19</v>
      </c>
      <c r="I2457" s="1" t="s">
        <v>20</v>
      </c>
      <c r="J2457" s="1" t="s">
        <v>11289</v>
      </c>
      <c r="K2457" s="1" t="s">
        <v>22</v>
      </c>
      <c r="L2457" s="1" t="str">
        <f>HYPERLINK("https://files.afu.se/Downloads/Transcripts/0%20-%20Government/USA%20-%20NASA/2014 07 09 - NASA - Space station astronauts talk with the media about life in space_2G7_AWAc0AE - transcript (automated).pdf","Transcript Link")</f>
        <v>Transcript Link</v>
      </c>
      <c r="M2457" s="2" t="str">
        <f>HYPERLINK("https://files.afu.se/Downloads/Transcripts/0%20-%20Government/USA%20-%20NASA/2014 07 09 - NASA - Space station astronauts talk with the media about life in space_2G7_AWAc0AE - transcript (automated).pdf","Transcript Link")</f>
        <v>Transcript Link</v>
      </c>
    </row>
    <row r="2458" ht="210" spans="1:13">
      <c r="A2458" s="1" t="s">
        <v>11290</v>
      </c>
      <c r="B2458" s="1" t="s">
        <v>13</v>
      </c>
      <c r="C2458" s="4" t="s">
        <v>11291</v>
      </c>
      <c r="D2458" s="1" t="s">
        <v>11292</v>
      </c>
      <c r="E2458" s="1" t="s">
        <v>11293</v>
      </c>
      <c r="F2458" s="4" t="s">
        <v>17</v>
      </c>
      <c r="G2458" s="1" t="s">
        <v>18</v>
      </c>
      <c r="H2458" s="1" t="s">
        <v>19</v>
      </c>
      <c r="I2458" s="1" t="s">
        <v>20</v>
      </c>
      <c r="J2458" s="1" t="s">
        <v>11294</v>
      </c>
      <c r="K2458" s="1" t="s">
        <v>22</v>
      </c>
      <c r="L2458" s="1" t="str">
        <f>HYPERLINK("https://files.afu.se/Downloads/Transcripts/0%20-%20Government/USA%20-%20NASA/2014 07 08 - NASA - NASA Flight Controller talks space with students_UPl6hAMokZM - transcript (automated).pdf","Transcript Link")</f>
        <v>Transcript Link</v>
      </c>
      <c r="M2458" s="2" t="str">
        <f>HYPERLINK("https://files.afu.se/Downloads/Transcripts/0%20-%20Government/USA%20-%20NASA/2014 07 08 - NASA - NASA Flight Controller talks space with students_UPl6hAMokZM - transcript (automated).pdf","Transcript Link")</f>
        <v>Transcript Link</v>
      </c>
    </row>
    <row r="2459" ht="165" spans="1:13">
      <c r="A2459" s="1" t="s">
        <v>11295</v>
      </c>
      <c r="B2459" s="1" t="s">
        <v>13</v>
      </c>
      <c r="C2459" s="4" t="s">
        <v>11296</v>
      </c>
      <c r="D2459" s="1" t="s">
        <v>11297</v>
      </c>
      <c r="E2459" s="1" t="s">
        <v>11298</v>
      </c>
      <c r="F2459" s="4" t="s">
        <v>17</v>
      </c>
      <c r="G2459" s="1" t="s">
        <v>18</v>
      </c>
      <c r="H2459" s="1" t="s">
        <v>19</v>
      </c>
      <c r="I2459" s="1" t="s">
        <v>20</v>
      </c>
      <c r="J2459" s="1" t="s">
        <v>11299</v>
      </c>
      <c r="K2459" s="1" t="s">
        <v>22</v>
      </c>
      <c r="L2459" s="1" t="str">
        <f>HYPERLINK("https://files.afu.se/Downloads/Transcripts/0%20-%20Government/USA%20-%20NASA/2014 07 03 - NASA - Carbon Observing Mission Launches on This Week @NASA_XeIzRqtjYOQ - transcript (automated).pdf","Transcript Link")</f>
        <v>Transcript Link</v>
      </c>
      <c r="M2459" s="2" t="str">
        <f>HYPERLINK("https://files.afu.se/Downloads/Transcripts/0%20-%20Government/USA%20-%20NASA/2014 07 03 - NASA - Carbon Observing Mission Launches on This Week @NASA_XeIzRqtjYOQ - transcript (automated).pdf","Transcript Link")</f>
        <v>Transcript Link</v>
      </c>
    </row>
    <row r="2460" ht="180" spans="1:13">
      <c r="A2460" s="1" t="s">
        <v>11295</v>
      </c>
      <c r="B2460" s="1" t="s">
        <v>13</v>
      </c>
      <c r="C2460" s="4" t="s">
        <v>11300</v>
      </c>
      <c r="D2460" s="1" t="s">
        <v>11301</v>
      </c>
      <c r="E2460" s="1" t="s">
        <v>11302</v>
      </c>
      <c r="F2460" s="4" t="s">
        <v>17</v>
      </c>
      <c r="G2460" s="1" t="s">
        <v>18</v>
      </c>
      <c r="H2460" s="1" t="s">
        <v>19</v>
      </c>
      <c r="I2460" s="1" t="s">
        <v>20</v>
      </c>
      <c r="J2460" s="1" t="s">
        <v>11303</v>
      </c>
      <c r="K2460" s="1" t="s">
        <v>22</v>
      </c>
      <c r="L2460" s="1" t="str">
        <f>HYPERLINK("https://files.afu.se/Downloads/Transcripts/0%20-%20Government/USA%20-%20NASA/2014 07 03 - NASA - Space Station Cameras and Crew Capture Views of Tropical Storm Arthur_Qxu0PXUelM0 - transcript (automated).pdf","Transcript Link")</f>
        <v>Transcript Link</v>
      </c>
      <c r="M2460" s="2" t="str">
        <f>HYPERLINK("https://files.afu.se/Downloads/Transcripts/0%20-%20Government/USA%20-%20NASA/2014 07 03 - NASA - Space Station Cameras and Crew Capture Views of Tropical Storm Arthur_Qxu0PXUelM0 - transcript (automated).pdf","Transcript Link")</f>
        <v>Transcript Link</v>
      </c>
    </row>
    <row r="2461" ht="165" spans="1:13">
      <c r="A2461" s="1" t="s">
        <v>11304</v>
      </c>
      <c r="B2461" s="1" t="s">
        <v>13</v>
      </c>
      <c r="C2461" s="4" t="s">
        <v>11305</v>
      </c>
      <c r="D2461" s="1" t="s">
        <v>11306</v>
      </c>
      <c r="E2461" s="1" t="s">
        <v>11307</v>
      </c>
      <c r="F2461" s="4" t="s">
        <v>17</v>
      </c>
      <c r="G2461" s="1" t="s">
        <v>18</v>
      </c>
      <c r="H2461" s="1" t="s">
        <v>19</v>
      </c>
      <c r="I2461" s="1" t="s">
        <v>20</v>
      </c>
      <c r="J2461" s="1" t="s">
        <v>11308</v>
      </c>
      <c r="K2461" s="1" t="s">
        <v>22</v>
      </c>
      <c r="L2461" s="1" t="str">
        <f>HYPERLINK("https://files.afu.se/Downloads/Transcripts/0%20-%20Government/USA%20-%20NASA/2014 07 02 - NASA - Working @NASA 50 Years After The Civil Rights Act Willis Chapman_gLyj8s6CQC0 - transcript (automated).pdf","Transcript Link")</f>
        <v>Transcript Link</v>
      </c>
      <c r="M2461" s="2" t="str">
        <f>HYPERLINK("https://files.afu.se/Downloads/Transcripts/0%20-%20Government/USA%20-%20NASA/2014 07 02 - NASA - Working @NASA 50 Years After The Civil Rights Act Willis Chapman_gLyj8s6CQC0 - transcript (automated).pdf","Transcript Link")</f>
        <v>Transcript Link</v>
      </c>
    </row>
    <row r="2462" ht="165" spans="1:13">
      <c r="A2462" s="1" t="s">
        <v>11304</v>
      </c>
      <c r="B2462" s="1" t="s">
        <v>13</v>
      </c>
      <c r="C2462" s="4" t="s">
        <v>11309</v>
      </c>
      <c r="D2462" s="1" t="s">
        <v>11310</v>
      </c>
      <c r="E2462" s="1" t="s">
        <v>11307</v>
      </c>
      <c r="F2462" s="4" t="s">
        <v>17</v>
      </c>
      <c r="G2462" s="1" t="s">
        <v>18</v>
      </c>
      <c r="H2462" s="1" t="s">
        <v>19</v>
      </c>
      <c r="I2462" s="1" t="s">
        <v>20</v>
      </c>
      <c r="J2462" s="1" t="s">
        <v>11311</v>
      </c>
      <c r="K2462" s="1" t="s">
        <v>22</v>
      </c>
      <c r="L2462" s="1" t="str">
        <f>HYPERLINK("https://files.afu.se/Downloads/Transcripts/0%20-%20Government/USA%20-%20NASA/2014 07 02 - NASA - Working @NASA 50 Years After The Civil Rights Act Tahani Amer_xpWvo2X55n4 - transcript (automated).pdf","Transcript Link")</f>
        <v>Transcript Link</v>
      </c>
      <c r="M2462" s="2" t="str">
        <f>HYPERLINK("https://files.afu.se/Downloads/Transcripts/0%20-%20Government/USA%20-%20NASA/2014 07 02 - NASA - Working @NASA 50 Years After The Civil Rights Act Tahani Amer_xpWvo2X55n4 - transcript (automated).pdf","Transcript Link")</f>
        <v>Transcript Link</v>
      </c>
    </row>
    <row r="2463" ht="165" spans="1:13">
      <c r="A2463" s="1" t="s">
        <v>11304</v>
      </c>
      <c r="B2463" s="1" t="s">
        <v>13</v>
      </c>
      <c r="C2463" s="4" t="s">
        <v>11312</v>
      </c>
      <c r="D2463" s="1" t="s">
        <v>11313</v>
      </c>
      <c r="E2463" s="1" t="s">
        <v>11307</v>
      </c>
      <c r="F2463" s="4" t="s">
        <v>17</v>
      </c>
      <c r="G2463" s="1" t="s">
        <v>18</v>
      </c>
      <c r="H2463" s="1" t="s">
        <v>19</v>
      </c>
      <c r="I2463" s="1" t="s">
        <v>20</v>
      </c>
      <c r="J2463" s="1" t="s">
        <v>11314</v>
      </c>
      <c r="K2463" s="1" t="s">
        <v>22</v>
      </c>
      <c r="L2463" s="1" t="str">
        <f>HYPERLINK("https://files.afu.se/Downloads/Transcripts/0%20-%20Government/USA%20-%20NASA/2014 07 02 - NASA - Working @NASA 50 Years After The Civil Rights Act Reginald Alexander_8QoIKhK1VQI - transcript (automated).pdf","Transcript Link")</f>
        <v>Transcript Link</v>
      </c>
      <c r="M2463" s="2" t="str">
        <f>HYPERLINK("https://files.afu.se/Downloads/Transcripts/0%20-%20Government/USA%20-%20NASA/2014 07 02 - NASA - Working @NASA 50 Years After The Civil Rights Act Reginald Alexander_8QoIKhK1VQI - transcript (automated).pdf","Transcript Link")</f>
        <v>Transcript Link</v>
      </c>
    </row>
    <row r="2464" ht="165" spans="1:13">
      <c r="A2464" s="1" t="s">
        <v>11304</v>
      </c>
      <c r="B2464" s="1" t="s">
        <v>13</v>
      </c>
      <c r="C2464" s="4" t="s">
        <v>11315</v>
      </c>
      <c r="D2464" s="1" t="s">
        <v>11316</v>
      </c>
      <c r="E2464" s="1" t="s">
        <v>11307</v>
      </c>
      <c r="F2464" s="4" t="s">
        <v>17</v>
      </c>
      <c r="G2464" s="1" t="s">
        <v>18</v>
      </c>
      <c r="H2464" s="1" t="s">
        <v>19</v>
      </c>
      <c r="I2464" s="1" t="s">
        <v>20</v>
      </c>
      <c r="J2464" s="1" t="s">
        <v>11317</v>
      </c>
      <c r="K2464" s="1" t="s">
        <v>22</v>
      </c>
      <c r="L2464" s="1" t="str">
        <f>HYPERLINK("https://files.afu.se/Downloads/Transcripts/0%20-%20Government/USA%20-%20NASA/2014 07 02 - NASA - Working @NASA 50 Years After The Civil Rights Act Pat Cowings_x8Tt7qlLfIM - transcript (automated).pdf","Transcript Link")</f>
        <v>Transcript Link</v>
      </c>
      <c r="M2464" s="2" t="str">
        <f>HYPERLINK("https://files.afu.se/Downloads/Transcripts/0%20-%20Government/USA%20-%20NASA/2014 07 02 - NASA - Working @NASA 50 Years After The Civil Rights Act Pat Cowings_x8Tt7qlLfIM - transcript (automated).pdf","Transcript Link")</f>
        <v>Transcript Link</v>
      </c>
    </row>
    <row r="2465" ht="165" spans="1:13">
      <c r="A2465" s="1" t="s">
        <v>11304</v>
      </c>
      <c r="B2465" s="1" t="s">
        <v>13</v>
      </c>
      <c r="C2465" s="4" t="s">
        <v>11318</v>
      </c>
      <c r="D2465" s="1" t="s">
        <v>11319</v>
      </c>
      <c r="E2465" s="1" t="s">
        <v>11307</v>
      </c>
      <c r="F2465" s="4" t="s">
        <v>17</v>
      </c>
      <c r="G2465" s="1" t="s">
        <v>18</v>
      </c>
      <c r="H2465" s="1" t="s">
        <v>19</v>
      </c>
      <c r="I2465" s="1" t="s">
        <v>20</v>
      </c>
      <c r="J2465" s="1" t="s">
        <v>11320</v>
      </c>
      <c r="K2465" s="1" t="s">
        <v>22</v>
      </c>
      <c r="L2465" s="1" t="str">
        <f>HYPERLINK("https://files.afu.se/Downloads/Transcripts/0%20-%20Government/USA%20-%20NASA/2014 07 02 - NASA - Working @NASA 50 Years After The Civil Rights Act Amber Straughn_RqQ3yFyrIM0 - transcript (automated).pdf","Transcript Link")</f>
        <v>Transcript Link</v>
      </c>
      <c r="M2465" s="2" t="str">
        <f>HYPERLINK("https://files.afu.se/Downloads/Transcripts/0%20-%20Government/USA%20-%20NASA/2014 07 02 - NASA - Working @NASA 50 Years After The Civil Rights Act Amber Straughn_RqQ3yFyrIM0 - transcript (automated).pdf","Transcript Link")</f>
        <v>Transcript Link</v>
      </c>
    </row>
    <row r="2466" ht="165" spans="1:13">
      <c r="A2466" s="1" t="s">
        <v>11304</v>
      </c>
      <c r="B2466" s="1" t="s">
        <v>13</v>
      </c>
      <c r="C2466" s="4" t="s">
        <v>11321</v>
      </c>
      <c r="D2466" s="1" t="s">
        <v>11322</v>
      </c>
      <c r="E2466" s="1" t="s">
        <v>11323</v>
      </c>
      <c r="F2466" s="4" t="s">
        <v>17</v>
      </c>
      <c r="G2466" s="1" t="s">
        <v>18</v>
      </c>
      <c r="H2466" s="1" t="s">
        <v>19</v>
      </c>
      <c r="I2466" s="1" t="s">
        <v>20</v>
      </c>
      <c r="J2466" s="1" t="s">
        <v>11324</v>
      </c>
      <c r="K2466" s="1" t="s">
        <v>22</v>
      </c>
      <c r="L2466" s="1" t="str">
        <f>HYPERLINK("https://files.afu.se/Downloads/Transcripts/0%20-%20Government/USA%20-%20NASA/2014 07 02 - NASA - NASA Administrator Charles Bolden on 50th Anniversary of the Civil Rights Act of 1964_o3s_uhEr1Cs - transcript (automated).pdf","Transcript Link")</f>
        <v>Transcript Link</v>
      </c>
      <c r="M2466" s="2" t="str">
        <f>HYPERLINK("https://files.afu.se/Downloads/Transcripts/0%20-%20Government/USA%20-%20NASA/2014 07 02 - NASA - NASA Administrator Charles Bolden on 50th Anniversary of the Civil Rights Act of 1964_o3s_uhEr1Cs - transcript (automated).pdf","Transcript Link")</f>
        <v>Transcript Link</v>
      </c>
    </row>
    <row r="2467" ht="165" spans="1:13">
      <c r="A2467" s="1" t="s">
        <v>11304</v>
      </c>
      <c r="B2467" s="1" t="s">
        <v>13</v>
      </c>
      <c r="C2467" s="4" t="s">
        <v>11325</v>
      </c>
      <c r="D2467" s="1" t="s">
        <v>11326</v>
      </c>
      <c r="E2467" s="1" t="s">
        <v>11327</v>
      </c>
      <c r="F2467" s="4" t="s">
        <v>17</v>
      </c>
      <c r="G2467" s="1" t="s">
        <v>18</v>
      </c>
      <c r="H2467" s="1" t="s">
        <v>19</v>
      </c>
      <c r="I2467" s="1" t="s">
        <v>20</v>
      </c>
      <c r="J2467" s="1" t="s">
        <v>11328</v>
      </c>
      <c r="K2467" s="1" t="s">
        <v>22</v>
      </c>
      <c r="L2467" s="1" t="str">
        <f>HYPERLINK("https://files.afu.se/Downloads/Transcripts/0%20-%20Government/USA%20-%20NASA/2014 07 02 - NASA - NASA's Orbiting Carbon Observatory-2 (OCO-2) Launch From Vandenberg Air Force Base_8zrP96LQFZI - transcript (automated).pdf","Transcript Link")</f>
        <v>Transcript Link</v>
      </c>
      <c r="M2467" s="2" t="str">
        <f>HYPERLINK("https://files.afu.se/Downloads/Transcripts/0%20-%20Government/USA%20-%20NASA/2014 07 02 - NASA - NASA's Orbiting Carbon Observatory-2 (OCO-2) Launch From Vandenberg Air Force Base_8zrP96LQFZI - transcript (automated).pdf","Transcript Link")</f>
        <v>Transcript Link</v>
      </c>
    </row>
    <row r="2468" ht="165" spans="1:13">
      <c r="A2468" s="1" t="s">
        <v>11329</v>
      </c>
      <c r="B2468" s="1" t="s">
        <v>13</v>
      </c>
      <c r="C2468" s="4" t="s">
        <v>11330</v>
      </c>
      <c r="D2468" s="1" t="s">
        <v>11331</v>
      </c>
      <c r="E2468" s="1" t="s">
        <v>11332</v>
      </c>
      <c r="F2468" s="4" t="s">
        <v>17</v>
      </c>
      <c r="G2468" s="1" t="s">
        <v>18</v>
      </c>
      <c r="H2468" s="1" t="s">
        <v>19</v>
      </c>
      <c r="I2468" s="1" t="s">
        <v>20</v>
      </c>
      <c r="J2468" s="1" t="s">
        <v>11333</v>
      </c>
      <c r="K2468" s="1" t="s">
        <v>22</v>
      </c>
      <c r="L2468" s="1" t="str">
        <f>HYPERLINK("https://files.afu.se/Downloads/Transcripts/0%20-%20Government/USA%20-%20NASA/2014 07 01 - NASA - NASA Space Station Crewmember Discusses Life In Space And Social Media Mania_8VH2Z6dLRu8 - transcript (automated).pdf","Transcript Link")</f>
        <v>Transcript Link</v>
      </c>
      <c r="M2468" s="2" t="str">
        <f>HYPERLINK("https://files.afu.se/Downloads/Transcripts/0%20-%20Government/USA%20-%20NASA/2014 07 01 - NASA - NASA Space Station Crewmember Discusses Life In Space And Social Media Mania_8VH2Z6dLRu8 - transcript (automated).pdf","Transcript Link")</f>
        <v>Transcript Link</v>
      </c>
    </row>
    <row r="2469" ht="180" spans="1:13">
      <c r="A2469" s="1" t="s">
        <v>11334</v>
      </c>
      <c r="B2469" s="1" t="s">
        <v>13</v>
      </c>
      <c r="C2469" s="4" t="s">
        <v>11335</v>
      </c>
      <c r="D2469" s="1" t="s">
        <v>11336</v>
      </c>
      <c r="E2469" s="1" t="s">
        <v>11337</v>
      </c>
      <c r="F2469" s="4" t="s">
        <v>17</v>
      </c>
      <c r="G2469" s="1" t="s">
        <v>18</v>
      </c>
      <c r="H2469" s="1" t="s">
        <v>19</v>
      </c>
      <c r="I2469" s="1" t="s">
        <v>20</v>
      </c>
      <c r="J2469" s="1" t="s">
        <v>11338</v>
      </c>
      <c r="K2469" s="1" t="s">
        <v>22</v>
      </c>
      <c r="L2469" s="1" t="str">
        <f>HYPERLINK("https://files.afu.se/Downloads/Transcripts/0%20-%20Government/USA%20-%20NASA/2014 06 30 - NASA - NASA's Orbiting Carbon Observatory-2 (OCO-2) Social from Vandenberg Air Force Base_3lntugxjOe0 - transcript (automated).pdf","Transcript Link")</f>
        <v>Transcript Link</v>
      </c>
      <c r="M2469" s="2" t="str">
        <f>HYPERLINK("https://files.afu.se/Downloads/Transcripts/0%20-%20Government/USA%20-%20NASA/2014 06 30 - NASA - NASA's Orbiting Carbon Observatory-2 (OCO-2) Social from Vandenberg Air Force Base_3lntugxjOe0 - transcript (automated).pdf","Transcript Link")</f>
        <v>Transcript Link</v>
      </c>
    </row>
    <row r="2470" ht="165" spans="1:13">
      <c r="A2470" s="1" t="s">
        <v>11334</v>
      </c>
      <c r="B2470" s="1" t="s">
        <v>13</v>
      </c>
      <c r="C2470" s="4" t="s">
        <v>11339</v>
      </c>
      <c r="D2470" s="1" t="s">
        <v>11340</v>
      </c>
      <c r="E2470" s="1" t="s">
        <v>11340</v>
      </c>
      <c r="F2470" s="4" t="s">
        <v>17</v>
      </c>
      <c r="G2470" s="1" t="s">
        <v>18</v>
      </c>
      <c r="H2470" s="1" t="s">
        <v>19</v>
      </c>
      <c r="I2470" s="1" t="s">
        <v>20</v>
      </c>
      <c r="J2470" s="1" t="s">
        <v>11341</v>
      </c>
      <c r="K2470" s="1" t="s">
        <v>22</v>
      </c>
      <c r="L2470" s="1" t="str">
        <f>HYPERLINK("https://files.afu.se/Downloads/Transcripts/0%20-%20Government/USA%20-%20NASA/2014 06 30 - NASA - Space Station Crew Discusses The World Cup And Life In Space With German Network_kPxEMT-sSX0 - transcript (automated).pdf","Transcript Link")</f>
        <v>Transcript Link</v>
      </c>
      <c r="M2470" s="2" t="str">
        <f>HYPERLINK("https://files.afu.se/Downloads/Transcripts/0%20-%20Government/USA%20-%20NASA/2014 06 30 - NASA - Space Station Crew Discusses The World Cup And Life In Space With German Network_kPxEMT-sSX0 - transcript (automated).pdf","Transcript Link")</f>
        <v>Transcript Link</v>
      </c>
    </row>
    <row r="2471" ht="375" spans="1:13">
      <c r="A2471" s="1" t="s">
        <v>11334</v>
      </c>
      <c r="B2471" s="1" t="s">
        <v>13</v>
      </c>
      <c r="C2471" s="4" t="s">
        <v>11342</v>
      </c>
      <c r="D2471" s="1" t="s">
        <v>11343</v>
      </c>
      <c r="E2471" s="1" t="s">
        <v>11344</v>
      </c>
      <c r="F2471" s="4" t="s">
        <v>17</v>
      </c>
      <c r="G2471" s="1" t="s">
        <v>18</v>
      </c>
      <c r="H2471" s="1" t="s">
        <v>19</v>
      </c>
      <c r="I2471" s="1" t="s">
        <v>20</v>
      </c>
      <c r="J2471" s="1" t="s">
        <v>11345</v>
      </c>
      <c r="K2471" s="1" t="s">
        <v>22</v>
      </c>
      <c r="L2471" s="1" t="str">
        <f>HYPERLINK("https://files.afu.se/Downloads/Transcripts/0%20-%20Government/USA%20-%20NASA/2014 06 30 - NASA - Women at NASA Monica Bowie_pzX-ZhCDbrw - transcript (automated).pdf","Transcript Link")</f>
        <v>Transcript Link</v>
      </c>
      <c r="M2471" s="2" t="str">
        <f>HYPERLINK("https://files.afu.se/Downloads/Transcripts/0%20-%20Government/USA%20-%20NASA/2014 06 30 - NASA - Women at NASA Monica Bowie_pzX-ZhCDbrw - transcript (automated).pdf","Transcript Link")</f>
        <v>Transcript Link</v>
      </c>
    </row>
    <row r="2472" ht="165" spans="1:13">
      <c r="A2472" s="1" t="s">
        <v>11334</v>
      </c>
      <c r="B2472" s="1" t="s">
        <v>13</v>
      </c>
      <c r="C2472" s="4" t="s">
        <v>11346</v>
      </c>
      <c r="D2472" s="1" t="s">
        <v>11347</v>
      </c>
      <c r="E2472" s="1" t="s">
        <v>11348</v>
      </c>
      <c r="F2472" s="4" t="s">
        <v>17</v>
      </c>
      <c r="G2472" s="1" t="s">
        <v>18</v>
      </c>
      <c r="H2472" s="1" t="s">
        <v>19</v>
      </c>
      <c r="I2472" s="1" t="s">
        <v>20</v>
      </c>
      <c r="J2472" s="1" t="s">
        <v>11349</v>
      </c>
      <c r="K2472" s="1" t="s">
        <v>22</v>
      </c>
      <c r="L2472" s="1" t="str">
        <f>HYPERLINK("https://files.afu.se/Downloads/Transcripts/0%20-%20Government/USA%20-%20NASA/2014 06 30 - NASA - Orbiting Carbon Observatory-2 Mission Prelaunch News Conference_uZ20sOS4sNQ - transcript (automated).pdf","Transcript Link")</f>
        <v>Transcript Link</v>
      </c>
      <c r="M2472" s="2" t="str">
        <f>HYPERLINK("https://files.afu.se/Downloads/Transcripts/0%20-%20Government/USA%20-%20NASA/2014 06 30 - NASA - Orbiting Carbon Observatory-2 Mission Prelaunch News Conference_uZ20sOS4sNQ - transcript (automated).pdf","Transcript Link")</f>
        <v>Transcript Link</v>
      </c>
    </row>
    <row r="2473" ht="165" spans="1:13">
      <c r="A2473" s="1" t="s">
        <v>11334</v>
      </c>
      <c r="B2473" s="1" t="s">
        <v>13</v>
      </c>
      <c r="C2473" s="4" t="s">
        <v>11350</v>
      </c>
      <c r="D2473" s="1" t="s">
        <v>11351</v>
      </c>
      <c r="E2473" s="1" t="s">
        <v>11348</v>
      </c>
      <c r="F2473" s="4" t="s">
        <v>17</v>
      </c>
      <c r="G2473" s="1" t="s">
        <v>18</v>
      </c>
      <c r="H2473" s="1" t="s">
        <v>19</v>
      </c>
      <c r="I2473" s="1" t="s">
        <v>20</v>
      </c>
      <c r="J2473" s="1" t="s">
        <v>11352</v>
      </c>
      <c r="K2473" s="1" t="s">
        <v>22</v>
      </c>
      <c r="L2473" s="1" t="str">
        <f>HYPERLINK("https://files.afu.se/Downloads/Transcripts/0%20-%20Government/USA%20-%20NASA/2014 06 30 - NASA - Orbiting Carbon Observatory 2 Mission Prelaunch Science Briefing_p2zUpaIff8M - transcript (automated).pdf","Transcript Link")</f>
        <v>Transcript Link</v>
      </c>
      <c r="M2473" s="2" t="str">
        <f>HYPERLINK("https://files.afu.se/Downloads/Transcripts/0%20-%20Government/USA%20-%20NASA/2014 06 30 - NASA - Orbiting Carbon Observatory 2 Mission Prelaunch Science Briefing_p2zUpaIff8M - transcript (automated).pdf","Transcript Link")</f>
        <v>Transcript Link</v>
      </c>
    </row>
    <row r="2474" ht="165" spans="1:13">
      <c r="A2474" s="1" t="s">
        <v>11353</v>
      </c>
      <c r="B2474" s="1" t="s">
        <v>13</v>
      </c>
      <c r="C2474" s="4" t="s">
        <v>11354</v>
      </c>
      <c r="D2474" s="1" t="s">
        <v>11355</v>
      </c>
      <c r="F2474" s="4" t="s">
        <v>17</v>
      </c>
      <c r="G2474" s="1" t="s">
        <v>18</v>
      </c>
      <c r="H2474" s="1" t="s">
        <v>19</v>
      </c>
      <c r="I2474" s="1" t="s">
        <v>20</v>
      </c>
      <c r="J2474" s="1" t="s">
        <v>11356</v>
      </c>
      <c r="K2474" s="1" t="s">
        <v>22</v>
      </c>
      <c r="L2474" s="1" t="str">
        <f>HYPERLINK("https://files.afu.se/Downloads/Transcripts/0%20-%20Government/USA%20-%20NASA/2014 06 27 - NASA - NASA astronauts talk from space with San Diego students_55QJoKHkRmY - transcript (automated).pdf","Transcript Link")</f>
        <v>Transcript Link</v>
      </c>
      <c r="M2474" s="2" t="str">
        <f>HYPERLINK("https://files.afu.se/Downloads/Transcripts/0%20-%20Government/USA%20-%20NASA/2014 06 27 - NASA - NASA astronauts talk from space with San Diego students_55QJoKHkRmY - transcript (automated).pdf","Transcript Link")</f>
        <v>Transcript Link</v>
      </c>
    </row>
    <row r="2475" ht="165" spans="1:13">
      <c r="A2475" s="1" t="s">
        <v>11353</v>
      </c>
      <c r="B2475" s="1" t="s">
        <v>13</v>
      </c>
      <c r="C2475" s="4" t="s">
        <v>11357</v>
      </c>
      <c r="D2475" s="1" t="s">
        <v>11358</v>
      </c>
      <c r="E2475" s="1" t="s">
        <v>11359</v>
      </c>
      <c r="F2475" s="4" t="s">
        <v>17</v>
      </c>
      <c r="G2475" s="1" t="s">
        <v>18</v>
      </c>
      <c r="H2475" s="1" t="s">
        <v>19</v>
      </c>
      <c r="I2475" s="1" t="s">
        <v>20</v>
      </c>
      <c r="J2475" s="1" t="s">
        <v>11360</v>
      </c>
      <c r="K2475" s="1" t="s">
        <v>22</v>
      </c>
      <c r="L2475" s="1" t="str">
        <f>HYPERLINK("https://files.afu.se/Downloads/Transcripts/0%20-%20Government/USA%20-%20NASA/2014 06 27 - NASA - 50 years after The Civil Rights Act on This Week @NASA_Bcqvt8SzPUc - transcript (automated).pdf","Transcript Link")</f>
        <v>Transcript Link</v>
      </c>
      <c r="M2475" s="2" t="str">
        <f>HYPERLINK("https://files.afu.se/Downloads/Transcripts/0%20-%20Government/USA%20-%20NASA/2014 06 27 - NASA - 50 years after The Civil Rights Act on This Week @NASA_Bcqvt8SzPUc - transcript (automated).pdf","Transcript Link")</f>
        <v>Transcript Link</v>
      </c>
    </row>
    <row r="2476" ht="165" spans="1:13">
      <c r="A2476" s="1" t="s">
        <v>11361</v>
      </c>
      <c r="B2476" s="1" t="s">
        <v>13</v>
      </c>
      <c r="C2476" s="4" t="s">
        <v>11362</v>
      </c>
      <c r="D2476" s="1" t="s">
        <v>11363</v>
      </c>
      <c r="E2476" s="1" t="s">
        <v>11364</v>
      </c>
      <c r="F2476" s="4" t="s">
        <v>17</v>
      </c>
      <c r="G2476" s="1" t="s">
        <v>18</v>
      </c>
      <c r="H2476" s="1" t="s">
        <v>19</v>
      </c>
      <c r="I2476" s="1" t="s">
        <v>20</v>
      </c>
      <c r="J2476" s="1" t="s">
        <v>11365</v>
      </c>
      <c r="K2476" s="1" t="s">
        <v>22</v>
      </c>
      <c r="L2476" s="1" t="str">
        <f>HYPERLINK("https://files.afu.se/Downloads/Transcripts/0%20-%20Government/USA%20-%20NASA/2014 06 25 - NASA - NASA celebrates 50 years of Civil Rights progress_TQLPwbcc6XY - transcript (automated).pdf","Transcript Link")</f>
        <v>Transcript Link</v>
      </c>
      <c r="M2476" s="2" t="str">
        <f>HYPERLINK("https://files.afu.se/Downloads/Transcripts/0%20-%20Government/USA%20-%20NASA/2014 06 25 - NASA - NASA celebrates 50 years of Civil Rights progress_TQLPwbcc6XY - transcript (automated).pdf","Transcript Link")</f>
        <v>Transcript Link</v>
      </c>
    </row>
    <row r="2477" ht="180" spans="1:13">
      <c r="A2477" s="1" t="s">
        <v>11361</v>
      </c>
      <c r="B2477" s="1" t="s">
        <v>13</v>
      </c>
      <c r="C2477" s="4" t="s">
        <v>11366</v>
      </c>
      <c r="D2477" s="1" t="s">
        <v>11367</v>
      </c>
      <c r="E2477" s="1" t="s">
        <v>11368</v>
      </c>
      <c r="F2477" s="4" t="s">
        <v>17</v>
      </c>
      <c r="G2477" s="1" t="s">
        <v>18</v>
      </c>
      <c r="H2477" s="1" t="s">
        <v>19</v>
      </c>
      <c r="I2477" s="1" t="s">
        <v>20</v>
      </c>
      <c r="J2477" s="1" t="s">
        <v>11369</v>
      </c>
      <c r="K2477" s="1" t="s">
        <v>22</v>
      </c>
      <c r="L2477" s="1" t="str">
        <f>HYPERLINK("https://files.afu.se/Downloads/Transcripts/0%20-%20Government/USA%20-%20NASA/2014 06 25 - NASA - The most complex Orion chute test, yet_HziXy66W344 - transcript (automated).pdf","Transcript Link")</f>
        <v>Transcript Link</v>
      </c>
      <c r="M2477" s="2" t="str">
        <f>HYPERLINK("https://files.afu.se/Downloads/Transcripts/0%20-%20Government/USA%20-%20NASA/2014 06 25 - NASA - The most complex Orion chute test, yet_HziXy66W344 - transcript (automated).pdf","Transcript Link")</f>
        <v>Transcript Link</v>
      </c>
    </row>
    <row r="2478" ht="165" spans="1:13">
      <c r="A2478" s="1" t="s">
        <v>11361</v>
      </c>
      <c r="B2478" s="1" t="s">
        <v>13</v>
      </c>
      <c r="C2478" s="4" t="s">
        <v>11370</v>
      </c>
      <c r="D2478" s="1" t="s">
        <v>11371</v>
      </c>
      <c r="E2478" s="1" t="s">
        <v>11372</v>
      </c>
      <c r="F2478" s="4" t="s">
        <v>17</v>
      </c>
      <c r="G2478" s="1" t="s">
        <v>18</v>
      </c>
      <c r="H2478" s="1" t="s">
        <v>19</v>
      </c>
      <c r="I2478" s="1" t="s">
        <v>20</v>
      </c>
      <c r="J2478" s="1" t="s">
        <v>11373</v>
      </c>
      <c r="K2478" s="1" t="s">
        <v>22</v>
      </c>
      <c r="L2478" s="1" t="str">
        <f>HYPERLINK("https://files.afu.se/Downloads/Transcripts/0%20-%20Government/USA%20-%20NASA/2014 06 25 - NASA - NASA LGBT Pride Month Profile - Amy Stalker, Glenn Research Center_O1e--Iuo_dM - transcript (automated).pdf","Transcript Link")</f>
        <v>Transcript Link</v>
      </c>
      <c r="M2478" s="2" t="str">
        <f>HYPERLINK("https://files.afu.se/Downloads/Transcripts/0%20-%20Government/USA%20-%20NASA/2014 06 25 - NASA - NASA LGBT Pride Month Profile - Amy Stalker, Glenn Research Center_O1e--Iuo_dM - transcript (automated).pdf","Transcript Link")</f>
        <v>Transcript Link</v>
      </c>
    </row>
    <row r="2479" ht="165" spans="1:13">
      <c r="A2479" s="1" t="s">
        <v>11374</v>
      </c>
      <c r="B2479" s="1" t="s">
        <v>13</v>
      </c>
      <c r="C2479" s="4" t="s">
        <v>11375</v>
      </c>
      <c r="D2479" s="1" t="s">
        <v>11376</v>
      </c>
      <c r="E2479" s="1" t="s">
        <v>11377</v>
      </c>
      <c r="F2479" s="4" t="s">
        <v>17</v>
      </c>
      <c r="G2479" s="1" t="s">
        <v>18</v>
      </c>
      <c r="H2479" s="1" t="s">
        <v>19</v>
      </c>
      <c r="I2479" s="1" t="s">
        <v>20</v>
      </c>
      <c r="J2479" s="1" t="s">
        <v>11378</v>
      </c>
      <c r="K2479" s="1" t="s">
        <v>22</v>
      </c>
      <c r="L2479" s="1" t="str">
        <f>HYPERLINK("https://files.afu.se/Downloads/Transcripts/0%20-%20Government/USA%20-%20NASA/2014 06 24 - NASA - Space station crew talks up World Cup Soccer_6jLXXzH1rIk - transcript (automated).pdf","Transcript Link")</f>
        <v>Transcript Link</v>
      </c>
      <c r="M2479" s="2" t="str">
        <f>HYPERLINK("https://files.afu.se/Downloads/Transcripts/0%20-%20Government/USA%20-%20NASA/2014 06 24 - NASA - Space station crew talks up World Cup Soccer_6jLXXzH1rIk - transcript (automated).pdf","Transcript Link")</f>
        <v>Transcript Link</v>
      </c>
    </row>
    <row r="2480" ht="180" spans="1:13">
      <c r="A2480" s="1" t="s">
        <v>11379</v>
      </c>
      <c r="B2480" s="1" t="s">
        <v>13</v>
      </c>
      <c r="C2480" s="4" t="s">
        <v>11380</v>
      </c>
      <c r="D2480" s="1" t="s">
        <v>11381</v>
      </c>
      <c r="E2480" s="1" t="s">
        <v>11382</v>
      </c>
      <c r="F2480" s="4" t="s">
        <v>17</v>
      </c>
      <c r="G2480" s="1" t="s">
        <v>18</v>
      </c>
      <c r="H2480" s="1" t="s">
        <v>19</v>
      </c>
      <c r="I2480" s="1" t="s">
        <v>20</v>
      </c>
      <c r="J2480" s="1" t="s">
        <v>11383</v>
      </c>
      <c r="K2480" s="1" t="s">
        <v>22</v>
      </c>
      <c r="L2480" s="1" t="str">
        <f>HYPERLINK("https://files.afu.se/Downloads/Transcripts/0%20-%20Government/USA%20-%20NASA/2014 06 20 - NASA - Orion Spacecraft Is Taking Shape on This Week @NASA_YIZNmxXRUlg - transcript (automated).pdf","Transcript Link")</f>
        <v>Transcript Link</v>
      </c>
      <c r="M2480" s="2" t="str">
        <f>HYPERLINK("https://files.afu.se/Downloads/Transcripts/0%20-%20Government/USA%20-%20NASA/2014 06 20 - NASA - Orion Spacecraft Is Taking Shape on This Week @NASA_YIZNmxXRUlg - transcript (automated).pdf","Transcript Link")</f>
        <v>Transcript Link</v>
      </c>
    </row>
    <row r="2481" ht="180" spans="1:13">
      <c r="A2481" s="1" t="s">
        <v>11379</v>
      </c>
      <c r="B2481" s="1" t="s">
        <v>13</v>
      </c>
      <c r="C2481" s="4" t="s">
        <v>11384</v>
      </c>
      <c r="D2481" s="1" t="s">
        <v>11385</v>
      </c>
      <c r="E2481" s="1" t="s">
        <v>11386</v>
      </c>
      <c r="F2481" s="4" t="s">
        <v>17</v>
      </c>
      <c r="G2481" s="1" t="s">
        <v>18</v>
      </c>
      <c r="H2481" s="1" t="s">
        <v>19</v>
      </c>
      <c r="I2481" s="1" t="s">
        <v>20</v>
      </c>
      <c r="J2481" s="1" t="s">
        <v>11387</v>
      </c>
      <c r="K2481" s="1" t="s">
        <v>22</v>
      </c>
      <c r="L2481" s="1" t="str">
        <f>HYPERLINK("https://files.afu.se/Downloads/Transcripts/0%20-%20Government/USA%20-%20NASA/2014 06 20 - NASA - Exploring Europa - Ocean Worlds of the Outer Solar System_2k-N3CD31H8 - transcript (automated).pdf","Transcript Link")</f>
        <v>Transcript Link</v>
      </c>
      <c r="M2481" s="2" t="str">
        <f>HYPERLINK("https://files.afu.se/Downloads/Transcripts/0%20-%20Government/USA%20-%20NASA/2014 06 20 - NASA - Exploring Europa - Ocean Worlds of the Outer Solar System_2k-N3CD31H8 - transcript (automated).pdf","Transcript Link")</f>
        <v>Transcript Link</v>
      </c>
    </row>
    <row r="2482" ht="360" spans="1:13">
      <c r="A2482" s="1" t="s">
        <v>11379</v>
      </c>
      <c r="B2482" s="1" t="s">
        <v>13</v>
      </c>
      <c r="C2482" s="4" t="s">
        <v>11388</v>
      </c>
      <c r="D2482" s="1" t="s">
        <v>11389</v>
      </c>
      <c r="E2482" s="1" t="s">
        <v>11390</v>
      </c>
      <c r="F2482" s="4" t="s">
        <v>17</v>
      </c>
      <c r="G2482" s="1" t="s">
        <v>18</v>
      </c>
      <c r="H2482" s="1" t="s">
        <v>19</v>
      </c>
      <c r="I2482" s="1" t="s">
        <v>20</v>
      </c>
      <c r="J2482" s="1" t="s">
        <v>11391</v>
      </c>
      <c r="K2482" s="1" t="s">
        <v>22</v>
      </c>
      <c r="L2482" s="1" t="str">
        <f>HYPERLINK("https://files.afu.se/Downloads/Transcripts/0%20-%20Government/USA%20-%20NASA/2014 06 20 - NASA - NASA Announces Latest Progress, Upcoming Milestones in Hunt for Asteroids_moCatlSZxGM - transcript (automated).pdf","Transcript Link")</f>
        <v>Transcript Link</v>
      </c>
      <c r="M2482" s="2" t="str">
        <f>HYPERLINK("https://files.afu.se/Downloads/Transcripts/0%20-%20Government/USA%20-%20NASA/2014 06 20 - NASA - NASA Announces Latest Progress, Upcoming Milestones in Hunt for Asteroids_moCatlSZxGM - transcript (automated).pdf","Transcript Link")</f>
        <v>Transcript Link</v>
      </c>
    </row>
    <row r="2483" ht="165" spans="1:13">
      <c r="A2483" s="1" t="s">
        <v>11392</v>
      </c>
      <c r="B2483" s="1" t="s">
        <v>13</v>
      </c>
      <c r="C2483" s="4" t="s">
        <v>11393</v>
      </c>
      <c r="D2483" s="1" t="s">
        <v>11394</v>
      </c>
      <c r="E2483" s="1" t="s">
        <v>11395</v>
      </c>
      <c r="F2483" s="4" t="s">
        <v>17</v>
      </c>
      <c r="G2483" s="1" t="s">
        <v>18</v>
      </c>
      <c r="H2483" s="1" t="s">
        <v>19</v>
      </c>
      <c r="I2483" s="1" t="s">
        <v>20</v>
      </c>
      <c r="J2483" s="1" t="s">
        <v>11396</v>
      </c>
      <c r="K2483" s="1" t="s">
        <v>22</v>
      </c>
      <c r="L2483" s="1" t="str">
        <f>HYPERLINK("https://files.afu.se/Downloads/Transcripts/0%20-%20Government/USA%20-%20NASA/2014 06 19 - NASA - NASA's Orion Spacecraft is taking shape at Kennedy Space Center in Florida_AyIgmfYoNDE - transcript (automated).pdf","Transcript Link")</f>
        <v>Transcript Link</v>
      </c>
      <c r="M2483" s="2" t="str">
        <f>HYPERLINK("https://files.afu.se/Downloads/Transcripts/0%20-%20Government/USA%20-%20NASA/2014 06 19 - NASA - NASA's Orion Spacecraft is taking shape at Kennedy Space Center in Florida_AyIgmfYoNDE - transcript (automated).pdf","Transcript Link")</f>
        <v>Transcript Link</v>
      </c>
    </row>
    <row r="2484" ht="165" spans="1:13">
      <c r="A2484" s="1" t="s">
        <v>11397</v>
      </c>
      <c r="B2484" s="1" t="s">
        <v>13</v>
      </c>
      <c r="C2484" s="4" t="s">
        <v>11398</v>
      </c>
      <c r="D2484" s="1" t="s">
        <v>11399</v>
      </c>
      <c r="E2484" s="1" t="s">
        <v>11400</v>
      </c>
      <c r="F2484" s="4" t="s">
        <v>17</v>
      </c>
      <c r="G2484" s="1" t="s">
        <v>18</v>
      </c>
      <c r="H2484" s="1" t="s">
        <v>19</v>
      </c>
      <c r="I2484" s="1" t="s">
        <v>20</v>
      </c>
      <c r="J2484" s="1" t="s">
        <v>11401</v>
      </c>
      <c r="K2484" s="1" t="s">
        <v>22</v>
      </c>
      <c r="L2484" s="1" t="str">
        <f>HYPERLINK("https://files.afu.se/Downloads/Transcripts/0%20-%20Government/USA%20-%20NASA/2014 06 17 - NASA - International Space Station Crew Discusses Life In Space With Virginia Students_PYVV7fr4ZdQ - transcript (automated).pdf","Transcript Link")</f>
        <v>Transcript Link</v>
      </c>
      <c r="M2484" s="2" t="str">
        <f>HYPERLINK("https://files.afu.se/Downloads/Transcripts/0%20-%20Government/USA%20-%20NASA/2014 06 17 - NASA - International Space Station Crew Discusses Life In Space With Virginia Students_PYVV7fr4ZdQ - transcript (automated).pdf","Transcript Link")</f>
        <v>Transcript Link</v>
      </c>
    </row>
    <row r="2485" ht="165" spans="1:13">
      <c r="A2485" s="1" t="s">
        <v>11402</v>
      </c>
      <c r="B2485" s="1" t="s">
        <v>13</v>
      </c>
      <c r="C2485" s="4" t="s">
        <v>11403</v>
      </c>
      <c r="D2485" s="1" t="s">
        <v>11404</v>
      </c>
      <c r="E2485" s="1" t="s">
        <v>11405</v>
      </c>
      <c r="F2485" s="4" t="s">
        <v>17</v>
      </c>
      <c r="G2485" s="1" t="s">
        <v>18</v>
      </c>
      <c r="H2485" s="1" t="s">
        <v>19</v>
      </c>
      <c r="I2485" s="1" t="s">
        <v>20</v>
      </c>
      <c r="J2485" s="1" t="s">
        <v>11406</v>
      </c>
      <c r="K2485" s="1" t="s">
        <v>22</v>
      </c>
      <c r="L2485" s="1" t="str">
        <f>HYPERLINK("https://files.afu.se/Downloads/Transcripts/0%20-%20Government/USA%20-%20NASA/2014 06 16 - NASA - International Space Station Crew Member Astronaut Reid Wiseman Discusses Life In Space_ScorM78_4UA - transcript (automated).pdf","Transcript Link")</f>
        <v>Transcript Link</v>
      </c>
      <c r="M2485" s="2" t="str">
        <f>HYPERLINK("https://files.afu.se/Downloads/Transcripts/0%20-%20Government/USA%20-%20NASA/2014 06 16 - NASA - International Space Station Crew Member Astronaut Reid Wiseman Discusses Life In Space_ScorM78_4UA - transcript (automated).pdf","Transcript Link")</f>
        <v>Transcript Link</v>
      </c>
    </row>
    <row r="2486" ht="165" spans="1:13">
      <c r="A2486" s="1" t="s">
        <v>11402</v>
      </c>
      <c r="B2486" s="1" t="s">
        <v>13</v>
      </c>
      <c r="C2486" s="4" t="s">
        <v>11407</v>
      </c>
      <c r="D2486" s="1" t="s">
        <v>11408</v>
      </c>
      <c r="E2486" s="1" t="s">
        <v>11409</v>
      </c>
      <c r="F2486" s="4" t="s">
        <v>17</v>
      </c>
      <c r="G2486" s="1" t="s">
        <v>18</v>
      </c>
      <c r="H2486" s="1" t="s">
        <v>19</v>
      </c>
      <c r="I2486" s="1" t="s">
        <v>20</v>
      </c>
      <c r="J2486" s="1" t="s">
        <v>11410</v>
      </c>
      <c r="K2486" s="1" t="s">
        <v>22</v>
      </c>
      <c r="L2486" s="1" t="str">
        <f>HYPERLINK("https://files.afu.se/Downloads/Transcripts/0%20-%20Government/USA%20-%20NASA/2014 06 16 - NASA - The James Webb Space Telescope described by Peter Cullen_X1m68NSaTYs - transcript (automated).pdf","Transcript Link")</f>
        <v>Transcript Link</v>
      </c>
      <c r="M2486" s="2" t="str">
        <f>HYPERLINK("https://files.afu.se/Downloads/Transcripts/0%20-%20Government/USA%20-%20NASA/2014 06 16 - NASA - The James Webb Space Telescope described by Peter Cullen_X1m68NSaTYs - transcript (automated).pdf","Transcript Link")</f>
        <v>Transcript Link</v>
      </c>
    </row>
    <row r="2487" ht="165" spans="1:13">
      <c r="A2487" s="1" t="s">
        <v>11411</v>
      </c>
      <c r="B2487" s="1" t="s">
        <v>13</v>
      </c>
      <c r="C2487" s="4" t="s">
        <v>11412</v>
      </c>
      <c r="D2487" s="1" t="s">
        <v>11413</v>
      </c>
      <c r="E2487" s="1" t="s">
        <v>11414</v>
      </c>
      <c r="F2487" s="4" t="s">
        <v>17</v>
      </c>
      <c r="G2487" s="1" t="s">
        <v>18</v>
      </c>
      <c r="H2487" s="1" t="s">
        <v>19</v>
      </c>
      <c r="I2487" s="1" t="s">
        <v>20</v>
      </c>
      <c r="J2487" s="1" t="s">
        <v>11415</v>
      </c>
      <c r="K2487" s="1" t="s">
        <v>22</v>
      </c>
      <c r="L2487" s="1" t="str">
        <f>HYPERLINK("https://files.afu.se/Downloads/Transcripts/0%20-%20Government/USA%20-%20NASA/2014 06 13 - NASA - Carbon Observing Mission previewed on This Week @NASA_XV4wGW0vzps - transcript (automated).pdf","Transcript Link")</f>
        <v>Transcript Link</v>
      </c>
      <c r="M2487" s="2" t="str">
        <f>HYPERLINK("https://files.afu.se/Downloads/Transcripts/0%20-%20Government/USA%20-%20NASA/2014 06 13 - NASA - Carbon Observing Mission previewed on This Week @NASA_XV4wGW0vzps - transcript (automated).pdf","Transcript Link")</f>
        <v>Transcript Link</v>
      </c>
    </row>
    <row r="2488" ht="165" spans="1:13">
      <c r="A2488" s="1" t="s">
        <v>11411</v>
      </c>
      <c r="B2488" s="1" t="s">
        <v>13</v>
      </c>
      <c r="C2488" s="4" t="s">
        <v>11416</v>
      </c>
      <c r="D2488" s="1" t="s">
        <v>11417</v>
      </c>
      <c r="E2488" s="1" t="s">
        <v>11418</v>
      </c>
      <c r="F2488" s="4" t="s">
        <v>17</v>
      </c>
      <c r="G2488" s="1" t="s">
        <v>18</v>
      </c>
      <c r="H2488" s="1" t="s">
        <v>19</v>
      </c>
      <c r="I2488" s="1" t="s">
        <v>20</v>
      </c>
      <c r="J2488" s="1" t="s">
        <v>11419</v>
      </c>
      <c r="K2488" s="1" t="s">
        <v>22</v>
      </c>
      <c r="L2488" s="1" t="str">
        <f>HYPERLINK("https://files.afu.se/Downloads/Transcripts/0%20-%20Government/USA%20-%20NASA/2014 06 13 - NASA - Astronaut Mike Hopkins Talks Living and Working in Space while visiting Goddard Space Flight Center_-bj9jo-En6I - transcript (automated).pdf","Transcript Link")</f>
        <v>Transcript Link</v>
      </c>
      <c r="M2488" s="2" t="str">
        <f>HYPERLINK("https://files.afu.se/Downloads/Transcripts/0%20-%20Government/USA%20-%20NASA/2014 06 13 - NASA - Astronaut Mike Hopkins Talks Living and Working in Space while visiting Goddard Space Flight Center_-bj9jo-En6I - transcript (automated).pdf","Transcript Link")</f>
        <v>Transcript Link</v>
      </c>
    </row>
    <row r="2489" ht="165" spans="1:13">
      <c r="A2489" s="1" t="s">
        <v>11411</v>
      </c>
      <c r="B2489" s="1" t="s">
        <v>13</v>
      </c>
      <c r="C2489" s="4" t="s">
        <v>11420</v>
      </c>
      <c r="D2489" s="1" t="s">
        <v>11421</v>
      </c>
      <c r="E2489" s="1" t="s">
        <v>11422</v>
      </c>
      <c r="F2489" s="4" t="s">
        <v>17</v>
      </c>
      <c r="G2489" s="1" t="s">
        <v>18</v>
      </c>
      <c r="H2489" s="1" t="s">
        <v>19</v>
      </c>
      <c r="I2489" s="1" t="s">
        <v>20</v>
      </c>
      <c r="J2489" s="1" t="s">
        <v>11423</v>
      </c>
      <c r="K2489" s="1" t="s">
        <v>22</v>
      </c>
      <c r="L2489" s="1" t="str">
        <f>HYPERLINK("https://files.afu.se/Downloads/Transcripts/0%20-%20Government/USA%20-%20NASA/2014 06 13 - NASA - International Space Station Crew Discusses Life in Space with C-SPAN and the Public_j18M3eizNWg - transcript (automated).pdf","Transcript Link")</f>
        <v>Transcript Link</v>
      </c>
      <c r="M2489" s="2" t="str">
        <f>HYPERLINK("https://files.afu.se/Downloads/Transcripts/0%20-%20Government/USA%20-%20NASA/2014 06 13 - NASA - International Space Station Crew Discusses Life in Space with C-SPAN and the Public_j18M3eizNWg - transcript (automated).pdf","Transcript Link")</f>
        <v>Transcript Link</v>
      </c>
    </row>
    <row r="2490" ht="165" spans="1:13">
      <c r="A2490" s="1" t="s">
        <v>11424</v>
      </c>
      <c r="B2490" s="1" t="s">
        <v>13</v>
      </c>
      <c r="C2490" s="4" t="s">
        <v>11425</v>
      </c>
      <c r="D2490" s="1" t="s">
        <v>11426</v>
      </c>
      <c r="E2490" s="1" t="s">
        <v>11427</v>
      </c>
      <c r="F2490" s="4" t="s">
        <v>17</v>
      </c>
      <c r="G2490" s="1" t="s">
        <v>18</v>
      </c>
      <c r="H2490" s="1" t="s">
        <v>19</v>
      </c>
      <c r="I2490" s="1" t="s">
        <v>20</v>
      </c>
      <c r="J2490" s="1" t="s">
        <v>11428</v>
      </c>
      <c r="K2490" s="1" t="s">
        <v>22</v>
      </c>
      <c r="L2490" s="1" t="str">
        <f>HYPERLINK("https://files.afu.se/Downloads/Transcripts/0%20-%20Government/USA%20-%20NASA/2014 06 12 - NASA - Sally Ride  Life Stories from the Smithsonian's Air and Space Museum_tbk7UG21rEg - transcript (automated).pdf","Transcript Link")</f>
        <v>Transcript Link</v>
      </c>
      <c r="M2490" s="2" t="str">
        <f>HYPERLINK("https://files.afu.se/Downloads/Transcripts/0%20-%20Government/USA%20-%20NASA/2014 06 12 - NASA - Sally Ride  Life Stories from the Smithsonian's Air and Space Museum_tbk7UG21rEg - transcript (automated).pdf","Transcript Link")</f>
        <v>Transcript Link</v>
      </c>
    </row>
    <row r="2491" ht="180" spans="1:13">
      <c r="A2491" s="1" t="s">
        <v>11424</v>
      </c>
      <c r="B2491" s="1" t="s">
        <v>13</v>
      </c>
      <c r="C2491" s="4" t="s">
        <v>11429</v>
      </c>
      <c r="D2491" s="1" t="s">
        <v>11430</v>
      </c>
      <c r="E2491" s="1" t="s">
        <v>11431</v>
      </c>
      <c r="F2491" s="4" t="s">
        <v>17</v>
      </c>
      <c r="G2491" s="1" t="s">
        <v>18</v>
      </c>
      <c r="H2491" s="1" t="s">
        <v>19</v>
      </c>
      <c r="I2491" s="1" t="s">
        <v>20</v>
      </c>
      <c r="J2491" s="1" t="s">
        <v>11432</v>
      </c>
      <c r="K2491" s="1" t="s">
        <v>22</v>
      </c>
      <c r="L2491" s="1" t="str">
        <f>HYPERLINK("https://files.afu.se/Downloads/Transcripts/0%20-%20Government/USA%20-%20NASA/2014 06 12 - NASA - New NASA Observatory Set to Take On Carbon Conundrums_fPPP22j4Hm4 - transcript (automated).pdf","Transcript Link")</f>
        <v>Transcript Link</v>
      </c>
      <c r="M2491" s="2" t="str">
        <f>HYPERLINK("https://files.afu.se/Downloads/Transcripts/0%20-%20Government/USA%20-%20NASA/2014 06 12 - NASA - New NASA Observatory Set to Take On Carbon Conundrums_fPPP22j4Hm4 - transcript (automated).pdf","Transcript Link")</f>
        <v>Transcript Link</v>
      </c>
    </row>
    <row r="2492" ht="165" spans="1:13">
      <c r="A2492" s="1" t="s">
        <v>11433</v>
      </c>
      <c r="B2492" s="1" t="s">
        <v>13</v>
      </c>
      <c r="C2492" s="4" t="s">
        <v>11434</v>
      </c>
      <c r="D2492" s="1" t="s">
        <v>11435</v>
      </c>
      <c r="E2492" s="1" t="s">
        <v>11436</v>
      </c>
      <c r="F2492" s="4" t="s">
        <v>17</v>
      </c>
      <c r="G2492" s="1" t="s">
        <v>18</v>
      </c>
      <c r="H2492" s="1" t="s">
        <v>19</v>
      </c>
      <c r="I2492" s="1" t="s">
        <v>20</v>
      </c>
      <c r="J2492" s="1" t="s">
        <v>11437</v>
      </c>
      <c r="K2492" s="1" t="s">
        <v>22</v>
      </c>
      <c r="L2492" s="1" t="str">
        <f>HYPERLINK("https://files.afu.se/Downloads/Transcripts/0%20-%20Government/USA%20-%20NASA/2014 06 10 - NASA - NASA Spinoff with Seth Green_U1Hrq3L0DxY - transcript (automated).pdf","Transcript Link")</f>
        <v>Transcript Link</v>
      </c>
      <c r="M2492" s="2" t="str">
        <f>HYPERLINK("https://files.afu.se/Downloads/Transcripts/0%20-%20Government/USA%20-%20NASA/2014 06 10 - NASA - NASA Spinoff with Seth Green_U1Hrq3L0DxY - transcript (automated).pdf","Transcript Link")</f>
        <v>Transcript Link</v>
      </c>
    </row>
    <row r="2493" ht="165" spans="1:13">
      <c r="A2493" s="1" t="s">
        <v>11433</v>
      </c>
      <c r="B2493" s="1" t="s">
        <v>13</v>
      </c>
      <c r="C2493" s="4" t="s">
        <v>11438</v>
      </c>
      <c r="D2493" s="1" t="s">
        <v>11439</v>
      </c>
      <c r="E2493" s="1" t="s">
        <v>11440</v>
      </c>
      <c r="F2493" s="4" t="s">
        <v>17</v>
      </c>
      <c r="G2493" s="1" t="s">
        <v>18</v>
      </c>
      <c r="H2493" s="1" t="s">
        <v>19</v>
      </c>
      <c r="I2493" s="1" t="s">
        <v>20</v>
      </c>
      <c r="J2493" s="1" t="s">
        <v>11441</v>
      </c>
      <c r="K2493" s="1" t="s">
        <v>22</v>
      </c>
      <c r="L2493" s="1" t="str">
        <f>HYPERLINK("https://files.afu.se/Downloads/Transcripts/0%20-%20Government/USA%20-%20NASA/2014 06 10 - NASA - International Space Station Crew Discusses Life in Space with CBS News_9heXliD4qcs - transcript (automated).pdf","Transcript Link")</f>
        <v>Transcript Link</v>
      </c>
      <c r="M2493" s="2" t="str">
        <f>HYPERLINK("https://files.afu.se/Downloads/Transcripts/0%20-%20Government/USA%20-%20NASA/2014 06 10 - NASA - International Space Station Crew Discusses Life in Space with CBS News_9heXliD4qcs - transcript (automated).pdf","Transcript Link")</f>
        <v>Transcript Link</v>
      </c>
    </row>
    <row r="2494" ht="165" spans="1:13">
      <c r="A2494" s="1" t="s">
        <v>11433</v>
      </c>
      <c r="B2494" s="1" t="s">
        <v>13</v>
      </c>
      <c r="C2494" s="4" t="s">
        <v>11442</v>
      </c>
      <c r="D2494" s="1" t="s">
        <v>11443</v>
      </c>
      <c r="E2494" s="1" t="s">
        <v>11444</v>
      </c>
      <c r="F2494" s="4" t="s">
        <v>17</v>
      </c>
      <c r="G2494" s="1" t="s">
        <v>18</v>
      </c>
      <c r="H2494" s="1" t="s">
        <v>19</v>
      </c>
      <c r="I2494" s="1" t="s">
        <v>20</v>
      </c>
      <c r="J2494" s="1" t="s">
        <v>11445</v>
      </c>
      <c r="K2494" s="1" t="s">
        <v>22</v>
      </c>
      <c r="L2494" s="1" t="str">
        <f>HYPERLINK("https://files.afu.se/Downloads/Transcripts/0%20-%20Government/USA%20-%20NASA/2014 06 10 - NASA - International Space Station Crew Bids Farewell to Russian Resupply Ship_9MKBgBJZeag - transcript (automated).pdf","Transcript Link")</f>
        <v>Transcript Link</v>
      </c>
      <c r="M2494" s="2" t="str">
        <f>HYPERLINK("https://files.afu.se/Downloads/Transcripts/0%20-%20Government/USA%20-%20NASA/2014 06 10 - NASA - International Space Station Crew Bids Farewell to Russian Resupply Ship_9MKBgBJZeag - transcript (automated).pdf","Transcript Link")</f>
        <v>Transcript Link</v>
      </c>
    </row>
    <row r="2495" ht="165" spans="1:13">
      <c r="A2495" s="1" t="s">
        <v>11446</v>
      </c>
      <c r="B2495" s="1" t="s">
        <v>13</v>
      </c>
      <c r="C2495" s="4" t="s">
        <v>11447</v>
      </c>
      <c r="D2495" s="1" t="s">
        <v>11448</v>
      </c>
      <c r="E2495" s="1" t="s">
        <v>11449</v>
      </c>
      <c r="F2495" s="4" t="s">
        <v>17</v>
      </c>
      <c r="G2495" s="1" t="s">
        <v>18</v>
      </c>
      <c r="H2495" s="1" t="s">
        <v>19</v>
      </c>
      <c r="I2495" s="1" t="s">
        <v>20</v>
      </c>
      <c r="J2495" s="1" t="s">
        <v>11450</v>
      </c>
      <c r="K2495" s="1" t="s">
        <v>22</v>
      </c>
      <c r="L2495" s="1" t="str">
        <f>HYPERLINK("https://files.afu.se/Downloads/Transcripts/0%20-%20Government/USA%20-%20NASA/2014 06 05 - NASA - Space Station Astronaut Talks from Space with German Media_gKpr8tQAscg - transcript (automated).pdf","Transcript Link")</f>
        <v>Transcript Link</v>
      </c>
      <c r="M2495" s="2" t="str">
        <f>HYPERLINK("https://files.afu.se/Downloads/Transcripts/0%20-%20Government/USA%20-%20NASA/2014 06 05 - NASA - Space Station Astronaut Talks from Space with German Media_gKpr8tQAscg - transcript (automated).pdf","Transcript Link")</f>
        <v>Transcript Link</v>
      </c>
    </row>
    <row r="2496" ht="180" spans="1:13">
      <c r="A2496" s="1" t="s">
        <v>11451</v>
      </c>
      <c r="B2496" s="1" t="s">
        <v>13</v>
      </c>
      <c r="C2496" s="4" t="s">
        <v>11452</v>
      </c>
      <c r="D2496" s="1" t="s">
        <v>11453</v>
      </c>
      <c r="E2496" s="1" t="s">
        <v>11454</v>
      </c>
      <c r="F2496" s="4" t="s">
        <v>17</v>
      </c>
      <c r="G2496" s="1" t="s">
        <v>18</v>
      </c>
      <c r="H2496" s="1" t="s">
        <v>19</v>
      </c>
      <c r="I2496" s="1" t="s">
        <v>20</v>
      </c>
      <c r="J2496" s="1" t="s">
        <v>11455</v>
      </c>
      <c r="K2496" s="1" t="s">
        <v>22</v>
      </c>
      <c r="L2496" s="1" t="str">
        <f>HYPERLINK("https://files.afu.se/Downloads/Transcripts/0%20-%20Government/USA%20-%20NASA/2014 06 04 - NASA - News Briefing Previews Test of Saucer Shaped Vehicle_G8zE7jnv8R4 - transcript (automated).pdf","Transcript Link")</f>
        <v>Transcript Link</v>
      </c>
      <c r="M2496" s="2" t="str">
        <f>HYPERLINK("https://files.afu.se/Downloads/Transcripts/0%20-%20Government/USA%20-%20NASA/2014 06 04 - NASA - News Briefing Previews Test of Saucer Shaped Vehicle_G8zE7jnv8R4 - transcript (automated).pdf","Transcript Link")</f>
        <v>Transcript Link</v>
      </c>
    </row>
    <row r="2497" ht="165" spans="1:13">
      <c r="A2497" s="1" t="s">
        <v>11456</v>
      </c>
      <c r="B2497" s="1" t="s">
        <v>13</v>
      </c>
      <c r="C2497" s="4" t="s">
        <v>11457</v>
      </c>
      <c r="D2497" s="1" t="s">
        <v>11458</v>
      </c>
      <c r="E2497" s="1" t="s">
        <v>11459</v>
      </c>
      <c r="F2497" s="4" t="s">
        <v>17</v>
      </c>
      <c r="G2497" s="1" t="s">
        <v>18</v>
      </c>
      <c r="H2497" s="1" t="s">
        <v>19</v>
      </c>
      <c r="I2497" s="1" t="s">
        <v>20</v>
      </c>
      <c r="J2497" s="1" t="s">
        <v>11460</v>
      </c>
      <c r="K2497" s="1" t="s">
        <v>22</v>
      </c>
      <c r="L2497" s="1" t="str">
        <f>HYPERLINK("https://files.afu.se/Downloads/Transcripts/0%20-%20Government/USA%20-%20NASA/2014 05 30 - NASA - 2014 Mid Year Report on This Week @NASA_wAUwcLug5ws - transcript (automated).pdf","Transcript Link")</f>
        <v>Transcript Link</v>
      </c>
      <c r="M2497" s="2" t="str">
        <f>HYPERLINK("https://files.afu.se/Downloads/Transcripts/0%20-%20Government/USA%20-%20NASA/2014 05 30 - NASA - 2014 Mid Year Report on This Week @NASA_wAUwcLug5ws - transcript (automated).pdf","Transcript Link")</f>
        <v>Transcript Link</v>
      </c>
    </row>
    <row r="2498" ht="195" spans="1:13">
      <c r="A2498" s="1" t="s">
        <v>11461</v>
      </c>
      <c r="B2498" s="1" t="s">
        <v>13</v>
      </c>
      <c r="C2498" s="4" t="s">
        <v>11462</v>
      </c>
      <c r="D2498" s="1" t="s">
        <v>11463</v>
      </c>
      <c r="E2498" s="1" t="s">
        <v>11464</v>
      </c>
      <c r="F2498" s="4" t="s">
        <v>17</v>
      </c>
      <c r="G2498" s="1" t="s">
        <v>18</v>
      </c>
      <c r="H2498" s="1" t="s">
        <v>19</v>
      </c>
      <c r="I2498" s="1" t="s">
        <v>20</v>
      </c>
      <c r="J2498" s="1" t="s">
        <v>11465</v>
      </c>
      <c r="K2498" s="1" t="s">
        <v>22</v>
      </c>
      <c r="L2498" s="1" t="str">
        <f>HYPERLINK("https://files.afu.se/Downloads/Transcripts/0%20-%20Government/USA%20-%20NASA/2014 05 29 - NASA - Agency Officials Hail Arrival of New Crew at the International Space Station_nckw-Mh7ZuQ - transcript (automated).pdf","Transcript Link")</f>
        <v>Transcript Link</v>
      </c>
      <c r="M2498" s="2" t="str">
        <f>HYPERLINK("https://files.afu.se/Downloads/Transcripts/0%20-%20Government/USA%20-%20NASA/2014 05 29 - NASA - Agency Officials Hail Arrival of New Crew at the International Space Station_nckw-Mh7ZuQ - transcript (automated).pdf","Transcript Link")</f>
        <v>Transcript Link</v>
      </c>
    </row>
    <row r="2499" ht="165" spans="1:13">
      <c r="A2499" s="1" t="s">
        <v>11461</v>
      </c>
      <c r="B2499" s="1" t="s">
        <v>13</v>
      </c>
      <c r="C2499" s="4" t="s">
        <v>11466</v>
      </c>
      <c r="D2499" s="1" t="s">
        <v>9900</v>
      </c>
      <c r="E2499" s="1" t="s">
        <v>11467</v>
      </c>
      <c r="F2499" s="4" t="s">
        <v>17</v>
      </c>
      <c r="G2499" s="1" t="s">
        <v>18</v>
      </c>
      <c r="H2499" s="1" t="s">
        <v>19</v>
      </c>
      <c r="I2499" s="1" t="s">
        <v>20</v>
      </c>
      <c r="J2499" s="1" t="s">
        <v>11468</v>
      </c>
      <c r="K2499" s="1" t="s">
        <v>22</v>
      </c>
      <c r="L2499" s="1" t="str">
        <f>HYPERLINK("https://files.afu.se/Downloads/Transcripts/0%20-%20Government/USA%20-%20NASA/2014 05 29 - NASA - Welcome to the Space Station_qASh_0OlXkA - transcript (automated).pdf","Transcript Link")</f>
        <v>Transcript Link</v>
      </c>
      <c r="M2499" s="2" t="str">
        <f>HYPERLINK("https://files.afu.se/Downloads/Transcripts/0%20-%20Government/USA%20-%20NASA/2014 05 29 - NASA - Welcome to the Space Station_qASh_0OlXkA - transcript (automated).pdf","Transcript Link")</f>
        <v>Transcript Link</v>
      </c>
    </row>
    <row r="2500" ht="165" spans="1:13">
      <c r="A2500" s="1" t="s">
        <v>11461</v>
      </c>
      <c r="B2500" s="1" t="s">
        <v>13</v>
      </c>
      <c r="C2500" s="4" t="s">
        <v>11469</v>
      </c>
      <c r="D2500" s="1" t="s">
        <v>10559</v>
      </c>
      <c r="E2500" s="1" t="s">
        <v>11470</v>
      </c>
      <c r="F2500" s="4" t="s">
        <v>17</v>
      </c>
      <c r="G2500" s="1" t="s">
        <v>18</v>
      </c>
      <c r="H2500" s="1" t="s">
        <v>19</v>
      </c>
      <c r="I2500" s="1" t="s">
        <v>20</v>
      </c>
      <c r="J2500" s="1" t="s">
        <v>11471</v>
      </c>
      <c r="K2500" s="1" t="s">
        <v>22</v>
      </c>
      <c r="L2500" s="1" t="str">
        <f>HYPERLINK("https://files.afu.se/Downloads/Transcripts/0%20-%20Government/USA%20-%20NASA/2014 05 29 - NASA - New Crew Docks to ISS_PPEQhB_EvLs - transcript (automated).pdf","Transcript Link")</f>
        <v>Transcript Link</v>
      </c>
      <c r="M2500" s="2" t="str">
        <f>HYPERLINK("https://files.afu.se/Downloads/Transcripts/0%20-%20Government/USA%20-%20NASA/2014 05 29 - NASA - New Crew Docks to ISS_PPEQhB_EvLs - transcript (automated).pdf","Transcript Link")</f>
        <v>Transcript Link</v>
      </c>
    </row>
    <row r="2501" ht="165" spans="1:13">
      <c r="A2501" s="1" t="s">
        <v>11461</v>
      </c>
      <c r="B2501" s="1" t="s">
        <v>13</v>
      </c>
      <c r="C2501" s="4" t="s">
        <v>11472</v>
      </c>
      <c r="D2501" s="1" t="s">
        <v>9908</v>
      </c>
      <c r="E2501" s="1" t="s">
        <v>11473</v>
      </c>
      <c r="F2501" s="4" t="s">
        <v>17</v>
      </c>
      <c r="G2501" s="1" t="s">
        <v>18</v>
      </c>
      <c r="H2501" s="1" t="s">
        <v>19</v>
      </c>
      <c r="I2501" s="1" t="s">
        <v>20</v>
      </c>
      <c r="J2501" s="1" t="s">
        <v>11474</v>
      </c>
      <c r="K2501" s="1" t="s">
        <v>22</v>
      </c>
      <c r="L2501" s="1" t="str">
        <f>HYPERLINK("https://files.afu.se/Downloads/Transcripts/0%20-%20Government/USA%20-%20NASA/2014 05 29 - NASA - Launch Day For New ISS Crew_XLVP8Zi8faw - transcript (automated).pdf","Transcript Link")</f>
        <v>Transcript Link</v>
      </c>
      <c r="M2501" s="2" t="str">
        <f>HYPERLINK("https://files.afu.se/Downloads/Transcripts/0%20-%20Government/USA%20-%20NASA/2014 05 29 - NASA - Launch Day For New ISS Crew_XLVP8Zi8faw - transcript (automated).pdf","Transcript Link")</f>
        <v>Transcript Link</v>
      </c>
    </row>
    <row r="2502" ht="165" spans="1:13">
      <c r="A2502" s="1" t="s">
        <v>11475</v>
      </c>
      <c r="B2502" s="1" t="s">
        <v>13</v>
      </c>
      <c r="C2502" s="4" t="s">
        <v>11476</v>
      </c>
      <c r="D2502" s="1" t="s">
        <v>6684</v>
      </c>
      <c r="E2502" s="1" t="s">
        <v>11477</v>
      </c>
      <c r="F2502" s="4" t="s">
        <v>17</v>
      </c>
      <c r="G2502" s="1" t="s">
        <v>18</v>
      </c>
      <c r="H2502" s="1" t="s">
        <v>19</v>
      </c>
      <c r="I2502" s="1" t="s">
        <v>20</v>
      </c>
      <c r="J2502" s="1" t="s">
        <v>11478</v>
      </c>
      <c r="K2502" s="1" t="s">
        <v>22</v>
      </c>
      <c r="L2502" s="1" t="str">
        <f>HYPERLINK("https://files.afu.se/Downloads/Transcripts/0%20-%20Government/USA%20-%20NASA/2014 05 28 - NASA - New Crew Launches to the ISS_n1_TVGT5H7k - transcript (automated).pdf","Transcript Link")</f>
        <v>Transcript Link</v>
      </c>
      <c r="M2502" s="2" t="str">
        <f>HYPERLINK("https://files.afu.se/Downloads/Transcripts/0%20-%20Government/USA%20-%20NASA/2014 05 28 - NASA - New Crew Launches to the ISS_n1_TVGT5H7k - transcript (automated).pdf","Transcript Link")</f>
        <v>Transcript Link</v>
      </c>
    </row>
    <row r="2503" ht="165" spans="1:13">
      <c r="A2503" s="1" t="s">
        <v>11475</v>
      </c>
      <c r="B2503" s="1" t="s">
        <v>13</v>
      </c>
      <c r="C2503" s="4" t="s">
        <v>11479</v>
      </c>
      <c r="D2503" s="1" t="s">
        <v>9921</v>
      </c>
      <c r="E2503" s="1" t="s">
        <v>11480</v>
      </c>
      <c r="F2503" s="4" t="s">
        <v>17</v>
      </c>
      <c r="G2503" s="1" t="s">
        <v>18</v>
      </c>
      <c r="H2503" s="1" t="s">
        <v>19</v>
      </c>
      <c r="I2503" s="1" t="s">
        <v>20</v>
      </c>
      <c r="J2503" s="1" t="s">
        <v>11481</v>
      </c>
      <c r="K2503" s="1" t="s">
        <v>22</v>
      </c>
      <c r="L2503" s="1" t="str">
        <f>HYPERLINK("https://files.afu.se/Downloads/Transcripts/0%20-%20Government/USA%20-%20NASA/2014 05 28 - NASA - Next ISS Crew Meets Officials as Launch Approaches_Q-BNa_0hbYM - transcript (automated).pdf","Transcript Link")</f>
        <v>Transcript Link</v>
      </c>
      <c r="M2503" s="2" t="str">
        <f>HYPERLINK("https://files.afu.se/Downloads/Transcripts/0%20-%20Government/USA%20-%20NASA/2014 05 28 - NASA - Next ISS Crew Meets Officials as Launch Approaches_Q-BNa_0hbYM - transcript (automated).pdf","Transcript Link")</f>
        <v>Transcript Link</v>
      </c>
    </row>
    <row r="2504" ht="165" spans="1:13">
      <c r="A2504" s="1" t="s">
        <v>11482</v>
      </c>
      <c r="B2504" s="1" t="s">
        <v>13</v>
      </c>
      <c r="C2504" s="4" t="s">
        <v>11483</v>
      </c>
      <c r="D2504" s="1" t="s">
        <v>11484</v>
      </c>
      <c r="E2504" s="1" t="s">
        <v>11485</v>
      </c>
      <c r="F2504" s="4" t="s">
        <v>17</v>
      </c>
      <c r="G2504" s="1" t="s">
        <v>18</v>
      </c>
      <c r="H2504" s="1" t="s">
        <v>19</v>
      </c>
      <c r="I2504" s="1" t="s">
        <v>20</v>
      </c>
      <c r="J2504" s="1" t="s">
        <v>11486</v>
      </c>
      <c r="K2504" s="1" t="s">
        <v>22</v>
      </c>
      <c r="L2504" s="1" t="str">
        <f>HYPERLINK("https://files.afu.se/Downloads/Transcripts/0%20-%20Government/USA%20-%20NASA/2014 05 27 - NASA - NASA astronaut discusses life in space_plOUjapKUxI - transcript (automated).pdf","Transcript Link")</f>
        <v>Transcript Link</v>
      </c>
      <c r="M2504" s="2" t="str">
        <f>HYPERLINK("https://files.afu.se/Downloads/Transcripts/0%20-%20Government/USA%20-%20NASA/2014 05 27 - NASA - NASA astronaut discusses life in space_plOUjapKUxI - transcript (automated).pdf","Transcript Link")</f>
        <v>Transcript Link</v>
      </c>
    </row>
    <row r="2505" ht="240" spans="1:13">
      <c r="A2505" s="1" t="s">
        <v>11487</v>
      </c>
      <c r="B2505" s="1" t="s">
        <v>13</v>
      </c>
      <c r="C2505" s="4" t="s">
        <v>11488</v>
      </c>
      <c r="D2505" s="1" t="s">
        <v>11489</v>
      </c>
      <c r="E2505" s="1" t="s">
        <v>11490</v>
      </c>
      <c r="F2505" s="4" t="s">
        <v>17</v>
      </c>
      <c r="G2505" s="1" t="s">
        <v>18</v>
      </c>
      <c r="H2505" s="1" t="s">
        <v>19</v>
      </c>
      <c r="I2505" s="1" t="s">
        <v>20</v>
      </c>
      <c r="J2505" s="1" t="s">
        <v>11491</v>
      </c>
      <c r="K2505" s="1" t="s">
        <v>22</v>
      </c>
      <c r="L2505" s="1" t="str">
        <f>HYPERLINK("https://files.afu.se/Downloads/Transcripts/0%20-%20Government/USA%20-%20NASA/2014 05 26 - NASA - The Expedition 40 41 crew prepares for launch and their Soyuz rocket comes together and moves to pad_XbjPcofbLnY - transcript (automated).pdf","Transcript Link")</f>
        <v>Transcript Link</v>
      </c>
      <c r="M2505" s="2" t="str">
        <f>HYPERLINK("https://files.afu.se/Downloads/Transcripts/0%20-%20Government/USA%20-%20NASA/2014 05 26 - NASA - The Expedition 40 41 crew prepares for launch and their Soyuz rocket comes together and moves to pad_XbjPcofbLnY - transcript (automated).pdf","Transcript Link")</f>
        <v>Transcript Link</v>
      </c>
    </row>
    <row r="2506" ht="210" spans="1:13">
      <c r="A2506" s="1" t="s">
        <v>11492</v>
      </c>
      <c r="B2506" s="1" t="s">
        <v>13</v>
      </c>
      <c r="C2506" s="4" t="s">
        <v>11493</v>
      </c>
      <c r="D2506" s="1" t="s">
        <v>11494</v>
      </c>
      <c r="E2506" s="1" t="s">
        <v>11495</v>
      </c>
      <c r="F2506" s="4" t="s">
        <v>17</v>
      </c>
      <c r="G2506" s="1" t="s">
        <v>18</v>
      </c>
      <c r="H2506" s="1" t="s">
        <v>19</v>
      </c>
      <c r="I2506" s="1" t="s">
        <v>20</v>
      </c>
      <c r="J2506" s="1" t="s">
        <v>11496</v>
      </c>
      <c r="K2506" s="1" t="s">
        <v>22</v>
      </c>
      <c r="L2506" s="1" t="str">
        <f>HYPERLINK("https://files.afu.se/Downloads/Transcripts/0%20-%20Government/USA%20-%20NASA/2014 05 23 - NASA - This Week at NASA_gFXDSw58udU - transcript (automated).pdf","Transcript Link")</f>
        <v>Transcript Link</v>
      </c>
      <c r="M2506" s="2" t="str">
        <f>HYPERLINK("https://files.afu.se/Downloads/Transcripts/0%20-%20Government/USA%20-%20NASA/2014 05 23 - NASA - This Week at NASA_gFXDSw58udU - transcript (automated).pdf","Transcript Link")</f>
        <v>Transcript Link</v>
      </c>
    </row>
    <row r="2507" ht="270" spans="1:13">
      <c r="A2507" s="1" t="s">
        <v>11497</v>
      </c>
      <c r="B2507" s="1" t="s">
        <v>13</v>
      </c>
      <c r="C2507" s="4" t="s">
        <v>11498</v>
      </c>
      <c r="D2507" s="1" t="s">
        <v>11499</v>
      </c>
      <c r="E2507" s="1" t="s">
        <v>11500</v>
      </c>
      <c r="F2507" s="4" t="s">
        <v>17</v>
      </c>
      <c r="G2507" s="1" t="s">
        <v>18</v>
      </c>
      <c r="H2507" s="1" t="s">
        <v>19</v>
      </c>
      <c r="I2507" s="1" t="s">
        <v>20</v>
      </c>
      <c r="J2507" s="1" t="s">
        <v>11501</v>
      </c>
      <c r="K2507" s="1" t="s">
        <v>22</v>
      </c>
      <c r="L2507" s="1" t="str">
        <f>HYPERLINK("https://files.afu.se/Downloads/Transcripts/0%20-%20Government/USA%20-%20NASA/2014 05 21 - NASA - Destination Station  ISS Science Briefing_QLzRqhlmJ-g - transcript (automated).pdf","Transcript Link")</f>
        <v>Transcript Link</v>
      </c>
      <c r="M2507" s="2" t="str">
        <f>HYPERLINK("https://files.afu.se/Downloads/Transcripts/0%20-%20Government/USA%20-%20NASA/2014 05 21 - NASA - Destination Station  ISS Science Briefing_QLzRqhlmJ-g - transcript (automated).pdf","Transcript Link")</f>
        <v>Transcript Link</v>
      </c>
    </row>
    <row r="2508" ht="180" spans="1:13">
      <c r="A2508" s="1" t="s">
        <v>11497</v>
      </c>
      <c r="B2508" s="1" t="s">
        <v>13</v>
      </c>
      <c r="C2508" s="4" t="s">
        <v>11502</v>
      </c>
      <c r="D2508" s="1" t="s">
        <v>11503</v>
      </c>
      <c r="E2508" s="1" t="s">
        <v>11504</v>
      </c>
      <c r="F2508" s="4" t="s">
        <v>17</v>
      </c>
      <c r="G2508" s="1" t="s">
        <v>18</v>
      </c>
      <c r="H2508" s="1" t="s">
        <v>19</v>
      </c>
      <c r="I2508" s="1" t="s">
        <v>20</v>
      </c>
      <c r="J2508" s="1" t="s">
        <v>11505</v>
      </c>
      <c r="K2508" s="1" t="s">
        <v>22</v>
      </c>
      <c r="L2508" s="1" t="str">
        <f>HYPERLINK("https://files.afu.se/Downloads/Transcripts/0%20-%20Government/USA%20-%20NASA/2014 05 21 - NASA - ISS Exp Mission Overview Briefing_Uc4cKiGahu0 - transcript (automated).pdf","Transcript Link")</f>
        <v>Transcript Link</v>
      </c>
      <c r="M2508" s="2" t="str">
        <f>HYPERLINK("https://files.afu.se/Downloads/Transcripts/0%20-%20Government/USA%20-%20NASA/2014 05 21 - NASA - ISS Exp Mission Overview Briefing_Uc4cKiGahu0 - transcript (automated).pdf","Transcript Link")</f>
        <v>Transcript Link</v>
      </c>
    </row>
    <row r="2509" ht="180" spans="1:13">
      <c r="A2509" s="1" t="s">
        <v>11497</v>
      </c>
      <c r="B2509" s="1" t="s">
        <v>13</v>
      </c>
      <c r="C2509" s="4" t="s">
        <v>11506</v>
      </c>
      <c r="D2509" s="1" t="s">
        <v>11507</v>
      </c>
      <c r="E2509" s="1" t="s">
        <v>11508</v>
      </c>
      <c r="F2509" s="4" t="s">
        <v>17</v>
      </c>
      <c r="G2509" s="1" t="s">
        <v>18</v>
      </c>
      <c r="H2509" s="1" t="s">
        <v>19</v>
      </c>
      <c r="I2509" s="1" t="s">
        <v>20</v>
      </c>
      <c r="J2509" s="1" t="s">
        <v>11509</v>
      </c>
      <c r="K2509" s="1" t="s">
        <v>22</v>
      </c>
      <c r="L2509" s="1" t="str">
        <f>HYPERLINK("https://files.afu.se/Downloads/Transcripts/0%20-%20Government/USA%20-%20NASA/2014 05 21 - NASA - ISS Expedition Crews 40 and 41 Practice for Space Launch in Baikonur, Kazakhstan_T8xnts7v3o8 - transcript (automated).pdf","Transcript Link")</f>
        <v>Transcript Link</v>
      </c>
      <c r="M2509" s="2" t="str">
        <f>HYPERLINK("https://files.afu.se/Downloads/Transcripts/0%20-%20Government/USA%20-%20NASA/2014 05 21 - NASA - ISS Expedition Crews 40 and 41 Practice for Space Launch in Baikonur, Kazakhstan_T8xnts7v3o8 - transcript (automated).pdf","Transcript Link")</f>
        <v>Transcript Link</v>
      </c>
    </row>
    <row r="2510" ht="165" spans="1:13">
      <c r="A2510" s="1" t="s">
        <v>11497</v>
      </c>
      <c r="B2510" s="1" t="s">
        <v>13</v>
      </c>
      <c r="C2510" s="4" t="s">
        <v>11510</v>
      </c>
      <c r="D2510" s="1" t="s">
        <v>11511</v>
      </c>
      <c r="E2510" s="1" t="s">
        <v>11512</v>
      </c>
      <c r="F2510" s="4" t="s">
        <v>17</v>
      </c>
      <c r="G2510" s="1" t="s">
        <v>18</v>
      </c>
      <c r="H2510" s="1" t="s">
        <v>19</v>
      </c>
      <c r="I2510" s="1" t="s">
        <v>20</v>
      </c>
      <c r="J2510" s="1" t="s">
        <v>11513</v>
      </c>
      <c r="K2510" s="1" t="s">
        <v>22</v>
      </c>
      <c r="L2510" s="1" t="str">
        <f>HYPERLINK("https://files.afu.se/Downloads/Transcripts/0%20-%20Government/USA%20-%20NASA/2014 05 21 - NASA - NASA Administrator Charles Bolden Discusses Space Station Science_Ep9j4NgcMD0 - transcript (automated).pdf","Transcript Link")</f>
        <v>Transcript Link</v>
      </c>
      <c r="M2510" s="2" t="str">
        <f>HYPERLINK("https://files.afu.se/Downloads/Transcripts/0%20-%20Government/USA%20-%20NASA/2014 05 21 - NASA - NASA Administrator Charles Bolden Discusses Space Station Science_Ep9j4NgcMD0 - transcript (automated).pdf","Transcript Link")</f>
        <v>Transcript Link</v>
      </c>
    </row>
    <row r="2511" ht="165" spans="1:13">
      <c r="A2511" s="1" t="s">
        <v>11514</v>
      </c>
      <c r="B2511" s="1" t="s">
        <v>13</v>
      </c>
      <c r="C2511" s="4" t="s">
        <v>11515</v>
      </c>
      <c r="D2511" s="1" t="s">
        <v>11516</v>
      </c>
      <c r="E2511" s="1" t="s">
        <v>11517</v>
      </c>
      <c r="F2511" s="4" t="s">
        <v>17</v>
      </c>
      <c r="G2511" s="1" t="s">
        <v>18</v>
      </c>
      <c r="H2511" s="1" t="s">
        <v>19</v>
      </c>
      <c r="I2511" s="1" t="s">
        <v>20</v>
      </c>
      <c r="J2511" s="1" t="s">
        <v>11518</v>
      </c>
      <c r="K2511" s="1" t="s">
        <v>22</v>
      </c>
      <c r="L2511" s="1" t="str">
        <f>HYPERLINK("https://files.afu.se/Downloads/Transcripts/0%20-%20Government/USA%20-%20NASA/2014 05 20 - NASA - International Space Station Commander Fields Questions From CNN_qo6zeE4TJSw - transcript (automated).pdf","Transcript Link")</f>
        <v>Transcript Link</v>
      </c>
      <c r="M2511" s="2" t="str">
        <f>HYPERLINK("https://files.afu.se/Downloads/Transcripts/0%20-%20Government/USA%20-%20NASA/2014 05 20 - NASA - International Space Station Commander Fields Questions From CNN_qo6zeE4TJSw - transcript (automated).pdf","Transcript Link")</f>
        <v>Transcript Link</v>
      </c>
    </row>
    <row r="2512" ht="165" spans="1:13">
      <c r="A2512" s="1" t="s">
        <v>11519</v>
      </c>
      <c r="B2512" s="1" t="s">
        <v>13</v>
      </c>
      <c r="C2512" s="4" t="s">
        <v>11520</v>
      </c>
      <c r="D2512" s="1" t="s">
        <v>11521</v>
      </c>
      <c r="E2512" s="1" t="s">
        <v>11522</v>
      </c>
      <c r="F2512" s="4" t="s">
        <v>17</v>
      </c>
      <c r="G2512" s="1" t="s">
        <v>18</v>
      </c>
      <c r="H2512" s="1" t="s">
        <v>19</v>
      </c>
      <c r="I2512" s="1" t="s">
        <v>20</v>
      </c>
      <c r="J2512" s="1" t="s">
        <v>11523</v>
      </c>
      <c r="K2512" s="1" t="s">
        <v>22</v>
      </c>
      <c r="L2512" s="1" t="str">
        <f>HYPERLINK("https://files.afu.se/Downloads/Transcripts/0%20-%20Government/USA%20-%20NASA/2014 05 18 - NASA - Dragon Heads Home_TlxS4vFTRYI - transcript (automated).pdf","Transcript Link")</f>
        <v>Transcript Link</v>
      </c>
      <c r="M2512" s="2" t="str">
        <f>HYPERLINK("https://files.afu.se/Downloads/Transcripts/0%20-%20Government/USA%20-%20NASA/2014 05 18 - NASA - Dragon Heads Home_TlxS4vFTRYI - transcript (automated).pdf","Transcript Link")</f>
        <v>Transcript Link</v>
      </c>
    </row>
    <row r="2513" ht="180" spans="1:13">
      <c r="A2513" s="1" t="s">
        <v>11524</v>
      </c>
      <c r="B2513" s="1" t="s">
        <v>13</v>
      </c>
      <c r="C2513" s="4" t="s">
        <v>11525</v>
      </c>
      <c r="D2513" s="1" t="s">
        <v>11526</v>
      </c>
      <c r="E2513" s="1" t="s">
        <v>11527</v>
      </c>
      <c r="F2513" s="4" t="s">
        <v>17</v>
      </c>
      <c r="G2513" s="1" t="s">
        <v>18</v>
      </c>
      <c r="H2513" s="1" t="s">
        <v>19</v>
      </c>
      <c r="I2513" s="1" t="s">
        <v>20</v>
      </c>
      <c r="J2513" s="1" t="s">
        <v>11528</v>
      </c>
      <c r="K2513" s="1" t="s">
        <v>22</v>
      </c>
      <c r="L2513" s="1" t="str">
        <f>HYPERLINK("https://files.afu.se/Downloads/Transcripts/0%20-%20Government/USA%20-%20NASA/2014 05 16 - NASA - NASA Center Renamed on This Week @NASA_XjrgGblM_bk - transcript (automated).pdf","Transcript Link")</f>
        <v>Transcript Link</v>
      </c>
      <c r="M2513" s="2" t="str">
        <f>HYPERLINK("https://files.afu.se/Downloads/Transcripts/0%20-%20Government/USA%20-%20NASA/2014 05 16 - NASA - NASA Center Renamed on This Week @NASA_XjrgGblM_bk - transcript (automated).pdf","Transcript Link")</f>
        <v>Transcript Link</v>
      </c>
    </row>
    <row r="2514" ht="165" spans="1:13">
      <c r="A2514" s="1" t="s">
        <v>11529</v>
      </c>
      <c r="B2514" s="1" t="s">
        <v>13</v>
      </c>
      <c r="C2514" s="4" t="s">
        <v>11530</v>
      </c>
      <c r="D2514" s="1" t="s">
        <v>11531</v>
      </c>
      <c r="E2514" s="1" t="s">
        <v>11532</v>
      </c>
      <c r="F2514" s="4" t="s">
        <v>17</v>
      </c>
      <c r="G2514" s="1" t="s">
        <v>18</v>
      </c>
      <c r="H2514" s="1" t="s">
        <v>19</v>
      </c>
      <c r="I2514" s="1" t="s">
        <v>20</v>
      </c>
      <c r="J2514" s="1" t="s">
        <v>11533</v>
      </c>
      <c r="K2514" s="1" t="s">
        <v>22</v>
      </c>
      <c r="L2514" s="1" t="str">
        <f>HYPERLINK("https://files.afu.se/Downloads/Transcripts/0%20-%20Government/USA%20-%20NASA/2014 05 15 - NASA - Next ISS crew heads to launch site_ldyLReHn8PY - transcript (automated).pdf","Transcript Link")</f>
        <v>Transcript Link</v>
      </c>
      <c r="M2514" s="2" t="str">
        <f>HYPERLINK("https://files.afu.se/Downloads/Transcripts/0%20-%20Government/USA%20-%20NASA/2014 05 15 - NASA - Next ISS crew heads to launch site_ldyLReHn8PY - transcript (automated).pdf","Transcript Link")</f>
        <v>Transcript Link</v>
      </c>
    </row>
    <row r="2515" ht="165" spans="1:13">
      <c r="A2515" s="1" t="s">
        <v>11534</v>
      </c>
      <c r="B2515" s="1" t="s">
        <v>13</v>
      </c>
      <c r="C2515" s="4" t="s">
        <v>11535</v>
      </c>
      <c r="D2515" s="1" t="s">
        <v>11536</v>
      </c>
      <c r="E2515" s="1" t="s">
        <v>11537</v>
      </c>
      <c r="F2515" s="4" t="s">
        <v>17</v>
      </c>
      <c r="G2515" s="1" t="s">
        <v>18</v>
      </c>
      <c r="H2515" s="1" t="s">
        <v>19</v>
      </c>
      <c r="I2515" s="1" t="s">
        <v>20</v>
      </c>
      <c r="J2515" s="1" t="s">
        <v>11538</v>
      </c>
      <c r="K2515" s="1" t="s">
        <v>22</v>
      </c>
      <c r="L2515" s="1" t="str">
        <f>HYPERLINK("https://files.afu.se/Downloads/Transcripts/0%20-%20Government/USA%20-%20NASA/2014 05 14 - NASA - What a time onboard the space station!_IeYt3wJN4cY - transcript (automated).pdf","Transcript Link")</f>
        <v>Transcript Link</v>
      </c>
      <c r="M2515" s="2" t="str">
        <f>HYPERLINK("https://files.afu.se/Downloads/Transcripts/0%20-%20Government/USA%20-%20NASA/2014 05 14 - NASA - What a time onboard the space station!_IeYt3wJN4cY - transcript (automated).pdf","Transcript Link")</f>
        <v>Transcript Link</v>
      </c>
    </row>
    <row r="2516" ht="165" spans="1:13">
      <c r="A2516" s="1" t="s">
        <v>11534</v>
      </c>
      <c r="B2516" s="1" t="s">
        <v>13</v>
      </c>
      <c r="C2516" s="4" t="s">
        <v>11539</v>
      </c>
      <c r="D2516" s="1" t="s">
        <v>11540</v>
      </c>
      <c r="E2516" s="1" t="s">
        <v>11541</v>
      </c>
      <c r="F2516" s="4" t="s">
        <v>17</v>
      </c>
      <c r="G2516" s="1" t="s">
        <v>18</v>
      </c>
      <c r="H2516" s="1" t="s">
        <v>19</v>
      </c>
      <c r="I2516" s="1" t="s">
        <v>20</v>
      </c>
      <c r="J2516" s="1" t="s">
        <v>11542</v>
      </c>
      <c r="K2516" s="1" t="s">
        <v>22</v>
      </c>
      <c r="L2516" s="1" t="str">
        <f>HYPERLINK("https://files.afu.se/Downloads/Transcripts/0%20-%20Government/USA%20-%20NASA/2014 05 14 - NASA - Expedition 39 back on solid ground_yywJHU4gwZg - transcript (automated).pdf","Transcript Link")</f>
        <v>Transcript Link</v>
      </c>
      <c r="M2516" s="2" t="str">
        <f>HYPERLINK("https://files.afu.se/Downloads/Transcripts/0%20-%20Government/USA%20-%20NASA/2014 05 14 - NASA - Expedition 39 back on solid ground_yywJHU4gwZg - transcript (automated).pdf","Transcript Link")</f>
        <v>Transcript Link</v>
      </c>
    </row>
    <row r="2517" ht="165" spans="1:13">
      <c r="A2517" s="1" t="s">
        <v>11543</v>
      </c>
      <c r="B2517" s="1" t="s">
        <v>13</v>
      </c>
      <c r="C2517" s="4" t="s">
        <v>11544</v>
      </c>
      <c r="D2517" s="1" t="s">
        <v>11545</v>
      </c>
      <c r="E2517" s="1" t="s">
        <v>11546</v>
      </c>
      <c r="F2517" s="4" t="s">
        <v>17</v>
      </c>
      <c r="G2517" s="1" t="s">
        <v>18</v>
      </c>
      <c r="H2517" s="1" t="s">
        <v>19</v>
      </c>
      <c r="I2517" s="1" t="s">
        <v>20</v>
      </c>
      <c r="J2517" s="1" t="s">
        <v>11547</v>
      </c>
      <c r="K2517" s="1" t="s">
        <v>22</v>
      </c>
      <c r="L2517" s="1" t="str">
        <f>HYPERLINK("https://files.afu.se/Downloads/Transcripts/0%20-%20Government/USA%20-%20NASA/2014 05 13 - NASA - Expedition 39 ships off_WdJA1F2ScuQ - transcript (automated).pdf","Transcript Link")</f>
        <v>Transcript Link</v>
      </c>
      <c r="M2517" s="2" t="str">
        <f>HYPERLINK("https://files.afu.se/Downloads/Transcripts/0%20-%20Government/USA%20-%20NASA/2014 05 13 - NASA - Expedition 39 ships off_WdJA1F2ScuQ - transcript (automated).pdf","Transcript Link")</f>
        <v>Transcript Link</v>
      </c>
    </row>
    <row r="2518" ht="165" spans="1:13">
      <c r="A2518" s="1" t="s">
        <v>11543</v>
      </c>
      <c r="B2518" s="1" t="s">
        <v>13</v>
      </c>
      <c r="C2518" s="4" t="s">
        <v>11548</v>
      </c>
      <c r="D2518" s="1" t="s">
        <v>11549</v>
      </c>
      <c r="E2518" s="1" t="s">
        <v>11550</v>
      </c>
      <c r="F2518" s="4" t="s">
        <v>17</v>
      </c>
      <c r="G2518" s="1" t="s">
        <v>18</v>
      </c>
      <c r="H2518" s="1" t="s">
        <v>19</v>
      </c>
      <c r="I2518" s="1" t="s">
        <v>20</v>
      </c>
      <c r="J2518" s="1" t="s">
        <v>11551</v>
      </c>
      <c r="K2518" s="1" t="s">
        <v>22</v>
      </c>
      <c r="L2518" s="1" t="str">
        <f>HYPERLINK("https://files.afu.se/Downloads/Transcripts/0%20-%20Government/USA%20-%20NASA/2014 05 13 - NASA - Center Naming Ceremony Honors Neil Armstrong, Hugh Dryden_ZoGoZRc-YNY - transcript (automated).pdf","Transcript Link")</f>
        <v>Transcript Link</v>
      </c>
      <c r="M2518" s="2" t="str">
        <f>HYPERLINK("https://files.afu.se/Downloads/Transcripts/0%20-%20Government/USA%20-%20NASA/2014 05 13 - NASA - Center Naming Ceremony Honors Neil Armstrong, Hugh Dryden_ZoGoZRc-YNY - transcript (automated).pdf","Transcript Link")</f>
        <v>Transcript Link</v>
      </c>
    </row>
    <row r="2519" ht="165" spans="1:13">
      <c r="A2519" s="1" t="s">
        <v>11543</v>
      </c>
      <c r="B2519" s="1" t="s">
        <v>13</v>
      </c>
      <c r="C2519" s="4" t="s">
        <v>11552</v>
      </c>
      <c r="D2519" s="1" t="s">
        <v>11553</v>
      </c>
      <c r="E2519" s="1" t="s">
        <v>11554</v>
      </c>
      <c r="F2519" s="4" t="s">
        <v>17</v>
      </c>
      <c r="G2519" s="1" t="s">
        <v>18</v>
      </c>
      <c r="H2519" s="1" t="s">
        <v>19</v>
      </c>
      <c r="I2519" s="1" t="s">
        <v>20</v>
      </c>
      <c r="J2519" s="1" t="s">
        <v>11555</v>
      </c>
      <c r="K2519" s="1" t="s">
        <v>22</v>
      </c>
      <c r="L2519" s="1" t="str">
        <f>HYPERLINK("https://files.afu.se/Downloads/Transcripts/0%20-%20Government/USA%20-%20NASA/2014 05 13 - NASA - Expedition 39 bids farewell to space station_h7SEl0zt0bM - transcript (automated).pdf","Transcript Link")</f>
        <v>Transcript Link</v>
      </c>
      <c r="M2519" s="2" t="str">
        <f>HYPERLINK("https://files.afu.se/Downloads/Transcripts/0%20-%20Government/USA%20-%20NASA/2014 05 13 - NASA - Expedition 39 bids farewell to space station_h7SEl0zt0bM - transcript (automated).pdf","Transcript Link")</f>
        <v>Transcript Link</v>
      </c>
    </row>
    <row r="2520" ht="165" spans="1:13">
      <c r="A2520" s="1" t="s">
        <v>11556</v>
      </c>
      <c r="B2520" s="1" t="s">
        <v>13</v>
      </c>
      <c r="C2520" s="4" t="s">
        <v>11557</v>
      </c>
      <c r="D2520" s="1" t="s">
        <v>11558</v>
      </c>
      <c r="E2520" s="1" t="s">
        <v>11559</v>
      </c>
      <c r="F2520" s="4" t="s">
        <v>17</v>
      </c>
      <c r="G2520" s="1" t="s">
        <v>18</v>
      </c>
      <c r="H2520" s="1" t="s">
        <v>19</v>
      </c>
      <c r="I2520" s="1" t="s">
        <v>20</v>
      </c>
      <c r="J2520" s="1" t="s">
        <v>11560</v>
      </c>
      <c r="K2520" s="1" t="s">
        <v>22</v>
      </c>
      <c r="L2520" s="1" t="str">
        <f>HYPERLINK("https://files.afu.se/Downloads/Transcripts/0%20-%20Government/USA%20-%20NASA/2014 05 12 - NASA - NASA Administrator Celebrates Small Business Week_5vuTfRkiRJU - transcript (automated).pdf","Transcript Link")</f>
        <v>Transcript Link</v>
      </c>
      <c r="M2520" s="2" t="str">
        <f>HYPERLINK("https://files.afu.se/Downloads/Transcripts/0%20-%20Government/USA%20-%20NASA/2014 05 12 - NASA - NASA Administrator Celebrates Small Business Week_5vuTfRkiRJU - transcript (automated).pdf","Transcript Link")</f>
        <v>Transcript Link</v>
      </c>
    </row>
    <row r="2521" ht="255" spans="1:13">
      <c r="A2521" s="1" t="s">
        <v>11561</v>
      </c>
      <c r="B2521" s="1" t="s">
        <v>13</v>
      </c>
      <c r="C2521" s="4" t="s">
        <v>11562</v>
      </c>
      <c r="D2521" s="1" t="s">
        <v>11563</v>
      </c>
      <c r="E2521" s="1" t="s">
        <v>11564</v>
      </c>
      <c r="F2521" s="4" t="s">
        <v>17</v>
      </c>
      <c r="G2521" s="1" t="s">
        <v>18</v>
      </c>
      <c r="H2521" s="1" t="s">
        <v>19</v>
      </c>
      <c r="I2521" s="1" t="s">
        <v>20</v>
      </c>
      <c r="J2521" s="1" t="s">
        <v>11565</v>
      </c>
      <c r="K2521" s="1" t="s">
        <v>22</v>
      </c>
      <c r="L2521" s="1" t="str">
        <f>HYPERLINK("https://files.afu.se/Downloads/Transcripts/0%20-%20Government/USA%20-%20NASA/2014 05 09 - NASA - NASA's Fleet of Satellites Help Understand Climate Change on This Week @NASA_rBZMxtxcBWw - transcript (automated).pdf","Transcript Link")</f>
        <v>Transcript Link</v>
      </c>
      <c r="M2521" s="2" t="str">
        <f>HYPERLINK("https://files.afu.se/Downloads/Transcripts/0%20-%20Government/USA%20-%20NASA/2014 05 09 - NASA - NASA's Fleet of Satellites Help Understand Climate Change on This Week @NASA_rBZMxtxcBWw - transcript (automated).pdf","Transcript Link")</f>
        <v>Transcript Link</v>
      </c>
    </row>
    <row r="2522" ht="195" spans="1:13">
      <c r="A2522" s="1" t="s">
        <v>11566</v>
      </c>
      <c r="B2522" s="1" t="s">
        <v>13</v>
      </c>
      <c r="C2522" s="4" t="s">
        <v>11567</v>
      </c>
      <c r="D2522" s="1" t="s">
        <v>11568</v>
      </c>
      <c r="E2522" s="1" t="s">
        <v>11569</v>
      </c>
      <c r="F2522" s="4" t="s">
        <v>17</v>
      </c>
      <c r="G2522" s="1" t="s">
        <v>18</v>
      </c>
      <c r="H2522" s="1" t="s">
        <v>19</v>
      </c>
      <c r="I2522" s="1" t="s">
        <v>20</v>
      </c>
      <c r="J2522" s="1" t="s">
        <v>11570</v>
      </c>
      <c r="K2522" s="1" t="s">
        <v>22</v>
      </c>
      <c r="L2522" s="1" t="str">
        <f>HYPERLINK("https://files.afu.se/Downloads/Transcripts/0%20-%20Government/USA%20-%20NASA/2014 05 08 - NASA - Expedition 40 41 Crew Conducts News Conference and Traditional Ceremonies in Russia's Red Square_55flHFC6BKQ - transcript (automated).pdf","Transcript Link")</f>
        <v>Transcript Link</v>
      </c>
      <c r="M2522" s="2" t="str">
        <f>HYPERLINK("https://files.afu.se/Downloads/Transcripts/0%20-%20Government/USA%20-%20NASA/2014 05 08 - NASA - Expedition 40 41 Crew Conducts News Conference and Traditional Ceremonies in Russia's Red Square_55flHFC6BKQ - transcript (automated).pdf","Transcript Link")</f>
        <v>Transcript Link</v>
      </c>
    </row>
    <row r="2523" ht="165" spans="1:13">
      <c r="A2523" s="1" t="s">
        <v>11566</v>
      </c>
      <c r="B2523" s="1" t="s">
        <v>13</v>
      </c>
      <c r="C2523" s="4" t="s">
        <v>11571</v>
      </c>
      <c r="D2523" s="1" t="s">
        <v>11572</v>
      </c>
      <c r="E2523" s="1" t="s">
        <v>11573</v>
      </c>
      <c r="F2523" s="4" t="s">
        <v>17</v>
      </c>
      <c r="G2523" s="1" t="s">
        <v>18</v>
      </c>
      <c r="H2523" s="1" t="s">
        <v>19</v>
      </c>
      <c r="I2523" s="1" t="s">
        <v>20</v>
      </c>
      <c r="J2523" s="1" t="s">
        <v>11574</v>
      </c>
      <c r="K2523" s="1" t="s">
        <v>22</v>
      </c>
      <c r="L2523" s="1" t="str">
        <f>HYPERLINK("https://files.afu.se/Downloads/Transcripts/0%20-%20Government/USA%20-%20NASA/2014 05 08 - NASA - NASA Space Station Crew Discusses Life in Space with Fox Business News_BnAvALcLwMg - transcript (automated).pdf","Transcript Link")</f>
        <v>Transcript Link</v>
      </c>
      <c r="M2523" s="2" t="str">
        <f>HYPERLINK("https://files.afu.se/Downloads/Transcripts/0%20-%20Government/USA%20-%20NASA/2014 05 08 - NASA - NASA Space Station Crew Discusses Life in Space with Fox Business News_BnAvALcLwMg - transcript (automated).pdf","Transcript Link")</f>
        <v>Transcript Link</v>
      </c>
    </row>
    <row r="2524" ht="165" spans="1:13">
      <c r="A2524" s="1" t="s">
        <v>11575</v>
      </c>
      <c r="B2524" s="1" t="s">
        <v>13</v>
      </c>
      <c r="C2524" s="4" t="s">
        <v>11576</v>
      </c>
      <c r="D2524" s="1" t="s">
        <v>11577</v>
      </c>
      <c r="E2524" s="1" t="s">
        <v>11578</v>
      </c>
      <c r="F2524" s="4" t="s">
        <v>17</v>
      </c>
      <c r="G2524" s="1" t="s">
        <v>18</v>
      </c>
      <c r="H2524" s="1" t="s">
        <v>19</v>
      </c>
      <c r="I2524" s="1" t="s">
        <v>20</v>
      </c>
      <c r="J2524" s="1" t="s">
        <v>11579</v>
      </c>
      <c r="K2524" s="1" t="s">
        <v>22</v>
      </c>
      <c r="L2524" s="1" t="str">
        <f>HYPERLINK("https://files.afu.se/Downloads/Transcripts/0%20-%20Government/USA%20-%20NASA/2014 05 07 - NASA - Students in Cocoa, FL Speak with NASA Mission Control_OV3iyBwWEls - transcript (automated).pdf","Transcript Link")</f>
        <v>Transcript Link</v>
      </c>
      <c r="M2524" s="2" t="str">
        <f>HYPERLINK("https://files.afu.se/Downloads/Transcripts/0%20-%20Government/USA%20-%20NASA/2014 05 07 - NASA - Students in Cocoa, FL Speak with NASA Mission Control_OV3iyBwWEls - transcript (automated).pdf","Transcript Link")</f>
        <v>Transcript Link</v>
      </c>
    </row>
    <row r="2525" ht="165" spans="1:13">
      <c r="A2525" s="1" t="s">
        <v>11575</v>
      </c>
      <c r="B2525" s="1" t="s">
        <v>13</v>
      </c>
      <c r="C2525" s="4" t="s">
        <v>11580</v>
      </c>
      <c r="D2525" s="1" t="s">
        <v>11581</v>
      </c>
      <c r="E2525" s="1" t="s">
        <v>11582</v>
      </c>
      <c r="F2525" s="4" t="s">
        <v>17</v>
      </c>
      <c r="G2525" s="1" t="s">
        <v>18</v>
      </c>
      <c r="H2525" s="1" t="s">
        <v>19</v>
      </c>
      <c r="I2525" s="1" t="s">
        <v>20</v>
      </c>
      <c r="J2525" s="1" t="s">
        <v>11583</v>
      </c>
      <c r="K2525" s="1" t="s">
        <v>22</v>
      </c>
      <c r="L2525" s="1" t="str">
        <f>HYPERLINK("https://files.afu.se/Downloads/Transcripts/0%20-%20Government/USA%20-%20NASA/2014 05 07 - NASA - Expedition 40 41 Crew Undergoes Final Training Outside Moscow_xRvsHLkn_10 - transcript (automated).pdf","Transcript Link")</f>
        <v>Transcript Link</v>
      </c>
      <c r="M2525" s="2" t="str">
        <f>HYPERLINK("https://files.afu.se/Downloads/Transcripts/0%20-%20Government/USA%20-%20NASA/2014 05 07 - NASA - Expedition 40 41 Crew Undergoes Final Training Outside Moscow_xRvsHLkn_10 - transcript (automated).pdf","Transcript Link")</f>
        <v>Transcript Link</v>
      </c>
    </row>
    <row r="2526" ht="165" spans="1:13">
      <c r="A2526" s="1" t="s">
        <v>11584</v>
      </c>
      <c r="B2526" s="1" t="s">
        <v>13</v>
      </c>
      <c r="C2526" s="4" t="s">
        <v>11585</v>
      </c>
      <c r="D2526" s="1" t="s">
        <v>11586</v>
      </c>
      <c r="E2526" s="1" t="s">
        <v>11587</v>
      </c>
      <c r="F2526" s="4" t="s">
        <v>17</v>
      </c>
      <c r="G2526" s="1" t="s">
        <v>18</v>
      </c>
      <c r="H2526" s="1" t="s">
        <v>19</v>
      </c>
      <c r="I2526" s="1" t="s">
        <v>20</v>
      </c>
      <c r="J2526" s="1" t="s">
        <v>11588</v>
      </c>
      <c r="K2526" s="1" t="s">
        <v>22</v>
      </c>
      <c r="L2526" s="1" t="str">
        <f>HYPERLINK("https://files.afu.se/Downloads/Transcripts/0%20-%20Government/USA%20-%20NASA/2014 05 06 - NASA - NASA Space Station Crew Discusses Life in Space with Idaho Students and Educators_nael3k1LWSc - transcript (automated).pdf","Transcript Link")</f>
        <v>Transcript Link</v>
      </c>
      <c r="M2526" s="2" t="str">
        <f>HYPERLINK("https://files.afu.se/Downloads/Transcripts/0%20-%20Government/USA%20-%20NASA/2014 05 06 - NASA - NASA Space Station Crew Discusses Life in Space with Idaho Students and Educators_nael3k1LWSc - transcript (automated).pdf","Transcript Link")</f>
        <v>Transcript Link</v>
      </c>
    </row>
    <row r="2527" ht="210" spans="1:13">
      <c r="A2527" s="1" t="s">
        <v>11589</v>
      </c>
      <c r="B2527" s="1" t="s">
        <v>13</v>
      </c>
      <c r="C2527" s="4" t="s">
        <v>11590</v>
      </c>
      <c r="D2527" s="1" t="s">
        <v>11591</v>
      </c>
      <c r="E2527" s="1" t="s">
        <v>11592</v>
      </c>
      <c r="F2527" s="4" t="s">
        <v>17</v>
      </c>
      <c r="G2527" s="1" t="s">
        <v>18</v>
      </c>
      <c r="H2527" s="1" t="s">
        <v>19</v>
      </c>
      <c r="I2527" s="1" t="s">
        <v>20</v>
      </c>
      <c r="J2527" s="1" t="s">
        <v>11593</v>
      </c>
      <c r="K2527" s="1" t="s">
        <v>22</v>
      </c>
      <c r="L2527" s="1" t="str">
        <f>HYPERLINK("https://files.afu.se/Downloads/Transcripts/0%20-%20Government/USA%20-%20NASA/2014 05 05 - NASA - Pennsylvania Middle School Students visit NASA to celebrate the Hubble Telescope Research Project_yWPkRRjlsyo - transcript (automated).pdf","Transcript Link")</f>
        <v>Transcript Link</v>
      </c>
      <c r="M2527" s="2" t="str">
        <f>HYPERLINK("https://files.afu.se/Downloads/Transcripts/0%20-%20Government/USA%20-%20NASA/2014 05 05 - NASA - Pennsylvania Middle School Students visit NASA to celebrate the Hubble Telescope Research Project_yWPkRRjlsyo - transcript (automated).pdf","Transcript Link")</f>
        <v>Transcript Link</v>
      </c>
    </row>
    <row r="2528" ht="165" spans="1:13">
      <c r="A2528" s="1" t="s">
        <v>11594</v>
      </c>
      <c r="B2528" s="1" t="s">
        <v>13</v>
      </c>
      <c r="C2528" s="4" t="s">
        <v>11595</v>
      </c>
      <c r="D2528" s="1" t="s">
        <v>11596</v>
      </c>
      <c r="E2528" s="1" t="s">
        <v>11597</v>
      </c>
      <c r="F2528" s="4" t="s">
        <v>17</v>
      </c>
      <c r="G2528" s="1" t="s">
        <v>18</v>
      </c>
      <c r="H2528" s="1" t="s">
        <v>19</v>
      </c>
      <c r="I2528" s="1" t="s">
        <v>20</v>
      </c>
      <c r="J2528" s="1" t="s">
        <v>11598</v>
      </c>
      <c r="K2528" s="1" t="s">
        <v>22</v>
      </c>
      <c r="L2528" s="1" t="str">
        <f>HYPERLINK("https://files.afu.se/Downloads/Transcripts/0%20-%20Government/USA%20-%20NASA/2014 05 03 - NASA - A pair of space pioneers, welcomed to the U S  Astronaut Hall of Fame_ZoWS1Km8arg - transcript (automated).pdf","Transcript Link")</f>
        <v>Transcript Link</v>
      </c>
      <c r="M2528" s="2" t="str">
        <f>HYPERLINK("https://files.afu.se/Downloads/Transcripts/0%20-%20Government/USA%20-%20NASA/2014 05 03 - NASA - A pair of space pioneers, welcomed to the U S  Astronaut Hall of Fame_ZoWS1Km8arg - transcript (automated).pdf","Transcript Link")</f>
        <v>Transcript Link</v>
      </c>
    </row>
    <row r="2529" ht="165" spans="1:13">
      <c r="A2529" s="1" t="s">
        <v>11594</v>
      </c>
      <c r="B2529" s="1" t="s">
        <v>13</v>
      </c>
      <c r="C2529" s="4" t="s">
        <v>11599</v>
      </c>
      <c r="D2529" s="1" t="s">
        <v>11600</v>
      </c>
      <c r="E2529" s="1" t="s">
        <v>11601</v>
      </c>
      <c r="F2529" s="4" t="s">
        <v>17</v>
      </c>
      <c r="G2529" s="1" t="s">
        <v>18</v>
      </c>
      <c r="H2529" s="1" t="s">
        <v>19</v>
      </c>
      <c r="I2529" s="1" t="s">
        <v>20</v>
      </c>
      <c r="J2529" s="1" t="s">
        <v>11602</v>
      </c>
      <c r="K2529" s="1" t="s">
        <v>22</v>
      </c>
      <c r="L2529" s="1" t="str">
        <f>HYPERLINK("https://files.afu.se/Downloads/Transcripts/0%20-%20Government/USA%20-%20NASA/2014 05 03 - NASA - A Star Wars Day Message from NASA_dq9Jwk99VHs - transcript (automated).pdf","Transcript Link")</f>
        <v>Transcript Link</v>
      </c>
      <c r="M2529" s="2" t="str">
        <f>HYPERLINK("https://files.afu.se/Downloads/Transcripts/0%20-%20Government/USA%20-%20NASA/2014 05 03 - NASA - A Star Wars Day Message from NASA_dq9Jwk99VHs - transcript (automated).pdf","Transcript Link")</f>
        <v>Transcript Link</v>
      </c>
    </row>
    <row r="2530" ht="165" spans="1:13">
      <c r="A2530" s="1" t="s">
        <v>11603</v>
      </c>
      <c r="B2530" s="1" t="s">
        <v>13</v>
      </c>
      <c r="C2530" s="4" t="s">
        <v>11604</v>
      </c>
      <c r="D2530" s="1" t="s">
        <v>11605</v>
      </c>
      <c r="E2530" s="1" t="s">
        <v>11606</v>
      </c>
      <c r="F2530" s="4" t="s">
        <v>17</v>
      </c>
      <c r="G2530" s="1" t="s">
        <v>18</v>
      </c>
      <c r="H2530" s="1" t="s">
        <v>19</v>
      </c>
      <c r="I2530" s="1" t="s">
        <v>20</v>
      </c>
      <c r="J2530" s="1" t="s">
        <v>11607</v>
      </c>
      <c r="K2530" s="1" t="s">
        <v>22</v>
      </c>
      <c r="L2530" s="1" t="str">
        <f>HYPERLINK("https://files.afu.se/Downloads/Transcripts/0%20-%20Government/USA%20-%20NASA/2014 05 02 - NASA - 2014 NASA Asian American and Pacific Islander Month Profile, Vikram Shyam, GRC_NYIBya7JnpM - transcript (automated).pdf","Transcript Link")</f>
        <v>Transcript Link</v>
      </c>
      <c r="M2530" s="2" t="str">
        <f>HYPERLINK("https://files.afu.se/Downloads/Transcripts/0%20-%20Government/USA%20-%20NASA/2014 05 02 - NASA - 2014 NASA Asian American and Pacific Islander Month Profile, Vikram Shyam, GRC_NYIBya7JnpM - transcript (automated).pdf","Transcript Link")</f>
        <v>Transcript Link</v>
      </c>
    </row>
    <row r="2531" ht="165" spans="1:13">
      <c r="A2531" s="1" t="s">
        <v>11603</v>
      </c>
      <c r="B2531" s="1" t="s">
        <v>13</v>
      </c>
      <c r="C2531" s="4" t="s">
        <v>11608</v>
      </c>
      <c r="D2531" s="1" t="s">
        <v>11609</v>
      </c>
      <c r="E2531" s="1" t="s">
        <v>11610</v>
      </c>
      <c r="F2531" s="4" t="s">
        <v>17</v>
      </c>
      <c r="G2531" s="1" t="s">
        <v>18</v>
      </c>
      <c r="H2531" s="1" t="s">
        <v>19</v>
      </c>
      <c r="I2531" s="1" t="s">
        <v>20</v>
      </c>
      <c r="J2531" s="1" t="s">
        <v>11611</v>
      </c>
      <c r="K2531" s="1" t="s">
        <v>22</v>
      </c>
      <c r="L2531" s="1" t="str">
        <f>HYPERLINK("https://files.afu.se/Downloads/Transcripts/0%20-%20Government/USA%20-%20NASA/2014 05 02 - NASA - A musical moment on the space station_jvESKWJYCJg - transcript (automated).pdf","Transcript Link")</f>
        <v>Transcript Link</v>
      </c>
      <c r="M2531" s="2" t="str">
        <f>HYPERLINK("https://files.afu.se/Downloads/Transcripts/0%20-%20Government/USA%20-%20NASA/2014 05 02 - NASA - A musical moment on the space station_jvESKWJYCJg - transcript (automated).pdf","Transcript Link")</f>
        <v>Transcript Link</v>
      </c>
    </row>
    <row r="2532" ht="165" spans="1:13">
      <c r="A2532" s="1" t="s">
        <v>11603</v>
      </c>
      <c r="B2532" s="1" t="s">
        <v>13</v>
      </c>
      <c r="C2532" s="4" t="s">
        <v>11612</v>
      </c>
      <c r="D2532" s="1" t="s">
        <v>11613</v>
      </c>
      <c r="E2532" s="1" t="s">
        <v>11614</v>
      </c>
      <c r="F2532" s="4" t="s">
        <v>17</v>
      </c>
      <c r="G2532" s="1" t="s">
        <v>18</v>
      </c>
      <c r="H2532" s="1" t="s">
        <v>19</v>
      </c>
      <c r="I2532" s="1" t="s">
        <v>20</v>
      </c>
      <c r="J2532" s="1" t="s">
        <v>11615</v>
      </c>
      <c r="K2532" s="1" t="s">
        <v>22</v>
      </c>
      <c r="L2532" s="1" t="str">
        <f>HYPERLINK("https://files.afu.se/Downloads/Transcripts/0%20-%20Government/USA%20-%20NASA/2014 05 02 - NASA - The Human Path to Mars on This Week @NASA_inQswWJJ9us - transcript (automated).pdf","Transcript Link")</f>
        <v>Transcript Link</v>
      </c>
      <c r="M2532" s="2" t="str">
        <f>HYPERLINK("https://files.afu.se/Downloads/Transcripts/0%20-%20Government/USA%20-%20NASA/2014 05 02 - NASA - The Human Path to Mars on This Week @NASA_inQswWJJ9us - transcript (automated).pdf","Transcript Link")</f>
        <v>Transcript Link</v>
      </c>
    </row>
    <row r="2533" ht="195" spans="1:13">
      <c r="A2533" s="1" t="s">
        <v>11616</v>
      </c>
      <c r="B2533" s="1" t="s">
        <v>13</v>
      </c>
      <c r="C2533" s="4" t="s">
        <v>11617</v>
      </c>
      <c r="D2533" s="1" t="s">
        <v>11618</v>
      </c>
      <c r="E2533" s="1" t="s">
        <v>11619</v>
      </c>
      <c r="F2533" s="4" t="s">
        <v>17</v>
      </c>
      <c r="G2533" s="1" t="s">
        <v>18</v>
      </c>
      <c r="H2533" s="1" t="s">
        <v>19</v>
      </c>
      <c r="I2533" s="1" t="s">
        <v>20</v>
      </c>
      <c r="J2533" s="1" t="s">
        <v>11620</v>
      </c>
      <c r="K2533" s="1" t="s">
        <v>22</v>
      </c>
      <c r="L2533" s="1" t="str">
        <f>HYPERLINK("https://files.afu.se/Downloads/Transcripts/0%20-%20Government/USA%20-%20NASA/2014 04 30 - NASA - Students Create Winning Design NASA's First Flight of Orion_rMkN8j7pv8s - transcript (automated).pdf","Transcript Link")</f>
        <v>Transcript Link</v>
      </c>
      <c r="M2533" s="2" t="str">
        <f>HYPERLINK("https://files.afu.se/Downloads/Transcripts/0%20-%20Government/USA%20-%20NASA/2014 04 30 - NASA - Students Create Winning Design NASA's First Flight of Orion_rMkN8j7pv8s - transcript (automated).pdf","Transcript Link")</f>
        <v>Transcript Link</v>
      </c>
    </row>
    <row r="2534" ht="165" spans="1:13">
      <c r="A2534" s="1" t="s">
        <v>11616</v>
      </c>
      <c r="B2534" s="1" t="s">
        <v>13</v>
      </c>
      <c r="C2534" s="4" t="s">
        <v>11621</v>
      </c>
      <c r="D2534" s="1" t="s">
        <v>11622</v>
      </c>
      <c r="E2534" s="1" t="s">
        <v>11623</v>
      </c>
      <c r="F2534" s="4" t="s">
        <v>17</v>
      </c>
      <c r="G2534" s="1" t="s">
        <v>18</v>
      </c>
      <c r="H2534" s="1" t="s">
        <v>19</v>
      </c>
      <c r="I2534" s="1" t="s">
        <v>20</v>
      </c>
      <c r="J2534" s="1" t="s">
        <v>11624</v>
      </c>
      <c r="K2534" s="1" t="s">
        <v>22</v>
      </c>
      <c r="L2534" s="1" t="str">
        <f>HYPERLINK("https://files.afu.se/Downloads/Transcripts/0%20-%20Government/USA%20-%20NASA/2014 04 30 - NASA - Exploration forum showcases NASA's Human Path to Mars_14t5I5wvvQc - transcript (automated).pdf","Transcript Link")</f>
        <v>Transcript Link</v>
      </c>
      <c r="M2534" s="2" t="str">
        <f>HYPERLINK("https://files.afu.se/Downloads/Transcripts/0%20-%20Government/USA%20-%20NASA/2014 04 30 - NASA - Exploration forum showcases NASA's Human Path to Mars_14t5I5wvvQc - transcript (automated).pdf","Transcript Link")</f>
        <v>Transcript Link</v>
      </c>
    </row>
    <row r="2535" ht="165" spans="1:13">
      <c r="A2535" s="1" t="s">
        <v>11625</v>
      </c>
      <c r="B2535" s="1" t="s">
        <v>13</v>
      </c>
      <c r="C2535" s="4" t="s">
        <v>11626</v>
      </c>
      <c r="D2535" s="1" t="s">
        <v>11627</v>
      </c>
      <c r="E2535" s="1" t="s">
        <v>11628</v>
      </c>
      <c r="F2535" s="4" t="s">
        <v>17</v>
      </c>
      <c r="G2535" s="1" t="s">
        <v>18</v>
      </c>
      <c r="H2535" s="1" t="s">
        <v>19</v>
      </c>
      <c r="I2535" s="1" t="s">
        <v>20</v>
      </c>
      <c r="J2535" s="1" t="s">
        <v>11629</v>
      </c>
      <c r="K2535" s="1" t="s">
        <v>22</v>
      </c>
      <c r="L2535" s="1" t="str">
        <f>HYPERLINK("https://files.afu.se/Downloads/Transcripts/0%20-%20Government/USA%20-%20NASA/2014 04 29 - NASA - Space station astronauts connect with Indianapolis students_yHe4R-kcBMQ - transcript (automated).pdf","Transcript Link")</f>
        <v>Transcript Link</v>
      </c>
      <c r="M2535" s="2" t="str">
        <f>HYPERLINK("https://files.afu.se/Downloads/Transcripts/0%20-%20Government/USA%20-%20NASA/2014 04 29 - NASA - Space station astronauts connect with Indianapolis students_yHe4R-kcBMQ - transcript (automated).pdf","Transcript Link")</f>
        <v>Transcript Link</v>
      </c>
    </row>
    <row r="2536" ht="165" spans="1:13">
      <c r="A2536" s="1" t="s">
        <v>11625</v>
      </c>
      <c r="B2536" s="1" t="s">
        <v>13</v>
      </c>
      <c r="C2536" s="4" t="s">
        <v>11630</v>
      </c>
      <c r="D2536" s="1" t="s">
        <v>11631</v>
      </c>
      <c r="E2536" s="1" t="s">
        <v>11632</v>
      </c>
      <c r="F2536" s="4" t="s">
        <v>17</v>
      </c>
      <c r="G2536" s="1" t="s">
        <v>18</v>
      </c>
      <c r="H2536" s="1" t="s">
        <v>19</v>
      </c>
      <c r="I2536" s="1" t="s">
        <v>20</v>
      </c>
      <c r="J2536" s="1" t="s">
        <v>11633</v>
      </c>
      <c r="K2536" s="1" t="s">
        <v>22</v>
      </c>
      <c r="L2536" s="1" t="str">
        <f>HYPERLINK("https://files.afu.se/Downloads/Transcripts/0%20-%20Government/USA%20-%20NASA/2014 04 29 - NASA - NASA's Path to Mars_noEod29Tr6c - transcript (automated).pdf","Transcript Link")</f>
        <v>Transcript Link</v>
      </c>
      <c r="M2536" s="2" t="str">
        <f>HYPERLINK("https://files.afu.se/Downloads/Transcripts/0%20-%20Government/USA%20-%20NASA/2014 04 29 - NASA - NASA's Path to Mars_noEod29Tr6c - transcript (automated).pdf","Transcript Link")</f>
        <v>Transcript Link</v>
      </c>
    </row>
    <row r="2537" ht="180" spans="1:13">
      <c r="A2537" s="1" t="s">
        <v>11634</v>
      </c>
      <c r="B2537" s="1" t="s">
        <v>13</v>
      </c>
      <c r="C2537" s="4" t="s">
        <v>11635</v>
      </c>
      <c r="D2537" s="1" t="s">
        <v>11636</v>
      </c>
      <c r="E2537" s="1" t="s">
        <v>11637</v>
      </c>
      <c r="F2537" s="4" t="s">
        <v>17</v>
      </c>
      <c r="G2537" s="1" t="s">
        <v>18</v>
      </c>
      <c r="H2537" s="1" t="s">
        <v>19</v>
      </c>
      <c r="I2537" s="1" t="s">
        <v>20</v>
      </c>
      <c r="J2537" s="1" t="s">
        <v>11638</v>
      </c>
      <c r="K2537" s="1" t="s">
        <v>22</v>
      </c>
      <c r="L2537" s="1" t="str">
        <f>HYPERLINK("https://files.afu.se/Downloads/Transcripts/0%20-%20Government/USA%20-%20NASA/2014 04 28 - NASA - Spinoff 2013_xs7dPj9AIXU - transcript (automated).pdf","Transcript Link")</f>
        <v>Transcript Link</v>
      </c>
      <c r="M2537" s="2" t="str">
        <f>HYPERLINK("https://files.afu.se/Downloads/Transcripts/0%20-%20Government/USA%20-%20NASA/2014 04 28 - NASA - Spinoff 2013_xs7dPj9AIXU - transcript (automated).pdf","Transcript Link")</f>
        <v>Transcript Link</v>
      </c>
    </row>
    <row r="2538" ht="210" spans="1:13">
      <c r="A2538" s="1" t="s">
        <v>11639</v>
      </c>
      <c r="B2538" s="1" t="s">
        <v>13</v>
      </c>
      <c r="C2538" s="4" t="s">
        <v>11640</v>
      </c>
      <c r="D2538" s="1" t="s">
        <v>11641</v>
      </c>
      <c r="E2538" s="1" t="s">
        <v>11642</v>
      </c>
      <c r="F2538" s="4" t="s">
        <v>17</v>
      </c>
      <c r="G2538" s="1" t="s">
        <v>18</v>
      </c>
      <c r="H2538" s="1" t="s">
        <v>19</v>
      </c>
      <c r="I2538" s="1" t="s">
        <v>20</v>
      </c>
      <c r="J2538" s="1" t="s">
        <v>11643</v>
      </c>
      <c r="K2538" s="1" t="s">
        <v>22</v>
      </c>
      <c r="L2538" s="1" t="str">
        <f>HYPERLINK("https://files.afu.se/Downloads/Transcripts/0%20-%20Government/USA%20-%20NASA/2014 04 25 - NASA - Earth Day 2014 on This Week @NASA_sVrwp4sMK_c - transcript (automated).pdf","Transcript Link")</f>
        <v>Transcript Link</v>
      </c>
      <c r="M2538" s="2" t="str">
        <f>HYPERLINK("https://files.afu.se/Downloads/Transcripts/0%20-%20Government/USA%20-%20NASA/2014 04 25 - NASA - Earth Day 2014 on This Week @NASA_sVrwp4sMK_c - transcript (automated).pdf","Transcript Link")</f>
        <v>Transcript Link</v>
      </c>
    </row>
    <row r="2539" ht="165" spans="1:13">
      <c r="A2539" s="1" t="s">
        <v>11639</v>
      </c>
      <c r="B2539" s="1" t="s">
        <v>13</v>
      </c>
      <c r="C2539" s="4" t="s">
        <v>11644</v>
      </c>
      <c r="D2539" s="1" t="s">
        <v>11645</v>
      </c>
      <c r="E2539" s="1" t="s">
        <v>11646</v>
      </c>
      <c r="F2539" s="4" t="s">
        <v>17</v>
      </c>
      <c r="G2539" s="1" t="s">
        <v>18</v>
      </c>
      <c r="H2539" s="1" t="s">
        <v>19</v>
      </c>
      <c r="I2539" s="1" t="s">
        <v>20</v>
      </c>
      <c r="J2539" s="1" t="s">
        <v>11647</v>
      </c>
      <c r="K2539" s="1" t="s">
        <v>22</v>
      </c>
      <c r="L2539" s="1" t="str">
        <f>HYPERLINK("https://files.afu.se/Downloads/Transcripts/0%20-%20Government/USA%20-%20NASA/2014 04 25 - NASA - Space station astronauts visit with Air Force Academy students_LgXgL7re2B8 - transcript (automated).pdf","Transcript Link")</f>
        <v>Transcript Link</v>
      </c>
      <c r="M2539" s="2" t="str">
        <f>HYPERLINK("https://files.afu.se/Downloads/Transcripts/0%20-%20Government/USA%20-%20NASA/2014 04 25 - NASA - Space station astronauts visit with Air Force Academy students_LgXgL7re2B8 - transcript (automated).pdf","Transcript Link")</f>
        <v>Transcript Link</v>
      </c>
    </row>
    <row r="2540" ht="165" spans="1:13">
      <c r="A2540" s="1" t="s">
        <v>11639</v>
      </c>
      <c r="B2540" s="1" t="s">
        <v>13</v>
      </c>
      <c r="C2540" s="4" t="s">
        <v>11648</v>
      </c>
      <c r="D2540" s="1" t="s">
        <v>11649</v>
      </c>
      <c r="E2540" s="1" t="s">
        <v>11650</v>
      </c>
      <c r="F2540" s="4" t="s">
        <v>17</v>
      </c>
      <c r="G2540" s="1" t="s">
        <v>18</v>
      </c>
      <c r="H2540" s="1" t="s">
        <v>19</v>
      </c>
      <c r="I2540" s="1" t="s">
        <v>20</v>
      </c>
      <c r="J2540" s="1" t="s">
        <v>11651</v>
      </c>
      <c r="K2540" s="1" t="s">
        <v>22</v>
      </c>
      <c r="L2540" s="1" t="str">
        <f>HYPERLINK("https://files.afu.se/Downloads/Transcripts/0%20-%20Government/USA%20-%20NASA/2014 04 25 - NASA - Space station cargo craft completes test of automated rendezvous system_YppP_KdFXus - transcript (automated).pdf","Transcript Link")</f>
        <v>Transcript Link</v>
      </c>
      <c r="M2540" s="2" t="str">
        <f>HYPERLINK("https://files.afu.se/Downloads/Transcripts/0%20-%20Government/USA%20-%20NASA/2014 04 25 - NASA - Space station cargo craft completes test of automated rendezvous system_YppP_KdFXus - transcript (automated).pdf","Transcript Link")</f>
        <v>Transcript Link</v>
      </c>
    </row>
    <row r="2541" ht="165" spans="1:13">
      <c r="A2541" s="1" t="s">
        <v>11652</v>
      </c>
      <c r="B2541" s="1" t="s">
        <v>13</v>
      </c>
      <c r="C2541" s="4" t="s">
        <v>11653</v>
      </c>
      <c r="D2541" s="1" t="s">
        <v>11654</v>
      </c>
      <c r="E2541" s="1" t="s">
        <v>11655</v>
      </c>
      <c r="F2541" s="4" t="s">
        <v>17</v>
      </c>
      <c r="G2541" s="1" t="s">
        <v>18</v>
      </c>
      <c r="H2541" s="1" t="s">
        <v>19</v>
      </c>
      <c r="I2541" s="1" t="s">
        <v>20</v>
      </c>
      <c r="J2541" s="1" t="s">
        <v>11656</v>
      </c>
      <c r="K2541" s="1" t="s">
        <v>22</v>
      </c>
      <c r="L2541" s="1" t="str">
        <f>HYPERLINK("https://files.afu.se/Downloads/Transcripts/0%20-%20Government/USA%20-%20NASA/2014 04 23 - NASA - Astronauts Replace Backup Computer During Spacewalk_iMBsiRzwpIc - transcript (automated).pdf","Transcript Link")</f>
        <v>Transcript Link</v>
      </c>
      <c r="M2541" s="2" t="str">
        <f>HYPERLINK("https://files.afu.se/Downloads/Transcripts/0%20-%20Government/USA%20-%20NASA/2014 04 23 - NASA - Astronauts Replace Backup Computer During Spacewalk_iMBsiRzwpIc - transcript (automated).pdf","Transcript Link")</f>
        <v>Transcript Link</v>
      </c>
    </row>
    <row r="2542" ht="165" spans="1:13">
      <c r="A2542" s="1" t="s">
        <v>11652</v>
      </c>
      <c r="B2542" s="1" t="s">
        <v>13</v>
      </c>
      <c r="C2542" s="4" t="s">
        <v>11657</v>
      </c>
      <c r="D2542" s="1" t="s">
        <v>11658</v>
      </c>
      <c r="E2542" s="1" t="s">
        <v>11659</v>
      </c>
      <c r="F2542" s="4" t="s">
        <v>17</v>
      </c>
      <c r="G2542" s="1" t="s">
        <v>18</v>
      </c>
      <c r="H2542" s="1" t="s">
        <v>19</v>
      </c>
      <c r="I2542" s="1" t="s">
        <v>20</v>
      </c>
      <c r="J2542" s="1" t="s">
        <v>11660</v>
      </c>
      <c r="K2542" s="1" t="s">
        <v>22</v>
      </c>
      <c r="L2542" s="1" t="str">
        <f>HYPERLINK("https://files.afu.se/Downloads/Transcripts/0%20-%20Government/USA%20-%20NASA/2014 04 23 - NASA - Space station cargo craft undocks to test automated rendezvous system_Q3wW_2D9by8 - transcript (automated).pdf","Transcript Link")</f>
        <v>Transcript Link</v>
      </c>
      <c r="M2542" s="2" t="str">
        <f>HYPERLINK("https://files.afu.se/Downloads/Transcripts/0%20-%20Government/USA%20-%20NASA/2014 04 23 - NASA - Space station cargo craft undocks to test automated rendezvous system_Q3wW_2D9by8 - transcript (automated).pdf","Transcript Link")</f>
        <v>Transcript Link</v>
      </c>
    </row>
    <row r="2543" ht="165" spans="1:13">
      <c r="A2543" s="1" t="s">
        <v>11661</v>
      </c>
      <c r="B2543" s="1" t="s">
        <v>13</v>
      </c>
      <c r="C2543" s="4" t="s">
        <v>11662</v>
      </c>
      <c r="D2543" s="1" t="s">
        <v>11663</v>
      </c>
      <c r="E2543" s="1" t="s">
        <v>11664</v>
      </c>
      <c r="F2543" s="4" t="s">
        <v>17</v>
      </c>
      <c r="G2543" s="1" t="s">
        <v>18</v>
      </c>
      <c r="H2543" s="1" t="s">
        <v>19</v>
      </c>
      <c r="I2543" s="1" t="s">
        <v>20</v>
      </c>
      <c r="J2543" s="1" t="s">
        <v>11665</v>
      </c>
      <c r="K2543" s="1" t="s">
        <v>22</v>
      </c>
      <c r="L2543" s="1" t="str">
        <f>HYPERLINK("https://files.afu.se/Downloads/Transcripts/0%20-%20Government/USA%20-%20NASA/2014 04 22 - NASA - NASA Administrator Discusses Getting Humans to Mars_U-Rt0ohhXsI - transcript (automated).pdf","Transcript Link")</f>
        <v>Transcript Link</v>
      </c>
      <c r="M2543" s="2" t="str">
        <f>HYPERLINK("https://files.afu.se/Downloads/Transcripts/0%20-%20Government/USA%20-%20NASA/2014 04 22 - NASA - NASA Administrator Discusses Getting Humans to Mars_U-Rt0ohhXsI - transcript (automated).pdf","Transcript Link")</f>
        <v>Transcript Link</v>
      </c>
    </row>
    <row r="2544" ht="165" spans="1:13">
      <c r="A2544" s="1" t="s">
        <v>11661</v>
      </c>
      <c r="B2544" s="1" t="s">
        <v>13</v>
      </c>
      <c r="C2544" s="4" t="s">
        <v>11666</v>
      </c>
      <c r="D2544" s="1" t="s">
        <v>11667</v>
      </c>
      <c r="E2544" s="1" t="s">
        <v>11668</v>
      </c>
      <c r="F2544" s="4" t="s">
        <v>17</v>
      </c>
      <c r="G2544" s="1" t="s">
        <v>18</v>
      </c>
      <c r="H2544" s="1" t="s">
        <v>19</v>
      </c>
      <c r="I2544" s="1" t="s">
        <v>20</v>
      </c>
      <c r="J2544" s="1" t="s">
        <v>11669</v>
      </c>
      <c r="K2544" s="1" t="s">
        <v>22</v>
      </c>
      <c r="L2544" s="1" t="str">
        <f>HYPERLINK("https://files.afu.se/Downloads/Transcripts/0%20-%20Government/USA%20-%20NASA/2014 04 22 - NASA - Earth Day Greetings from the ISS_7zZitiBxAD8 - transcript (automated).pdf","Transcript Link")</f>
        <v>Transcript Link</v>
      </c>
      <c r="M2544" s="2" t="str">
        <f>HYPERLINK("https://files.afu.se/Downloads/Transcripts/0%20-%20Government/USA%20-%20NASA/2014 04 22 - NASA - Earth Day Greetings from the ISS_7zZitiBxAD8 - transcript (automated).pdf","Transcript Link")</f>
        <v>Transcript Link</v>
      </c>
    </row>
    <row r="2545" ht="225" spans="1:13">
      <c r="A2545" s="1" t="s">
        <v>11670</v>
      </c>
      <c r="B2545" s="1" t="s">
        <v>13</v>
      </c>
      <c r="C2545" s="4" t="s">
        <v>11671</v>
      </c>
      <c r="D2545" s="1" t="s">
        <v>11672</v>
      </c>
      <c r="E2545" s="1" t="s">
        <v>11673</v>
      </c>
      <c r="F2545" s="4" t="s">
        <v>17</v>
      </c>
      <c r="G2545" s="1" t="s">
        <v>18</v>
      </c>
      <c r="H2545" s="1" t="s">
        <v>19</v>
      </c>
      <c r="I2545" s="1" t="s">
        <v>20</v>
      </c>
      <c r="J2545" s="1" t="s">
        <v>11674</v>
      </c>
      <c r="K2545" s="1" t="s">
        <v>22</v>
      </c>
      <c r="L2545" s="1" t="str">
        <f>HYPERLINK("https://files.afu.se/Downloads/Transcripts/0%20-%20Government/USA%20-%20NASA/2014 04 20 - NASA - U.S. SpaceX Dragon Ship Arrives at the International Space Station with Important cargo_onD4n1-jIYc - transcript (automated).pdf","Transcript Link")</f>
        <v>Transcript Link</v>
      </c>
      <c r="M2545" s="2" t="str">
        <f>HYPERLINK("https://files.afu.se/Downloads/Transcripts/0%20-%20Government/USA%20-%20NASA/2014 04 20 - NASA - U.S. SpaceX Dragon Ship Arrives at the International Space Station with Important cargo_onD4n1-jIYc - transcript (automated).pdf","Transcript Link")</f>
        <v>Transcript Link</v>
      </c>
    </row>
    <row r="2546" ht="225" spans="1:13">
      <c r="A2546" s="1" t="s">
        <v>11675</v>
      </c>
      <c r="B2546" s="1" t="s">
        <v>13</v>
      </c>
      <c r="C2546" s="4" t="s">
        <v>11676</v>
      </c>
      <c r="D2546" s="1" t="s">
        <v>11677</v>
      </c>
      <c r="E2546" s="1" t="s">
        <v>11678</v>
      </c>
      <c r="F2546" s="4" t="s">
        <v>17</v>
      </c>
      <c r="G2546" s="1" t="s">
        <v>18</v>
      </c>
      <c r="H2546" s="1" t="s">
        <v>19</v>
      </c>
      <c r="I2546" s="1" t="s">
        <v>20</v>
      </c>
      <c r="J2546" s="1" t="s">
        <v>11679</v>
      </c>
      <c r="K2546" s="1" t="s">
        <v>22</v>
      </c>
      <c r="L2546" s="1" t="str">
        <f>HYPERLINK("https://files.afu.se/Downloads/Transcripts/0%20-%20Government/USA%20-%20NASA/2014 04 19 - NASA - New NASA Cargo Launches to Space Station Aboard SpaceX-3 Mission_Lnf0GArEDsI - transcript (automated).pdf","Transcript Link")</f>
        <v>Transcript Link</v>
      </c>
      <c r="M2546" s="2" t="str">
        <f>HYPERLINK("https://files.afu.se/Downloads/Transcripts/0%20-%20Government/USA%20-%20NASA/2014 04 19 - NASA - New NASA Cargo Launches to Space Station Aboard SpaceX-3 Mission_Lnf0GArEDsI - transcript (automated).pdf","Transcript Link")</f>
        <v>Transcript Link</v>
      </c>
    </row>
    <row r="2547" ht="165" spans="1:13">
      <c r="A2547" s="1" t="s">
        <v>11680</v>
      </c>
      <c r="B2547" s="1" t="s">
        <v>13</v>
      </c>
      <c r="C2547" s="4" t="s">
        <v>11681</v>
      </c>
      <c r="D2547" s="1" t="s">
        <v>11682</v>
      </c>
      <c r="E2547" s="1" t="s">
        <v>11683</v>
      </c>
      <c r="F2547" s="4" t="s">
        <v>17</v>
      </c>
      <c r="G2547" s="1" t="s">
        <v>18</v>
      </c>
      <c r="H2547" s="1" t="s">
        <v>19</v>
      </c>
      <c r="I2547" s="1" t="s">
        <v>20</v>
      </c>
      <c r="J2547" s="1" t="s">
        <v>11684</v>
      </c>
      <c r="K2547" s="1" t="s">
        <v>22</v>
      </c>
      <c r="L2547" s="1" t="str">
        <f>HYPERLINK("https://files.afu.se/Downloads/Transcripts/0%20-%20Government/USA%20-%20NASA/2014 04 18 - NASA - NASA Hosts SpaceX-3 Post Launch News Conference from Kennedy Space Center_8G2pRVQ1JhA - transcript (automated).pdf","Transcript Link")</f>
        <v>Transcript Link</v>
      </c>
      <c r="M2547" s="2" t="str">
        <f>HYPERLINK("https://files.afu.se/Downloads/Transcripts/0%20-%20Government/USA%20-%20NASA/2014 04 18 - NASA - NASA Hosts SpaceX-3 Post Launch News Conference from Kennedy Space Center_8G2pRVQ1JhA - transcript (automated).pdf","Transcript Link")</f>
        <v>Transcript Link</v>
      </c>
    </row>
    <row r="2548" ht="165" spans="1:13">
      <c r="A2548" s="1" t="s">
        <v>11680</v>
      </c>
      <c r="B2548" s="1" t="s">
        <v>13</v>
      </c>
      <c r="C2548" s="4" t="s">
        <v>11685</v>
      </c>
      <c r="D2548" s="1" t="s">
        <v>11686</v>
      </c>
      <c r="E2548" s="1" t="s">
        <v>11687</v>
      </c>
      <c r="F2548" s="4" t="s">
        <v>17</v>
      </c>
      <c r="G2548" s="1" t="s">
        <v>18</v>
      </c>
      <c r="H2548" s="1" t="s">
        <v>19</v>
      </c>
      <c r="I2548" s="1" t="s">
        <v>20</v>
      </c>
      <c r="J2548" s="1" t="s">
        <v>11688</v>
      </c>
      <c r="K2548" s="1" t="s">
        <v>22</v>
      </c>
      <c r="L2548" s="1" t="str">
        <f>HYPERLINK("https://files.afu.se/Downloads/Transcripts/0%20-%20Government/USA%20-%20NASA/2014 04 18 - NASA - The Dragon Takes Flight on This Week @NASA_NAsYbYRPan8 - transcript (automated).pdf","Transcript Link")</f>
        <v>Transcript Link</v>
      </c>
      <c r="M2548" s="2" t="str">
        <f>HYPERLINK("https://files.afu.se/Downloads/Transcripts/0%20-%20Government/USA%20-%20NASA/2014 04 18 - NASA - The Dragon Takes Flight on This Week @NASA_NAsYbYRPan8 - transcript (automated).pdf","Transcript Link")</f>
        <v>Transcript Link</v>
      </c>
    </row>
    <row r="2549" ht="165" spans="1:13">
      <c r="A2549" s="1" t="s">
        <v>11680</v>
      </c>
      <c r="B2549" s="1" t="s">
        <v>13</v>
      </c>
      <c r="C2549" s="4" t="s">
        <v>11689</v>
      </c>
      <c r="D2549" s="1" t="s">
        <v>11690</v>
      </c>
      <c r="F2549" s="4" t="s">
        <v>17</v>
      </c>
      <c r="G2549" s="1" t="s">
        <v>18</v>
      </c>
      <c r="H2549" s="1" t="s">
        <v>19</v>
      </c>
      <c r="I2549" s="1" t="s">
        <v>20</v>
      </c>
      <c r="J2549" s="1" t="s">
        <v>11691</v>
      </c>
      <c r="K2549" s="1" t="s">
        <v>22</v>
      </c>
      <c r="L2549" s="1" t="str">
        <f>HYPERLINK("https://files.afu.se/Downloads/Transcripts/0%20-%20Government/USA%20-%20NASA/2014 04 18 - NASA - Station Crew Member Discusses Life in Space With Three Alma Maters_RjSQ_Ynhgtk - transcript (automated).pdf","Transcript Link")</f>
        <v>Transcript Link</v>
      </c>
      <c r="M2549" s="2" t="str">
        <f>HYPERLINK("https://files.afu.se/Downloads/Transcripts/0%20-%20Government/USA%20-%20NASA/2014 04 18 - NASA - Station Crew Member Discusses Life in Space With Three Alma Maters_RjSQ_Ynhgtk - transcript (automated).pdf","Transcript Link")</f>
        <v>Transcript Link</v>
      </c>
    </row>
    <row r="2550" ht="195" spans="1:13">
      <c r="A2550" s="1" t="s">
        <v>11680</v>
      </c>
      <c r="B2550" s="1" t="s">
        <v>13</v>
      </c>
      <c r="C2550" s="4" t="s">
        <v>11692</v>
      </c>
      <c r="D2550" s="1" t="s">
        <v>11693</v>
      </c>
      <c r="E2550" s="1" t="s">
        <v>11694</v>
      </c>
      <c r="F2550" s="4" t="s">
        <v>17</v>
      </c>
      <c r="G2550" s="1" t="s">
        <v>18</v>
      </c>
      <c r="H2550" s="1" t="s">
        <v>19</v>
      </c>
      <c r="I2550" s="1" t="s">
        <v>20</v>
      </c>
      <c r="J2550" s="1" t="s">
        <v>11695</v>
      </c>
      <c r="K2550" s="1" t="s">
        <v>22</v>
      </c>
      <c r="L2550" s="1" t="str">
        <f>HYPERLINK("https://files.afu.se/Downloads/Transcripts/0%20-%20Government/USA%20-%20NASA/2014 04 18 - NASA - NASA Previews Spacewalk to Replace Failed Space Station Backup Computer_1Vf5P317x0c - transcript (automated).pdf","Transcript Link")</f>
        <v>Transcript Link</v>
      </c>
      <c r="M2550" s="2" t="str">
        <f>HYPERLINK("https://files.afu.se/Downloads/Transcripts/0%20-%20Government/USA%20-%20NASA/2014 04 18 - NASA - NASA Previews Spacewalk to Replace Failed Space Station Backup Computer_1Vf5P317x0c - transcript (automated).pdf","Transcript Link")</f>
        <v>Transcript Link</v>
      </c>
    </row>
    <row r="2551" ht="165" spans="1:13">
      <c r="A2551" s="1" t="s">
        <v>11696</v>
      </c>
      <c r="B2551" s="1" t="s">
        <v>13</v>
      </c>
      <c r="C2551" s="4" t="s">
        <v>11697</v>
      </c>
      <c r="D2551" s="1" t="s">
        <v>11698</v>
      </c>
      <c r="E2551" s="1" t="s">
        <v>11699</v>
      </c>
      <c r="F2551" s="4" t="s">
        <v>17</v>
      </c>
      <c r="G2551" s="1" t="s">
        <v>18</v>
      </c>
      <c r="H2551" s="1" t="s">
        <v>19</v>
      </c>
      <c r="I2551" s="1" t="s">
        <v>20</v>
      </c>
      <c r="J2551" s="1" t="s">
        <v>11700</v>
      </c>
      <c r="K2551" s="1" t="s">
        <v>22</v>
      </c>
      <c r="L2551" s="1" t="str">
        <f>HYPERLINK("https://files.afu.se/Downloads/Transcripts/0%20-%20Government/USA%20-%20NASA/2014 04 16 - NASA - Earth Day 2014 Promo_GJMt3Y2224Y - transcript (automated).pdf","Transcript Link")</f>
        <v>Transcript Link</v>
      </c>
      <c r="M2551" s="2" t="str">
        <f>HYPERLINK("https://files.afu.se/Downloads/Transcripts/0%20-%20Government/USA%20-%20NASA/2014 04 16 - NASA - Earth Day 2014 Promo_GJMt3Y2224Y - transcript (automated).pdf","Transcript Link")</f>
        <v>Transcript Link</v>
      </c>
    </row>
    <row r="2552" ht="180" spans="1:13">
      <c r="A2552" s="1" t="s">
        <v>11701</v>
      </c>
      <c r="B2552" s="1" t="s">
        <v>13</v>
      </c>
      <c r="C2552" s="4" t="s">
        <v>11702</v>
      </c>
      <c r="D2552" s="1" t="s">
        <v>11703</v>
      </c>
      <c r="E2552" s="1" t="s">
        <v>11704</v>
      </c>
      <c r="F2552" s="4" t="s">
        <v>17</v>
      </c>
      <c r="G2552" s="1" t="s">
        <v>18</v>
      </c>
      <c r="H2552" s="1" t="s">
        <v>19</v>
      </c>
      <c r="I2552" s="1" t="s">
        <v>20</v>
      </c>
      <c r="J2552" s="1" t="s">
        <v>11705</v>
      </c>
      <c r="K2552" s="1" t="s">
        <v>22</v>
      </c>
      <c r="L2552" s="1" t="str">
        <f>HYPERLINK("https://files.afu.se/Downloads/Transcripts/0%20-%20Government/USA%20-%20NASA/2014 04 13 - NASA - NASA News Conference Highlights SpaceX 3 Science and Technology Cargo_-iBJF4Ayss4 - transcript (automated).pdf","Transcript Link")</f>
        <v>Transcript Link</v>
      </c>
      <c r="M2552" s="2" t="str">
        <f>HYPERLINK("https://files.afu.se/Downloads/Transcripts/0%20-%20Government/USA%20-%20NASA/2014 04 13 - NASA - NASA News Conference Highlights SpaceX 3 Science and Technology Cargo_-iBJF4Ayss4 - transcript (automated).pdf","Transcript Link")</f>
        <v>Transcript Link</v>
      </c>
    </row>
    <row r="2553" ht="165" spans="1:13">
      <c r="A2553" s="1" t="s">
        <v>11701</v>
      </c>
      <c r="B2553" s="1" t="s">
        <v>13</v>
      </c>
      <c r="C2553" s="4" t="s">
        <v>11706</v>
      </c>
      <c r="D2553" s="1" t="s">
        <v>11707</v>
      </c>
      <c r="E2553" s="1" t="s">
        <v>11708</v>
      </c>
      <c r="F2553" s="4" t="s">
        <v>17</v>
      </c>
      <c r="G2553" s="1" t="s">
        <v>18</v>
      </c>
      <c r="H2553" s="1" t="s">
        <v>19</v>
      </c>
      <c r="I2553" s="1" t="s">
        <v>20</v>
      </c>
      <c r="J2553" s="1" t="s">
        <v>11709</v>
      </c>
      <c r="K2553" s="1" t="s">
        <v>22</v>
      </c>
      <c r="L2553" s="1" t="str">
        <f>HYPERLINK("https://files.afu.se/Downloads/Transcripts/0%20-%20Government/USA%20-%20NASA/2014 04 13 - NASA - NASA Hosts Status Briefing Ahead of SpaceX 3 Mission_Enm-14rQTwY - transcript (automated).pdf","Transcript Link")</f>
        <v>Transcript Link</v>
      </c>
      <c r="M2553" s="2" t="str">
        <f>HYPERLINK("https://files.afu.se/Downloads/Transcripts/0%20-%20Government/USA%20-%20NASA/2014 04 13 - NASA - NASA Hosts Status Briefing Ahead of SpaceX 3 Mission_Enm-14rQTwY - transcript (automated).pdf","Transcript Link")</f>
        <v>Transcript Link</v>
      </c>
    </row>
    <row r="2554" ht="195" spans="1:13">
      <c r="A2554" s="1" t="s">
        <v>11710</v>
      </c>
      <c r="B2554" s="1" t="s">
        <v>13</v>
      </c>
      <c r="C2554" s="4" t="s">
        <v>11711</v>
      </c>
      <c r="D2554" s="1" t="s">
        <v>11712</v>
      </c>
      <c r="E2554" s="1" t="s">
        <v>11713</v>
      </c>
      <c r="F2554" s="4" t="s">
        <v>17</v>
      </c>
      <c r="G2554" s="1" t="s">
        <v>18</v>
      </c>
      <c r="H2554" s="1" t="s">
        <v>19</v>
      </c>
      <c r="I2554" s="1" t="s">
        <v>20</v>
      </c>
      <c r="J2554" s="1" t="s">
        <v>11714</v>
      </c>
      <c r="K2554" s="1" t="s">
        <v>22</v>
      </c>
      <c r="L2554" s="1" t="str">
        <f>HYPERLINK("https://files.afu.se/Downloads/Transcripts/0%20-%20Government/USA%20-%20NASA/2014 04 11 - NASA - A 'Go' To Build OSIRIS-REx on This Week @NASA_1nXS4TgYHxU - transcript (automated).pdf","Transcript Link")</f>
        <v>Transcript Link</v>
      </c>
      <c r="M2554" s="2" t="str">
        <f>HYPERLINK("https://files.afu.se/Downloads/Transcripts/0%20-%20Government/USA%20-%20NASA/2014 04 11 - NASA - A 'Go' To Build OSIRIS-REx on This Week @NASA_1nXS4TgYHxU - transcript (automated).pdf","Transcript Link")</f>
        <v>Transcript Link</v>
      </c>
    </row>
    <row r="2555" ht="195" spans="1:13">
      <c r="A2555" s="1" t="s">
        <v>11715</v>
      </c>
      <c r="B2555" s="1" t="s">
        <v>13</v>
      </c>
      <c r="C2555" s="4" t="s">
        <v>11716</v>
      </c>
      <c r="D2555" s="1" t="s">
        <v>11717</v>
      </c>
      <c r="E2555" s="1" t="s">
        <v>11718</v>
      </c>
      <c r="F2555" s="4" t="s">
        <v>17</v>
      </c>
      <c r="G2555" s="1" t="s">
        <v>18</v>
      </c>
      <c r="H2555" s="1" t="s">
        <v>19</v>
      </c>
      <c r="I2555" s="1" t="s">
        <v>20</v>
      </c>
      <c r="J2555" s="1" t="s">
        <v>11719</v>
      </c>
      <c r="K2555" s="1" t="s">
        <v>22</v>
      </c>
      <c r="L2555" s="1" t="str">
        <f>HYPERLINK("https://files.afu.se/Downloads/Transcripts/0%20-%20Government/USA%20-%20NASA/2014 04 10 - NASA - ISS Engineer Talks Space With Students_Kar-f74bGko - transcript (automated).pdf","Transcript Link")</f>
        <v>Transcript Link</v>
      </c>
      <c r="M2555" s="2" t="str">
        <f>HYPERLINK("https://files.afu.se/Downloads/Transcripts/0%20-%20Government/USA%20-%20NASA/2014 04 10 - NASA - ISS Engineer Talks Space With Students_Kar-f74bGko - transcript (automated).pdf","Transcript Link")</f>
        <v>Transcript Link</v>
      </c>
    </row>
    <row r="2556" ht="165" spans="1:13">
      <c r="A2556" s="1" t="s">
        <v>11715</v>
      </c>
      <c r="B2556" s="1" t="s">
        <v>13</v>
      </c>
      <c r="C2556" s="4" t="s">
        <v>11720</v>
      </c>
      <c r="D2556" s="1" t="s">
        <v>11721</v>
      </c>
      <c r="E2556" s="1" t="s">
        <v>11722</v>
      </c>
      <c r="F2556" s="4" t="s">
        <v>17</v>
      </c>
      <c r="G2556" s="1" t="s">
        <v>18</v>
      </c>
      <c r="H2556" s="1" t="s">
        <v>19</v>
      </c>
      <c r="I2556" s="1" t="s">
        <v>20</v>
      </c>
      <c r="J2556" s="1" t="s">
        <v>11723</v>
      </c>
      <c r="K2556" s="1" t="s">
        <v>22</v>
      </c>
      <c r="L2556" s="1" t="str">
        <f>HYPERLINK("https://files.afu.se/Downloads/Transcripts/0%20-%20Government/USA%20-%20NASA/2014 04 10 - NASA - Space Station Crew Discusses Life in Space with the Japanese Prime Minister_uCZMkoK_jCQ - transcript (automated).pdf","Transcript Link")</f>
        <v>Transcript Link</v>
      </c>
      <c r="M2556" s="2" t="str">
        <f>HYPERLINK("https://files.afu.se/Downloads/Transcripts/0%20-%20Government/USA%20-%20NASA/2014 04 10 - NASA - Space Station Crew Discusses Life in Space with the Japanese Prime Minister_uCZMkoK_jCQ - transcript (automated).pdf","Transcript Link")</f>
        <v>Transcript Link</v>
      </c>
    </row>
    <row r="2557" ht="165" spans="1:13">
      <c r="A2557" s="1" t="s">
        <v>11715</v>
      </c>
      <c r="B2557" s="1" t="s">
        <v>13</v>
      </c>
      <c r="C2557" s="4" t="s">
        <v>11724</v>
      </c>
      <c r="D2557" s="1" t="s">
        <v>11725</v>
      </c>
      <c r="E2557" s="1" t="s">
        <v>11726</v>
      </c>
      <c r="F2557" s="4" t="s">
        <v>17</v>
      </c>
      <c r="G2557" s="1" t="s">
        <v>18</v>
      </c>
      <c r="H2557" s="1" t="s">
        <v>19</v>
      </c>
      <c r="I2557" s="1" t="s">
        <v>20</v>
      </c>
      <c r="J2557" s="1" t="s">
        <v>11727</v>
      </c>
      <c r="K2557" s="1" t="s">
        <v>22</v>
      </c>
      <c r="L2557" s="1" t="str">
        <f>HYPERLINK("https://files.afu.se/Downloads/Transcripts/0%20-%20Government/USA%20-%20NASA/2014 04 10 - NASA - NASA and the International Space Station Help Show It's a Small World After all_uV6cgw9ZT7A - transcript (automated).pdf","Transcript Link")</f>
        <v>Transcript Link</v>
      </c>
      <c r="M2557" s="2" t="str">
        <f>HYPERLINK("https://files.afu.se/Downloads/Transcripts/0%20-%20Government/USA%20-%20NASA/2014 04 10 - NASA - NASA and the International Space Station Help Show It's a Small World After all_uV6cgw9ZT7A - transcript (automated).pdf","Transcript Link")</f>
        <v>Transcript Link</v>
      </c>
    </row>
    <row r="2558" ht="165" spans="1:13">
      <c r="A2558" s="1" t="s">
        <v>11728</v>
      </c>
      <c r="B2558" s="1" t="s">
        <v>13</v>
      </c>
      <c r="C2558" s="4" t="s">
        <v>11729</v>
      </c>
      <c r="D2558" s="1" t="s">
        <v>11730</v>
      </c>
      <c r="E2558" s="1" t="s">
        <v>11731</v>
      </c>
      <c r="F2558" s="4" t="s">
        <v>17</v>
      </c>
      <c r="G2558" s="1" t="s">
        <v>18</v>
      </c>
      <c r="H2558" s="1" t="s">
        <v>19</v>
      </c>
      <c r="I2558" s="1" t="s">
        <v>20</v>
      </c>
      <c r="J2558" s="1" t="s">
        <v>11732</v>
      </c>
      <c r="K2558" s="1" t="s">
        <v>22</v>
      </c>
      <c r="L2558" s="1" t="str">
        <f>HYPERLINK("https://files.afu.se/Downloads/Transcripts/0%20-%20Government/USA%20-%20NASA/2014 04 09 - NASA - New Space Station Supply Ship Arrives At The Orbital Outpost_nY4cXYabvRA - transcript (automated).pdf","Transcript Link")</f>
        <v>Transcript Link</v>
      </c>
      <c r="M2558" s="2" t="str">
        <f>HYPERLINK("https://files.afu.se/Downloads/Transcripts/0%20-%20Government/USA%20-%20NASA/2014 04 09 - NASA - New Space Station Supply Ship Arrives At The Orbital Outpost_nY4cXYabvRA - transcript (automated).pdf","Transcript Link")</f>
        <v>Transcript Link</v>
      </c>
    </row>
    <row r="2559" ht="165" spans="1:13">
      <c r="A2559" s="1" t="s">
        <v>11728</v>
      </c>
      <c r="B2559" s="1" t="s">
        <v>13</v>
      </c>
      <c r="C2559" s="4" t="s">
        <v>11733</v>
      </c>
      <c r="D2559" s="1" t="s">
        <v>11734</v>
      </c>
      <c r="E2559" s="1" t="s">
        <v>11735</v>
      </c>
      <c r="F2559" s="4" t="s">
        <v>17</v>
      </c>
      <c r="G2559" s="1" t="s">
        <v>18</v>
      </c>
      <c r="H2559" s="1" t="s">
        <v>19</v>
      </c>
      <c r="I2559" s="1" t="s">
        <v>20</v>
      </c>
      <c r="J2559" s="1" t="s">
        <v>11736</v>
      </c>
      <c r="K2559" s="1" t="s">
        <v>22</v>
      </c>
      <c r="L2559" s="1" t="str">
        <f>HYPERLINK("https://files.afu.se/Downloads/Transcripts/0%20-%20Government/USA%20-%20NASA/2014 04 09 - NASA - New Space Station Supply Ship Launches from Kazakhstan_ndy5cS-aoHU - transcript (automated).pdf","Transcript Link")</f>
        <v>Transcript Link</v>
      </c>
      <c r="M2559" s="2" t="str">
        <f>HYPERLINK("https://files.afu.se/Downloads/Transcripts/0%20-%20Government/USA%20-%20NASA/2014 04 09 - NASA - New Space Station Supply Ship Launches from Kazakhstan_ndy5cS-aoHU - transcript (automated).pdf","Transcript Link")</f>
        <v>Transcript Link</v>
      </c>
    </row>
    <row r="2560" ht="165" spans="1:13">
      <c r="A2560" s="1" t="s">
        <v>11737</v>
      </c>
      <c r="B2560" s="1" t="s">
        <v>13</v>
      </c>
      <c r="C2560" s="4" t="s">
        <v>11738</v>
      </c>
      <c r="D2560" s="1" t="s">
        <v>11739</v>
      </c>
      <c r="E2560" s="1" t="s">
        <v>11740</v>
      </c>
      <c r="F2560" s="4" t="s">
        <v>17</v>
      </c>
      <c r="G2560" s="1" t="s">
        <v>18</v>
      </c>
      <c r="H2560" s="1" t="s">
        <v>19</v>
      </c>
      <c r="I2560" s="1" t="s">
        <v>20</v>
      </c>
      <c r="J2560" s="1" t="s">
        <v>11741</v>
      </c>
      <c r="K2560" s="1" t="s">
        <v>22</v>
      </c>
      <c r="L2560" s="1" t="str">
        <f>HYPERLINK("https://files.afu.se/Downloads/Transcripts/0%20-%20Government/USA%20-%20NASA/2014 04 08 - NASA - Space Station Crew Discusses Life in Space with Students at Sandy Hook Elementary School_gGojMYgLukQ - transcript (automated).pdf","Transcript Link")</f>
        <v>Transcript Link</v>
      </c>
      <c r="M2560" s="2" t="str">
        <f>HYPERLINK("https://files.afu.se/Downloads/Transcripts/0%20-%20Government/USA%20-%20NASA/2014 04 08 - NASA - Space Station Crew Discusses Life in Space with Students at Sandy Hook Elementary School_gGojMYgLukQ - transcript (automated).pdf","Transcript Link")</f>
        <v>Transcript Link</v>
      </c>
    </row>
    <row r="2561" ht="165" spans="1:13">
      <c r="A2561" s="1" t="s">
        <v>11742</v>
      </c>
      <c r="B2561" s="1" t="s">
        <v>13</v>
      </c>
      <c r="C2561" s="4" t="s">
        <v>11743</v>
      </c>
      <c r="D2561" s="1" t="s">
        <v>11744</v>
      </c>
      <c r="E2561" s="1" t="s">
        <v>11745</v>
      </c>
      <c r="F2561" s="4" t="s">
        <v>17</v>
      </c>
      <c r="G2561" s="1" t="s">
        <v>18</v>
      </c>
      <c r="H2561" s="1" t="s">
        <v>19</v>
      </c>
      <c r="I2561" s="1" t="s">
        <v>20</v>
      </c>
      <c r="J2561" s="1" t="s">
        <v>11746</v>
      </c>
      <c r="K2561" s="1" t="s">
        <v>22</v>
      </c>
      <c r="L2561" s="1" t="str">
        <f>HYPERLINK("https://files.afu.se/Downloads/Transcripts/0%20-%20Government/USA%20-%20NASA/2014 04 07 - NASA - International Space Station Cargo Ship Departs After a Successful Mission_1hpIinRaUNc - transcript (automated).pdf","Transcript Link")</f>
        <v>Transcript Link</v>
      </c>
      <c r="M2561" s="2" t="str">
        <f>HYPERLINK("https://files.afu.se/Downloads/Transcripts/0%20-%20Government/USA%20-%20NASA/2014 04 07 - NASA - International Space Station Cargo Ship Departs After a Successful Mission_1hpIinRaUNc - transcript (automated).pdf","Transcript Link")</f>
        <v>Transcript Link</v>
      </c>
    </row>
    <row r="2562" ht="180" spans="1:13">
      <c r="A2562" s="1" t="s">
        <v>11747</v>
      </c>
      <c r="B2562" s="1" t="s">
        <v>13</v>
      </c>
      <c r="C2562" s="4" t="s">
        <v>11748</v>
      </c>
      <c r="D2562" s="1" t="s">
        <v>11749</v>
      </c>
      <c r="E2562" s="1" t="s">
        <v>11750</v>
      </c>
      <c r="F2562" s="4" t="s">
        <v>17</v>
      </c>
      <c r="G2562" s="1" t="s">
        <v>18</v>
      </c>
      <c r="H2562" s="1" t="s">
        <v>19</v>
      </c>
      <c r="I2562" s="1" t="s">
        <v>20</v>
      </c>
      <c r="J2562" s="1" t="s">
        <v>11751</v>
      </c>
      <c r="K2562" s="1" t="s">
        <v>22</v>
      </c>
      <c r="L2562" s="1" t="str">
        <f>HYPERLINK("https://files.afu.se/Downloads/Transcripts/0%20-%20Government/USA%20-%20NASA/2014 04 04 - NASA - Underground water on Saturn moon on This Week @NASA_g5e0T3iM21U - transcript (automated).pdf","Transcript Link")</f>
        <v>Transcript Link</v>
      </c>
      <c r="M2562" s="2" t="str">
        <f>HYPERLINK("https://files.afu.se/Downloads/Transcripts/0%20-%20Government/USA%20-%20NASA/2014 04 04 - NASA - Underground water on Saturn moon on This Week @NASA_g5e0T3iM21U - transcript (automated).pdf","Transcript Link")</f>
        <v>Transcript Link</v>
      </c>
    </row>
    <row r="2563" ht="240" spans="1:13">
      <c r="A2563" s="1" t="s">
        <v>11752</v>
      </c>
      <c r="B2563" s="1" t="s">
        <v>13</v>
      </c>
      <c r="C2563" s="4" t="s">
        <v>11753</v>
      </c>
      <c r="D2563" s="1" t="s">
        <v>11754</v>
      </c>
      <c r="E2563" s="1" t="s">
        <v>11755</v>
      </c>
      <c r="F2563" s="4" t="s">
        <v>17</v>
      </c>
      <c r="G2563" s="1" t="s">
        <v>18</v>
      </c>
      <c r="H2563" s="1" t="s">
        <v>19</v>
      </c>
      <c r="I2563" s="1" t="s">
        <v>20</v>
      </c>
      <c r="J2563" s="1" t="s">
        <v>11756</v>
      </c>
      <c r="K2563" s="1" t="s">
        <v>22</v>
      </c>
      <c r="L2563" s="1" t="str">
        <f>HYPERLINK("https://files.afu.se/Downloads/Transcripts/0%20-%20Government/USA%20-%20NASA/2014 04 03 - NASA - International students use eyes in space to focus on climate change_kKTfE03Z49Q - transcript (automated).pdf","Transcript Link")</f>
        <v>Transcript Link</v>
      </c>
      <c r="M2563" s="2" t="str">
        <f>HYPERLINK("https://files.afu.se/Downloads/Transcripts/0%20-%20Government/USA%20-%20NASA/2014 04 03 - NASA - International students use eyes in space to focus on climate change_kKTfE03Z49Q - transcript (automated).pdf","Transcript Link")</f>
        <v>Transcript Link</v>
      </c>
    </row>
    <row r="2564" ht="180" spans="1:13">
      <c r="A2564" s="1" t="s">
        <v>11757</v>
      </c>
      <c r="B2564" s="1" t="s">
        <v>13</v>
      </c>
      <c r="C2564" s="4" t="s">
        <v>11758</v>
      </c>
      <c r="D2564" s="1" t="s">
        <v>11759</v>
      </c>
      <c r="E2564" s="1" t="s">
        <v>11760</v>
      </c>
      <c r="F2564" s="4" t="s">
        <v>17</v>
      </c>
      <c r="G2564" s="1" t="s">
        <v>18</v>
      </c>
      <c r="H2564" s="1" t="s">
        <v>19</v>
      </c>
      <c r="I2564" s="1" t="s">
        <v>20</v>
      </c>
      <c r="J2564" s="1" t="s">
        <v>11761</v>
      </c>
      <c r="K2564" s="1" t="s">
        <v>22</v>
      </c>
      <c r="L2564" s="1" t="str">
        <f>HYPERLINK("https://files.afu.se/Downloads/Transcripts/0%20-%20Government/USA%20-%20NASA/2014 04 01 - NASA - A Social celebration of the Deep Space Network_8Vf8PVtbCpg - transcript (automated).pdf","Transcript Link")</f>
        <v>Transcript Link</v>
      </c>
      <c r="M2564" s="2" t="str">
        <f>HYPERLINK("https://files.afu.se/Downloads/Transcripts/0%20-%20Government/USA%20-%20NASA/2014 04 01 - NASA - A Social celebration of the Deep Space Network_8Vf8PVtbCpg - transcript (automated).pdf","Transcript Link")</f>
        <v>Transcript Link</v>
      </c>
    </row>
    <row r="2565" ht="195" spans="1:13">
      <c r="A2565" s="1" t="s">
        <v>11762</v>
      </c>
      <c r="B2565" s="1" t="s">
        <v>13</v>
      </c>
      <c r="C2565" s="4" t="s">
        <v>11763</v>
      </c>
      <c r="D2565" s="1" t="s">
        <v>11764</v>
      </c>
      <c r="E2565" s="1" t="s">
        <v>11765</v>
      </c>
      <c r="F2565" s="4" t="s">
        <v>17</v>
      </c>
      <c r="G2565" s="1" t="s">
        <v>18</v>
      </c>
      <c r="H2565" s="1" t="s">
        <v>19</v>
      </c>
      <c r="I2565" s="1" t="s">
        <v>20</v>
      </c>
      <c r="J2565" s="1" t="s">
        <v>11766</v>
      </c>
      <c r="K2565" s="1" t="s">
        <v>22</v>
      </c>
      <c r="L2565" s="1" t="str">
        <f>HYPERLINK("https://files.afu.se/Downloads/Transcripts/0%20-%20Government/USA%20-%20NASA/2014 03 28 - NASA - Bolden Testifies About the Budget on This Week @NASA_-g7dw2xUG0k - transcript (automated).pdf","Transcript Link")</f>
        <v>Transcript Link</v>
      </c>
      <c r="M2565" s="2" t="str">
        <f>HYPERLINK("https://files.afu.se/Downloads/Transcripts/0%20-%20Government/USA%20-%20NASA/2014 03 28 - NASA - Bolden Testifies About the Budget on This Week @NASA_-g7dw2xUG0k - transcript (automated).pdf","Transcript Link")</f>
        <v>Transcript Link</v>
      </c>
    </row>
    <row r="2566" ht="165" spans="1:13">
      <c r="A2566" s="1" t="s">
        <v>11762</v>
      </c>
      <c r="B2566" s="1" t="s">
        <v>13</v>
      </c>
      <c r="C2566" s="4" t="s">
        <v>11767</v>
      </c>
      <c r="D2566" s="1" t="s">
        <v>11768</v>
      </c>
      <c r="E2566" s="1" t="s">
        <v>11769</v>
      </c>
      <c r="F2566" s="4" t="s">
        <v>17</v>
      </c>
      <c r="G2566" s="1" t="s">
        <v>18</v>
      </c>
      <c r="H2566" s="1" t="s">
        <v>19</v>
      </c>
      <c r="I2566" s="1" t="s">
        <v>20</v>
      </c>
      <c r="J2566" s="1" t="s">
        <v>11770</v>
      </c>
      <c r="K2566" s="1" t="s">
        <v>22</v>
      </c>
      <c r="L2566" s="1" t="str">
        <f>HYPERLINK("https://files.afu.se/Downloads/Transcripts/0%20-%20Government/USA%20-%20NASA/2014 03 28 - NASA - Expedition 39 40 Crew Opens Hatch to the International Space Station_rZvpZBC3n_8 - transcript (automated).pdf","Transcript Link")</f>
        <v>Transcript Link</v>
      </c>
      <c r="M2566" s="2" t="str">
        <f>HYPERLINK("https://files.afu.se/Downloads/Transcripts/0%20-%20Government/USA%20-%20NASA/2014 03 28 - NASA - Expedition 39 40 Crew Opens Hatch to the International Space Station_rZvpZBC3n_8 - transcript (automated).pdf","Transcript Link")</f>
        <v>Transcript Link</v>
      </c>
    </row>
    <row r="2567" ht="165" spans="1:13">
      <c r="A2567" s="1" t="s">
        <v>11762</v>
      </c>
      <c r="B2567" s="1" t="s">
        <v>13</v>
      </c>
      <c r="C2567" s="4" t="s">
        <v>11771</v>
      </c>
      <c r="D2567" s="1" t="s">
        <v>11772</v>
      </c>
      <c r="E2567" s="1" t="s">
        <v>11773</v>
      </c>
      <c r="F2567" s="4" t="s">
        <v>17</v>
      </c>
      <c r="G2567" s="1" t="s">
        <v>18</v>
      </c>
      <c r="H2567" s="1" t="s">
        <v>19</v>
      </c>
      <c r="I2567" s="1" t="s">
        <v>20</v>
      </c>
      <c r="J2567" s="1" t="s">
        <v>11774</v>
      </c>
      <c r="K2567" s="1" t="s">
        <v>22</v>
      </c>
      <c r="L2567" s="1" t="str">
        <f>HYPERLINK("https://files.afu.se/Downloads/Transcripts/0%20-%20Government/USA%20-%20NASA/2014 03 28 - NASA - Expedition 39 40 Crew Docks to the Space Station_BMNLsQCy-Nc - transcript (automated).pdf","Transcript Link")</f>
        <v>Transcript Link</v>
      </c>
      <c r="M2567" s="2" t="str">
        <f>HYPERLINK("https://files.afu.se/Downloads/Transcripts/0%20-%20Government/USA%20-%20NASA/2014 03 28 - NASA - Expedition 39 40 Crew Docks to the Space Station_BMNLsQCy-Nc - transcript (automated).pdf","Transcript Link")</f>
        <v>Transcript Link</v>
      </c>
    </row>
    <row r="2568" ht="165" spans="1:13">
      <c r="A2568" s="1" t="s">
        <v>11775</v>
      </c>
      <c r="B2568" s="1" t="s">
        <v>13</v>
      </c>
      <c r="C2568" s="4" t="s">
        <v>11776</v>
      </c>
      <c r="D2568" s="1" t="s">
        <v>11777</v>
      </c>
      <c r="E2568" s="1" t="s">
        <v>11778</v>
      </c>
      <c r="F2568" s="4" t="s">
        <v>17</v>
      </c>
      <c r="G2568" s="1" t="s">
        <v>18</v>
      </c>
      <c r="H2568" s="1" t="s">
        <v>19</v>
      </c>
      <c r="I2568" s="1" t="s">
        <v>20</v>
      </c>
      <c r="J2568" s="1" t="s">
        <v>11779</v>
      </c>
      <c r="K2568" s="1" t="s">
        <v>22</v>
      </c>
      <c r="L2568" s="1" t="str">
        <f>HYPERLINK("https://files.afu.se/Downloads/Transcripts/0%20-%20Government/USA%20-%20NASA/2014 03 27 - NASA - 2014 NASA African-American History Month Profile  Darryl Smith, NSSC_dOGL9H1ELN4 - transcript (automated).pdf","Transcript Link")</f>
        <v>Transcript Link</v>
      </c>
      <c r="M2568" s="2" t="str">
        <f>HYPERLINK("https://files.afu.se/Downloads/Transcripts/0%20-%20Government/USA%20-%20NASA/2014 03 27 - NASA - 2014 NASA African-American History Month Profile  Darryl Smith, NSSC_dOGL9H1ELN4 - transcript (automated).pdf","Transcript Link")</f>
        <v>Transcript Link</v>
      </c>
    </row>
    <row r="2569" ht="165" spans="1:13">
      <c r="A2569" s="1" t="s">
        <v>11780</v>
      </c>
      <c r="B2569" s="1" t="s">
        <v>13</v>
      </c>
      <c r="C2569" s="4" t="s">
        <v>11781</v>
      </c>
      <c r="D2569" s="1" t="s">
        <v>11782</v>
      </c>
      <c r="E2569" s="1" t="s">
        <v>11783</v>
      </c>
      <c r="F2569" s="4" t="s">
        <v>17</v>
      </c>
      <c r="G2569" s="1" t="s">
        <v>18</v>
      </c>
      <c r="H2569" s="1" t="s">
        <v>19</v>
      </c>
      <c r="I2569" s="1" t="s">
        <v>20</v>
      </c>
      <c r="J2569" s="1" t="s">
        <v>11784</v>
      </c>
      <c r="K2569" s="1" t="s">
        <v>22</v>
      </c>
      <c r="L2569" s="1" t="str">
        <f>HYPERLINK("https://files.afu.se/Downloads/Transcripts/0%20-%20Government/USA%20-%20NASA/2014 03 26 - NASA - NASA Asteroid Initiative Opportunities Forum_EsWepKXJsNc - transcript (automated).pdf","Transcript Link")</f>
        <v>Transcript Link</v>
      </c>
      <c r="M2569" s="2" t="str">
        <f>HYPERLINK("https://files.afu.se/Downloads/Transcripts/0%20-%20Government/USA%20-%20NASA/2014 03 26 - NASA - NASA Asteroid Initiative Opportunities Forum_EsWepKXJsNc - transcript (automated).pdf","Transcript Link")</f>
        <v>Transcript Link</v>
      </c>
    </row>
    <row r="2570" ht="165" spans="1:13">
      <c r="A2570" s="1" t="s">
        <v>11780</v>
      </c>
      <c r="B2570" s="1" t="s">
        <v>13</v>
      </c>
      <c r="C2570" s="4" t="s">
        <v>11785</v>
      </c>
      <c r="D2570" s="1" t="s">
        <v>11786</v>
      </c>
      <c r="E2570" s="1" t="s">
        <v>11787</v>
      </c>
      <c r="F2570" s="4" t="s">
        <v>17</v>
      </c>
      <c r="G2570" s="1" t="s">
        <v>18</v>
      </c>
      <c r="H2570" s="1" t="s">
        <v>19</v>
      </c>
      <c r="I2570" s="1" t="s">
        <v>20</v>
      </c>
      <c r="J2570" s="1" t="s">
        <v>11788</v>
      </c>
      <c r="K2570" s="1" t="s">
        <v>22</v>
      </c>
      <c r="L2570" s="1" t="str">
        <f>HYPERLINK("https://files.afu.se/Downloads/Transcripts/0%20-%20Government/USA%20-%20NASA/2014 03 26 - NASA - NASA Announces Exploration Design Challenge_6Nsi3H3bHK0 - transcript (automated).pdf","Transcript Link")</f>
        <v>Transcript Link</v>
      </c>
      <c r="M2570" s="2" t="str">
        <f>HYPERLINK("https://files.afu.se/Downloads/Transcripts/0%20-%20Government/USA%20-%20NASA/2014 03 26 - NASA - NASA Announces Exploration Design Challenge_6Nsi3H3bHK0 - transcript (automated).pdf","Transcript Link")</f>
        <v>Transcript Link</v>
      </c>
    </row>
    <row r="2571" ht="165" spans="1:13">
      <c r="A2571" s="1" t="s">
        <v>11789</v>
      </c>
      <c r="B2571" s="1" t="s">
        <v>13</v>
      </c>
      <c r="C2571" s="4" t="s">
        <v>11790</v>
      </c>
      <c r="D2571" s="1" t="s">
        <v>11791</v>
      </c>
      <c r="E2571" s="1" t="s">
        <v>11792</v>
      </c>
      <c r="F2571" s="4" t="s">
        <v>17</v>
      </c>
      <c r="G2571" s="1" t="s">
        <v>18</v>
      </c>
      <c r="H2571" s="1" t="s">
        <v>19</v>
      </c>
      <c r="I2571" s="1" t="s">
        <v>20</v>
      </c>
      <c r="J2571" s="1" t="s">
        <v>11793</v>
      </c>
      <c r="K2571" s="1" t="s">
        <v>22</v>
      </c>
      <c r="L2571" s="1" t="str">
        <f>HYPERLINK("https://files.afu.se/Downloads/Transcripts/0%20-%20Government/USA%20-%20NASA/2014 03 25 - NASA - Expedition 39 40 Launches to the International Space Station_j2901CMGOhg - transcript (automated).pdf","Transcript Link")</f>
        <v>Transcript Link</v>
      </c>
      <c r="M2571" s="2" t="str">
        <f>HYPERLINK("https://files.afu.se/Downloads/Transcripts/0%20-%20Government/USA%20-%20NASA/2014 03 25 - NASA - Expedition 39 40 Launches to the International Space Station_j2901CMGOhg - transcript (automated).pdf","Transcript Link")</f>
        <v>Transcript Link</v>
      </c>
    </row>
    <row r="2572" ht="165" spans="1:13">
      <c r="A2572" s="1" t="s">
        <v>11789</v>
      </c>
      <c r="B2572" s="1" t="s">
        <v>13</v>
      </c>
      <c r="C2572" s="4" t="s">
        <v>11794</v>
      </c>
      <c r="D2572" s="1" t="s">
        <v>11795</v>
      </c>
      <c r="E2572" s="1" t="s">
        <v>11796</v>
      </c>
      <c r="F2572" s="4" t="s">
        <v>17</v>
      </c>
      <c r="G2572" s="1" t="s">
        <v>18</v>
      </c>
      <c r="H2572" s="1" t="s">
        <v>19</v>
      </c>
      <c r="I2572" s="1" t="s">
        <v>20</v>
      </c>
      <c r="J2572" s="1" t="s">
        <v>11797</v>
      </c>
      <c r="K2572" s="1" t="s">
        <v>22</v>
      </c>
      <c r="L2572" s="1" t="str">
        <f>HYPERLINK("https://files.afu.se/Downloads/Transcripts/0%20-%20Government/USA%20-%20NASA/2014 03 25 - NASA - Space Station Commander Koichi Wakata  Discusses Life in Space with Japanese Media_amD4qm8ndRI - transcript (automated).pdf","Transcript Link")</f>
        <v>Transcript Link</v>
      </c>
      <c r="M2572" s="2" t="str">
        <f>HYPERLINK("https://files.afu.se/Downloads/Transcripts/0%20-%20Government/USA%20-%20NASA/2014 03 25 - NASA - Space Station Commander Koichi Wakata  Discusses Life in Space with Japanese Media_amD4qm8ndRI - transcript (automated).pdf","Transcript Link")</f>
        <v>Transcript Link</v>
      </c>
    </row>
    <row r="2573" ht="165" spans="1:13">
      <c r="A2573" s="1" t="s">
        <v>11789</v>
      </c>
      <c r="B2573" s="1" t="s">
        <v>13</v>
      </c>
      <c r="C2573" s="4" t="s">
        <v>11798</v>
      </c>
      <c r="D2573" s="1" t="s">
        <v>11799</v>
      </c>
      <c r="E2573" s="1" t="s">
        <v>11800</v>
      </c>
      <c r="F2573" s="4" t="s">
        <v>17</v>
      </c>
      <c r="G2573" s="1" t="s">
        <v>18</v>
      </c>
      <c r="H2573" s="1" t="s">
        <v>19</v>
      </c>
      <c r="I2573" s="1" t="s">
        <v>20</v>
      </c>
      <c r="J2573" s="1" t="s">
        <v>11801</v>
      </c>
      <c r="K2573" s="1" t="s">
        <v>22</v>
      </c>
      <c r="L2573" s="1" t="str">
        <f>HYPERLINK("https://files.afu.se/Downloads/Transcripts/0%20-%20Government/USA%20-%20NASA/2014 03 25 - NASA - Country Music Star Kellie Pickler Sings Praises About NASA_zSNRqQ4IDWA - transcript (automated).pdf","Transcript Link")</f>
        <v>Transcript Link</v>
      </c>
      <c r="M2573" s="2" t="str">
        <f>HYPERLINK("https://files.afu.se/Downloads/Transcripts/0%20-%20Government/USA%20-%20NASA/2014 03 25 - NASA - Country Music Star Kellie Pickler Sings Praises About NASA_zSNRqQ4IDWA - transcript (automated).pdf","Transcript Link")</f>
        <v>Transcript Link</v>
      </c>
    </row>
    <row r="2574" ht="165" spans="1:13">
      <c r="A2574" s="1" t="s">
        <v>11789</v>
      </c>
      <c r="B2574" s="1" t="s">
        <v>13</v>
      </c>
      <c r="C2574" s="4" t="s">
        <v>11802</v>
      </c>
      <c r="D2574" s="1" t="s">
        <v>11803</v>
      </c>
      <c r="E2574" s="1" t="s">
        <v>11804</v>
      </c>
      <c r="F2574" s="4" t="s">
        <v>17</v>
      </c>
      <c r="G2574" s="1" t="s">
        <v>18</v>
      </c>
      <c r="H2574" s="1" t="s">
        <v>19</v>
      </c>
      <c r="I2574" s="1" t="s">
        <v>20</v>
      </c>
      <c r="J2574" s="1" t="s">
        <v>11805</v>
      </c>
      <c r="K2574" s="1" t="s">
        <v>22</v>
      </c>
      <c r="L2574" s="1" t="str">
        <f>HYPERLINK("https://files.afu.se/Downloads/Transcripts/0%20-%20Government/USA%20-%20NASA/2014 03 25 - NASA - Actor Luke Wilson On How NASA Helps Make Life Better on Earth_z9u_qafj3UQ - transcript (automated).pdf","Transcript Link")</f>
        <v>Transcript Link</v>
      </c>
      <c r="M2574" s="2" t="str">
        <f>HYPERLINK("https://files.afu.se/Downloads/Transcripts/0%20-%20Government/USA%20-%20NASA/2014 03 25 - NASA - Actor Luke Wilson On How NASA Helps Make Life Better on Earth_z9u_qafj3UQ - transcript (automated).pdf","Transcript Link")</f>
        <v>Transcript Link</v>
      </c>
    </row>
    <row r="2575" ht="300" spans="1:13">
      <c r="A2575" s="1" t="s">
        <v>11806</v>
      </c>
      <c r="B2575" s="1" t="s">
        <v>13</v>
      </c>
      <c r="C2575" s="4" t="s">
        <v>11807</v>
      </c>
      <c r="D2575" s="1" t="s">
        <v>11808</v>
      </c>
      <c r="E2575" s="1" t="s">
        <v>11809</v>
      </c>
      <c r="F2575" s="4" t="s">
        <v>17</v>
      </c>
      <c r="G2575" s="1" t="s">
        <v>18</v>
      </c>
      <c r="H2575" s="1" t="s">
        <v>19</v>
      </c>
      <c r="I2575" s="1" t="s">
        <v>20</v>
      </c>
      <c r="J2575" s="1" t="s">
        <v>11810</v>
      </c>
      <c r="K2575" s="1" t="s">
        <v>22</v>
      </c>
      <c r="L2575" s="1" t="str">
        <f>HYPERLINK("https://files.afu.se/Downloads/Transcripts/0%20-%20Government/USA%20-%20NASA/2014 03 24 - NASA - NASA Social with NASA Astronaut Karen Nyberg_pNwgKReXTWo - transcript (automated).pdf","Transcript Link")</f>
        <v>Transcript Link</v>
      </c>
      <c r="M2575" s="2" t="str">
        <f>HYPERLINK("https://files.afu.se/Downloads/Transcripts/0%20-%20Government/USA%20-%20NASA/2014 03 24 - NASA - NASA Social with NASA Astronaut Karen Nyberg_pNwgKReXTWo - transcript (automated).pdf","Transcript Link")</f>
        <v>Transcript Link</v>
      </c>
    </row>
    <row r="2576" ht="180" spans="1:13">
      <c r="A2576" s="1" t="s">
        <v>11806</v>
      </c>
      <c r="B2576" s="1" t="s">
        <v>13</v>
      </c>
      <c r="C2576" s="4" t="s">
        <v>11811</v>
      </c>
      <c r="D2576" s="1" t="s">
        <v>11812</v>
      </c>
      <c r="E2576" s="1" t="s">
        <v>11813</v>
      </c>
      <c r="F2576" s="4" t="s">
        <v>17</v>
      </c>
      <c r="G2576" s="1" t="s">
        <v>18</v>
      </c>
      <c r="H2576" s="1" t="s">
        <v>19</v>
      </c>
      <c r="I2576" s="1" t="s">
        <v>20</v>
      </c>
      <c r="J2576" s="1" t="s">
        <v>11814</v>
      </c>
      <c r="K2576" s="1" t="s">
        <v>22</v>
      </c>
      <c r="L2576" s="1" t="str">
        <f>HYPERLINK("https://files.afu.se/Downloads/Transcripts/0%20-%20Government/USA%20-%20NASA/2014 03 24 - NASA - Expedition 39 40 Crew Meets Officials and Reporters as Launch Approaches_yYWBWSTkV6I - transcript (automated).pdf","Transcript Link")</f>
        <v>Transcript Link</v>
      </c>
      <c r="M2576" s="2" t="str">
        <f>HYPERLINK("https://files.afu.se/Downloads/Transcripts/0%20-%20Government/USA%20-%20NASA/2014 03 24 - NASA - Expedition 39 40 Crew Meets Officials and Reporters as Launch Approaches_yYWBWSTkV6I - transcript (automated).pdf","Transcript Link")</f>
        <v>Transcript Link</v>
      </c>
    </row>
    <row r="2577" ht="165" spans="1:13">
      <c r="A2577" s="1" t="s">
        <v>11815</v>
      </c>
      <c r="B2577" s="1" t="s">
        <v>13</v>
      </c>
      <c r="C2577" s="4" t="s">
        <v>11816</v>
      </c>
      <c r="D2577" s="1" t="s">
        <v>11817</v>
      </c>
      <c r="E2577" s="1" t="s">
        <v>11818</v>
      </c>
      <c r="F2577" s="4" t="s">
        <v>17</v>
      </c>
      <c r="G2577" s="1" t="s">
        <v>18</v>
      </c>
      <c r="H2577" s="1" t="s">
        <v>19</v>
      </c>
      <c r="I2577" s="1" t="s">
        <v>20</v>
      </c>
      <c r="J2577" s="1" t="s">
        <v>11819</v>
      </c>
      <c r="K2577" s="1" t="s">
        <v>22</v>
      </c>
      <c r="L2577" s="1" t="str">
        <f>HYPERLINK("https://files.afu.se/Downloads/Transcripts/0%20-%20Government/USA%20-%20NASA/2014 03 23 - NASA - Ready to Go_nLgdMtutuec - transcript (automated).pdf","Transcript Link")</f>
        <v>Transcript Link</v>
      </c>
      <c r="M2577" s="2" t="str">
        <f>HYPERLINK("https://files.afu.se/Downloads/Transcripts/0%20-%20Government/USA%20-%20NASA/2014 03 23 - NASA - Ready to Go_nLgdMtutuec - transcript (automated).pdf","Transcript Link")</f>
        <v>Transcript Link</v>
      </c>
    </row>
    <row r="2578" ht="165" spans="1:13">
      <c r="A2578" s="1" t="s">
        <v>11820</v>
      </c>
      <c r="B2578" s="1" t="s">
        <v>13</v>
      </c>
      <c r="C2578" s="4" t="s">
        <v>11821</v>
      </c>
      <c r="D2578" s="1" t="s">
        <v>11822</v>
      </c>
      <c r="E2578" s="1" t="s">
        <v>11823</v>
      </c>
      <c r="F2578" s="4" t="s">
        <v>17</v>
      </c>
      <c r="G2578" s="1" t="s">
        <v>18</v>
      </c>
      <c r="H2578" s="1" t="s">
        <v>19</v>
      </c>
      <c r="I2578" s="1" t="s">
        <v>20</v>
      </c>
      <c r="J2578" s="1" t="s">
        <v>11824</v>
      </c>
      <c r="K2578" s="1" t="s">
        <v>22</v>
      </c>
      <c r="L2578" s="1" t="str">
        <f>HYPERLINK("https://files.afu.se/Downloads/Transcripts/0%20-%20Government/USA%20-%20NASA/2014 03 21 - NASA - NASA Observes World Water Day_g6CEykcz3FE - transcript (automated).pdf","Transcript Link")</f>
        <v>Transcript Link</v>
      </c>
      <c r="M2578" s="2" t="str">
        <f>HYPERLINK("https://files.afu.se/Downloads/Transcripts/0%20-%20Government/USA%20-%20NASA/2014 03 21 - NASA - NASA Observes World Water Day_g6CEykcz3FE - transcript (automated).pdf","Transcript Link")</f>
        <v>Transcript Link</v>
      </c>
    </row>
    <row r="2579" ht="165" spans="1:13">
      <c r="A2579" s="1" t="s">
        <v>11820</v>
      </c>
      <c r="B2579" s="1" t="s">
        <v>13</v>
      </c>
      <c r="C2579" s="4" t="s">
        <v>11825</v>
      </c>
      <c r="D2579" s="1" t="s">
        <v>11826</v>
      </c>
      <c r="E2579" s="1" t="s">
        <v>11827</v>
      </c>
      <c r="F2579" s="4" t="s">
        <v>17</v>
      </c>
      <c r="G2579" s="1" t="s">
        <v>18</v>
      </c>
      <c r="H2579" s="1" t="s">
        <v>19</v>
      </c>
      <c r="I2579" s="1" t="s">
        <v>20</v>
      </c>
      <c r="J2579" s="1" t="s">
        <v>11828</v>
      </c>
      <c r="K2579" s="1" t="s">
        <v>22</v>
      </c>
      <c r="L2579" s="1" t="str">
        <f>HYPERLINK("https://files.afu.se/Downloads/Transcripts/0%20-%20Government/USA%20-%20NASA/2014 03 21 - NASA - Next Space Station Crew Gets Comfy Prior to Launch_sg5l-L3n0lg - transcript (automated).pdf","Transcript Link")</f>
        <v>Transcript Link</v>
      </c>
      <c r="M2579" s="2" t="str">
        <f>HYPERLINK("https://files.afu.se/Downloads/Transcripts/0%20-%20Government/USA%20-%20NASA/2014 03 21 - NASA - Next Space Station Crew Gets Comfy Prior to Launch_sg5l-L3n0lg - transcript (automated).pdf","Transcript Link")</f>
        <v>Transcript Link</v>
      </c>
    </row>
    <row r="2580" ht="195" spans="1:13">
      <c r="A2580" s="1" t="s">
        <v>11820</v>
      </c>
      <c r="B2580" s="1" t="s">
        <v>13</v>
      </c>
      <c r="C2580" s="4" t="s">
        <v>11829</v>
      </c>
      <c r="D2580" s="1" t="s">
        <v>11830</v>
      </c>
      <c r="E2580" s="1" t="s">
        <v>11831</v>
      </c>
      <c r="F2580" s="4" t="s">
        <v>17</v>
      </c>
      <c r="G2580" s="1" t="s">
        <v>18</v>
      </c>
      <c r="H2580" s="1" t="s">
        <v>19</v>
      </c>
      <c r="I2580" s="1" t="s">
        <v>20</v>
      </c>
      <c r="J2580" s="1" t="s">
        <v>11832</v>
      </c>
      <c r="K2580" s="1" t="s">
        <v>22</v>
      </c>
      <c r="L2580" s="1" t="str">
        <f>HYPERLINK("https://files.afu.se/Downloads/Transcripts/0%20-%20Government/USA%20-%20NASA/2014 03 21 - NASA - Administrator Visits Aeronautics and Space Research Facilities on This Week @NASA_xHJ1uO2bJEY - transcript (automated).pdf","Transcript Link")</f>
        <v>Transcript Link</v>
      </c>
      <c r="M2580" s="2" t="str">
        <f>HYPERLINK("https://files.afu.se/Downloads/Transcripts/0%20-%20Government/USA%20-%20NASA/2014 03 21 - NASA - Administrator Visits Aeronautics and Space Research Facilities on This Week @NASA_xHJ1uO2bJEY - transcript (automated).pdf","Transcript Link")</f>
        <v>Transcript Link</v>
      </c>
    </row>
    <row r="2581" ht="165" spans="1:13">
      <c r="A2581" s="1" t="s">
        <v>11833</v>
      </c>
      <c r="B2581" s="1" t="s">
        <v>13</v>
      </c>
      <c r="C2581" s="4" t="s">
        <v>11834</v>
      </c>
      <c r="D2581" s="1" t="s">
        <v>11835</v>
      </c>
      <c r="E2581" s="1" t="s">
        <v>11836</v>
      </c>
      <c r="F2581" s="4" t="s">
        <v>17</v>
      </c>
      <c r="G2581" s="1" t="s">
        <v>18</v>
      </c>
      <c r="H2581" s="1" t="s">
        <v>19</v>
      </c>
      <c r="I2581" s="1" t="s">
        <v>20</v>
      </c>
      <c r="J2581" s="1" t="s">
        <v>11837</v>
      </c>
      <c r="K2581" s="1" t="s">
        <v>22</v>
      </c>
      <c r="L2581" s="1" t="str">
        <f>HYPERLINK("https://files.afu.se/Downloads/Transcripts/0%20-%20Government/USA%20-%20NASA/2014 03 20 - NASA - NASA Women's History Month Profile, Karin Bozak - Glenn Research Center_uqSQPoaw3mk - transcript (automated).pdf","Transcript Link")</f>
        <v>Transcript Link</v>
      </c>
      <c r="M2581" s="2" t="str">
        <f>HYPERLINK("https://files.afu.se/Downloads/Transcripts/0%20-%20Government/USA%20-%20NASA/2014 03 20 - NASA - NASA Women's History Month Profile, Karin Bozak - Glenn Research Center_uqSQPoaw3mk - transcript (automated).pdf","Transcript Link")</f>
        <v>Transcript Link</v>
      </c>
    </row>
    <row r="2582" ht="165" spans="1:13">
      <c r="A2582" s="1" t="s">
        <v>11838</v>
      </c>
      <c r="B2582" s="1" t="s">
        <v>13</v>
      </c>
      <c r="C2582" s="4" t="s">
        <v>11839</v>
      </c>
      <c r="D2582" s="1" t="s">
        <v>11840</v>
      </c>
      <c r="E2582" s="1" t="s">
        <v>11841</v>
      </c>
      <c r="F2582" s="4" t="s">
        <v>17</v>
      </c>
      <c r="G2582" s="1" t="s">
        <v>18</v>
      </c>
      <c r="H2582" s="1" t="s">
        <v>19</v>
      </c>
      <c r="I2582" s="1" t="s">
        <v>20</v>
      </c>
      <c r="J2582" s="1" t="s">
        <v>11842</v>
      </c>
      <c r="K2582" s="1" t="s">
        <v>22</v>
      </c>
      <c r="L2582" s="1" t="str">
        <f>HYPERLINK("https://files.afu.se/Downloads/Transcripts/0%20-%20Government/USA%20-%20NASA/2014 03 19 - NASA - Next Space Station crew closing in on launch_24qcEdhHYd0 - transcript (automated).pdf","Transcript Link")</f>
        <v>Transcript Link</v>
      </c>
      <c r="M2582" s="2" t="str">
        <f>HYPERLINK("https://files.afu.se/Downloads/Transcripts/0%20-%20Government/USA%20-%20NASA/2014 03 19 - NASA - Next Space Station crew closing in on launch_24qcEdhHYd0 - transcript (automated).pdf","Transcript Link")</f>
        <v>Transcript Link</v>
      </c>
    </row>
    <row r="2583" ht="165" spans="1:13">
      <c r="A2583" s="1" t="s">
        <v>11838</v>
      </c>
      <c r="B2583" s="1" t="s">
        <v>13</v>
      </c>
      <c r="C2583" s="4" t="s">
        <v>11843</v>
      </c>
      <c r="D2583" s="1" t="s">
        <v>11844</v>
      </c>
      <c r="E2583" s="1" t="s">
        <v>11845</v>
      </c>
      <c r="F2583" s="4" t="s">
        <v>17</v>
      </c>
      <c r="G2583" s="1" t="s">
        <v>18</v>
      </c>
      <c r="H2583" s="1" t="s">
        <v>19</v>
      </c>
      <c r="I2583" s="1" t="s">
        <v>20</v>
      </c>
      <c r="J2583" s="1" t="s">
        <v>11846</v>
      </c>
      <c r="K2583" s="1" t="s">
        <v>22</v>
      </c>
      <c r="L2583" s="1" t="str">
        <f>HYPERLINK("https://files.afu.se/Downloads/Transcripts/0%20-%20Government/USA%20-%20NASA/2014 03 19 - NASA - Future Space Station Crew meets the media_C_DNw2OWOBI - transcript (automated).pdf","Transcript Link")</f>
        <v>Transcript Link</v>
      </c>
      <c r="M2583" s="2" t="str">
        <f>HYPERLINK("https://files.afu.se/Downloads/Transcripts/0%20-%20Government/USA%20-%20NASA/2014 03 19 - NASA - Future Space Station Crew meets the media_C_DNw2OWOBI - transcript (automated).pdf","Transcript Link")</f>
        <v>Transcript Link</v>
      </c>
    </row>
    <row r="2584" ht="165" spans="1:13">
      <c r="A2584" s="1" t="s">
        <v>11847</v>
      </c>
      <c r="B2584" s="1" t="s">
        <v>13</v>
      </c>
      <c r="C2584" s="4" t="s">
        <v>11848</v>
      </c>
      <c r="D2584" s="1" t="s">
        <v>11849</v>
      </c>
      <c r="E2584" s="1" t="s">
        <v>11850</v>
      </c>
      <c r="F2584" s="4" t="s">
        <v>17</v>
      </c>
      <c r="G2584" s="1" t="s">
        <v>18</v>
      </c>
      <c r="H2584" s="1" t="s">
        <v>19</v>
      </c>
      <c r="I2584" s="1" t="s">
        <v>20</v>
      </c>
      <c r="J2584" s="1" t="s">
        <v>11851</v>
      </c>
      <c r="K2584" s="1" t="s">
        <v>22</v>
      </c>
      <c r="L2584" s="1" t="str">
        <f>HYPERLINK("https://files.afu.se/Downloads/Transcripts/0%20-%20Government/USA%20-%20NASA/2014 03 14 - NASA - NASA Administrator Checks Out SLS Flight Avionics on This Week @NASA_llpvsJXeXZo - transcript (automated).pdf","Transcript Link")</f>
        <v>Transcript Link</v>
      </c>
      <c r="M2584" s="2" t="str">
        <f>HYPERLINK("https://files.afu.se/Downloads/Transcripts/0%20-%20Government/USA%20-%20NASA/2014 03 14 - NASA - NASA Administrator Checks Out SLS Flight Avionics on This Week @NASA_llpvsJXeXZo - transcript (automated).pdf","Transcript Link")</f>
        <v>Transcript Link</v>
      </c>
    </row>
    <row r="2585" ht="165" spans="1:13">
      <c r="A2585" s="1" t="s">
        <v>11852</v>
      </c>
      <c r="B2585" s="1" t="s">
        <v>13</v>
      </c>
      <c r="C2585" s="4" t="s">
        <v>11853</v>
      </c>
      <c r="D2585" s="1" t="s">
        <v>11854</v>
      </c>
      <c r="E2585" s="1" t="s">
        <v>11855</v>
      </c>
      <c r="F2585" s="4" t="s">
        <v>17</v>
      </c>
      <c r="G2585" s="1" t="s">
        <v>18</v>
      </c>
      <c r="H2585" s="1" t="s">
        <v>19</v>
      </c>
      <c r="I2585" s="1" t="s">
        <v>20</v>
      </c>
      <c r="J2585" s="1" t="s">
        <v>11856</v>
      </c>
      <c r="K2585" s="1" t="s">
        <v>22</v>
      </c>
      <c r="L2585" s="1" t="str">
        <f>HYPERLINK("https://files.afu.se/Downloads/Transcripts/0%20-%20Government/USA%20-%20NASA/2014 03 13 - NASA - New Commander's Historic Role_u-ceOd3mwuc - transcript (automated).pdf","Transcript Link")</f>
        <v>Transcript Link</v>
      </c>
      <c r="M2585" s="2" t="str">
        <f>HYPERLINK("https://files.afu.se/Downloads/Transcripts/0%20-%20Government/USA%20-%20NASA/2014 03 13 - NASA - New Commander's Historic Role_u-ceOd3mwuc - transcript (automated).pdf","Transcript Link")</f>
        <v>Transcript Link</v>
      </c>
    </row>
    <row r="2586" ht="165" spans="1:13">
      <c r="A2586" s="1" t="s">
        <v>11852</v>
      </c>
      <c r="B2586" s="1" t="s">
        <v>13</v>
      </c>
      <c r="C2586" s="4" t="s">
        <v>11857</v>
      </c>
      <c r="D2586" s="1" t="s">
        <v>11858</v>
      </c>
      <c r="E2586" s="1" t="s">
        <v>11859</v>
      </c>
      <c r="F2586" s="4" t="s">
        <v>17</v>
      </c>
      <c r="G2586" s="1" t="s">
        <v>18</v>
      </c>
      <c r="H2586" s="1" t="s">
        <v>19</v>
      </c>
      <c r="I2586" s="1" t="s">
        <v>20</v>
      </c>
      <c r="J2586" s="1" t="s">
        <v>11860</v>
      </c>
      <c r="K2586" s="1" t="s">
        <v>22</v>
      </c>
      <c r="L2586" s="1" t="str">
        <f>HYPERLINK("https://files.afu.se/Downloads/Transcripts/0%20-%20Government/USA%20-%20NASA/2014 03 13 - NASA - A Discussion About Space Exploration_M6XcbnITouM - transcript (automated).pdf","Transcript Link")</f>
        <v>Transcript Link</v>
      </c>
      <c r="M2586" s="2" t="str">
        <f>HYPERLINK("https://files.afu.se/Downloads/Transcripts/0%20-%20Government/USA%20-%20NASA/2014 03 13 - NASA - A Discussion About Space Exploration_M6XcbnITouM - transcript (automated).pdf","Transcript Link")</f>
        <v>Transcript Link</v>
      </c>
    </row>
    <row r="2587" ht="165" spans="1:13">
      <c r="A2587" s="1" t="s">
        <v>11852</v>
      </c>
      <c r="B2587" s="1" t="s">
        <v>13</v>
      </c>
      <c r="C2587" s="4" t="s">
        <v>11861</v>
      </c>
      <c r="D2587" s="1" t="s">
        <v>11862</v>
      </c>
      <c r="E2587" s="1" t="s">
        <v>11863</v>
      </c>
      <c r="F2587" s="4" t="s">
        <v>17</v>
      </c>
      <c r="G2587" s="1" t="s">
        <v>18</v>
      </c>
      <c r="H2587" s="1" t="s">
        <v>19</v>
      </c>
      <c r="I2587" s="1" t="s">
        <v>20</v>
      </c>
      <c r="J2587" s="1" t="s">
        <v>11864</v>
      </c>
      <c r="K2587" s="1" t="s">
        <v>22</v>
      </c>
      <c r="L2587" s="1" t="str">
        <f>HYPERLINK("https://files.afu.se/Downloads/Transcripts/0%20-%20Government/USA%20-%20NASA/2014 03 13 - NASA - Next ISS Crew Heads to Launch Site_nP8skIEd8M8 - transcript (automated).pdf","Transcript Link")</f>
        <v>Transcript Link</v>
      </c>
      <c r="M2587" s="2" t="str">
        <f>HYPERLINK("https://files.afu.se/Downloads/Transcripts/0%20-%20Government/USA%20-%20NASA/2014 03 13 - NASA - Next ISS Crew Heads to Launch Site_nP8skIEd8M8 - transcript (automated).pdf","Transcript Link")</f>
        <v>Transcript Link</v>
      </c>
    </row>
    <row r="2588" ht="165" spans="1:13">
      <c r="A2588" s="1" t="s">
        <v>11865</v>
      </c>
      <c r="B2588" s="1" t="s">
        <v>13</v>
      </c>
      <c r="C2588" s="4" t="s">
        <v>11866</v>
      </c>
      <c r="D2588" s="1" t="s">
        <v>11867</v>
      </c>
      <c r="E2588" s="1" t="s">
        <v>11868</v>
      </c>
      <c r="F2588" s="4" t="s">
        <v>17</v>
      </c>
      <c r="G2588" s="1" t="s">
        <v>18</v>
      </c>
      <c r="H2588" s="1" t="s">
        <v>19</v>
      </c>
      <c r="I2588" s="1" t="s">
        <v>20</v>
      </c>
      <c r="J2588" s="1" t="s">
        <v>11869</v>
      </c>
      <c r="K2588" s="1" t="s">
        <v>22</v>
      </c>
      <c r="L2588" s="1" t="str">
        <f>HYPERLINK("https://files.afu.se/Downloads/Transcripts/0%20-%20Government/USA%20-%20NASA/2014 03 12 - NASA - Involving Everyone in the Conversation_yAD0TEzQ5Hk - transcript (automated).pdf","Transcript Link")</f>
        <v>Transcript Link</v>
      </c>
      <c r="M2588" s="2" t="str">
        <f>HYPERLINK("https://files.afu.se/Downloads/Transcripts/0%20-%20Government/USA%20-%20NASA/2014 03 12 - NASA - Involving Everyone in the Conversation_yAD0TEzQ5Hk - transcript (automated).pdf","Transcript Link")</f>
        <v>Transcript Link</v>
      </c>
    </row>
    <row r="2589" ht="165" spans="1:13">
      <c r="A2589" s="1" t="s">
        <v>11870</v>
      </c>
      <c r="B2589" s="1" t="s">
        <v>13</v>
      </c>
      <c r="C2589" s="4" t="s">
        <v>11871</v>
      </c>
      <c r="D2589" s="1" t="s">
        <v>11872</v>
      </c>
      <c r="E2589" s="1" t="s">
        <v>11873</v>
      </c>
      <c r="F2589" s="4" t="s">
        <v>17</v>
      </c>
      <c r="G2589" s="1" t="s">
        <v>18</v>
      </c>
      <c r="H2589" s="1" t="s">
        <v>19</v>
      </c>
      <c r="I2589" s="1" t="s">
        <v>20</v>
      </c>
      <c r="J2589" s="1" t="s">
        <v>11874</v>
      </c>
      <c r="K2589" s="1" t="s">
        <v>22</v>
      </c>
      <c r="L2589" s="1" t="str">
        <f>HYPERLINK("https://files.afu.se/Downloads/Transcripts/0%20-%20Government/USA%20-%20NASA/2014 03 11 - NASA - Expedition 38 Discusses Experience in Space_8TTGTQZzk_s - transcript (automated).pdf","Transcript Link")</f>
        <v>Transcript Link</v>
      </c>
      <c r="M2589" s="2" t="str">
        <f>HYPERLINK("https://files.afu.se/Downloads/Transcripts/0%20-%20Government/USA%20-%20NASA/2014 03 11 - NASA - Expedition 38 Discusses Experience in Space_8TTGTQZzk_s - transcript (automated).pdf","Transcript Link")</f>
        <v>Transcript Link</v>
      </c>
    </row>
    <row r="2590" ht="165" spans="1:13">
      <c r="A2590" s="1" t="s">
        <v>11870</v>
      </c>
      <c r="B2590" s="1" t="s">
        <v>13</v>
      </c>
      <c r="C2590" s="4" t="s">
        <v>11875</v>
      </c>
      <c r="D2590" s="1" t="s">
        <v>11876</v>
      </c>
      <c r="E2590" s="1" t="s">
        <v>11877</v>
      </c>
      <c r="F2590" s="4" t="s">
        <v>17</v>
      </c>
      <c r="G2590" s="1" t="s">
        <v>18</v>
      </c>
      <c r="H2590" s="1" t="s">
        <v>19</v>
      </c>
      <c r="I2590" s="1" t="s">
        <v>20</v>
      </c>
      <c r="J2590" s="1" t="s">
        <v>11878</v>
      </c>
      <c r="K2590" s="1" t="s">
        <v>22</v>
      </c>
      <c r="L2590" s="1" t="str">
        <f>HYPERLINK("https://files.afu.se/Downloads/Transcripts/0%20-%20Government/USA%20-%20NASA/2014 03 11 - NASA - 2014 NASA Women's History Month Profile, Teresa Vanhooser, MSFC_qNENSsfKvMo - transcript (automated).pdf","Transcript Link")</f>
        <v>Transcript Link</v>
      </c>
      <c r="M2590" s="2" t="str">
        <f>HYPERLINK("https://files.afu.se/Downloads/Transcripts/0%20-%20Government/USA%20-%20NASA/2014 03 11 - NASA - 2014 NASA Women's History Month Profile, Teresa Vanhooser, MSFC_qNENSsfKvMo - transcript (automated).pdf","Transcript Link")</f>
        <v>Transcript Link</v>
      </c>
    </row>
    <row r="2591" ht="165" spans="1:13">
      <c r="A2591" s="1" t="s">
        <v>11870</v>
      </c>
      <c r="B2591" s="1" t="s">
        <v>13</v>
      </c>
      <c r="C2591" s="4" t="s">
        <v>11879</v>
      </c>
      <c r="D2591" s="1" t="s">
        <v>11880</v>
      </c>
      <c r="E2591" s="1" t="s">
        <v>11881</v>
      </c>
      <c r="F2591" s="4" t="s">
        <v>17</v>
      </c>
      <c r="G2591" s="1" t="s">
        <v>18</v>
      </c>
      <c r="H2591" s="1" t="s">
        <v>19</v>
      </c>
      <c r="I2591" s="1" t="s">
        <v>20</v>
      </c>
      <c r="J2591" s="1" t="s">
        <v>11882</v>
      </c>
      <c r="K2591" s="1" t="s">
        <v>22</v>
      </c>
      <c r="L2591" s="1" t="str">
        <f>HYPERLINK("https://files.afu.se/Downloads/Transcripts/0%20-%20Government/USA%20-%20NASA/2014 03 11 - NASA - A Warm Welcome for the Crew_oIZH-HVJnUg - transcript (automated).pdf","Transcript Link")</f>
        <v>Transcript Link</v>
      </c>
      <c r="M2591" s="2" t="str">
        <f>HYPERLINK("https://files.afu.se/Downloads/Transcripts/0%20-%20Government/USA%20-%20NASA/2014 03 11 - NASA - A Warm Welcome for the Crew_oIZH-HVJnUg - transcript (automated).pdf","Transcript Link")</f>
        <v>Transcript Link</v>
      </c>
    </row>
    <row r="2592" ht="165" spans="1:13">
      <c r="A2592" s="1" t="s">
        <v>11870</v>
      </c>
      <c r="B2592" s="1" t="s">
        <v>13</v>
      </c>
      <c r="C2592" s="4" t="s">
        <v>11883</v>
      </c>
      <c r="D2592" s="1" t="s">
        <v>11884</v>
      </c>
      <c r="E2592" s="1" t="s">
        <v>11885</v>
      </c>
      <c r="F2592" s="4" t="s">
        <v>17</v>
      </c>
      <c r="G2592" s="1" t="s">
        <v>18</v>
      </c>
      <c r="H2592" s="1" t="s">
        <v>19</v>
      </c>
      <c r="I2592" s="1" t="s">
        <v>20</v>
      </c>
      <c r="J2592" s="1" t="s">
        <v>11886</v>
      </c>
      <c r="K2592" s="1" t="s">
        <v>22</v>
      </c>
      <c r="L2592" s="1" t="str">
        <f>HYPERLINK("https://files.afu.se/Downloads/Transcripts/0%20-%20Government/USA%20-%20NASA/2014 03 11 - NASA - Expedition 38 Back Home Safely!_tJBY2OBqIWM - transcript (automated).pdf","Transcript Link")</f>
        <v>Transcript Link</v>
      </c>
      <c r="M2592" s="2" t="str">
        <f>HYPERLINK("https://files.afu.se/Downloads/Transcripts/0%20-%20Government/USA%20-%20NASA/2014 03 11 - NASA - Expedition 38 Back Home Safely!_tJBY2OBqIWM - transcript (automated).pdf","Transcript Link")</f>
        <v>Transcript Link</v>
      </c>
    </row>
    <row r="2593" ht="165" spans="1:13">
      <c r="A2593" s="1" t="s">
        <v>11870</v>
      </c>
      <c r="B2593" s="1" t="s">
        <v>13</v>
      </c>
      <c r="C2593" s="4" t="s">
        <v>11887</v>
      </c>
      <c r="D2593" s="1" t="s">
        <v>11888</v>
      </c>
      <c r="E2593" s="1" t="s">
        <v>11889</v>
      </c>
      <c r="F2593" s="4" t="s">
        <v>17</v>
      </c>
      <c r="G2593" s="1" t="s">
        <v>18</v>
      </c>
      <c r="H2593" s="1" t="s">
        <v>19</v>
      </c>
      <c r="I2593" s="1" t="s">
        <v>20</v>
      </c>
      <c r="J2593" s="1" t="s">
        <v>11890</v>
      </c>
      <c r="K2593" s="1" t="s">
        <v>22</v>
      </c>
      <c r="L2593" s="1" t="str">
        <f>HYPERLINK("https://files.afu.se/Downloads/Transcripts/0%20-%20Government/USA%20-%20NASA/2014 03 11 - NASA - Expedition 38 Ships Off_ZtxIWh-N9mM - transcript (automated).pdf","Transcript Link")</f>
        <v>Transcript Link</v>
      </c>
      <c r="M2593" s="2" t="str">
        <f>HYPERLINK("https://files.afu.se/Downloads/Transcripts/0%20-%20Government/USA%20-%20NASA/2014 03 11 - NASA - Expedition 38 Ships Off_ZtxIWh-N9mM - transcript (automated).pdf","Transcript Link")</f>
        <v>Transcript Link</v>
      </c>
    </row>
    <row r="2594" ht="165" spans="1:13">
      <c r="A2594" s="1" t="s">
        <v>11891</v>
      </c>
      <c r="B2594" s="1" t="s">
        <v>13</v>
      </c>
      <c r="C2594" s="4" t="s">
        <v>11892</v>
      </c>
      <c r="D2594" s="1" t="s">
        <v>11893</v>
      </c>
      <c r="E2594" s="1" t="s">
        <v>11894</v>
      </c>
      <c r="F2594" s="4" t="s">
        <v>17</v>
      </c>
      <c r="G2594" s="1" t="s">
        <v>18</v>
      </c>
      <c r="H2594" s="1" t="s">
        <v>19</v>
      </c>
      <c r="I2594" s="1" t="s">
        <v>20</v>
      </c>
      <c r="J2594" s="1" t="s">
        <v>11895</v>
      </c>
      <c r="K2594" s="1" t="s">
        <v>22</v>
      </c>
      <c r="L2594" s="1" t="str">
        <f>HYPERLINK("https://files.afu.se/Downloads/Transcripts/0%20-%20Government/USA%20-%20NASA/2014 03 10 - NASA - Expedition 38   Ready for Return_tAVw16kfS5Y - transcript (automated).pdf","Transcript Link")</f>
        <v>Transcript Link</v>
      </c>
      <c r="M2594" s="2" t="str">
        <f>HYPERLINK("https://files.afu.se/Downloads/Transcripts/0%20-%20Government/USA%20-%20NASA/2014 03 10 - NASA - Expedition 38   Ready for Return_tAVw16kfS5Y - transcript (automated).pdf","Transcript Link")</f>
        <v>Transcript Link</v>
      </c>
    </row>
    <row r="2595" ht="165" spans="1:13">
      <c r="A2595" s="1" t="s">
        <v>11896</v>
      </c>
      <c r="B2595" s="1" t="s">
        <v>13</v>
      </c>
      <c r="C2595" s="4" t="s">
        <v>11897</v>
      </c>
      <c r="D2595" s="1" t="s">
        <v>11898</v>
      </c>
      <c r="E2595" s="1" t="s">
        <v>11899</v>
      </c>
      <c r="F2595" s="4" t="s">
        <v>17</v>
      </c>
      <c r="G2595" s="1" t="s">
        <v>18</v>
      </c>
      <c r="H2595" s="1" t="s">
        <v>19</v>
      </c>
      <c r="I2595" s="1" t="s">
        <v>20</v>
      </c>
      <c r="J2595" s="1" t="s">
        <v>11900</v>
      </c>
      <c r="K2595" s="1" t="s">
        <v>22</v>
      </c>
      <c r="L2595" s="1" t="str">
        <f>HYPERLINK("https://files.afu.se/Downloads/Transcripts/0%20-%20Government/USA%20-%20NASA/2014 03 09 - NASA - New Commander on the Space Station_kumP_g_zfyI - transcript (automated).pdf","Transcript Link")</f>
        <v>Transcript Link</v>
      </c>
      <c r="M2595" s="2" t="str">
        <f>HYPERLINK("https://files.afu.se/Downloads/Transcripts/0%20-%20Government/USA%20-%20NASA/2014 03 09 - NASA - New Commander on the Space Station_kumP_g_zfyI - transcript (automated).pdf","Transcript Link")</f>
        <v>Transcript Link</v>
      </c>
    </row>
    <row r="2596" ht="165" spans="1:13">
      <c r="A2596" s="1" t="s">
        <v>11901</v>
      </c>
      <c r="B2596" s="1" t="s">
        <v>13</v>
      </c>
      <c r="C2596" s="4" t="s">
        <v>11902</v>
      </c>
      <c r="D2596" s="1" t="s">
        <v>11903</v>
      </c>
      <c r="E2596" s="1" t="s">
        <v>11904</v>
      </c>
      <c r="F2596" s="4" t="s">
        <v>17</v>
      </c>
      <c r="G2596" s="1" t="s">
        <v>18</v>
      </c>
      <c r="H2596" s="1" t="s">
        <v>19</v>
      </c>
      <c r="I2596" s="1" t="s">
        <v>20</v>
      </c>
      <c r="J2596" s="1" t="s">
        <v>11905</v>
      </c>
      <c r="K2596" s="1" t="s">
        <v>22</v>
      </c>
      <c r="L2596" s="1" t="str">
        <f>HYPERLINK("https://files.afu.se/Downloads/Transcripts/0%20-%20Government/USA%20-%20NASA/2014 03 08 - NASA - Space Station Crew Discusses Hi Tech Life in Space at South by Southwest Conference_AI0FDcsK5Qs - transcript (automated).pdf","Transcript Link")</f>
        <v>Transcript Link</v>
      </c>
      <c r="M2596" s="2" t="str">
        <f>HYPERLINK("https://files.afu.se/Downloads/Transcripts/0%20-%20Government/USA%20-%20NASA/2014 03 08 - NASA - Space Station Crew Discusses Hi Tech Life in Space at South by Southwest Conference_AI0FDcsK5Qs - transcript (automated).pdf","Transcript Link")</f>
        <v>Transcript Link</v>
      </c>
    </row>
    <row r="2597" ht="180" spans="1:13">
      <c r="A2597" s="1" t="s">
        <v>11906</v>
      </c>
      <c r="B2597" s="1" t="s">
        <v>13</v>
      </c>
      <c r="C2597" s="4" t="s">
        <v>11907</v>
      </c>
      <c r="D2597" s="1" t="s">
        <v>11908</v>
      </c>
      <c r="E2597" s="1" t="s">
        <v>11909</v>
      </c>
      <c r="F2597" s="4" t="s">
        <v>17</v>
      </c>
      <c r="G2597" s="1" t="s">
        <v>18</v>
      </c>
      <c r="H2597" s="1" t="s">
        <v>19</v>
      </c>
      <c r="I2597" s="1" t="s">
        <v>20</v>
      </c>
      <c r="J2597" s="1" t="s">
        <v>11910</v>
      </c>
      <c r="K2597" s="1" t="s">
        <v>22</v>
      </c>
      <c r="L2597" s="1" t="str">
        <f>HYPERLINK("https://files.afu.se/Downloads/Transcripts/0%20-%20Government/USA%20-%20NASA/2014 03 07 - NASA - FY 2015 Budget briefed on This Week @NASA_F9Z8sPmduI4 - transcript (automated).pdf","Transcript Link")</f>
        <v>Transcript Link</v>
      </c>
      <c r="M2597" s="2" t="str">
        <f>HYPERLINK("https://files.afu.se/Downloads/Transcripts/0%20-%20Government/USA%20-%20NASA/2014 03 07 - NASA - FY 2015 Budget briefed on This Week @NASA_F9Z8sPmduI4 - transcript (automated).pdf","Transcript Link")</f>
        <v>Transcript Link</v>
      </c>
    </row>
    <row r="2598" ht="225" spans="1:13">
      <c r="A2598" s="1" t="s">
        <v>11911</v>
      </c>
      <c r="B2598" s="1" t="s">
        <v>13</v>
      </c>
      <c r="C2598" s="4" t="s">
        <v>11912</v>
      </c>
      <c r="D2598" s="1" t="s">
        <v>11913</v>
      </c>
      <c r="E2598" s="1" t="s">
        <v>11914</v>
      </c>
      <c r="F2598" s="4" t="s">
        <v>17</v>
      </c>
      <c r="G2598" s="1" t="s">
        <v>18</v>
      </c>
      <c r="H2598" s="1" t="s">
        <v>19</v>
      </c>
      <c r="I2598" s="1" t="s">
        <v>20</v>
      </c>
      <c r="J2598" s="1" t="s">
        <v>11915</v>
      </c>
      <c r="K2598" s="1" t="s">
        <v>22</v>
      </c>
      <c r="L2598" s="1" t="str">
        <f>HYPERLINK("https://files.afu.se/Downloads/Transcripts/0%20-%20Government/USA%20-%20NASA/2014 03 06 - NASA - Video File of Expedition 39 and 40 Crew News Conference and Visit to Red Square_M0dZysIsEsA - transcript (automated).pdf","Transcript Link")</f>
        <v>Transcript Link</v>
      </c>
      <c r="M2598" s="2" t="str">
        <f>HYPERLINK("https://files.afu.se/Downloads/Transcripts/0%20-%20Government/USA%20-%20NASA/2014 03 06 - NASA - Video File of Expedition 39 and 40 Crew News Conference and Visit to Red Square_M0dZysIsEsA - transcript (automated).pdf","Transcript Link")</f>
        <v>Transcript Link</v>
      </c>
    </row>
    <row r="2599" ht="165" spans="1:13">
      <c r="A2599" s="1" t="s">
        <v>11916</v>
      </c>
      <c r="B2599" s="1" t="s">
        <v>13</v>
      </c>
      <c r="C2599" s="4" t="s">
        <v>11917</v>
      </c>
      <c r="D2599" s="1" t="s">
        <v>11918</v>
      </c>
      <c r="E2599" s="1" t="s">
        <v>11919</v>
      </c>
      <c r="F2599" s="4" t="s">
        <v>17</v>
      </c>
      <c r="G2599" s="1" t="s">
        <v>18</v>
      </c>
      <c r="H2599" s="1" t="s">
        <v>19</v>
      </c>
      <c r="I2599" s="1" t="s">
        <v>20</v>
      </c>
      <c r="J2599" s="1" t="s">
        <v>11920</v>
      </c>
      <c r="K2599" s="1" t="s">
        <v>22</v>
      </c>
      <c r="L2599" s="1" t="str">
        <f>HYPERLINK("https://files.afu.se/Downloads/Transcripts/0%20-%20Government/USA%20-%20NASA/2014 03 05 - NASA - Video File of Expedition 39 and 40 Crew Undergoes Final Training Outside Moscow_kqdV0Td6M8A - transcript (automated).pdf","Transcript Link")</f>
        <v>Transcript Link</v>
      </c>
      <c r="M2599" s="2" t="str">
        <f>HYPERLINK("https://files.afu.se/Downloads/Transcripts/0%20-%20Government/USA%20-%20NASA/2014 03 05 - NASA - Video File of Expedition 39 and 40 Crew Undergoes Final Training Outside Moscow_kqdV0Td6M8A - transcript (automated).pdf","Transcript Link")</f>
        <v>Transcript Link</v>
      </c>
    </row>
    <row r="2600" ht="210" spans="1:13">
      <c r="A2600" s="1" t="s">
        <v>11921</v>
      </c>
      <c r="B2600" s="1" t="s">
        <v>13</v>
      </c>
      <c r="C2600" s="4" t="s">
        <v>11922</v>
      </c>
      <c r="D2600" s="1" t="s">
        <v>11923</v>
      </c>
      <c r="E2600" s="1" t="s">
        <v>11924</v>
      </c>
      <c r="F2600" s="4" t="s">
        <v>17</v>
      </c>
      <c r="G2600" s="1" t="s">
        <v>18</v>
      </c>
      <c r="H2600" s="1" t="s">
        <v>19</v>
      </c>
      <c r="I2600" s="1" t="s">
        <v>20</v>
      </c>
      <c r="J2600" s="1" t="s">
        <v>11925</v>
      </c>
      <c r="K2600" s="1" t="s">
        <v>22</v>
      </c>
      <c r="L2600" s="1" t="str">
        <f>HYPERLINK("https://files.afu.se/Downloads/Transcripts/0%20-%20Government/USA%20-%20NASA/2014 03 04 - NASA - Reaching for New Heights_gJhGUHli3BE - transcript (automated).pdf","Transcript Link")</f>
        <v>Transcript Link</v>
      </c>
      <c r="M2600" s="2" t="str">
        <f>HYPERLINK("https://files.afu.se/Downloads/Transcripts/0%20-%20Government/USA%20-%20NASA/2014 03 04 - NASA - Reaching for New Heights_gJhGUHli3BE - transcript (automated).pdf","Transcript Link")</f>
        <v>Transcript Link</v>
      </c>
    </row>
    <row r="2601" ht="165" spans="1:13">
      <c r="A2601" s="1" t="s">
        <v>11926</v>
      </c>
      <c r="B2601" s="1" t="s">
        <v>13</v>
      </c>
      <c r="C2601" s="4" t="s">
        <v>11927</v>
      </c>
      <c r="D2601" s="1" t="s">
        <v>11928</v>
      </c>
      <c r="E2601" s="1" t="s">
        <v>11929</v>
      </c>
      <c r="F2601" s="4" t="s">
        <v>17</v>
      </c>
      <c r="G2601" s="1" t="s">
        <v>18</v>
      </c>
      <c r="H2601" s="1" t="s">
        <v>19</v>
      </c>
      <c r="I2601" s="1" t="s">
        <v>20</v>
      </c>
      <c r="J2601" s="1" t="s">
        <v>11930</v>
      </c>
      <c r="K2601" s="1" t="s">
        <v>22</v>
      </c>
      <c r="L2601" s="1" t="str">
        <f>HYPERLINK("https://files.afu.se/Downloads/Transcripts/0%20-%20Government/USA%20-%20NASA/2014 03 03 - NASA - NASA and JAXA ISS Astronauts Congratulate 'Gravity' on Academy Awards__3ZhJP8q-Ts - transcript (automated).pdf","Transcript Link")</f>
        <v>Transcript Link</v>
      </c>
      <c r="M2601" s="2" t="str">
        <f>HYPERLINK("https://files.afu.se/Downloads/Transcripts/0%20-%20Government/USA%20-%20NASA/2014 03 03 - NASA - NASA and JAXA ISS Astronauts Congratulate 'Gravity' on Academy Awards__3ZhJP8q-Ts - transcript (automated).pdf","Transcript Link")</f>
        <v>Transcript Link</v>
      </c>
    </row>
    <row r="2602" ht="165" spans="1:13">
      <c r="A2602" s="1" t="s">
        <v>11926</v>
      </c>
      <c r="B2602" s="1" t="s">
        <v>13</v>
      </c>
      <c r="C2602" s="4" t="s">
        <v>11931</v>
      </c>
      <c r="D2602" s="1" t="s">
        <v>11932</v>
      </c>
      <c r="E2602" s="1" t="s">
        <v>11933</v>
      </c>
      <c r="F2602" s="4" t="s">
        <v>17</v>
      </c>
      <c r="G2602" s="1" t="s">
        <v>18</v>
      </c>
      <c r="H2602" s="1" t="s">
        <v>19</v>
      </c>
      <c r="I2602" s="1" t="s">
        <v>20</v>
      </c>
      <c r="J2602" s="1" t="s">
        <v>11934</v>
      </c>
      <c r="K2602" s="1" t="s">
        <v>22</v>
      </c>
      <c r="L2602" s="1" t="str">
        <f>HYPERLINK("https://files.afu.se/Downloads/Transcripts/0%20-%20Government/USA%20-%20NASA/2014 03 03 - NASA - NASA Astronaut Mike Massimino on  Gravity  Award Win_rxOZUBDBo3I - transcript (automated).pdf","Transcript Link")</f>
        <v>Transcript Link</v>
      </c>
      <c r="M2602" s="2" t="str">
        <f>HYPERLINK("https://files.afu.se/Downloads/Transcripts/0%20-%20Government/USA%20-%20NASA/2014 03 03 - NASA - NASA Astronaut Mike Massimino on  Gravity  Award Win_rxOZUBDBo3I - transcript (automated).pdf","Transcript Link")</f>
        <v>Transcript Link</v>
      </c>
    </row>
    <row r="2603" ht="165" spans="1:13">
      <c r="A2603" s="1" t="s">
        <v>11926</v>
      </c>
      <c r="B2603" s="1" t="s">
        <v>13</v>
      </c>
      <c r="C2603" s="4" t="s">
        <v>11935</v>
      </c>
      <c r="D2603" s="1" t="s">
        <v>11936</v>
      </c>
      <c r="E2603" s="1" t="s">
        <v>11937</v>
      </c>
      <c r="F2603" s="4" t="s">
        <v>17</v>
      </c>
      <c r="G2603" s="1" t="s">
        <v>18</v>
      </c>
      <c r="H2603" s="1" t="s">
        <v>19</v>
      </c>
      <c r="I2603" s="1" t="s">
        <v>20</v>
      </c>
      <c r="J2603" s="1" t="s">
        <v>11938</v>
      </c>
      <c r="K2603" s="1" t="s">
        <v>22</v>
      </c>
      <c r="L2603" s="1" t="str">
        <f>HYPERLINK("https://files.afu.se/Downloads/Transcripts/0%20-%20Government/USA%20-%20NASA/2014 03 03 - NASA - NASA Astronaut Cady Coleman on 'Gravity' Oscar Win_i9LIV5vHRqM - transcript (automated).pdf","Transcript Link")</f>
        <v>Transcript Link</v>
      </c>
      <c r="M2603" s="2" t="str">
        <f>HYPERLINK("https://files.afu.se/Downloads/Transcripts/0%20-%20Government/USA%20-%20NASA/2014 03 03 - NASA - NASA Astronaut Cady Coleman on 'Gravity' Oscar Win_i9LIV5vHRqM - transcript (automated).pdf","Transcript Link")</f>
        <v>Transcript Link</v>
      </c>
    </row>
    <row r="2604" ht="165" spans="1:13">
      <c r="A2604" s="1" t="s">
        <v>11939</v>
      </c>
      <c r="B2604" s="1" t="s">
        <v>13</v>
      </c>
      <c r="C2604" s="4" t="s">
        <v>11940</v>
      </c>
      <c r="D2604" s="1" t="s">
        <v>11941</v>
      </c>
      <c r="E2604" s="1" t="s">
        <v>11942</v>
      </c>
      <c r="F2604" s="4" t="s">
        <v>17</v>
      </c>
      <c r="G2604" s="1" t="s">
        <v>18</v>
      </c>
      <c r="H2604" s="1" t="s">
        <v>19</v>
      </c>
      <c r="I2604" s="1" t="s">
        <v>20</v>
      </c>
      <c r="J2604" s="1" t="s">
        <v>11943</v>
      </c>
      <c r="K2604" s="1" t="s">
        <v>22</v>
      </c>
      <c r="L2604" s="1" t="str">
        <f>HYPERLINK("https://files.afu.se/Downloads/Transcripts/0%20-%20Government/USA%20-%20NASA/2014 02 28 - NASA - NASA JAXA Global Precipitation Measurement Mission Launches from Japan with Post Launch Comments_wIHmBqNgLWE - transcript (automated).pdf","Transcript Link")</f>
        <v>Transcript Link</v>
      </c>
      <c r="M2604" s="2" t="str">
        <f>HYPERLINK("https://files.afu.se/Downloads/Transcripts/0%20-%20Government/USA%20-%20NASA/2014 02 28 - NASA - NASA JAXA Global Precipitation Measurement Mission Launches from Japan with Post Launch Comments_wIHmBqNgLWE - transcript (automated).pdf","Transcript Link")</f>
        <v>Transcript Link</v>
      </c>
    </row>
    <row r="2605" ht="165" spans="1:13">
      <c r="A2605" s="1" t="s">
        <v>11939</v>
      </c>
      <c r="B2605" s="1" t="s">
        <v>13</v>
      </c>
      <c r="C2605" s="4" t="s">
        <v>11944</v>
      </c>
      <c r="D2605" s="1" t="s">
        <v>11945</v>
      </c>
      <c r="E2605" s="1" t="s">
        <v>11946</v>
      </c>
      <c r="F2605" s="4" t="s">
        <v>17</v>
      </c>
      <c r="G2605" s="1" t="s">
        <v>18</v>
      </c>
      <c r="H2605" s="1" t="s">
        <v>19</v>
      </c>
      <c r="I2605" s="1" t="s">
        <v>20</v>
      </c>
      <c r="J2605" s="1" t="s">
        <v>11947</v>
      </c>
      <c r="K2605" s="1" t="s">
        <v>22</v>
      </c>
      <c r="L2605" s="1" t="str">
        <f>HYPERLINK("https://files.afu.se/Downloads/Transcripts/0%20-%20Government/USA%20-%20NASA/2014 02 28 - NASA - 2014 NASA African-American History Month Profile  Kelvin Manning, Kennedy Space Center_ZG17eAAUwDQ - transcript (automated).pdf","Transcript Link")</f>
        <v>Transcript Link</v>
      </c>
      <c r="M2605" s="2" t="str">
        <f>HYPERLINK("https://files.afu.se/Downloads/Transcripts/0%20-%20Government/USA%20-%20NASA/2014 02 28 - NASA - 2014 NASA African-American History Month Profile  Kelvin Manning, Kennedy Space Center_ZG17eAAUwDQ - transcript (automated).pdf","Transcript Link")</f>
        <v>Transcript Link</v>
      </c>
    </row>
    <row r="2606" ht="180" spans="1:13">
      <c r="A2606" s="1" t="s">
        <v>11939</v>
      </c>
      <c r="B2606" s="1" t="s">
        <v>13</v>
      </c>
      <c r="C2606" s="4" t="s">
        <v>11948</v>
      </c>
      <c r="D2606" s="1" t="s">
        <v>11949</v>
      </c>
      <c r="E2606" s="1" t="s">
        <v>11950</v>
      </c>
      <c r="F2606" s="4" t="s">
        <v>17</v>
      </c>
      <c r="G2606" s="1" t="s">
        <v>18</v>
      </c>
      <c r="H2606" s="1" t="s">
        <v>19</v>
      </c>
      <c r="I2606" s="1" t="s">
        <v>20</v>
      </c>
      <c r="J2606" s="1" t="s">
        <v>11951</v>
      </c>
      <c r="K2606" s="1" t="s">
        <v>22</v>
      </c>
      <c r="L2606" s="1" t="str">
        <f>HYPERLINK("https://files.afu.se/Downloads/Transcripts/0%20-%20Government/USA%20-%20NASA/2014 02 28 - NASA - Global Precipitation Satellite Launched on This Week @NASA_0owqQm_LqXQ - transcript (automated).pdf","Transcript Link")</f>
        <v>Transcript Link</v>
      </c>
      <c r="M2606" s="2" t="str">
        <f>HYPERLINK("https://files.afu.se/Downloads/Transcripts/0%20-%20Government/USA%20-%20NASA/2014 02 28 - NASA - Global Precipitation Satellite Launched on This Week @NASA_0owqQm_LqXQ - transcript (automated).pdf","Transcript Link")</f>
        <v>Transcript Link</v>
      </c>
    </row>
    <row r="2607" ht="165" spans="1:13">
      <c r="A2607" s="1" t="s">
        <v>11939</v>
      </c>
      <c r="B2607" s="1" t="s">
        <v>13</v>
      </c>
      <c r="C2607" s="4" t="s">
        <v>11952</v>
      </c>
      <c r="D2607" s="1" t="s">
        <v>11953</v>
      </c>
      <c r="E2607" s="1" t="s">
        <v>11954</v>
      </c>
      <c r="F2607" s="4" t="s">
        <v>17</v>
      </c>
      <c r="G2607" s="1" t="s">
        <v>18</v>
      </c>
      <c r="H2607" s="1" t="s">
        <v>19</v>
      </c>
      <c r="I2607" s="1" t="s">
        <v>20</v>
      </c>
      <c r="J2607" s="1" t="s">
        <v>11955</v>
      </c>
      <c r="K2607" s="1" t="s">
        <v>22</v>
      </c>
      <c r="L2607" s="1" t="str">
        <f>HYPERLINK("https://files.afu.se/Downloads/Transcripts/0%20-%20Government/USA%20-%20NASA/2014 02 28 - NASA - International Space Station Crew Discusses Life in Space with Missouri Students_VxcCDaJV_Bw - transcript (automated).pdf","Transcript Link")</f>
        <v>Transcript Link</v>
      </c>
      <c r="M2607" s="2" t="str">
        <f>HYPERLINK("https://files.afu.se/Downloads/Transcripts/0%20-%20Government/USA%20-%20NASA/2014 02 28 - NASA - International Space Station Crew Discusses Life in Space with Missouri Students_VxcCDaJV_Bw - transcript (automated).pdf","Transcript Link")</f>
        <v>Transcript Link</v>
      </c>
    </row>
    <row r="2608" ht="240" spans="1:13">
      <c r="A2608" s="1" t="s">
        <v>11939</v>
      </c>
      <c r="B2608" s="1" t="s">
        <v>13</v>
      </c>
      <c r="C2608" s="4" t="s">
        <v>11956</v>
      </c>
      <c r="D2608" s="1" t="s">
        <v>11957</v>
      </c>
      <c r="E2608" s="1" t="s">
        <v>11958</v>
      </c>
      <c r="F2608" s="4" t="s">
        <v>17</v>
      </c>
      <c r="G2608" s="1" t="s">
        <v>18</v>
      </c>
      <c r="H2608" s="1" t="s">
        <v>19</v>
      </c>
      <c r="I2608" s="1" t="s">
        <v>20</v>
      </c>
      <c r="J2608" s="1" t="s">
        <v>11959</v>
      </c>
      <c r="K2608" s="1" t="s">
        <v>22</v>
      </c>
      <c r="L2608" s="1" t="str">
        <f>HYPERLINK("https://files.afu.se/Downloads/Transcripts/0%20-%20Government/USA%20-%20NASA/2014 02 28 - NASA - NASA and the Japanese Aerospace Agency Launch GPM Satellite_T59o2XbNr0A - transcript (automated).pdf","Transcript Link")</f>
        <v>Transcript Link</v>
      </c>
      <c r="M2608" s="2" t="str">
        <f>HYPERLINK("https://files.afu.se/Downloads/Transcripts/0%20-%20Government/USA%20-%20NASA/2014 02 28 - NASA - NASA and the Japanese Aerospace Agency Launch GPM Satellite_T59o2XbNr0A - transcript (automated).pdf","Transcript Link")</f>
        <v>Transcript Link</v>
      </c>
    </row>
    <row r="2609" ht="165" spans="1:13">
      <c r="A2609" s="1" t="s">
        <v>11960</v>
      </c>
      <c r="B2609" s="1" t="s">
        <v>13</v>
      </c>
      <c r="C2609" s="4" t="s">
        <v>11961</v>
      </c>
      <c r="D2609" s="1" t="s">
        <v>11962</v>
      </c>
      <c r="E2609" s="1" t="s">
        <v>11963</v>
      </c>
      <c r="F2609" s="4" t="s">
        <v>17</v>
      </c>
      <c r="G2609" s="1" t="s">
        <v>18</v>
      </c>
      <c r="H2609" s="1" t="s">
        <v>19</v>
      </c>
      <c r="I2609" s="1" t="s">
        <v>20</v>
      </c>
      <c r="J2609" s="1" t="s">
        <v>11964</v>
      </c>
      <c r="K2609" s="1" t="s">
        <v>22</v>
      </c>
      <c r="L2609" s="1" t="str">
        <f>HYPERLINK("https://files.afu.se/Downloads/Transcripts/0%20-%20Government/USA%20-%20NASA/2014 02 27 - NASA - International Space Station Crew Discusses Life in Space with Temple University_520rGlmh2X4 - transcript (automated).pdf","Transcript Link")</f>
        <v>Transcript Link</v>
      </c>
      <c r="M2609" s="2" t="str">
        <f>HYPERLINK("https://files.afu.se/Downloads/Transcripts/0%20-%20Government/USA%20-%20NASA/2014 02 27 - NASA - International Space Station Crew Discusses Life in Space with Temple University_520rGlmh2X4 - transcript (automated).pdf","Transcript Link")</f>
        <v>Transcript Link</v>
      </c>
    </row>
    <row r="2610" ht="165" spans="1:13">
      <c r="A2610" s="1" t="s">
        <v>11965</v>
      </c>
      <c r="B2610" s="1" t="s">
        <v>13</v>
      </c>
      <c r="C2610" s="4" t="s">
        <v>11966</v>
      </c>
      <c r="D2610" s="1" t="s">
        <v>11967</v>
      </c>
      <c r="E2610" s="1" t="s">
        <v>11968</v>
      </c>
      <c r="F2610" s="4" t="s">
        <v>17</v>
      </c>
      <c r="G2610" s="1" t="s">
        <v>18</v>
      </c>
      <c r="H2610" s="1" t="s">
        <v>19</v>
      </c>
      <c r="I2610" s="1" t="s">
        <v>20</v>
      </c>
      <c r="J2610" s="1" t="s">
        <v>11969</v>
      </c>
      <c r="K2610" s="1" t="s">
        <v>22</v>
      </c>
      <c r="L2610" s="1" t="str">
        <f>HYPERLINK("https://files.afu.se/Downloads/Transcripts/0%20-%20Government/USA%20-%20NASA/2014 02 26 - NASA - 2014 NASA African-American History Month Profile  Adrianne Ragan, Stennis Space Center_WtoReFMPAfU - transcript (automated).pdf","Transcript Link")</f>
        <v>Transcript Link</v>
      </c>
      <c r="M2610" s="2" t="str">
        <f>HYPERLINK("https://files.afu.se/Downloads/Transcripts/0%20-%20Government/USA%20-%20NASA/2014 02 26 - NASA - 2014 NASA African-American History Month Profile  Adrianne Ragan, Stennis Space Center_WtoReFMPAfU - transcript (automated).pdf","Transcript Link")</f>
        <v>Transcript Link</v>
      </c>
    </row>
    <row r="2611" ht="165" spans="1:13">
      <c r="A2611" s="1" t="s">
        <v>11965</v>
      </c>
      <c r="B2611" s="1" t="s">
        <v>13</v>
      </c>
      <c r="C2611" s="4" t="s">
        <v>11970</v>
      </c>
      <c r="D2611" s="1" t="s">
        <v>11971</v>
      </c>
      <c r="E2611" s="1" t="s">
        <v>11972</v>
      </c>
      <c r="F2611" s="4" t="s">
        <v>17</v>
      </c>
      <c r="G2611" s="1" t="s">
        <v>18</v>
      </c>
      <c r="H2611" s="1" t="s">
        <v>19</v>
      </c>
      <c r="I2611" s="1" t="s">
        <v>20</v>
      </c>
      <c r="J2611" s="1" t="s">
        <v>11973</v>
      </c>
      <c r="K2611" s="1" t="s">
        <v>22</v>
      </c>
      <c r="L2611" s="1" t="str">
        <f>HYPERLINK("https://files.afu.se/Downloads/Transcripts/0%20-%20Government/USA%20-%20NASA/2014 02 26 - NASA - International Space Station Crew Discusses Life in Space with Chicago Media_d2KP767-Reo - transcript (automated).pdf","Transcript Link")</f>
        <v>Transcript Link</v>
      </c>
      <c r="M2611" s="2" t="str">
        <f>HYPERLINK("https://files.afu.se/Downloads/Transcripts/0%20-%20Government/USA%20-%20NASA/2014 02 26 - NASA - International Space Station Crew Discusses Life in Space with Chicago Media_d2KP767-Reo - transcript (automated).pdf","Transcript Link")</f>
        <v>Transcript Link</v>
      </c>
    </row>
    <row r="2612" ht="195" spans="1:13">
      <c r="A2612" s="1" t="s">
        <v>11974</v>
      </c>
      <c r="B2612" s="1" t="s">
        <v>13</v>
      </c>
      <c r="C2612" s="4" t="s">
        <v>11975</v>
      </c>
      <c r="D2612" s="1" t="s">
        <v>11976</v>
      </c>
      <c r="E2612" s="1" t="s">
        <v>11977</v>
      </c>
      <c r="F2612" s="4" t="s">
        <v>17</v>
      </c>
      <c r="G2612" s="1" t="s">
        <v>18</v>
      </c>
      <c r="H2612" s="1" t="s">
        <v>19</v>
      </c>
      <c r="I2612" s="1" t="s">
        <v>20</v>
      </c>
      <c r="J2612" s="1" t="s">
        <v>11978</v>
      </c>
      <c r="K2612" s="1" t="s">
        <v>22</v>
      </c>
      <c r="L2612" s="1" t="str">
        <f>HYPERLINK("https://files.afu.se/Downloads/Transcripts/0%20-%20Government/USA%20-%20NASA/2014 02 24 - NASA - Space Station astronauts  %23LetsMove_20Ic-f4ab6k - transcript (automated).pdf","Transcript Link")</f>
        <v>Transcript Link</v>
      </c>
      <c r="M2612" s="2" t="str">
        <f>HYPERLINK("https://files.afu.se/Downloads/Transcripts/0%20-%20Government/USA%20-%20NASA/2014 02 24 - NASA - Space Station astronauts  %23LetsMove_20Ic-f4ab6k - transcript (automated).pdf","Transcript Link")</f>
        <v>Transcript Link</v>
      </c>
    </row>
    <row r="2613" ht="165" spans="1:13">
      <c r="A2613" s="1" t="s">
        <v>11979</v>
      </c>
      <c r="B2613" s="1" t="s">
        <v>13</v>
      </c>
      <c r="C2613" s="4" t="s">
        <v>11980</v>
      </c>
      <c r="D2613" s="1" t="s">
        <v>11981</v>
      </c>
      <c r="E2613" s="1" t="s">
        <v>11982</v>
      </c>
      <c r="F2613" s="4" t="s">
        <v>17</v>
      </c>
      <c r="G2613" s="1" t="s">
        <v>18</v>
      </c>
      <c r="H2613" s="1" t="s">
        <v>19</v>
      </c>
      <c r="I2613" s="1" t="s">
        <v>20</v>
      </c>
      <c r="J2613" s="1" t="s">
        <v>11983</v>
      </c>
      <c r="K2613" s="1" t="s">
        <v>22</v>
      </c>
      <c r="L2613" s="1" t="str">
        <f>HYPERLINK("https://files.afu.se/Downloads/Transcripts/0%20-%20Government/USA%20-%20NASA/2014 02 21 - NASA - Cygnus Released on This Week @NASA_wqTTjOw2Ba0 - transcript (automated).pdf","Transcript Link")</f>
        <v>Transcript Link</v>
      </c>
      <c r="M2613" s="2" t="str">
        <f>HYPERLINK("https://files.afu.se/Downloads/Transcripts/0%20-%20Government/USA%20-%20NASA/2014 02 21 - NASA - Cygnus Released on This Week @NASA_wqTTjOw2Ba0 - transcript (automated).pdf","Transcript Link")</f>
        <v>Transcript Link</v>
      </c>
    </row>
    <row r="2614" ht="165" spans="1:13">
      <c r="A2614" s="1" t="s">
        <v>11984</v>
      </c>
      <c r="B2614" s="1" t="s">
        <v>13</v>
      </c>
      <c r="C2614" s="4" t="s">
        <v>11985</v>
      </c>
      <c r="D2614" s="1" t="s">
        <v>11986</v>
      </c>
      <c r="E2614" s="1" t="s">
        <v>11987</v>
      </c>
      <c r="F2614" s="4" t="s">
        <v>17</v>
      </c>
      <c r="G2614" s="1" t="s">
        <v>18</v>
      </c>
      <c r="H2614" s="1" t="s">
        <v>19</v>
      </c>
      <c r="I2614" s="1" t="s">
        <v>20</v>
      </c>
      <c r="J2614" s="1" t="s">
        <v>11988</v>
      </c>
      <c r="K2614" s="1" t="s">
        <v>22</v>
      </c>
      <c r="L2614" s="1" t="str">
        <f>HYPERLINK("https://files.afu.se/Downloads/Transcripts/0%20-%20Government/USA%20-%20NASA/2014 02 20 - NASA - L A  students get glimpse of life in space from Space Station crew_4z1waG80X8E - transcript (automated).pdf","Transcript Link")</f>
        <v>Transcript Link</v>
      </c>
      <c r="M2614" s="2" t="str">
        <f>HYPERLINK("https://files.afu.se/Downloads/Transcripts/0%20-%20Government/USA%20-%20NASA/2014 02 20 - NASA - L A  students get glimpse of life in space from Space Station crew_4z1waG80X8E - transcript (automated).pdf","Transcript Link")</f>
        <v>Transcript Link</v>
      </c>
    </row>
    <row r="2615" ht="165" spans="1:13">
      <c r="A2615" s="1" t="s">
        <v>11989</v>
      </c>
      <c r="B2615" s="1" t="s">
        <v>13</v>
      </c>
      <c r="C2615" s="4" t="s">
        <v>11990</v>
      </c>
      <c r="D2615" s="1" t="s">
        <v>11991</v>
      </c>
      <c r="E2615" s="1" t="s">
        <v>11992</v>
      </c>
      <c r="F2615" s="4" t="s">
        <v>17</v>
      </c>
      <c r="G2615" s="1" t="s">
        <v>18</v>
      </c>
      <c r="H2615" s="1" t="s">
        <v>19</v>
      </c>
      <c r="I2615" s="1" t="s">
        <v>20</v>
      </c>
      <c r="J2615" s="1" t="s">
        <v>11993</v>
      </c>
      <c r="K2615" s="1" t="s">
        <v>22</v>
      </c>
      <c r="L2615" s="1" t="str">
        <f>HYPERLINK("https://files.afu.se/Downloads/Transcripts/0%20-%20Government/USA%20-%20NASA/2014 02 19 - NASA - Space Station astronauts talk with ABC News_bm5OrnXQk4U - transcript (automated).pdf","Transcript Link")</f>
        <v>Transcript Link</v>
      </c>
      <c r="M2615" s="2" t="str">
        <f>HYPERLINK("https://files.afu.se/Downloads/Transcripts/0%20-%20Government/USA%20-%20NASA/2014 02 19 - NASA - Space Station astronauts talk with ABC News_bm5OrnXQk4U - transcript (automated).pdf","Transcript Link")</f>
        <v>Transcript Link</v>
      </c>
    </row>
    <row r="2616" ht="165" spans="1:13">
      <c r="A2616" s="1" t="s">
        <v>11994</v>
      </c>
      <c r="B2616" s="1" t="s">
        <v>13</v>
      </c>
      <c r="C2616" s="4" t="s">
        <v>11995</v>
      </c>
      <c r="D2616" s="1" t="s">
        <v>11996</v>
      </c>
      <c r="E2616" s="1" t="s">
        <v>11997</v>
      </c>
      <c r="F2616" s="4" t="s">
        <v>17</v>
      </c>
      <c r="G2616" s="1" t="s">
        <v>18</v>
      </c>
      <c r="H2616" s="1" t="s">
        <v>19</v>
      </c>
      <c r="I2616" s="1" t="s">
        <v>20</v>
      </c>
      <c r="J2616" s="1" t="s">
        <v>11998</v>
      </c>
      <c r="K2616" s="1" t="s">
        <v>22</v>
      </c>
      <c r="L2616" s="1" t="str">
        <f>HYPERLINK("https://files.afu.se/Downloads/Transcripts/0%20-%20Government/USA%20-%20NASA/2014 02 18 - NASA - U.S. resupply ship released from ISS_JFWKe-7XNL4 - transcript (automated).pdf","Transcript Link")</f>
        <v>Transcript Link</v>
      </c>
      <c r="M2616" s="2" t="str">
        <f>HYPERLINK("https://files.afu.se/Downloads/Transcripts/0%20-%20Government/USA%20-%20NASA/2014 02 18 - NASA - U.S. resupply ship released from ISS_JFWKe-7XNL4 - transcript (automated).pdf","Transcript Link")</f>
        <v>Transcript Link</v>
      </c>
    </row>
    <row r="2617" ht="165" spans="1:13">
      <c r="A2617" s="1" t="s">
        <v>11994</v>
      </c>
      <c r="B2617" s="1" t="s">
        <v>13</v>
      </c>
      <c r="C2617" s="4" t="s">
        <v>11999</v>
      </c>
      <c r="D2617" s="1" t="s">
        <v>12000</v>
      </c>
      <c r="E2617" s="1" t="s">
        <v>12001</v>
      </c>
      <c r="F2617" s="4" t="s">
        <v>17</v>
      </c>
      <c r="G2617" s="1" t="s">
        <v>18</v>
      </c>
      <c r="H2617" s="1" t="s">
        <v>19</v>
      </c>
      <c r="I2617" s="1" t="s">
        <v>20</v>
      </c>
      <c r="J2617" s="1" t="s">
        <v>12002</v>
      </c>
      <c r="K2617" s="1" t="s">
        <v>22</v>
      </c>
      <c r="L2617" s="1" t="str">
        <f>HYPERLINK("https://files.afu.se/Downloads/Transcripts/0%20-%20Government/USA%20-%20NASA/2014 02 18 - NASA - New Agreement Signed on This Week @NASA_ju1JWM0O2sY - transcript (automated).pdf","Transcript Link")</f>
        <v>Transcript Link</v>
      </c>
      <c r="M2617" s="2" t="str">
        <f>HYPERLINK("https://files.afu.se/Downloads/Transcripts/0%20-%20Government/USA%20-%20NASA/2014 02 18 - NASA - New Agreement Signed on This Week @NASA_ju1JWM0O2sY - transcript (automated).pdf","Transcript Link")</f>
        <v>Transcript Link</v>
      </c>
    </row>
    <row r="2618" ht="285" spans="1:13">
      <c r="A2618" s="1" t="s">
        <v>12003</v>
      </c>
      <c r="B2618" s="1" t="s">
        <v>13</v>
      </c>
      <c r="C2618" s="4" t="s">
        <v>12004</v>
      </c>
      <c r="D2618" s="1" t="s">
        <v>12005</v>
      </c>
      <c r="E2618" s="1" t="s">
        <v>12006</v>
      </c>
      <c r="F2618" s="4" t="s">
        <v>17</v>
      </c>
      <c r="G2618" s="1" t="s">
        <v>18</v>
      </c>
      <c r="H2618" s="1" t="s">
        <v>19</v>
      </c>
      <c r="I2618" s="1" t="s">
        <v>20</v>
      </c>
      <c r="J2618" s="1" t="s">
        <v>12007</v>
      </c>
      <c r="K2618" s="1" t="s">
        <v>22</v>
      </c>
      <c r="L2618" s="1" t="str">
        <f>HYPERLINK("https://files.afu.se/Downloads/Transcripts/0%20-%20Government/USA%20-%20NASA/2014 02 14 - NASA - NASA Mars Curiosity Rover Report -- February 14, 2014_eiTgn5f7-CY - transcript (automated).pdf","Transcript Link")</f>
        <v>Transcript Link</v>
      </c>
      <c r="M2618" s="2" t="str">
        <f>HYPERLINK("https://files.afu.se/Downloads/Transcripts/0%20-%20Government/USA%20-%20NASA/2014 02 14 - NASA - NASA Mars Curiosity Rover Report -- February 14, 2014_eiTgn5f7-CY - transcript (automated).pdf","Transcript Link")</f>
        <v>Transcript Link</v>
      </c>
    </row>
    <row r="2619" ht="165" spans="1:13">
      <c r="A2619" s="1" t="s">
        <v>12003</v>
      </c>
      <c r="B2619" s="1" t="s">
        <v>13</v>
      </c>
      <c r="C2619" s="4" t="s">
        <v>12008</v>
      </c>
      <c r="D2619" s="1" t="s">
        <v>12009</v>
      </c>
      <c r="E2619" s="1" t="s">
        <v>12010</v>
      </c>
      <c r="F2619" s="4" t="s">
        <v>17</v>
      </c>
      <c r="G2619" s="1" t="s">
        <v>18</v>
      </c>
      <c r="H2619" s="1" t="s">
        <v>19</v>
      </c>
      <c r="I2619" s="1" t="s">
        <v>20</v>
      </c>
      <c r="J2619" s="1" t="s">
        <v>12011</v>
      </c>
      <c r="K2619" s="1" t="s">
        <v>22</v>
      </c>
      <c r="L2619" s="1" t="str">
        <f>HYPERLINK("https://files.afu.se/Downloads/Transcripts/0%20-%20Government/USA%20-%20NASA/2014 02 14 - NASA - 2014 NASA African-American History Month Profile  Charles Doxley, Glenn Research Center_YqTDc_aNfII - transcript (automated).pdf","Transcript Link")</f>
        <v>Transcript Link</v>
      </c>
      <c r="M2619" s="2" t="str">
        <f>HYPERLINK("https://files.afu.se/Downloads/Transcripts/0%20-%20Government/USA%20-%20NASA/2014 02 14 - NASA - 2014 NASA African-American History Month Profile  Charles Doxley, Glenn Research Center_YqTDc_aNfII - transcript (automated).pdf","Transcript Link")</f>
        <v>Transcript Link</v>
      </c>
    </row>
    <row r="2620" ht="300" spans="1:13">
      <c r="A2620" s="1" t="s">
        <v>12003</v>
      </c>
      <c r="B2620" s="1" t="s">
        <v>13</v>
      </c>
      <c r="C2620" s="4" t="s">
        <v>12012</v>
      </c>
      <c r="D2620" s="1" t="s">
        <v>12013</v>
      </c>
      <c r="E2620" s="1" t="s">
        <v>12014</v>
      </c>
      <c r="F2620" s="4" t="s">
        <v>17</v>
      </c>
      <c r="G2620" s="1" t="s">
        <v>18</v>
      </c>
      <c r="H2620" s="1" t="s">
        <v>19</v>
      </c>
      <c r="I2620" s="1" t="s">
        <v>20</v>
      </c>
      <c r="J2620" s="1" t="s">
        <v>12015</v>
      </c>
      <c r="K2620" s="1" t="s">
        <v>22</v>
      </c>
      <c r="L2620" s="1" t="str">
        <f>HYPERLINK("https://files.afu.se/Downloads/Transcripts/0%20-%20Government/USA%20-%20NASA/2014 02 14 - NASA - ISS Mission Control Console Interviews Space Station Manger Ginger Kerrick_vSa_zRCxfnA - transcript (automated).pdf","Transcript Link")</f>
        <v>Transcript Link</v>
      </c>
      <c r="M2620" s="2" t="str">
        <f>HYPERLINK("https://files.afu.se/Downloads/Transcripts/0%20-%20Government/USA%20-%20NASA/2014 02 14 - NASA - ISS Mission Control Console Interviews Space Station Manger Ginger Kerrick_vSa_zRCxfnA - transcript (automated).pdf","Transcript Link")</f>
        <v>Transcript Link</v>
      </c>
    </row>
    <row r="2621" ht="165" spans="1:13">
      <c r="A2621" s="1" t="s">
        <v>12003</v>
      </c>
      <c r="B2621" s="1" t="s">
        <v>13</v>
      </c>
      <c r="C2621" s="4" t="s">
        <v>12016</v>
      </c>
      <c r="D2621" s="1" t="s">
        <v>12017</v>
      </c>
      <c r="E2621" s="1" t="s">
        <v>12018</v>
      </c>
      <c r="F2621" s="4" t="s">
        <v>17</v>
      </c>
      <c r="G2621" s="1" t="s">
        <v>18</v>
      </c>
      <c r="H2621" s="1" t="s">
        <v>19</v>
      </c>
      <c r="I2621" s="1" t="s">
        <v>20</v>
      </c>
      <c r="J2621" s="1" t="s">
        <v>12019</v>
      </c>
      <c r="K2621" s="1" t="s">
        <v>22</v>
      </c>
      <c r="L2621" s="1" t="str">
        <f>HYPERLINK("https://files.afu.se/Downloads/Transcripts/0%20-%20Government/USA%20-%20NASA/2014 02 14 - NASA - NASA's Space Station Crew Discusses Life in Space with Homestate Media_Y-Z0iqR-yQQ - transcript (automated).pdf","Transcript Link")</f>
        <v>Transcript Link</v>
      </c>
      <c r="M2621" s="2" t="str">
        <f>HYPERLINK("https://files.afu.se/Downloads/Transcripts/0%20-%20Government/USA%20-%20NASA/2014 02 14 - NASA - NASA's Space Station Crew Discusses Life in Space with Homestate Media_Y-Z0iqR-yQQ - transcript (automated).pdf","Transcript Link")</f>
        <v>Transcript Link</v>
      </c>
    </row>
    <row r="2622" ht="225" spans="1:13">
      <c r="A2622" s="1" t="s">
        <v>12020</v>
      </c>
      <c r="B2622" s="1" t="s">
        <v>13</v>
      </c>
      <c r="C2622" s="4" t="s">
        <v>12021</v>
      </c>
      <c r="D2622" s="1" t="s">
        <v>12022</v>
      </c>
      <c r="E2622" s="1" t="s">
        <v>12023</v>
      </c>
      <c r="F2622" s="4" t="s">
        <v>17</v>
      </c>
      <c r="G2622" s="1" t="s">
        <v>18</v>
      </c>
      <c r="H2622" s="1" t="s">
        <v>19</v>
      </c>
      <c r="I2622" s="1" t="s">
        <v>20</v>
      </c>
      <c r="J2622" s="1" t="s">
        <v>12024</v>
      </c>
      <c r="K2622" s="1" t="s">
        <v>22</v>
      </c>
      <c r="L2622" s="1" t="str">
        <f>HYPERLINK("https://files.afu.se/Downloads/Transcripts/0%20-%20Government/USA%20-%20NASA/2014 02 10 - NASA - Astronaut Mike Hopkins' %23Selfie is up for a Shorty Award_bGjfvtVQFSs - transcript (automated).pdf","Transcript Link")</f>
        <v>Transcript Link</v>
      </c>
      <c r="M2622" s="2" t="str">
        <f>HYPERLINK("https://files.afu.se/Downloads/Transcripts/0%20-%20Government/USA%20-%20NASA/2014 02 10 - NASA - Astronaut Mike Hopkins' %23Selfie is up for a Shorty Award_bGjfvtVQFSs - transcript (automated).pdf","Transcript Link")</f>
        <v>Transcript Link</v>
      </c>
    </row>
    <row r="2623" ht="195" spans="1:13">
      <c r="A2623" s="1" t="s">
        <v>12020</v>
      </c>
      <c r="B2623" s="1" t="s">
        <v>13</v>
      </c>
      <c r="C2623" s="4" t="s">
        <v>12025</v>
      </c>
      <c r="D2623" s="1" t="s">
        <v>12026</v>
      </c>
      <c r="E2623" s="1" t="s">
        <v>12027</v>
      </c>
      <c r="F2623" s="4" t="s">
        <v>17</v>
      </c>
      <c r="G2623" s="1" t="s">
        <v>18</v>
      </c>
      <c r="H2623" s="1" t="s">
        <v>19</v>
      </c>
      <c r="I2623" s="1" t="s">
        <v>20</v>
      </c>
      <c r="J2623" s="1" t="s">
        <v>12028</v>
      </c>
      <c r="K2623" s="1" t="s">
        <v>22</v>
      </c>
      <c r="L2623" s="1" t="str">
        <f>HYPERLINK("https://files.afu.se/Downloads/Transcripts/0%20-%20Government/USA%20-%20NASA/2014 02 10 - NASA - @NASA is up for a Shorty Award in %23Science_tSe_OmdCGLI - transcript (automated).pdf","Transcript Link")</f>
        <v>Transcript Link</v>
      </c>
      <c r="M2623" s="2" t="str">
        <f>HYPERLINK("https://files.afu.se/Downloads/Transcripts/0%20-%20Government/USA%20-%20NASA/2014 02 10 - NASA - @NASA is up for a Shorty Award in %23Science_tSe_OmdCGLI - transcript (automated).pdf","Transcript Link")</f>
        <v>Transcript Link</v>
      </c>
    </row>
    <row r="2624" ht="180" spans="1:13">
      <c r="A2624" s="1" t="s">
        <v>12029</v>
      </c>
      <c r="B2624" s="1" t="s">
        <v>13</v>
      </c>
      <c r="C2624" s="4" t="s">
        <v>12030</v>
      </c>
      <c r="D2624" s="1" t="s">
        <v>12031</v>
      </c>
      <c r="E2624" s="1" t="s">
        <v>12032</v>
      </c>
      <c r="F2624" s="4" t="s">
        <v>17</v>
      </c>
      <c r="G2624" s="1" t="s">
        <v>18</v>
      </c>
      <c r="H2624" s="1" t="s">
        <v>19</v>
      </c>
      <c r="I2624" s="1" t="s">
        <v>20</v>
      </c>
      <c r="J2624" s="1" t="s">
        <v>12033</v>
      </c>
      <c r="K2624" s="1" t="s">
        <v>22</v>
      </c>
      <c r="L2624" s="1" t="str">
        <f>HYPERLINK("https://files.afu.se/Downloads/Transcripts/0%20-%20Government/USA%20-%20NASA/2014 02 07 - NASA - Webb Telescope's progress on This Week @NASA_JCRv34_hNUs - transcript (automated).pdf","Transcript Link")</f>
        <v>Transcript Link</v>
      </c>
      <c r="M2624" s="2" t="str">
        <f>HYPERLINK("https://files.afu.se/Downloads/Transcripts/0%20-%20Government/USA%20-%20NASA/2014 02 07 - NASA - Webb Telescope's progress on This Week @NASA_JCRv34_hNUs - transcript (automated).pdf","Transcript Link")</f>
        <v>Transcript Link</v>
      </c>
    </row>
    <row r="2625" ht="165" spans="1:13">
      <c r="A2625" s="1" t="s">
        <v>12034</v>
      </c>
      <c r="B2625" s="1" t="s">
        <v>13</v>
      </c>
      <c r="C2625" s="4" t="s">
        <v>12035</v>
      </c>
      <c r="D2625" s="1" t="s">
        <v>12036</v>
      </c>
      <c r="E2625" s="1" t="s">
        <v>12037</v>
      </c>
      <c r="F2625" s="4" t="s">
        <v>17</v>
      </c>
      <c r="G2625" s="1" t="s">
        <v>18</v>
      </c>
      <c r="H2625" s="1" t="s">
        <v>19</v>
      </c>
      <c r="I2625" s="1" t="s">
        <v>20</v>
      </c>
      <c r="J2625" s="1" t="s">
        <v>12038</v>
      </c>
      <c r="K2625" s="1" t="s">
        <v>22</v>
      </c>
      <c r="L2625" s="1" t="str">
        <f>HYPERLINK("https://files.afu.se/Downloads/Transcripts/0%20-%20Government/USA%20-%20NASA/2014 02 06 - NASA - Olympic Torch Completes Longest Relay in History_lvjFxU0ncgo - transcript (automated).pdf","Transcript Link")</f>
        <v>Transcript Link</v>
      </c>
      <c r="M2625" s="2" t="str">
        <f>HYPERLINK("https://files.afu.se/Downloads/Transcripts/0%20-%20Government/USA%20-%20NASA/2014 02 06 - NASA - Olympic Torch Completes Longest Relay in History_lvjFxU0ncgo - transcript (automated).pdf","Transcript Link")</f>
        <v>Transcript Link</v>
      </c>
    </row>
    <row r="2626" ht="195" spans="1:13">
      <c r="A2626" s="1" t="s">
        <v>12039</v>
      </c>
      <c r="B2626" s="1" t="s">
        <v>13</v>
      </c>
      <c r="C2626" s="4" t="s">
        <v>12040</v>
      </c>
      <c r="D2626" s="1" t="s">
        <v>12041</v>
      </c>
      <c r="E2626" s="1" t="s">
        <v>12042</v>
      </c>
      <c r="F2626" s="4" t="s">
        <v>17</v>
      </c>
      <c r="G2626" s="1" t="s">
        <v>18</v>
      </c>
      <c r="H2626" s="1" t="s">
        <v>19</v>
      </c>
      <c r="I2626" s="1" t="s">
        <v>20</v>
      </c>
      <c r="J2626" s="1" t="s">
        <v>12043</v>
      </c>
      <c r="K2626" s="1" t="s">
        <v>22</v>
      </c>
      <c r="L2626" s="1" t="str">
        <f>HYPERLINK("https://files.afu.se/Downloads/Transcripts/0%20-%20Government/USA%20-%20NASA/2014 02 05 - NASA - New Space Station Cargo Ship Flies a Fast Track to Deliver Supplies_o1ict2T43Kw - transcript (automated).pdf","Transcript Link")</f>
        <v>Transcript Link</v>
      </c>
      <c r="M2626" s="2" t="str">
        <f>HYPERLINK("https://files.afu.se/Downloads/Transcripts/0%20-%20Government/USA%20-%20NASA/2014 02 05 - NASA - New Space Station Cargo Ship Flies a Fast Track to Deliver Supplies_o1ict2T43Kw - transcript (automated).pdf","Transcript Link")</f>
        <v>Transcript Link</v>
      </c>
    </row>
    <row r="2627" ht="195" spans="1:13">
      <c r="A2627" s="1" t="s">
        <v>12039</v>
      </c>
      <c r="B2627" s="1" t="s">
        <v>13</v>
      </c>
      <c r="C2627" s="4" t="s">
        <v>12044</v>
      </c>
      <c r="D2627" s="1" t="s">
        <v>12045</v>
      </c>
      <c r="E2627" s="1" t="s">
        <v>12046</v>
      </c>
      <c r="F2627" s="4" t="s">
        <v>17</v>
      </c>
      <c r="G2627" s="1" t="s">
        <v>18</v>
      </c>
      <c r="H2627" s="1" t="s">
        <v>19</v>
      </c>
      <c r="I2627" s="1" t="s">
        <v>20</v>
      </c>
      <c r="J2627" s="1" t="s">
        <v>12047</v>
      </c>
      <c r="K2627" s="1" t="s">
        <v>22</v>
      </c>
      <c r="L2627" s="1" t="str">
        <f>HYPERLINK("https://files.afu.se/Downloads/Transcripts/0%20-%20Government/USA%20-%20NASA/2014 02 05 - NASA - New Space Station Cargo Ship Launches from Kazakhstan_I7yLavo8vWk - transcript (automated).pdf","Transcript Link")</f>
        <v>Transcript Link</v>
      </c>
      <c r="M2627" s="2" t="str">
        <f>HYPERLINK("https://files.afu.se/Downloads/Transcripts/0%20-%20Government/USA%20-%20NASA/2014 02 05 - NASA - New Space Station Cargo Ship Launches from Kazakhstan_I7yLavo8vWk - transcript (automated).pdf","Transcript Link")</f>
        <v>Transcript Link</v>
      </c>
    </row>
    <row r="2628" ht="165" spans="1:13">
      <c r="A2628" s="1" t="s">
        <v>12048</v>
      </c>
      <c r="B2628" s="1" t="s">
        <v>13</v>
      </c>
      <c r="C2628" s="4" t="s">
        <v>12049</v>
      </c>
      <c r="D2628" s="1" t="s">
        <v>12050</v>
      </c>
      <c r="E2628" s="1" t="s">
        <v>12051</v>
      </c>
      <c r="F2628" s="4" t="s">
        <v>17</v>
      </c>
      <c r="G2628" s="1" t="s">
        <v>18</v>
      </c>
      <c r="H2628" s="1" t="s">
        <v>19</v>
      </c>
      <c r="I2628" s="1" t="s">
        <v>20</v>
      </c>
      <c r="J2628" s="1" t="s">
        <v>12052</v>
      </c>
      <c r="K2628" s="1" t="s">
        <v>22</v>
      </c>
      <c r="L2628" s="1" t="str">
        <f>HYPERLINK("https://files.afu.se/Downloads/Transcripts/0%20-%20Government/USA%20-%20NASA/2014 02 04 - NASA - Space Station Astronaut talks with his Alma Mater_bDpeOnxstyI - transcript (automated).pdf","Transcript Link")</f>
        <v>Transcript Link</v>
      </c>
      <c r="M2628" s="2" t="str">
        <f>HYPERLINK("https://files.afu.se/Downloads/Transcripts/0%20-%20Government/USA%20-%20NASA/2014 02 04 - NASA - Space Station Astronaut talks with his Alma Mater_bDpeOnxstyI - transcript (automated).pdf","Transcript Link")</f>
        <v>Transcript Link</v>
      </c>
    </row>
    <row r="2629" ht="165" spans="1:13">
      <c r="A2629" s="1" t="s">
        <v>12053</v>
      </c>
      <c r="B2629" s="1" t="s">
        <v>13</v>
      </c>
      <c r="C2629" s="4" t="s">
        <v>12054</v>
      </c>
      <c r="D2629" s="1" t="s">
        <v>12055</v>
      </c>
      <c r="E2629" s="1" t="s">
        <v>12056</v>
      </c>
      <c r="F2629" s="4" t="s">
        <v>17</v>
      </c>
      <c r="G2629" s="1" t="s">
        <v>18</v>
      </c>
      <c r="H2629" s="1" t="s">
        <v>19</v>
      </c>
      <c r="I2629" s="1" t="s">
        <v>20</v>
      </c>
      <c r="J2629" s="1" t="s">
        <v>12057</v>
      </c>
      <c r="K2629" s="1" t="s">
        <v>22</v>
      </c>
      <c r="L2629" s="1" t="str">
        <f>HYPERLINK("https://files.afu.se/Downloads/Transcripts/0%20-%20Government/USA%20-%20NASA/2014 02 03 - NASA - Russian Cargo Ship Leaves Space Station, Another on the Way_7ZYKsNs8KvY - transcript (automated).pdf","Transcript Link")</f>
        <v>Transcript Link</v>
      </c>
      <c r="M2629" s="2" t="str">
        <f>HYPERLINK("https://files.afu.se/Downloads/Transcripts/0%20-%20Government/USA%20-%20NASA/2014 02 03 - NASA - Russian Cargo Ship Leaves Space Station, Another on the Way_7ZYKsNs8KvY - transcript (automated).pdf","Transcript Link")</f>
        <v>Transcript Link</v>
      </c>
    </row>
    <row r="2630" ht="225" spans="1:13">
      <c r="A2630" s="1" t="s">
        <v>12053</v>
      </c>
      <c r="B2630" s="1" t="s">
        <v>13</v>
      </c>
      <c r="C2630" s="4" t="s">
        <v>12058</v>
      </c>
      <c r="D2630" s="1" t="s">
        <v>12059</v>
      </c>
      <c r="E2630" s="1" t="s">
        <v>12060</v>
      </c>
      <c r="F2630" s="4" t="s">
        <v>17</v>
      </c>
      <c r="G2630" s="1" t="s">
        <v>18</v>
      </c>
      <c r="H2630" s="1" t="s">
        <v>19</v>
      </c>
      <c r="I2630" s="1" t="s">
        <v>20</v>
      </c>
      <c r="J2630" s="1" t="s">
        <v>12061</v>
      </c>
      <c r="K2630" s="1" t="s">
        <v>22</v>
      </c>
      <c r="L2630" s="1" t="str">
        <f>HYPERLINK("https://files.afu.se/Downloads/Transcripts/0%20-%20Government/USA%20-%20NASA/2014 02 03 - NASA - NASA Highlights James Webb Space Telescope Progress_k6ve3E7O1Dk - transcript (automated).pdf","Transcript Link")</f>
        <v>Transcript Link</v>
      </c>
      <c r="M2630" s="2" t="str">
        <f>HYPERLINK("https://files.afu.se/Downloads/Transcripts/0%20-%20Government/USA%20-%20NASA/2014 02 03 - NASA - NASA Highlights James Webb Space Telescope Progress_k6ve3E7O1Dk - transcript (automated).pdf","Transcript Link")</f>
        <v>Transcript Link</v>
      </c>
    </row>
    <row r="2631" ht="165" spans="1:13">
      <c r="A2631" s="1" t="s">
        <v>12062</v>
      </c>
      <c r="B2631" s="1" t="s">
        <v>13</v>
      </c>
      <c r="C2631" s="4" t="s">
        <v>12063</v>
      </c>
      <c r="D2631" s="1" t="s">
        <v>12064</v>
      </c>
      <c r="E2631" s="1" t="s">
        <v>12065</v>
      </c>
      <c r="F2631" s="4" t="s">
        <v>17</v>
      </c>
      <c r="G2631" s="1" t="s">
        <v>18</v>
      </c>
      <c r="H2631" s="1" t="s">
        <v>19</v>
      </c>
      <c r="I2631" s="1" t="s">
        <v>20</v>
      </c>
      <c r="J2631" s="1" t="s">
        <v>12066</v>
      </c>
      <c r="K2631" s="1" t="s">
        <v>22</v>
      </c>
      <c r="L2631" s="1" t="str">
        <f>HYPERLINK("https://files.afu.se/Downloads/Transcripts/0%20-%20Government/USA%20-%20NASA/2014 01 31 - NASA - Astronaut Class in DC on This Week @NASA_3qxIg88qx_Y - transcript (automated).pdf","Transcript Link")</f>
        <v>Transcript Link</v>
      </c>
      <c r="M2631" s="2" t="str">
        <f>HYPERLINK("https://files.afu.se/Downloads/Transcripts/0%20-%20Government/USA%20-%20NASA/2014 01 31 - NASA - Astronaut Class in DC on This Week @NASA_3qxIg88qx_Y - transcript (automated).pdf","Transcript Link")</f>
        <v>Transcript Link</v>
      </c>
    </row>
    <row r="2632" ht="165" spans="1:13">
      <c r="A2632" s="1" t="s">
        <v>12062</v>
      </c>
      <c r="B2632" s="1" t="s">
        <v>13</v>
      </c>
      <c r="C2632" s="4" t="s">
        <v>12067</v>
      </c>
      <c r="D2632" s="1" t="s">
        <v>12068</v>
      </c>
      <c r="E2632" s="1" t="s">
        <v>12069</v>
      </c>
      <c r="F2632" s="4" t="s">
        <v>17</v>
      </c>
      <c r="G2632" s="1" t="s">
        <v>18</v>
      </c>
      <c r="H2632" s="1" t="s">
        <v>19</v>
      </c>
      <c r="I2632" s="1" t="s">
        <v>20</v>
      </c>
      <c r="J2632" s="1" t="s">
        <v>12070</v>
      </c>
      <c r="K2632" s="1" t="s">
        <v>22</v>
      </c>
      <c r="L2632" s="1" t="str">
        <f>HYPERLINK("https://files.afu.se/Downloads/Transcripts/0%20-%20Government/USA%20-%20NASA/2014 01 31 - NASA - 2014 NASA African-American History Month Profile  Bill Allen, JPL_7ZeHTkNjIxk - transcript (automated).pdf","Transcript Link")</f>
        <v>Transcript Link</v>
      </c>
      <c r="M2632" s="2" t="str">
        <f>HYPERLINK("https://files.afu.se/Downloads/Transcripts/0%20-%20Government/USA%20-%20NASA/2014 01 31 - NASA - 2014 NASA African-American History Month Profile  Bill Allen, JPL_7ZeHTkNjIxk - transcript (automated).pdf","Transcript Link")</f>
        <v>Transcript Link</v>
      </c>
    </row>
    <row r="2633" ht="165" spans="1:13">
      <c r="A2633" s="1" t="s">
        <v>12062</v>
      </c>
      <c r="B2633" s="1" t="s">
        <v>13</v>
      </c>
      <c r="C2633" s="4" t="s">
        <v>12071</v>
      </c>
      <c r="D2633" s="1" t="s">
        <v>12072</v>
      </c>
      <c r="E2633" s="1" t="s">
        <v>12073</v>
      </c>
      <c r="F2633" s="4" t="s">
        <v>17</v>
      </c>
      <c r="G2633" s="1" t="s">
        <v>18</v>
      </c>
      <c r="H2633" s="1" t="s">
        <v>19</v>
      </c>
      <c r="I2633" s="1" t="s">
        <v>20</v>
      </c>
      <c r="J2633" s="1" t="s">
        <v>12074</v>
      </c>
      <c r="K2633" s="1" t="s">
        <v>22</v>
      </c>
      <c r="L2633" s="1" t="str">
        <f>HYPERLINK("https://files.afu.se/Downloads/Transcripts/0%20-%20Government/USA%20-%20NASA/2014 01 31 - NASA - Space Station Crewmember Discusses Life in Space with the Media_GXv91UY4qJc - transcript (automated).pdf","Transcript Link")</f>
        <v>Transcript Link</v>
      </c>
      <c r="M2633" s="2" t="str">
        <f>HYPERLINK("https://files.afu.se/Downloads/Transcripts/0%20-%20Government/USA%20-%20NASA/2014 01 31 - NASA - Space Station Crewmember Discusses Life in Space with the Media_GXv91UY4qJc - transcript (automated).pdf","Transcript Link")</f>
        <v>Transcript Link</v>
      </c>
    </row>
    <row r="2634" ht="180" spans="1:13">
      <c r="A2634" s="1" t="s">
        <v>12075</v>
      </c>
      <c r="B2634" s="1" t="s">
        <v>13</v>
      </c>
      <c r="C2634" s="4" t="s">
        <v>12076</v>
      </c>
      <c r="D2634" s="1" t="s">
        <v>12077</v>
      </c>
      <c r="E2634" s="1" t="s">
        <v>12078</v>
      </c>
      <c r="F2634" s="4" t="s">
        <v>17</v>
      </c>
      <c r="G2634" s="1" t="s">
        <v>18</v>
      </c>
      <c r="H2634" s="1" t="s">
        <v>19</v>
      </c>
      <c r="I2634" s="1" t="s">
        <v>20</v>
      </c>
      <c r="J2634" s="1" t="s">
        <v>12079</v>
      </c>
      <c r="K2634" s="1" t="s">
        <v>22</v>
      </c>
      <c r="L2634" s="1" t="str">
        <f>HYPERLINK("https://files.afu.se/Downloads/Transcripts/0%20-%20Government/USA%20-%20NASA/2014 01 30 - NASA - Space Station Crew Discusses Life in Space with Astronaut Candidates, Students at Smithsonian_VcIl_XZxPPk - transcript (automated).pdf","Transcript Link")</f>
        <v>Transcript Link</v>
      </c>
      <c r="M2634" s="2" t="str">
        <f>HYPERLINK("https://files.afu.se/Downloads/Transcripts/0%20-%20Government/USA%20-%20NASA/2014 01 30 - NASA - Space Station Crew Discusses Life in Space with Astronaut Candidates, Students at Smithsonian_VcIl_XZxPPk - transcript (automated).pdf","Transcript Link")</f>
        <v>Transcript Link</v>
      </c>
    </row>
    <row r="2635" ht="405" spans="1:13">
      <c r="A2635" s="1" t="s">
        <v>12075</v>
      </c>
      <c r="B2635" s="1" t="s">
        <v>13</v>
      </c>
      <c r="C2635" s="4" t="s">
        <v>12080</v>
      </c>
      <c r="D2635" s="1" t="s">
        <v>12081</v>
      </c>
      <c r="E2635" s="1" t="s">
        <v>12082</v>
      </c>
      <c r="F2635" s="4" t="s">
        <v>17</v>
      </c>
      <c r="G2635" s="1" t="s">
        <v>18</v>
      </c>
      <c r="H2635" s="1" t="s">
        <v>19</v>
      </c>
      <c r="I2635" s="1" t="s">
        <v>20</v>
      </c>
      <c r="J2635" s="1" t="s">
        <v>12083</v>
      </c>
      <c r="K2635" s="1" t="s">
        <v>22</v>
      </c>
      <c r="L2635" s="1" t="str">
        <f>HYPERLINK("https://files.afu.se/Downloads/Transcripts/0%20-%20Government/USA%20-%20NASA/2014 01 30 - NASA - 2013 Astronaut Class Talks STEM at Smithsonian Air and Space Museum_7-iCm9S53Jo - transcript (automated).pdf","Transcript Link")</f>
        <v>Transcript Link</v>
      </c>
      <c r="M2635" s="2" t="str">
        <f>HYPERLINK("https://files.afu.se/Downloads/Transcripts/0%20-%20Government/USA%20-%20NASA/2014 01 30 - NASA - 2013 Astronaut Class Talks STEM at Smithsonian Air and Space Museum_7-iCm9S53Jo - transcript (automated).pdf","Transcript Link")</f>
        <v>Transcript Link</v>
      </c>
    </row>
    <row r="2636" ht="409.5" spans="1:13">
      <c r="A2636" s="1" t="s">
        <v>12084</v>
      </c>
      <c r="B2636" s="1" t="s">
        <v>13</v>
      </c>
      <c r="C2636" s="4" t="s">
        <v>12085</v>
      </c>
      <c r="D2636" s="1" t="s">
        <v>12086</v>
      </c>
      <c r="E2636" s="1" t="s">
        <v>12087</v>
      </c>
      <c r="F2636" s="4" t="s">
        <v>17</v>
      </c>
      <c r="G2636" s="1" t="s">
        <v>18</v>
      </c>
      <c r="H2636" s="1" t="s">
        <v>19</v>
      </c>
      <c r="I2636" s="1" t="s">
        <v>20</v>
      </c>
      <c r="J2636" s="1" t="s">
        <v>12088</v>
      </c>
      <c r="K2636" s="1" t="s">
        <v>22</v>
      </c>
      <c r="L2636" s="1" t="str">
        <f>HYPERLINK("https://files.afu.se/Downloads/Transcripts/0%20-%20Government/USA%20-%20NASA/2014 01 29 - NASA - NASA's 2013 Astronaut Class Attends White House STEM Event_txveqTAtmN8 - transcript (automated).pdf","Transcript Link")</f>
        <v>Transcript Link</v>
      </c>
      <c r="M2636" s="2" t="str">
        <f>HYPERLINK("https://files.afu.se/Downloads/Transcripts/0%20-%20Government/USA%20-%20NASA/2014 01 29 - NASA - NASA's 2013 Astronaut Class Attends White House STEM Event_txveqTAtmN8 - transcript (automated).pdf","Transcript Link")</f>
        <v>Transcript Link</v>
      </c>
    </row>
    <row r="2637" ht="390" spans="1:13">
      <c r="A2637" s="1" t="s">
        <v>12089</v>
      </c>
      <c r="B2637" s="1" t="s">
        <v>13</v>
      </c>
      <c r="C2637" s="4" t="s">
        <v>12090</v>
      </c>
      <c r="D2637" s="1" t="s">
        <v>12091</v>
      </c>
      <c r="E2637" s="1" t="s">
        <v>12092</v>
      </c>
      <c r="F2637" s="4" t="s">
        <v>17</v>
      </c>
      <c r="G2637" s="1" t="s">
        <v>18</v>
      </c>
      <c r="H2637" s="1" t="s">
        <v>19</v>
      </c>
      <c r="I2637" s="1" t="s">
        <v>20</v>
      </c>
      <c r="J2637" s="1" t="s">
        <v>12093</v>
      </c>
      <c r="K2637" s="1" t="s">
        <v>22</v>
      </c>
      <c r="L2637" s="1" t="str">
        <f>HYPERLINK("https://files.afu.se/Downloads/Transcripts/0%20-%20Government/USA%20-%20NASA/2014 01 27 - NASA - GPM Science Briefing_zcT3rhGOjU0 - transcript (automated).pdf","Transcript Link")</f>
        <v>Transcript Link</v>
      </c>
      <c r="M2637" s="2" t="str">
        <f>HYPERLINK("https://files.afu.se/Downloads/Transcripts/0%20-%20Government/USA%20-%20NASA/2014 01 27 - NASA - GPM Science Briefing_zcT3rhGOjU0 - transcript (automated).pdf","Transcript Link")</f>
        <v>Transcript Link</v>
      </c>
    </row>
    <row r="2638" ht="405" spans="1:13">
      <c r="A2638" s="1" t="s">
        <v>12089</v>
      </c>
      <c r="B2638" s="1" t="s">
        <v>13</v>
      </c>
      <c r="C2638" s="4" t="s">
        <v>12094</v>
      </c>
      <c r="D2638" s="1" t="s">
        <v>12095</v>
      </c>
      <c r="E2638" s="1" t="s">
        <v>12096</v>
      </c>
      <c r="F2638" s="4" t="s">
        <v>17</v>
      </c>
      <c r="G2638" s="1" t="s">
        <v>18</v>
      </c>
      <c r="H2638" s="1" t="s">
        <v>19</v>
      </c>
      <c r="I2638" s="1" t="s">
        <v>20</v>
      </c>
      <c r="J2638" s="1" t="s">
        <v>12097</v>
      </c>
      <c r="K2638" s="1" t="s">
        <v>22</v>
      </c>
      <c r="L2638" s="1" t="str">
        <f>HYPERLINK("https://files.afu.se/Downloads/Transcripts/0%20-%20Government/USA%20-%20NASA/2014 01 27 - NASA - GPM Mission Briefing_hiTyKTHt4GY - transcript (automated).pdf","Transcript Link")</f>
        <v>Transcript Link</v>
      </c>
      <c r="M2638" s="2" t="str">
        <f>HYPERLINK("https://files.afu.se/Downloads/Transcripts/0%20-%20Government/USA%20-%20NASA/2014 01 27 - NASA - GPM Mission Briefing_hiTyKTHt4GY - transcript (automated).pdf","Transcript Link")</f>
        <v>Transcript Link</v>
      </c>
    </row>
    <row r="2639" ht="180" spans="1:13">
      <c r="A2639" s="1" t="s">
        <v>12089</v>
      </c>
      <c r="B2639" s="1" t="s">
        <v>13</v>
      </c>
      <c r="C2639" s="4" t="s">
        <v>12098</v>
      </c>
      <c r="D2639" s="1" t="s">
        <v>12099</v>
      </c>
      <c r="E2639" s="1" t="s">
        <v>12100</v>
      </c>
      <c r="F2639" s="4" t="s">
        <v>17</v>
      </c>
      <c r="G2639" s="1" t="s">
        <v>18</v>
      </c>
      <c r="H2639" s="1" t="s">
        <v>19</v>
      </c>
      <c r="I2639" s="1" t="s">
        <v>20</v>
      </c>
      <c r="J2639" s="1" t="s">
        <v>12101</v>
      </c>
      <c r="K2639" s="1" t="s">
        <v>22</v>
      </c>
      <c r="L2639" s="1" t="str">
        <f>HYPERLINK("https://files.afu.se/Downloads/Transcripts/0%20-%20Government/USA%20-%20NASA/2014 01 27 - NASA - ISS Expedition 38 Russian Cosmonauts Install Cameras on EVA_MvjloNdraDc - transcript (automated).pdf","Transcript Link")</f>
        <v>Transcript Link</v>
      </c>
      <c r="M2639" s="2" t="str">
        <f>HYPERLINK("https://files.afu.se/Downloads/Transcripts/0%20-%20Government/USA%20-%20NASA/2014 01 27 - NASA - ISS Expedition 38 Russian Cosmonauts Install Cameras on EVA_MvjloNdraDc - transcript (automated).pdf","Transcript Link")</f>
        <v>Transcript Link</v>
      </c>
    </row>
    <row r="2640" ht="165" spans="1:13">
      <c r="A2640" s="1" t="s">
        <v>12102</v>
      </c>
      <c r="B2640" s="1" t="s">
        <v>13</v>
      </c>
      <c r="C2640" s="4" t="s">
        <v>12103</v>
      </c>
      <c r="D2640" s="1" t="s">
        <v>12104</v>
      </c>
      <c r="E2640" s="1" t="s">
        <v>12105</v>
      </c>
      <c r="F2640" s="4" t="s">
        <v>17</v>
      </c>
      <c r="G2640" s="1" t="s">
        <v>18</v>
      </c>
      <c r="H2640" s="1" t="s">
        <v>19</v>
      </c>
      <c r="I2640" s="1" t="s">
        <v>20</v>
      </c>
      <c r="J2640" s="1" t="s">
        <v>12106</v>
      </c>
      <c r="K2640" s="1" t="s">
        <v>22</v>
      </c>
      <c r="L2640" s="1" t="str">
        <f>HYPERLINK("https://files.afu.se/Downloads/Transcripts/0%20-%20Government/USA%20-%20NASA/2014 01 24 - NASA - TDRS-L launch on This Week @NASA_r8T00NbNqTs - transcript (automated).pdf","Transcript Link")</f>
        <v>Transcript Link</v>
      </c>
      <c r="M2640" s="2" t="str">
        <f>HYPERLINK("https://files.afu.se/Downloads/Transcripts/0%20-%20Government/USA%20-%20NASA/2014 01 24 - NASA - TDRS-L launch on This Week @NASA_r8T00NbNqTs - transcript (automated).pdf","Transcript Link")</f>
        <v>Transcript Link</v>
      </c>
    </row>
    <row r="2641" ht="195" spans="1:13">
      <c r="A2641" s="1" t="s">
        <v>12102</v>
      </c>
      <c r="B2641" s="1" t="s">
        <v>13</v>
      </c>
      <c r="C2641" s="4" t="s">
        <v>12107</v>
      </c>
      <c r="D2641" s="1" t="s">
        <v>12108</v>
      </c>
      <c r="E2641" s="1" t="s">
        <v>12109</v>
      </c>
      <c r="F2641" s="4" t="s">
        <v>17</v>
      </c>
      <c r="G2641" s="1" t="s">
        <v>18</v>
      </c>
      <c r="H2641" s="1" t="s">
        <v>19</v>
      </c>
      <c r="I2641" s="1" t="s">
        <v>20</v>
      </c>
      <c r="J2641" s="1" t="s">
        <v>12110</v>
      </c>
      <c r="K2641" s="1" t="s">
        <v>22</v>
      </c>
      <c r="L2641" s="1" t="str">
        <f>HYPERLINK("https://files.afu.se/Downloads/Transcripts/0%20-%20Government/USA%20-%20NASA/2014 01 24 - NASA - Media gets prelaunch status of NASA next Tracking and Data Relay Satellite_KQNe6NoFYp4 - transcript (automated).pdf","Transcript Link")</f>
        <v>Transcript Link</v>
      </c>
      <c r="M2641" s="2" t="str">
        <f>HYPERLINK("https://files.afu.se/Downloads/Transcripts/0%20-%20Government/USA%20-%20NASA/2014 01 24 - NASA - Media gets prelaunch status of NASA next Tracking and Data Relay Satellite_KQNe6NoFYp4 - transcript (automated).pdf","Transcript Link")</f>
        <v>Transcript Link</v>
      </c>
    </row>
    <row r="2642" ht="165" spans="1:13">
      <c r="A2642" s="1" t="s">
        <v>12102</v>
      </c>
      <c r="B2642" s="1" t="s">
        <v>13</v>
      </c>
      <c r="C2642" s="4" t="s">
        <v>12111</v>
      </c>
      <c r="D2642" s="1" t="s">
        <v>12112</v>
      </c>
      <c r="E2642" s="1" t="s">
        <v>12113</v>
      </c>
      <c r="F2642" s="4" t="s">
        <v>17</v>
      </c>
      <c r="G2642" s="1" t="s">
        <v>18</v>
      </c>
      <c r="H2642" s="1" t="s">
        <v>19</v>
      </c>
      <c r="I2642" s="1" t="s">
        <v>20</v>
      </c>
      <c r="J2642" s="1" t="s">
        <v>12114</v>
      </c>
      <c r="K2642" s="1" t="s">
        <v>22</v>
      </c>
      <c r="L2642" s="1" t="str">
        <f>HYPERLINK("https://files.afu.se/Downloads/Transcripts/0%20-%20Government/USA%20-%20NASA/2014 01 24 - NASA - Next ISS Crew Meets the Media_KJ0uE5ozt0U - transcript (automated).pdf","Transcript Link")</f>
        <v>Transcript Link</v>
      </c>
      <c r="M2642" s="2" t="str">
        <f>HYPERLINK("https://files.afu.se/Downloads/Transcripts/0%20-%20Government/USA%20-%20NASA/2014 01 24 - NASA - Next ISS Crew Meets the Media_KJ0uE5ozt0U - transcript (automated).pdf","Transcript Link")</f>
        <v>Transcript Link</v>
      </c>
    </row>
    <row r="2643" ht="165" spans="1:13">
      <c r="A2643" s="1" t="s">
        <v>12102</v>
      </c>
      <c r="B2643" s="1" t="s">
        <v>13</v>
      </c>
      <c r="C2643" s="4" t="s">
        <v>12115</v>
      </c>
      <c r="D2643" s="1" t="s">
        <v>12116</v>
      </c>
      <c r="E2643" s="1" t="s">
        <v>12117</v>
      </c>
      <c r="F2643" s="4" t="s">
        <v>17</v>
      </c>
      <c r="G2643" s="1" t="s">
        <v>18</v>
      </c>
      <c r="H2643" s="1" t="s">
        <v>19</v>
      </c>
      <c r="I2643" s="1" t="s">
        <v>20</v>
      </c>
      <c r="J2643" s="1" t="s">
        <v>12118</v>
      </c>
      <c r="K2643" s="1" t="s">
        <v>22</v>
      </c>
      <c r="L2643" s="1" t="str">
        <f>HYPERLINK("https://files.afu.se/Downloads/Transcripts/0%20-%20Government/USA%20-%20NASA/2014 01 24 - NASA - Next Generation Satellite Launches_8JpxTZrog64 - transcript (automated).pdf","Transcript Link")</f>
        <v>Transcript Link</v>
      </c>
      <c r="M2643" s="2" t="str">
        <f>HYPERLINK("https://files.afu.se/Downloads/Transcripts/0%20-%20Government/USA%20-%20NASA/2014 01 24 - NASA - Next Generation Satellite Launches_8JpxTZrog64 - transcript (automated).pdf","Transcript Link")</f>
        <v>Transcript Link</v>
      </c>
    </row>
    <row r="2644" ht="165" spans="1:13">
      <c r="A2644" s="1" t="s">
        <v>12119</v>
      </c>
      <c r="B2644" s="1" t="s">
        <v>13</v>
      </c>
      <c r="C2644" s="4" t="s">
        <v>12120</v>
      </c>
      <c r="D2644" s="1" t="s">
        <v>12121</v>
      </c>
      <c r="F2644" s="4" t="s">
        <v>17</v>
      </c>
      <c r="G2644" s="1" t="s">
        <v>18</v>
      </c>
      <c r="H2644" s="1" t="s">
        <v>19</v>
      </c>
      <c r="I2644" s="1" t="s">
        <v>20</v>
      </c>
      <c r="J2644" s="1" t="s">
        <v>12122</v>
      </c>
      <c r="K2644" s="1" t="s">
        <v>22</v>
      </c>
      <c r="L2644" s="1" t="str">
        <f>HYPERLINK("https://files.afu.se/Downloads/Transcripts/0%20-%20Government/USA%20-%20NASA/2014 01 23 - NASA - NASA Multiuser Spaceport Update Update_mHeL2Ng1WYM - transcript (automated).pdf","Transcript Link")</f>
        <v>Transcript Link</v>
      </c>
      <c r="M2644" s="2" t="str">
        <f>HYPERLINK("https://files.afu.se/Downloads/Transcripts/0%20-%20Government/USA%20-%20NASA/2014 01 23 - NASA - NASA Multiuser Spaceport Update Update_mHeL2Ng1WYM - transcript (automated).pdf","Transcript Link")</f>
        <v>Transcript Link</v>
      </c>
    </row>
    <row r="2645" ht="165" spans="1:13">
      <c r="A2645" s="1" t="s">
        <v>12119</v>
      </c>
      <c r="B2645" s="1" t="s">
        <v>13</v>
      </c>
      <c r="C2645" s="4" t="s">
        <v>12123</v>
      </c>
      <c r="D2645" s="1" t="s">
        <v>12124</v>
      </c>
      <c r="E2645" s="1" t="s">
        <v>12125</v>
      </c>
      <c r="F2645" s="4" t="s">
        <v>17</v>
      </c>
      <c r="G2645" s="1" t="s">
        <v>18</v>
      </c>
      <c r="H2645" s="1" t="s">
        <v>19</v>
      </c>
      <c r="I2645" s="1" t="s">
        <v>20</v>
      </c>
      <c r="J2645" s="1" t="s">
        <v>12126</v>
      </c>
      <c r="K2645" s="1" t="s">
        <v>22</v>
      </c>
      <c r="L2645" s="1" t="str">
        <f>HYPERLINK("https://files.afu.se/Downloads/Transcripts/0%20-%20Government/USA%20-%20NASA/2014 01 23 - NASA - NASA Event Reflects on Accomplishments of Mars Rover_CpS919WF--8 - transcript (automated).pdf","Transcript Link")</f>
        <v>Transcript Link</v>
      </c>
      <c r="M2645" s="2" t="str">
        <f>HYPERLINK("https://files.afu.se/Downloads/Transcripts/0%20-%20Government/USA%20-%20NASA/2014 01 23 - NASA - NASA Event Reflects on Accomplishments of Mars Rover_CpS919WF--8 - transcript (automated).pdf","Transcript Link")</f>
        <v>Transcript Link</v>
      </c>
    </row>
    <row r="2646" ht="165" spans="1:13">
      <c r="A2646" s="1" t="s">
        <v>12119</v>
      </c>
      <c r="B2646" s="1" t="s">
        <v>13</v>
      </c>
      <c r="C2646" s="4" t="s">
        <v>12127</v>
      </c>
      <c r="D2646" s="1" t="s">
        <v>12128</v>
      </c>
      <c r="E2646" s="1" t="s">
        <v>12129</v>
      </c>
      <c r="F2646" s="4" t="s">
        <v>17</v>
      </c>
      <c r="G2646" s="1" t="s">
        <v>18</v>
      </c>
      <c r="H2646" s="1" t="s">
        <v>19</v>
      </c>
      <c r="I2646" s="1" t="s">
        <v>20</v>
      </c>
      <c r="J2646" s="1" t="s">
        <v>12130</v>
      </c>
      <c r="K2646" s="1" t="s">
        <v>22</v>
      </c>
      <c r="L2646" s="1" t="str">
        <f>HYPERLINK("https://files.afu.se/Downloads/Transcripts/0%20-%20Government/USA%20-%20NASA/2014 01 23 - NASA - Station astronauts talk long distance with Texas students_DeazFK2ayzA - transcript (automated).pdf","Transcript Link")</f>
        <v>Transcript Link</v>
      </c>
      <c r="M2646" s="2" t="str">
        <f>HYPERLINK("https://files.afu.se/Downloads/Transcripts/0%20-%20Government/USA%20-%20NASA/2014 01 23 - NASA - Station astronauts talk long distance with Texas students_DeazFK2ayzA - transcript (automated).pdf","Transcript Link")</f>
        <v>Transcript Link</v>
      </c>
    </row>
    <row r="2647" ht="225" spans="1:13">
      <c r="A2647" s="1" t="s">
        <v>12131</v>
      </c>
      <c r="B2647" s="1" t="s">
        <v>13</v>
      </c>
      <c r="C2647" s="4" t="s">
        <v>12132</v>
      </c>
      <c r="D2647" s="1" t="s">
        <v>12133</v>
      </c>
      <c r="E2647" s="1" t="s">
        <v>12134</v>
      </c>
      <c r="F2647" s="4" t="s">
        <v>17</v>
      </c>
      <c r="G2647" s="1" t="s">
        <v>18</v>
      </c>
      <c r="H2647" s="1" t="s">
        <v>19</v>
      </c>
      <c r="I2647" s="1" t="s">
        <v>20</v>
      </c>
      <c r="J2647" s="1" t="s">
        <v>12135</v>
      </c>
      <c r="K2647" s="1" t="s">
        <v>22</v>
      </c>
      <c r="L2647" s="1" t="str">
        <f>HYPERLINK("https://files.afu.se/Downloads/Transcripts/0%20-%20Government/USA%20-%20NASA/2014 01 22 - NASA - NASA Set for a Big Year in Earth Science_DBjU8ZiuqCc - transcript (automated).pdf","Transcript Link")</f>
        <v>Transcript Link</v>
      </c>
      <c r="M2647" s="2" t="str">
        <f>HYPERLINK("https://files.afu.se/Downloads/Transcripts/0%20-%20Government/USA%20-%20NASA/2014 01 22 - NASA - NASA Set for a Big Year in Earth Science_DBjU8ZiuqCc - transcript (automated).pdf","Transcript Link")</f>
        <v>Transcript Link</v>
      </c>
    </row>
    <row r="2648" ht="165" spans="1:13">
      <c r="A2648" s="1" t="s">
        <v>12136</v>
      </c>
      <c r="B2648" s="1" t="s">
        <v>13</v>
      </c>
      <c r="C2648" s="4" t="s">
        <v>12137</v>
      </c>
      <c r="D2648" s="1" t="s">
        <v>12138</v>
      </c>
      <c r="E2648" s="1" t="s">
        <v>12139</v>
      </c>
      <c r="F2648" s="4" t="s">
        <v>17</v>
      </c>
      <c r="G2648" s="1" t="s">
        <v>18</v>
      </c>
      <c r="H2648" s="1" t="s">
        <v>19</v>
      </c>
      <c r="I2648" s="1" t="s">
        <v>20</v>
      </c>
      <c r="J2648" s="1" t="s">
        <v>12140</v>
      </c>
      <c r="K2648" s="1" t="s">
        <v>22</v>
      </c>
      <c r="L2648" s="1" t="str">
        <f>HYPERLINK("https://files.afu.se/Downloads/Transcripts/0%20-%20Government/USA%20-%20NASA/2014 01 21 - NASA - Space Station Crewmember Discusses Space Medicine with Japanese Students_qzN7cyKRNDc - transcript (automated).pdf","Transcript Link")</f>
        <v>Transcript Link</v>
      </c>
      <c r="M2648" s="2" t="str">
        <f>HYPERLINK("https://files.afu.se/Downloads/Transcripts/0%20-%20Government/USA%20-%20NASA/2014 01 21 - NASA - Space Station Crewmember Discusses Space Medicine with Japanese Students_qzN7cyKRNDc - transcript (automated).pdf","Transcript Link")</f>
        <v>Transcript Link</v>
      </c>
    </row>
    <row r="2649" ht="165" spans="1:13">
      <c r="A2649" s="1" t="s">
        <v>12141</v>
      </c>
      <c r="B2649" s="1" t="s">
        <v>13</v>
      </c>
      <c r="C2649" s="4" t="s">
        <v>12142</v>
      </c>
      <c r="D2649" s="1" t="s">
        <v>12143</v>
      </c>
      <c r="E2649" s="1" t="s">
        <v>12144</v>
      </c>
      <c r="F2649" s="4" t="s">
        <v>17</v>
      </c>
      <c r="G2649" s="1" t="s">
        <v>18</v>
      </c>
      <c r="H2649" s="1" t="s">
        <v>19</v>
      </c>
      <c r="I2649" s="1" t="s">
        <v>20</v>
      </c>
      <c r="J2649" s="1" t="s">
        <v>12145</v>
      </c>
      <c r="K2649" s="1" t="s">
        <v>22</v>
      </c>
      <c r="L2649" s="1" t="str">
        <f>HYPERLINK("https://files.afu.se/Downloads/Transcripts/0%20-%20Government/USA%20-%20NASA/2014 01 17 - NASA - Cygnus arrives at ISS on This Week @NASA_zzNleViGirY - transcript (automated).pdf","Transcript Link")</f>
        <v>Transcript Link</v>
      </c>
      <c r="M2649" s="2" t="str">
        <f>HYPERLINK("https://files.afu.se/Downloads/Transcripts/0%20-%20Government/USA%20-%20NASA/2014 01 17 - NASA - Cygnus arrives at ISS on This Week @NASA_zzNleViGirY - transcript (automated).pdf","Transcript Link")</f>
        <v>Transcript Link</v>
      </c>
    </row>
    <row r="2650" ht="165" spans="1:13">
      <c r="A2650" s="1" t="s">
        <v>12141</v>
      </c>
      <c r="B2650" s="1" t="s">
        <v>13</v>
      </c>
      <c r="C2650" s="4" t="s">
        <v>12146</v>
      </c>
      <c r="D2650" s="1" t="s">
        <v>12147</v>
      </c>
      <c r="E2650" s="1" t="s">
        <v>12148</v>
      </c>
      <c r="F2650" s="4" t="s">
        <v>17</v>
      </c>
      <c r="G2650" s="1" t="s">
        <v>18</v>
      </c>
      <c r="H2650" s="1" t="s">
        <v>19</v>
      </c>
      <c r="I2650" s="1" t="s">
        <v>20</v>
      </c>
      <c r="J2650" s="1" t="s">
        <v>12149</v>
      </c>
      <c r="K2650" s="1" t="s">
        <v>22</v>
      </c>
      <c r="L2650" s="1" t="str">
        <f>HYPERLINK("https://files.afu.se/Downloads/Transcripts/0%20-%20Government/USA%20-%20NASA/2014 01 17 - NASA - NASA Crew Members on the International Space Station Discuss Life in Space with the Media_Ki72_p17EnA - transcript (automated).pdf","Transcript Link")</f>
        <v>Transcript Link</v>
      </c>
      <c r="M2650" s="2" t="str">
        <f>HYPERLINK("https://files.afu.se/Downloads/Transcripts/0%20-%20Government/USA%20-%20NASA/2014 01 17 - NASA - NASA Crew Members on the International Space Station Discuss Life in Space with the Media_Ki72_p17EnA - transcript (automated).pdf","Transcript Link")</f>
        <v>Transcript Link</v>
      </c>
    </row>
    <row r="2651" ht="165" spans="1:13">
      <c r="A2651" s="1" t="s">
        <v>12150</v>
      </c>
      <c r="B2651" s="1" t="s">
        <v>13</v>
      </c>
      <c r="C2651" s="4" t="s">
        <v>12151</v>
      </c>
      <c r="D2651" s="1" t="s">
        <v>9163</v>
      </c>
      <c r="E2651" s="1" t="s">
        <v>12152</v>
      </c>
      <c r="F2651" s="4" t="s">
        <v>17</v>
      </c>
      <c r="G2651" s="1" t="s">
        <v>18</v>
      </c>
      <c r="H2651" s="1" t="s">
        <v>19</v>
      </c>
      <c r="I2651" s="1" t="s">
        <v>20</v>
      </c>
      <c r="J2651" s="1" t="s">
        <v>12153</v>
      </c>
      <c r="K2651" s="1" t="s">
        <v>22</v>
      </c>
      <c r="L2651" s="1" t="str">
        <f>HYPERLINK("https://files.afu.se/Downloads/Transcripts/0%20-%20Government/USA%20-%20NASA/2014 01 14 - NASA - International Space Station Crew Member Discusses Life in Space with Japanese Students_YdNYQfc6A28 - transcript (automated).pdf","Transcript Link")</f>
        <v>Transcript Link</v>
      </c>
      <c r="M2651" s="2" t="str">
        <f>HYPERLINK("https://files.afu.se/Downloads/Transcripts/0%20-%20Government/USA%20-%20NASA/2014 01 14 - NASA - International Space Station Crew Member Discusses Life in Space with Japanese Students_YdNYQfc6A28 - transcript (automated).pdf","Transcript Link")</f>
        <v>Transcript Link</v>
      </c>
    </row>
    <row r="2652" ht="270" spans="1:13">
      <c r="A2652" s="1" t="s">
        <v>12154</v>
      </c>
      <c r="B2652" s="1" t="s">
        <v>13</v>
      </c>
      <c r="C2652" s="4" t="s">
        <v>12155</v>
      </c>
      <c r="D2652" s="1" t="s">
        <v>12156</v>
      </c>
      <c r="E2652" s="1" t="s">
        <v>12157</v>
      </c>
      <c r="F2652" s="4" t="s">
        <v>17</v>
      </c>
      <c r="G2652" s="1" t="s">
        <v>18</v>
      </c>
      <c r="H2652" s="1" t="s">
        <v>19</v>
      </c>
      <c r="I2652" s="1" t="s">
        <v>20</v>
      </c>
      <c r="J2652" s="1" t="s">
        <v>12158</v>
      </c>
      <c r="K2652" s="1" t="s">
        <v>22</v>
      </c>
      <c r="L2652" s="1" t="str">
        <f>HYPERLINK("https://files.afu.se/Downloads/Transcripts/0%20-%20Government/USA%20-%20NASA/2014 01 13 - NASA - NASA Administrator Bolden Calls Orbital Sciences and ISS Crew on Success of Cygnus Arrival_PumF6V7GesY - transcript (automated).pdf","Transcript Link")</f>
        <v>Transcript Link</v>
      </c>
      <c r="M2652" s="2" t="str">
        <f>HYPERLINK("https://files.afu.se/Downloads/Transcripts/0%20-%20Government/USA%20-%20NASA/2014 01 13 - NASA - NASA Administrator Bolden Calls Orbital Sciences and ISS Crew on Success of Cygnus Arrival_PumF6V7GesY - transcript (automated).pdf","Transcript Link")</f>
        <v>Transcript Link</v>
      </c>
    </row>
    <row r="2653" ht="165" spans="1:13">
      <c r="A2653" s="1" t="s">
        <v>12159</v>
      </c>
      <c r="B2653" s="1" t="s">
        <v>13</v>
      </c>
      <c r="C2653" s="4" t="s">
        <v>12160</v>
      </c>
      <c r="D2653" s="1" t="s">
        <v>12161</v>
      </c>
      <c r="E2653" s="1" t="s">
        <v>12162</v>
      </c>
      <c r="F2653" s="4" t="s">
        <v>17</v>
      </c>
      <c r="G2653" s="1" t="s">
        <v>18</v>
      </c>
      <c r="H2653" s="1" t="s">
        <v>19</v>
      </c>
      <c r="I2653" s="1" t="s">
        <v>20</v>
      </c>
      <c r="J2653" s="1" t="s">
        <v>12163</v>
      </c>
      <c r="K2653" s="1" t="s">
        <v>22</v>
      </c>
      <c r="L2653" s="1" t="str">
        <f>HYPERLINK("https://files.afu.se/Downloads/Transcripts/0%20-%20Government/USA%20-%20NASA/2014 01 12 - NASA - Cygnus Berthed to ISS_4zSxDgu9Uv0 - transcript (automated).pdf","Transcript Link")</f>
        <v>Transcript Link</v>
      </c>
      <c r="M2653" s="2" t="str">
        <f>HYPERLINK("https://files.afu.se/Downloads/Transcripts/0%20-%20Government/USA%20-%20NASA/2014 01 12 - NASA - Cygnus Berthed to ISS_4zSxDgu9Uv0 - transcript (automated).pdf","Transcript Link")</f>
        <v>Transcript Link</v>
      </c>
    </row>
    <row r="2654" ht="165" spans="1:13">
      <c r="A2654" s="1" t="s">
        <v>12159</v>
      </c>
      <c r="B2654" s="1" t="s">
        <v>13</v>
      </c>
      <c r="C2654" s="4" t="s">
        <v>12164</v>
      </c>
      <c r="D2654" s="1" t="s">
        <v>12165</v>
      </c>
      <c r="E2654" s="1" t="s">
        <v>12166</v>
      </c>
      <c r="F2654" s="4" t="s">
        <v>17</v>
      </c>
      <c r="G2654" s="1" t="s">
        <v>18</v>
      </c>
      <c r="H2654" s="1" t="s">
        <v>19</v>
      </c>
      <c r="I2654" s="1" t="s">
        <v>20</v>
      </c>
      <c r="J2654" s="1" t="s">
        <v>12167</v>
      </c>
      <c r="K2654" s="1" t="s">
        <v>22</v>
      </c>
      <c r="L2654" s="1" t="str">
        <f>HYPERLINK("https://files.afu.se/Downloads/Transcripts/0%20-%20Government/USA%20-%20NASA/2014 01 12 - NASA - Cygnus Arrives at ISS_jMCvyN_hSv4 - transcript (automated).pdf","Transcript Link")</f>
        <v>Transcript Link</v>
      </c>
      <c r="M2654" s="2" t="str">
        <f>HYPERLINK("https://files.afu.se/Downloads/Transcripts/0%20-%20Government/USA%20-%20NASA/2014 01 12 - NASA - Cygnus Arrives at ISS_jMCvyN_hSv4 - transcript (automated).pdf","Transcript Link")</f>
        <v>Transcript Link</v>
      </c>
    </row>
    <row r="2655" ht="165" spans="1:13">
      <c r="A2655" s="1" t="s">
        <v>12168</v>
      </c>
      <c r="B2655" s="1" t="s">
        <v>13</v>
      </c>
      <c r="C2655" s="4" t="s">
        <v>12169</v>
      </c>
      <c r="D2655" s="1" t="s">
        <v>12170</v>
      </c>
      <c r="E2655" s="1" t="s">
        <v>12171</v>
      </c>
      <c r="F2655" s="4" t="s">
        <v>17</v>
      </c>
      <c r="G2655" s="1" t="s">
        <v>18</v>
      </c>
      <c r="H2655" s="1" t="s">
        <v>19</v>
      </c>
      <c r="I2655" s="1" t="s">
        <v>20</v>
      </c>
      <c r="J2655" s="1" t="s">
        <v>12172</v>
      </c>
      <c r="K2655" s="1" t="s">
        <v>22</v>
      </c>
      <c r="L2655" s="1" t="str">
        <f>HYPERLINK("https://files.afu.se/Downloads/Transcripts/0%20-%20Government/USA%20-%20NASA/2014 01 10 - NASA - ISS Extended to 2024 on This Week @NASA_pbbUwqX0Aus - transcript (automated).pdf","Transcript Link")</f>
        <v>Transcript Link</v>
      </c>
      <c r="M2655" s="2" t="str">
        <f>HYPERLINK("https://files.afu.se/Downloads/Transcripts/0%20-%20Government/USA%20-%20NASA/2014 01 10 - NASA - ISS Extended to 2024 on This Week @NASA_pbbUwqX0Aus - transcript (automated).pdf","Transcript Link")</f>
        <v>Transcript Link</v>
      </c>
    </row>
    <row r="2656" ht="165" spans="1:13">
      <c r="A2656" s="1" t="s">
        <v>12173</v>
      </c>
      <c r="B2656" s="1" t="s">
        <v>13</v>
      </c>
      <c r="C2656" s="4" t="s">
        <v>12174</v>
      </c>
      <c r="D2656" s="1" t="s">
        <v>12175</v>
      </c>
      <c r="E2656" s="1" t="s">
        <v>12176</v>
      </c>
      <c r="F2656" s="4" t="s">
        <v>17</v>
      </c>
      <c r="G2656" s="1" t="s">
        <v>18</v>
      </c>
      <c r="H2656" s="1" t="s">
        <v>19</v>
      </c>
      <c r="I2656" s="1" t="s">
        <v>20</v>
      </c>
      <c r="J2656" s="1" t="s">
        <v>12177</v>
      </c>
      <c r="K2656" s="1" t="s">
        <v>22</v>
      </c>
      <c r="L2656" s="1" t="str">
        <f>HYPERLINK("https://files.afu.se/Downloads/Transcripts/0%20-%20Government/USA%20-%20NASA/2014 01 09 - NASA - NASA Television Airs Post Launch Status Briefing for Resupply Mission to Space Station_m7yjUYy8pws - transcript (automated).pdf","Transcript Link")</f>
        <v>Transcript Link</v>
      </c>
      <c r="M2656" s="2" t="str">
        <f>HYPERLINK("https://files.afu.se/Downloads/Transcripts/0%20-%20Government/USA%20-%20NASA/2014 01 09 - NASA - NASA Television Airs Post Launch Status Briefing for Resupply Mission to Space Station_m7yjUYy8pws - transcript (automated).pdf","Transcript Link")</f>
        <v>Transcript Link</v>
      </c>
    </row>
    <row r="2657" ht="165" spans="1:13">
      <c r="A2657" s="1" t="s">
        <v>12173</v>
      </c>
      <c r="B2657" s="1" t="s">
        <v>13</v>
      </c>
      <c r="C2657" s="4" t="s">
        <v>12178</v>
      </c>
      <c r="D2657" s="1" t="s">
        <v>12179</v>
      </c>
      <c r="E2657" s="1" t="s">
        <v>12180</v>
      </c>
      <c r="F2657" s="4" t="s">
        <v>17</v>
      </c>
      <c r="G2657" s="1" t="s">
        <v>18</v>
      </c>
      <c r="H2657" s="1" t="s">
        <v>19</v>
      </c>
      <c r="I2657" s="1" t="s">
        <v>20</v>
      </c>
      <c r="J2657" s="1" t="s">
        <v>12181</v>
      </c>
      <c r="K2657" s="1" t="s">
        <v>22</v>
      </c>
      <c r="L2657" s="1" t="str">
        <f>HYPERLINK("https://files.afu.se/Downloads/Transcripts/0%20-%20Government/USA%20-%20NASA/2014 01 09 - NASA - U.S. Cargo Ship Launches to ISS on First Resupply Mission__ksLbFhO-jc - transcript (automated).pdf","Transcript Link")</f>
        <v>Transcript Link</v>
      </c>
      <c r="M2657" s="2" t="str">
        <f>HYPERLINK("https://files.afu.se/Downloads/Transcripts/0%20-%20Government/USA%20-%20NASA/2014 01 09 - NASA - U.S. Cargo Ship Launches to ISS on First Resupply Mission__ksLbFhO-jc - transcript (automated).pdf","Transcript Link")</f>
        <v>Transcript Link</v>
      </c>
    </row>
    <row r="2658" ht="180" spans="1:13">
      <c r="A2658" s="1" t="s">
        <v>12173</v>
      </c>
      <c r="B2658" s="1" t="s">
        <v>13</v>
      </c>
      <c r="C2658" s="4" t="s">
        <v>12182</v>
      </c>
      <c r="D2658" s="1" t="s">
        <v>12183</v>
      </c>
      <c r="E2658" s="1" t="s">
        <v>12184</v>
      </c>
      <c r="F2658" s="4" t="s">
        <v>17</v>
      </c>
      <c r="G2658" s="1" t="s">
        <v>18</v>
      </c>
      <c r="H2658" s="1" t="s">
        <v>19</v>
      </c>
      <c r="I2658" s="1" t="s">
        <v>20</v>
      </c>
      <c r="J2658" s="1" t="s">
        <v>12185</v>
      </c>
      <c r="K2658" s="1" t="s">
        <v>22</v>
      </c>
      <c r="L2658" s="1" t="str">
        <f>HYPERLINK("https://files.afu.se/Downloads/Transcripts/0%20-%20Government/USA%20-%20NASA/2014 01 09 - NASA - Obama Administration Extends International Space Station Until at Least 2024_GVkJWSHGlAg - transcript (automated).pdf","Transcript Link")</f>
        <v>Transcript Link</v>
      </c>
      <c r="M2658" s="2" t="str">
        <f>HYPERLINK("https://files.afu.se/Downloads/Transcripts/0%20-%20Government/USA%20-%20NASA/2014 01 09 - NASA - Obama Administration Extends International Space Station Until at Least 2024_GVkJWSHGlAg - transcript (automated).pdf","Transcript Link")</f>
        <v>Transcript Link</v>
      </c>
    </row>
    <row r="2659" ht="165" spans="1:13">
      <c r="A2659" s="1" t="s">
        <v>12186</v>
      </c>
      <c r="B2659" s="1" t="s">
        <v>13</v>
      </c>
      <c r="C2659" s="4" t="s">
        <v>12187</v>
      </c>
      <c r="D2659" s="1" t="s">
        <v>12188</v>
      </c>
      <c r="E2659" s="1" t="s">
        <v>12189</v>
      </c>
      <c r="F2659" s="4" t="s">
        <v>17</v>
      </c>
      <c r="G2659" s="1" t="s">
        <v>18</v>
      </c>
      <c r="H2659" s="1" t="s">
        <v>19</v>
      </c>
      <c r="I2659" s="1" t="s">
        <v>20</v>
      </c>
      <c r="J2659" s="1" t="s">
        <v>12190</v>
      </c>
      <c r="K2659" s="1" t="s">
        <v>22</v>
      </c>
      <c r="L2659" s="1" t="str">
        <f>HYPERLINK("https://files.afu.se/Downloads/Transcripts/0%20-%20Government/USA%20-%20NASA/2014 01 08 - NASA - NASA Television Airs Pre Launch Status Briefing for Resupply Mission to Space Station_yrjhGxU8W5Y - transcript (automated).pdf","Transcript Link")</f>
        <v>Transcript Link</v>
      </c>
      <c r="M2659" s="2" t="str">
        <f>HYPERLINK("https://files.afu.se/Downloads/Transcripts/0%20-%20Government/USA%20-%20NASA/2014 01 08 - NASA - NASA Television Airs Pre Launch Status Briefing for Resupply Mission to Space Station_yrjhGxU8W5Y - transcript (automated).pdf","Transcript Link")</f>
        <v>Transcript Link</v>
      </c>
    </row>
    <row r="2660" ht="165" spans="1:13">
      <c r="A2660" s="1" t="s">
        <v>12191</v>
      </c>
      <c r="B2660" s="1" t="s">
        <v>13</v>
      </c>
      <c r="C2660" s="4" t="s">
        <v>12192</v>
      </c>
      <c r="D2660" s="1" t="s">
        <v>12193</v>
      </c>
      <c r="E2660" s="1" t="s">
        <v>12194</v>
      </c>
      <c r="F2660" s="4" t="s">
        <v>17</v>
      </c>
      <c r="G2660" s="1" t="s">
        <v>18</v>
      </c>
      <c r="H2660" s="1" t="s">
        <v>19</v>
      </c>
      <c r="I2660" s="1" t="s">
        <v>20</v>
      </c>
      <c r="J2660" s="1" t="s">
        <v>12195</v>
      </c>
      <c r="K2660" s="1" t="s">
        <v>22</v>
      </c>
      <c r="L2660" s="1" t="str">
        <f>HYPERLINK("https://files.afu.se/Downloads/Transcripts/0%20-%20Government/USA%20-%20NASA/2014 01 07 - NASA - NASA Television Briefing Previews Science Cargo Being Launched to Space Station_js-AfIbeuW4 - transcript (automated).pdf","Transcript Link")</f>
        <v>Transcript Link</v>
      </c>
      <c r="M2660" s="2" t="str">
        <f>HYPERLINK("https://files.afu.se/Downloads/Transcripts/0%20-%20Government/USA%20-%20NASA/2014 01 07 - NASA - NASA Television Briefing Previews Science Cargo Being Launched to Space Station_js-AfIbeuW4 - transcript (automated).pdf","Transcript Link")</f>
        <v>Transcript Link</v>
      </c>
    </row>
    <row r="2661" ht="180" spans="1:13">
      <c r="A2661" s="1" t="s">
        <v>12191</v>
      </c>
      <c r="B2661" s="1" t="s">
        <v>13</v>
      </c>
      <c r="C2661" s="4" t="s">
        <v>12196</v>
      </c>
      <c r="D2661" s="1" t="s">
        <v>12197</v>
      </c>
      <c r="E2661" s="1" t="s">
        <v>12198</v>
      </c>
      <c r="F2661" s="4" t="s">
        <v>17</v>
      </c>
      <c r="G2661" s="1" t="s">
        <v>18</v>
      </c>
      <c r="H2661" s="1" t="s">
        <v>19</v>
      </c>
      <c r="I2661" s="1" t="s">
        <v>20</v>
      </c>
      <c r="J2661" s="1" t="s">
        <v>12199</v>
      </c>
      <c r="K2661" s="1" t="s">
        <v>22</v>
      </c>
      <c r="L2661" s="1" t="str">
        <f>HYPERLINK("https://files.afu.se/Downloads/Transcripts/0%20-%20Government/USA%20-%20NASA/2014 01 07 - NASA - NASA and Smithsonian Host 10 Year Anniversary Events for Mars Rovers_IMl7Q0KHcQ4 - transcript (automated).pdf","Transcript Link")</f>
        <v>Transcript Link</v>
      </c>
      <c r="M2661" s="2" t="str">
        <f>HYPERLINK("https://files.afu.se/Downloads/Transcripts/0%20-%20Government/USA%20-%20NASA/2014 01 07 - NASA - NASA and Smithsonian Host 10 Year Anniversary Events for Mars Rovers_IMl7Q0KHcQ4 - transcript (automated).pdf","Transcript Link")</f>
        <v>Transcript Link</v>
      </c>
    </row>
    <row r="2662" ht="165" spans="1:13">
      <c r="A2662" s="1" t="s">
        <v>12191</v>
      </c>
      <c r="B2662" s="1" t="s">
        <v>13</v>
      </c>
      <c r="C2662" s="4" t="s">
        <v>12200</v>
      </c>
      <c r="D2662" s="1" t="s">
        <v>12201</v>
      </c>
      <c r="E2662" s="1" t="s">
        <v>12202</v>
      </c>
      <c r="F2662" s="4" t="s">
        <v>17</v>
      </c>
      <c r="G2662" s="1" t="s">
        <v>18</v>
      </c>
      <c r="H2662" s="1" t="s">
        <v>19</v>
      </c>
      <c r="I2662" s="1" t="s">
        <v>20</v>
      </c>
      <c r="J2662" s="1" t="s">
        <v>12203</v>
      </c>
      <c r="K2662" s="1" t="s">
        <v>22</v>
      </c>
      <c r="L2662" s="1" t="str">
        <f>HYPERLINK("https://files.afu.se/Downloads/Transcripts/0%20-%20Government/USA%20-%20NASA/2014 01 07 - NASA - Space Station Crew Discusses Life in Space with Virginia Students_BQTKORP84MM - transcript (automated).pdf","Transcript Link")</f>
        <v>Transcript Link</v>
      </c>
      <c r="M2662" s="2" t="str">
        <f>HYPERLINK("https://files.afu.se/Downloads/Transcripts/0%20-%20Government/USA%20-%20NASA/2014 01 07 - NASA - Space Station Crew Discusses Life in Space with Virginia Students_BQTKORP84MM - transcript (automated).pdf","Transcript Link")</f>
        <v>Transcript Link</v>
      </c>
    </row>
    <row r="2663" ht="165" spans="1:13">
      <c r="A2663" s="1" t="s">
        <v>12191</v>
      </c>
      <c r="B2663" s="1" t="s">
        <v>13</v>
      </c>
      <c r="C2663" s="4" t="s">
        <v>12204</v>
      </c>
      <c r="D2663" s="1" t="s">
        <v>12205</v>
      </c>
      <c r="E2663" s="1" t="s">
        <v>12206</v>
      </c>
      <c r="F2663" s="4" t="s">
        <v>17</v>
      </c>
      <c r="G2663" s="1" t="s">
        <v>18</v>
      </c>
      <c r="H2663" s="1" t="s">
        <v>19</v>
      </c>
      <c r="I2663" s="1" t="s">
        <v>20</v>
      </c>
      <c r="J2663" s="1" t="s">
        <v>12207</v>
      </c>
      <c r="K2663" s="1" t="s">
        <v>22</v>
      </c>
      <c r="L2663" s="1" t="str">
        <f>HYPERLINK("https://files.afu.se/Downloads/Transcripts/0%20-%20Government/USA%20-%20NASA/2014 01 07 - NASA - Bolden Mars Rover Anniversary Message_bjCo9fAVVCE - transcript (automated).pdf","Transcript Link")</f>
        <v>Transcript Link</v>
      </c>
      <c r="M2663" s="2" t="str">
        <f>HYPERLINK("https://files.afu.se/Downloads/Transcripts/0%20-%20Government/USA%20-%20NASA/2014 01 07 - NASA - Bolden Mars Rover Anniversary Message_bjCo9fAVVCE - transcript (automated).pdf","Transcript Link")</f>
        <v>Transcript Link</v>
      </c>
    </row>
    <row r="2664" ht="165" spans="1:13">
      <c r="A2664" s="1" t="s">
        <v>12208</v>
      </c>
      <c r="B2664" s="1" t="s">
        <v>13</v>
      </c>
      <c r="C2664" s="4" t="s">
        <v>12209</v>
      </c>
      <c r="D2664" s="1" t="s">
        <v>12210</v>
      </c>
      <c r="E2664" s="1" t="s">
        <v>12211</v>
      </c>
      <c r="F2664" s="4" t="s">
        <v>17</v>
      </c>
      <c r="G2664" s="1" t="s">
        <v>18</v>
      </c>
      <c r="H2664" s="1" t="s">
        <v>19</v>
      </c>
      <c r="I2664" s="1" t="s">
        <v>20</v>
      </c>
      <c r="J2664" s="1" t="s">
        <v>12212</v>
      </c>
      <c r="K2664" s="1" t="s">
        <v>22</v>
      </c>
      <c r="L2664" s="1" t="str">
        <f>HYPERLINK("https://files.afu.se/Downloads/Transcripts/0%20-%20Government/USA%20-%20NASA/2014 01 06 - NASA - Space Station Crew Discusses Life in Space With NBC News_Ir8HLCGc2X8 - transcript (automated).pdf","Transcript Link")</f>
        <v>Transcript Link</v>
      </c>
      <c r="M2664" s="2" t="str">
        <f>HYPERLINK("https://files.afu.se/Downloads/Transcripts/0%20-%20Government/USA%20-%20NASA/2014 01 06 - NASA - Space Station Crew Discusses Life in Space With NBC News_Ir8HLCGc2X8 - transcript (automated).pdf","Transcript Link")</f>
        <v>Transcript Link</v>
      </c>
    </row>
    <row r="2665" ht="165" spans="1:13">
      <c r="A2665" s="1" t="s">
        <v>12213</v>
      </c>
      <c r="B2665" s="1" t="s">
        <v>13</v>
      </c>
      <c r="C2665" s="4" t="s">
        <v>12214</v>
      </c>
      <c r="D2665" s="1" t="s">
        <v>12215</v>
      </c>
      <c r="E2665" s="1" t="s">
        <v>12216</v>
      </c>
      <c r="F2665" s="4" t="s">
        <v>17</v>
      </c>
      <c r="G2665" s="1" t="s">
        <v>18</v>
      </c>
      <c r="H2665" s="1" t="s">
        <v>19</v>
      </c>
      <c r="I2665" s="1" t="s">
        <v>20</v>
      </c>
      <c r="J2665" s="1" t="s">
        <v>12217</v>
      </c>
      <c r="K2665" s="1" t="s">
        <v>22</v>
      </c>
      <c r="L2665" s="1" t="str">
        <f>HYPERLINK("https://files.afu.se/Downloads/Transcripts/0%20-%20Government/USA%20-%20NASA/2014 01 02 - NASA - Happy New Year 2014_x4s4X15qIUQ - transcript (automated).pdf","Transcript Link")</f>
        <v>Transcript Link</v>
      </c>
      <c r="M2665" s="2" t="str">
        <f>HYPERLINK("https://files.afu.se/Downloads/Transcripts/0%20-%20Government/USA%20-%20NASA/2014 01 02 - NASA - Happy New Year 2014_x4s4X15qIUQ - transcript (automated).pdf","Transcript Link")</f>
        <v>Transcript Link</v>
      </c>
    </row>
    <row r="2666" ht="165" spans="1:13">
      <c r="A2666" s="1" t="s">
        <v>12218</v>
      </c>
      <c r="B2666" s="1" t="s">
        <v>13</v>
      </c>
      <c r="C2666" s="4" t="s">
        <v>12219</v>
      </c>
      <c r="D2666" s="1" t="s">
        <v>12220</v>
      </c>
      <c r="E2666" s="1" t="s">
        <v>12221</v>
      </c>
      <c r="F2666" s="4" t="s">
        <v>17</v>
      </c>
      <c r="G2666" s="1" t="s">
        <v>18</v>
      </c>
      <c r="H2666" s="1" t="s">
        <v>19</v>
      </c>
      <c r="I2666" s="1" t="s">
        <v>20</v>
      </c>
      <c r="J2666" s="1" t="s">
        <v>12222</v>
      </c>
      <c r="K2666" s="1" t="s">
        <v>22</v>
      </c>
      <c r="L2666" s="1" t="str">
        <f>HYPERLINK("https://files.afu.se/Downloads/Transcripts/0%20-%20Government/USA%20-%20NASA/2014 01 01 - NASA - NASA Sends Out of This World New Year's Greeting in Times Square_JkbT6hBhWKE - transcript (automated).pdf","Transcript Link")</f>
        <v>Transcript Link</v>
      </c>
      <c r="M2666" s="2" t="str">
        <f>HYPERLINK("https://files.afu.se/Downloads/Transcripts/0%20-%20Government/USA%20-%20NASA/2014 01 01 - NASA - NASA Sends Out of This World New Year's Greeting in Times Square_JkbT6hBhWKE - transcript (automated).pdf","Transcript Link")</f>
        <v>Transcript Link</v>
      </c>
    </row>
    <row r="2667" ht="375" spans="1:13">
      <c r="A2667" s="1" t="s">
        <v>12223</v>
      </c>
      <c r="B2667" s="1" t="s">
        <v>13</v>
      </c>
      <c r="C2667" s="4" t="s">
        <v>12224</v>
      </c>
      <c r="D2667" s="1" t="s">
        <v>12225</v>
      </c>
      <c r="E2667" s="1" t="s">
        <v>12226</v>
      </c>
      <c r="F2667" s="4" t="s">
        <v>17</v>
      </c>
      <c r="G2667" s="1" t="s">
        <v>18</v>
      </c>
      <c r="H2667" s="1" t="s">
        <v>19</v>
      </c>
      <c r="I2667" s="1" t="s">
        <v>20</v>
      </c>
      <c r="J2667" s="1" t="s">
        <v>12227</v>
      </c>
      <c r="K2667" s="1" t="s">
        <v>22</v>
      </c>
      <c r="L2667" s="1" t="str">
        <f>HYPERLINK("https://files.afu.se/Downloads/Transcripts/0%20-%20Government/USA%20-%20NASA/2013 12 27 - NASA - ISS Russian Spacewalkers Run Into Snag With Camera Installation_ieb_i7WjH9A - transcript (automated).pdf","Transcript Link")</f>
        <v>Transcript Link</v>
      </c>
      <c r="M2667" s="2" t="str">
        <f>HYPERLINK("https://files.afu.se/Downloads/Transcripts/0%20-%20Government/USA%20-%20NASA/2013 12 27 - NASA - ISS Russian Spacewalkers Run Into Snag With Camera Installation_ieb_i7WjH9A - transcript (automated).pdf","Transcript Link")</f>
        <v>Transcript Link</v>
      </c>
    </row>
    <row r="2668" ht="165" spans="1:13">
      <c r="A2668" s="1" t="s">
        <v>12228</v>
      </c>
      <c r="B2668" s="1" t="s">
        <v>13</v>
      </c>
      <c r="C2668" s="4" t="s">
        <v>12229</v>
      </c>
      <c r="D2668" s="1" t="s">
        <v>12230</v>
      </c>
      <c r="E2668" s="1" t="s">
        <v>12231</v>
      </c>
      <c r="F2668" s="4" t="s">
        <v>17</v>
      </c>
      <c r="G2668" s="1" t="s">
        <v>18</v>
      </c>
      <c r="H2668" s="1" t="s">
        <v>19</v>
      </c>
      <c r="I2668" s="1" t="s">
        <v>20</v>
      </c>
      <c r="J2668" s="1" t="s">
        <v>12232</v>
      </c>
      <c r="K2668" s="1" t="s">
        <v>22</v>
      </c>
      <c r="L2668" s="1" t="str">
        <f>HYPERLINK("https://files.afu.se/Downloads/Transcripts/0%20-%20Government/USA%20-%20NASA/2013 12 24 - NASA - From Earth to Deep Space  NASA 2013 Highlights_lRGSG6qaLqk - transcript (automated).pdf","Transcript Link")</f>
        <v>Transcript Link</v>
      </c>
      <c r="M2668" s="2" t="str">
        <f>HYPERLINK("https://files.afu.se/Downloads/Transcripts/0%20-%20Government/USA%20-%20NASA/2013 12 24 - NASA - From Earth to Deep Space  NASA 2013 Highlights_lRGSG6qaLqk - transcript (automated).pdf","Transcript Link")</f>
        <v>Transcript Link</v>
      </c>
    </row>
    <row r="2669" ht="195" spans="1:13">
      <c r="A2669" s="1" t="s">
        <v>12228</v>
      </c>
      <c r="B2669" s="1" t="s">
        <v>13</v>
      </c>
      <c r="C2669" s="4" t="s">
        <v>12233</v>
      </c>
      <c r="D2669" s="1" t="s">
        <v>12234</v>
      </c>
      <c r="E2669" s="1" t="s">
        <v>12235</v>
      </c>
      <c r="F2669" s="4" t="s">
        <v>17</v>
      </c>
      <c r="G2669" s="1" t="s">
        <v>18</v>
      </c>
      <c r="H2669" s="1" t="s">
        <v>19</v>
      </c>
      <c r="I2669" s="1" t="s">
        <v>20</v>
      </c>
      <c r="J2669" s="1" t="s">
        <v>12236</v>
      </c>
      <c r="K2669" s="1" t="s">
        <v>22</v>
      </c>
      <c r="L2669" s="1" t="str">
        <f>HYPERLINK("https://files.afu.se/Downloads/Transcripts/0%20-%20Government/USA%20-%20NASA/2013 12 24 - NASA - NASA Conducts Second Spacewalk to Fix Coolant Pump on ISS_rOrzKtEW0xg - transcript (automated).pdf","Transcript Link")</f>
        <v>Transcript Link</v>
      </c>
      <c r="M2669" s="2" t="str">
        <f>HYPERLINK("https://files.afu.se/Downloads/Transcripts/0%20-%20Government/USA%20-%20NASA/2013 12 24 - NASA - NASA Conducts Second Spacewalk to Fix Coolant Pump on ISS_rOrzKtEW0xg - transcript (automated).pdf","Transcript Link")</f>
        <v>Transcript Link</v>
      </c>
    </row>
    <row r="2670" ht="165" spans="1:13">
      <c r="A2670" s="1" t="s">
        <v>12228</v>
      </c>
      <c r="B2670" s="1" t="s">
        <v>13</v>
      </c>
      <c r="C2670" s="4" t="s">
        <v>12237</v>
      </c>
      <c r="D2670" s="1" t="s">
        <v>12238</v>
      </c>
      <c r="E2670" s="1" t="s">
        <v>12239</v>
      </c>
      <c r="F2670" s="4" t="s">
        <v>17</v>
      </c>
      <c r="G2670" s="1" t="s">
        <v>18</v>
      </c>
      <c r="H2670" s="1" t="s">
        <v>19</v>
      </c>
      <c r="I2670" s="1" t="s">
        <v>20</v>
      </c>
      <c r="J2670" s="1" t="s">
        <v>12240</v>
      </c>
      <c r="K2670" s="1" t="s">
        <v>22</v>
      </c>
      <c r="L2670" s="1" t="str">
        <f>HYPERLINK("https://files.afu.se/Downloads/Transcripts/0%20-%20Government/USA%20-%20NASA/2013 12 24 - NASA - 12 Days of Astronaut Fitness_BiRJBLT44-o - transcript (automated).pdf","Transcript Link")</f>
        <v>Transcript Link</v>
      </c>
      <c r="M2670" s="2" t="str">
        <f>HYPERLINK("https://files.afu.se/Downloads/Transcripts/0%20-%20Government/USA%20-%20NASA/2013 12 24 - NASA - 12 Days of Astronaut Fitness_BiRJBLT44-o - transcript (automated).pdf","Transcript Link")</f>
        <v>Transcript Link</v>
      </c>
    </row>
    <row r="2671" ht="300" spans="1:13">
      <c r="A2671" s="1" t="s">
        <v>12241</v>
      </c>
      <c r="B2671" s="1" t="s">
        <v>13</v>
      </c>
      <c r="C2671" s="4" t="s">
        <v>12242</v>
      </c>
      <c r="D2671" s="1" t="s">
        <v>12243</v>
      </c>
      <c r="E2671" s="1" t="s">
        <v>12244</v>
      </c>
      <c r="F2671" s="4" t="s">
        <v>17</v>
      </c>
      <c r="G2671" s="1" t="s">
        <v>18</v>
      </c>
      <c r="H2671" s="1" t="s">
        <v>19</v>
      </c>
      <c r="I2671" s="1" t="s">
        <v>20</v>
      </c>
      <c r="J2671" s="1" t="s">
        <v>12245</v>
      </c>
      <c r="K2671" s="1" t="s">
        <v>22</v>
      </c>
      <c r="L2671" s="1" t="str">
        <f>HYPERLINK("https://files.afu.se/Downloads/Transcripts/0%20-%20Government/USA%20-%20NASA/2013 12 23 - NASA - Season's Greetings from NASA Television 2013_GYfwY1HzQF8 - transcript (automated).pdf","Transcript Link")</f>
        <v>Transcript Link</v>
      </c>
      <c r="M2671" s="2" t="str">
        <f>HYPERLINK("https://files.afu.se/Downloads/Transcripts/0%20-%20Government/USA%20-%20NASA/2013 12 23 - NASA - Season's Greetings from NASA Television 2013_GYfwY1HzQF8 - transcript (automated).pdf","Transcript Link")</f>
        <v>Transcript Link</v>
      </c>
    </row>
    <row r="2672" ht="195" spans="1:13">
      <c r="A2672" s="1" t="s">
        <v>12246</v>
      </c>
      <c r="B2672" s="1" t="s">
        <v>13</v>
      </c>
      <c r="C2672" s="4" t="s">
        <v>12247</v>
      </c>
      <c r="D2672" s="1" t="s">
        <v>12248</v>
      </c>
      <c r="E2672" s="1" t="s">
        <v>12249</v>
      </c>
      <c r="F2672" s="4" t="s">
        <v>17</v>
      </c>
      <c r="G2672" s="1" t="s">
        <v>18</v>
      </c>
      <c r="H2672" s="1" t="s">
        <v>19</v>
      </c>
      <c r="I2672" s="1" t="s">
        <v>20</v>
      </c>
      <c r="J2672" s="1" t="s">
        <v>12250</v>
      </c>
      <c r="K2672" s="1" t="s">
        <v>22</v>
      </c>
      <c r="L2672" s="1" t="str">
        <f>HYPERLINK("https://files.afu.se/Downloads/Transcripts/0%20-%20Government/USA%20-%20NASA/2013 12 21 - NASA - NASA Begins Series of Spacewalks to Fix Coolant Pump on ISS_Qx2WDr-lmJc - transcript (automated).pdf","Transcript Link")</f>
        <v>Transcript Link</v>
      </c>
      <c r="M2672" s="2" t="str">
        <f>HYPERLINK("https://files.afu.se/Downloads/Transcripts/0%20-%20Government/USA%20-%20NASA/2013 12 21 - NASA - NASA Begins Series of Spacewalks to Fix Coolant Pump on ISS_Qx2WDr-lmJc - transcript (automated).pdf","Transcript Link")</f>
        <v>Transcript Link</v>
      </c>
    </row>
    <row r="2673" ht="165" spans="1:13">
      <c r="A2673" s="1" t="s">
        <v>12251</v>
      </c>
      <c r="B2673" s="1" t="s">
        <v>13</v>
      </c>
      <c r="C2673" s="4" t="s">
        <v>12252</v>
      </c>
      <c r="D2673" s="1" t="s">
        <v>12253</v>
      </c>
      <c r="E2673" s="1" t="s">
        <v>12254</v>
      </c>
      <c r="F2673" s="4" t="s">
        <v>17</v>
      </c>
      <c r="G2673" s="1" t="s">
        <v>18</v>
      </c>
      <c r="H2673" s="1" t="s">
        <v>19</v>
      </c>
      <c r="I2673" s="1" t="s">
        <v>20</v>
      </c>
      <c r="J2673" s="1" t="s">
        <v>12255</v>
      </c>
      <c r="K2673" s="1" t="s">
        <v>22</v>
      </c>
      <c r="L2673" s="1" t="str">
        <f>HYPERLINK("https://files.afu.se/Downloads/Transcripts/0%20-%20Government/USA%20-%20NASA/2013 12 20 - NASA - 2013 What Happened This Year @NASA_NdpuSuJZ4eg - transcript (automated).pdf","Transcript Link")</f>
        <v>Transcript Link</v>
      </c>
      <c r="M2673" s="2" t="str">
        <f>HYPERLINK("https://files.afu.se/Downloads/Transcripts/0%20-%20Government/USA%20-%20NASA/2013 12 20 - NASA - 2013 What Happened This Year @NASA_NdpuSuJZ4eg - transcript (automated).pdf","Transcript Link")</f>
        <v>Transcript Link</v>
      </c>
    </row>
    <row r="2674" ht="240" spans="1:13">
      <c r="A2674" s="1" t="s">
        <v>12256</v>
      </c>
      <c r="B2674" s="1" t="s">
        <v>13</v>
      </c>
      <c r="C2674" s="4" t="s">
        <v>12257</v>
      </c>
      <c r="D2674" s="1" t="s">
        <v>12258</v>
      </c>
      <c r="E2674" s="1" t="s">
        <v>12259</v>
      </c>
      <c r="F2674" s="4" t="s">
        <v>17</v>
      </c>
      <c r="G2674" s="1" t="s">
        <v>18</v>
      </c>
      <c r="H2674" s="1" t="s">
        <v>19</v>
      </c>
      <c r="I2674" s="1" t="s">
        <v>20</v>
      </c>
      <c r="J2674" s="1" t="s">
        <v>12260</v>
      </c>
      <c r="K2674" s="1" t="s">
        <v>22</v>
      </c>
      <c r="L2674" s="1" t="str">
        <f>HYPERLINK("https://files.afu.se/Downloads/Transcripts/0%20-%20Government/USA%20-%20NASA/2013 12 18 - NASA - NASA Previews Spacewalks to Replace ISS Coolant Pump_8nmJ-yuUfco - transcript (automated).pdf","Transcript Link")</f>
        <v>Transcript Link</v>
      </c>
      <c r="M2674" s="2" t="str">
        <f>HYPERLINK("https://files.afu.se/Downloads/Transcripts/0%20-%20Government/USA%20-%20NASA/2013 12 18 - NASA - NASA Previews Spacewalks to Replace ISS Coolant Pump_8nmJ-yuUfco - transcript (automated).pdf","Transcript Link")</f>
        <v>Transcript Link</v>
      </c>
    </row>
    <row r="2675" ht="180" spans="1:13">
      <c r="A2675" s="1" t="s">
        <v>12261</v>
      </c>
      <c r="B2675" s="1" t="s">
        <v>13</v>
      </c>
      <c r="C2675" s="4" t="s">
        <v>12262</v>
      </c>
      <c r="D2675" s="1" t="s">
        <v>12263</v>
      </c>
      <c r="E2675" s="1" t="s">
        <v>12264</v>
      </c>
      <c r="F2675" s="4" t="s">
        <v>17</v>
      </c>
      <c r="G2675" s="1" t="s">
        <v>18</v>
      </c>
      <c r="H2675" s="1" t="s">
        <v>19</v>
      </c>
      <c r="I2675" s="1" t="s">
        <v>20</v>
      </c>
      <c r="J2675" s="1" t="s">
        <v>12265</v>
      </c>
      <c r="K2675" s="1" t="s">
        <v>22</v>
      </c>
      <c r="L2675" s="1" t="str">
        <f>HYPERLINK("https://files.afu.se/Downloads/Transcripts/0%20-%20Government/USA%20-%20NASA/2013 12 13 - NASA - Science News at AGU Fall meeting on This Week @NASA_Asurzyiz3GY - transcript (automated).pdf","Transcript Link")</f>
        <v>Transcript Link</v>
      </c>
      <c r="M2675" s="2" t="str">
        <f>HYPERLINK("https://files.afu.se/Downloads/Transcripts/0%20-%20Government/USA%20-%20NASA/2013 12 13 - NASA - Science News at AGU Fall meeting on This Week @NASA_Asurzyiz3GY - transcript (automated).pdf","Transcript Link")</f>
        <v>Transcript Link</v>
      </c>
    </row>
    <row r="2676" ht="165" spans="1:13">
      <c r="A2676" s="1" t="s">
        <v>12261</v>
      </c>
      <c r="B2676" s="1" t="s">
        <v>13</v>
      </c>
      <c r="C2676" s="4" t="s">
        <v>12266</v>
      </c>
      <c r="D2676" s="1" t="s">
        <v>12267</v>
      </c>
      <c r="E2676" s="1" t="s">
        <v>12268</v>
      </c>
      <c r="F2676" s="4" t="s">
        <v>17</v>
      </c>
      <c r="G2676" s="1" t="s">
        <v>18</v>
      </c>
      <c r="H2676" s="1" t="s">
        <v>19</v>
      </c>
      <c r="I2676" s="1" t="s">
        <v>20</v>
      </c>
      <c r="J2676" s="1" t="s">
        <v>12269</v>
      </c>
      <c r="K2676" s="1" t="s">
        <v>22</v>
      </c>
      <c r="L2676" s="1" t="str">
        <f>HYPERLINK("https://files.afu.se/Downloads/Transcripts/0%20-%20Government/USA%20-%20NASA/2013 12 13 - NASA - Space Station Crewmember Discusses Life in Space with News Media_auiQTn9qZwo - transcript (automated).pdf","Transcript Link")</f>
        <v>Transcript Link</v>
      </c>
      <c r="M2676" s="2" t="str">
        <f>HYPERLINK("https://files.afu.se/Downloads/Transcripts/0%20-%20Government/USA%20-%20NASA/2013 12 13 - NASA - Space Station Crewmember Discusses Life in Space with News Media_auiQTn9qZwo - transcript (automated).pdf","Transcript Link")</f>
        <v>Transcript Link</v>
      </c>
    </row>
    <row r="2677" ht="195" spans="1:13">
      <c r="A2677" s="1" t="s">
        <v>12270</v>
      </c>
      <c r="B2677" s="1" t="s">
        <v>13</v>
      </c>
      <c r="C2677" s="4" t="s">
        <v>12271</v>
      </c>
      <c r="D2677" s="1" t="s">
        <v>12272</v>
      </c>
      <c r="E2677" s="1" t="s">
        <v>12273</v>
      </c>
      <c r="F2677" s="4" t="s">
        <v>17</v>
      </c>
      <c r="G2677" s="1" t="s">
        <v>18</v>
      </c>
      <c r="H2677" s="1" t="s">
        <v>19</v>
      </c>
      <c r="I2677" s="1" t="s">
        <v>20</v>
      </c>
      <c r="J2677" s="1" t="s">
        <v>12274</v>
      </c>
      <c r="K2677" s="1" t="s">
        <v>22</v>
      </c>
      <c r="L2677" s="1" t="str">
        <f>HYPERLINK("https://files.afu.se/Downloads/Transcripts/0%20-%20Government/USA%20-%20NASA/2013 12 12 - NASA - High School Students Talk Space with NASA During Special Educational Event_s76r-LwIqgY - transcript (automated).pdf","Transcript Link")</f>
        <v>Transcript Link</v>
      </c>
      <c r="M2677" s="2" t="str">
        <f>HYPERLINK("https://files.afu.se/Downloads/Transcripts/0%20-%20Government/USA%20-%20NASA/2013 12 12 - NASA - High School Students Talk Space with NASA During Special Educational Event_s76r-LwIqgY - transcript (automated).pdf","Transcript Link")</f>
        <v>Transcript Link</v>
      </c>
    </row>
    <row r="2678" ht="165" spans="1:13">
      <c r="A2678" s="1" t="s">
        <v>12275</v>
      </c>
      <c r="B2678" s="1" t="s">
        <v>13</v>
      </c>
      <c r="C2678" s="4" t="s">
        <v>12276</v>
      </c>
      <c r="D2678" s="1" t="s">
        <v>12277</v>
      </c>
      <c r="E2678" s="1" t="s">
        <v>12278</v>
      </c>
      <c r="F2678" s="4" t="s">
        <v>17</v>
      </c>
      <c r="G2678" s="1" t="s">
        <v>18</v>
      </c>
      <c r="H2678" s="1" t="s">
        <v>19</v>
      </c>
      <c r="I2678" s="1" t="s">
        <v>20</v>
      </c>
      <c r="J2678" s="1" t="s">
        <v>12279</v>
      </c>
      <c r="K2678" s="1" t="s">
        <v>22</v>
      </c>
      <c r="L2678" s="1" t="str">
        <f>HYPERLINK("https://files.afu.se/Downloads/Transcripts/0%20-%20Government/USA%20-%20NASA/2013 12 06 - NASA - ISON update on This Week @NASA_hOCEHhGHcvo - transcript (automated).pdf","Transcript Link")</f>
        <v>Transcript Link</v>
      </c>
      <c r="M2678" s="2" t="str">
        <f>HYPERLINK("https://files.afu.se/Downloads/Transcripts/0%20-%20Government/USA%20-%20NASA/2013 12 06 - NASA - ISON update on This Week @NASA_hOCEHhGHcvo - transcript (automated).pdf","Transcript Link")</f>
        <v>Transcript Link</v>
      </c>
    </row>
    <row r="2679" ht="165" spans="1:13">
      <c r="A2679" s="1" t="s">
        <v>12280</v>
      </c>
      <c r="B2679" s="1" t="s">
        <v>13</v>
      </c>
      <c r="C2679" s="4" t="s">
        <v>12281</v>
      </c>
      <c r="D2679" s="1" t="s">
        <v>12282</v>
      </c>
      <c r="E2679" s="1" t="s">
        <v>12283</v>
      </c>
      <c r="F2679" s="4" t="s">
        <v>17</v>
      </c>
      <c r="G2679" s="1" t="s">
        <v>18</v>
      </c>
      <c r="H2679" s="1" t="s">
        <v>19</v>
      </c>
      <c r="I2679" s="1" t="s">
        <v>20</v>
      </c>
      <c r="J2679" s="1" t="s">
        <v>12284</v>
      </c>
      <c r="K2679" s="1" t="s">
        <v>22</v>
      </c>
      <c r="L2679" s="1" t="str">
        <f>HYPERLINK("https://files.afu.se/Downloads/Transcripts/0%20-%20Government/USA%20-%20NASA/2013 12 04 - NASA - Google+ Hangout with NASA's Cassini Solstice Mission to Saturn_CB0ylKvVnNw - transcript (automated).pdf","Transcript Link")</f>
        <v>Transcript Link</v>
      </c>
      <c r="M2679" s="2" t="str">
        <f>HYPERLINK("https://files.afu.se/Downloads/Transcripts/0%20-%20Government/USA%20-%20NASA/2013 12 04 - NASA - Google+ Hangout with NASA's Cassini Solstice Mission to Saturn_CB0ylKvVnNw - transcript (automated).pdf","Transcript Link")</f>
        <v>Transcript Link</v>
      </c>
    </row>
    <row r="2680" ht="165" spans="1:13">
      <c r="A2680" s="1" t="s">
        <v>12285</v>
      </c>
      <c r="B2680" s="1" t="s">
        <v>13</v>
      </c>
      <c r="C2680" s="4" t="s">
        <v>12286</v>
      </c>
      <c r="D2680" s="1" t="s">
        <v>12287</v>
      </c>
      <c r="E2680" s="1" t="s">
        <v>12288</v>
      </c>
      <c r="F2680" s="4" t="s">
        <v>17</v>
      </c>
      <c r="G2680" s="1" t="s">
        <v>18</v>
      </c>
      <c r="H2680" s="1" t="s">
        <v>19</v>
      </c>
      <c r="I2680" s="1" t="s">
        <v>20</v>
      </c>
      <c r="J2680" s="1" t="s">
        <v>12289</v>
      </c>
      <c r="K2680" s="1" t="s">
        <v>22</v>
      </c>
      <c r="L2680" s="1" t="str">
        <f>HYPERLINK("https://files.afu.se/Downloads/Transcripts/0%20-%20Government/USA%20-%20NASA/2013 12 03 - NASA - International Space Station Crew Chats About Life in Space with the Media_nl6laW4FqQQ - transcript (automated).pdf","Transcript Link")</f>
        <v>Transcript Link</v>
      </c>
      <c r="M2680" s="2" t="str">
        <f>HYPERLINK("https://files.afu.se/Downloads/Transcripts/0%20-%20Government/USA%20-%20NASA/2013 12 03 - NASA - International Space Station Crew Chats About Life in Space with the Media_nl6laW4FqQQ - transcript (automated).pdf","Transcript Link")</f>
        <v>Transcript Link</v>
      </c>
    </row>
    <row r="2681" ht="165" spans="1:13">
      <c r="A2681" s="1" t="s">
        <v>12290</v>
      </c>
      <c r="B2681" s="1" t="s">
        <v>13</v>
      </c>
      <c r="C2681" s="4" t="s">
        <v>12291</v>
      </c>
      <c r="D2681" s="1" t="s">
        <v>12292</v>
      </c>
      <c r="E2681" s="1" t="s">
        <v>12293</v>
      </c>
      <c r="F2681" s="4" t="s">
        <v>17</v>
      </c>
      <c r="G2681" s="1" t="s">
        <v>18</v>
      </c>
      <c r="H2681" s="1" t="s">
        <v>19</v>
      </c>
      <c r="I2681" s="1" t="s">
        <v>20</v>
      </c>
      <c r="J2681" s="1" t="s">
        <v>12294</v>
      </c>
      <c r="K2681" s="1" t="s">
        <v>22</v>
      </c>
      <c r="L2681" s="1" t="str">
        <f>HYPERLINK("https://files.afu.se/Downloads/Transcripts/0%20-%20Government/USA%20-%20NASA/2013 11 29 - NASA - Russian resupply ship makes holiday arrival at space station_U7laeQu99Uo - transcript (automated).pdf","Transcript Link")</f>
        <v>Transcript Link</v>
      </c>
      <c r="M2681" s="2" t="str">
        <f>HYPERLINK("https://files.afu.se/Downloads/Transcripts/0%20-%20Government/USA%20-%20NASA/2013 11 29 - NASA - Russian resupply ship makes holiday arrival at space station_U7laeQu99Uo - transcript (automated).pdf","Transcript Link")</f>
        <v>Transcript Link</v>
      </c>
    </row>
    <row r="2682" ht="165" spans="1:13">
      <c r="A2682" s="1" t="s">
        <v>12290</v>
      </c>
      <c r="B2682" s="1" t="s">
        <v>13</v>
      </c>
      <c r="C2682" s="4" t="s">
        <v>12295</v>
      </c>
      <c r="D2682" s="1" t="s">
        <v>12296</v>
      </c>
      <c r="E2682" s="1" t="s">
        <v>12297</v>
      </c>
      <c r="F2682" s="4" t="s">
        <v>17</v>
      </c>
      <c r="G2682" s="1" t="s">
        <v>18</v>
      </c>
      <c r="H2682" s="1" t="s">
        <v>19</v>
      </c>
      <c r="I2682" s="1" t="s">
        <v>20</v>
      </c>
      <c r="J2682" s="1" t="s">
        <v>12298</v>
      </c>
      <c r="K2682" s="1" t="s">
        <v>22</v>
      </c>
      <c r="L2682" s="1" t="str">
        <f>HYPERLINK("https://files.afu.se/Downloads/Transcripts/0%20-%20Government/USA%20-%20NASA/2013 11 29 - NASA - ISON and the sun on This Week @NASA_Fzxcx_kB_nI - transcript (automated).pdf","Transcript Link")</f>
        <v>Transcript Link</v>
      </c>
      <c r="M2682" s="2" t="str">
        <f>HYPERLINK("https://files.afu.se/Downloads/Transcripts/0%20-%20Government/USA%20-%20NASA/2013 11 29 - NASA - ISON and the sun on This Week @NASA_Fzxcx_kB_nI - transcript (automated).pdf","Transcript Link")</f>
        <v>Transcript Link</v>
      </c>
    </row>
    <row r="2683" ht="165" spans="1:13">
      <c r="A2683" s="1" t="s">
        <v>12290</v>
      </c>
      <c r="B2683" s="1" t="s">
        <v>13</v>
      </c>
      <c r="C2683" s="4" t="s">
        <v>12299</v>
      </c>
      <c r="D2683" s="1" t="s">
        <v>12300</v>
      </c>
      <c r="E2683" s="1" t="s">
        <v>12301</v>
      </c>
      <c r="F2683" s="4" t="s">
        <v>17</v>
      </c>
      <c r="G2683" s="1" t="s">
        <v>18</v>
      </c>
      <c r="H2683" s="1" t="s">
        <v>19</v>
      </c>
      <c r="I2683" s="1" t="s">
        <v>20</v>
      </c>
      <c r="J2683" s="1" t="s">
        <v>12302</v>
      </c>
      <c r="K2683" s="1" t="s">
        <v>22</v>
      </c>
      <c r="L2683" s="1" t="str">
        <f>HYPERLINK("https://files.afu.se/Downloads/Transcripts/0%20-%20Government/USA%20-%20NASA/2013 11 29 - NASA - Deflections Demonstrations - Part 1_uKPfcHhvAzI - transcript (automated).pdf","Transcript Link")</f>
        <v>Transcript Link</v>
      </c>
      <c r="M2683" s="2" t="str">
        <f>HYPERLINK("https://files.afu.se/Downloads/Transcripts/0%20-%20Government/USA%20-%20NASA/2013 11 29 - NASA - Deflections Demonstrations - Part 1_uKPfcHhvAzI - transcript (automated).pdf","Transcript Link")</f>
        <v>Transcript Link</v>
      </c>
    </row>
    <row r="2684" ht="165" spans="1:13">
      <c r="A2684" s="1" t="s">
        <v>12290</v>
      </c>
      <c r="B2684" s="1" t="s">
        <v>13</v>
      </c>
      <c r="C2684" s="4" t="s">
        <v>12303</v>
      </c>
      <c r="D2684" s="1" t="s">
        <v>12304</v>
      </c>
      <c r="E2684" s="1" t="s">
        <v>12305</v>
      </c>
      <c r="F2684" s="4" t="s">
        <v>17</v>
      </c>
      <c r="G2684" s="1" t="s">
        <v>18</v>
      </c>
      <c r="H2684" s="1" t="s">
        <v>19</v>
      </c>
      <c r="I2684" s="1" t="s">
        <v>20</v>
      </c>
      <c r="J2684" s="1" t="s">
        <v>12306</v>
      </c>
      <c r="K2684" s="1" t="s">
        <v>22</v>
      </c>
      <c r="L2684" s="1" t="str">
        <f>HYPERLINK("https://files.afu.se/Downloads/Transcripts/0%20-%20Government/USA%20-%20NASA/2013 11 29 - NASA - Redirection Systems - Part 1_vF8dIH2Jg_0 - transcript (automated).pdf","Transcript Link")</f>
        <v>Transcript Link</v>
      </c>
      <c r="M2684" s="2" t="str">
        <f>HYPERLINK("https://files.afu.se/Downloads/Transcripts/0%20-%20Government/USA%20-%20NASA/2013 11 29 - NASA - Redirection Systems - Part 1_vF8dIH2Jg_0 - transcript (automated).pdf","Transcript Link")</f>
        <v>Transcript Link</v>
      </c>
    </row>
    <row r="2685" ht="165" spans="1:13">
      <c r="A2685" s="1" t="s">
        <v>12290</v>
      </c>
      <c r="B2685" s="1" t="s">
        <v>13</v>
      </c>
      <c r="C2685" s="4" t="s">
        <v>12307</v>
      </c>
      <c r="D2685" s="1" t="s">
        <v>12308</v>
      </c>
      <c r="E2685" s="1" t="s">
        <v>12309</v>
      </c>
      <c r="F2685" s="4" t="s">
        <v>17</v>
      </c>
      <c r="G2685" s="1" t="s">
        <v>18</v>
      </c>
      <c r="H2685" s="1" t="s">
        <v>19</v>
      </c>
      <c r="I2685" s="1" t="s">
        <v>20</v>
      </c>
      <c r="J2685" s="1" t="s">
        <v>12310</v>
      </c>
      <c r="K2685" s="1" t="s">
        <v>22</v>
      </c>
      <c r="L2685" s="1" t="str">
        <f>HYPERLINK("https://files.afu.se/Downloads/Transcripts/0%20-%20Government/USA%20-%20NASA/2013 11 29 - NASA - Deflections Demonstrations - Part 2_-o-8hReJGV8 - transcript (automated).pdf","Transcript Link")</f>
        <v>Transcript Link</v>
      </c>
      <c r="M2685" s="2" t="str">
        <f>HYPERLINK("https://files.afu.se/Downloads/Transcripts/0%20-%20Government/USA%20-%20NASA/2013 11 29 - NASA - Deflections Demonstrations - Part 2_-o-8hReJGV8 - transcript (automated).pdf","Transcript Link")</f>
        <v>Transcript Link</v>
      </c>
    </row>
    <row r="2686" ht="165" spans="1:13">
      <c r="A2686" s="1" t="s">
        <v>12290</v>
      </c>
      <c r="B2686" s="1" t="s">
        <v>13</v>
      </c>
      <c r="C2686" s="4" t="s">
        <v>12311</v>
      </c>
      <c r="D2686" s="1" t="s">
        <v>12312</v>
      </c>
      <c r="E2686" s="1" t="s">
        <v>12313</v>
      </c>
      <c r="F2686" s="4" t="s">
        <v>17</v>
      </c>
      <c r="G2686" s="1" t="s">
        <v>18</v>
      </c>
      <c r="H2686" s="1" t="s">
        <v>19</v>
      </c>
      <c r="I2686" s="1" t="s">
        <v>20</v>
      </c>
      <c r="J2686" s="1" t="s">
        <v>12314</v>
      </c>
      <c r="K2686" s="1" t="s">
        <v>22</v>
      </c>
      <c r="L2686" s="1" t="str">
        <f>HYPERLINK("https://files.afu.se/Downloads/Transcripts/0%20-%20Government/USA%20-%20NASA/2013 11 29 - NASA - Redirection Systems - Part 2_a0CWMpysAgM - transcript (automated).pdf","Transcript Link")</f>
        <v>Transcript Link</v>
      </c>
      <c r="M2686" s="2" t="str">
        <f>HYPERLINK("https://files.afu.se/Downloads/Transcripts/0%20-%20Government/USA%20-%20NASA/2013 11 29 - NASA - Redirection Systems - Part 2_a0CWMpysAgM - transcript (automated).pdf","Transcript Link")</f>
        <v>Transcript Link</v>
      </c>
    </row>
    <row r="2687" ht="165" spans="1:13">
      <c r="A2687" s="1" t="s">
        <v>12290</v>
      </c>
      <c r="B2687" s="1" t="s">
        <v>13</v>
      </c>
      <c r="C2687" s="4" t="s">
        <v>12315</v>
      </c>
      <c r="D2687" s="1" t="s">
        <v>12316</v>
      </c>
      <c r="E2687" s="1" t="s">
        <v>12317</v>
      </c>
      <c r="F2687" s="4" t="s">
        <v>17</v>
      </c>
      <c r="G2687" s="1" t="s">
        <v>18</v>
      </c>
      <c r="H2687" s="1" t="s">
        <v>19</v>
      </c>
      <c r="I2687" s="1" t="s">
        <v>20</v>
      </c>
      <c r="J2687" s="1" t="s">
        <v>12318</v>
      </c>
      <c r="K2687" s="1" t="s">
        <v>22</v>
      </c>
      <c r="L2687" s="1" t="str">
        <f>HYPERLINK("https://files.afu.se/Downloads/Transcripts/0%20-%20Government/USA%20-%20NASA/2013 11 29 - NASA - Crowd Sourcing - Part 1_gaQs08VhF1Q - transcript (automated).pdf","Transcript Link")</f>
        <v>Transcript Link</v>
      </c>
      <c r="M2687" s="2" t="str">
        <f>HYPERLINK("https://files.afu.se/Downloads/Transcripts/0%20-%20Government/USA%20-%20NASA/2013 11 29 - NASA - Crowd Sourcing - Part 1_gaQs08VhF1Q - transcript (automated).pdf","Transcript Link")</f>
        <v>Transcript Link</v>
      </c>
    </row>
    <row r="2688" ht="165" spans="1:13">
      <c r="A2688" s="1" t="s">
        <v>12290</v>
      </c>
      <c r="B2688" s="1" t="s">
        <v>13</v>
      </c>
      <c r="C2688" s="4" t="s">
        <v>12319</v>
      </c>
      <c r="D2688" s="1" t="s">
        <v>12320</v>
      </c>
      <c r="E2688" s="1" t="s">
        <v>12321</v>
      </c>
      <c r="F2688" s="4" t="s">
        <v>17</v>
      </c>
      <c r="G2688" s="1" t="s">
        <v>18</v>
      </c>
      <c r="H2688" s="1" t="s">
        <v>19</v>
      </c>
      <c r="I2688" s="1" t="s">
        <v>20</v>
      </c>
      <c r="J2688" s="1" t="s">
        <v>12322</v>
      </c>
      <c r="K2688" s="1" t="s">
        <v>22</v>
      </c>
      <c r="L2688" s="1" t="str">
        <f>HYPERLINK("https://files.afu.se/Downloads/Transcripts/0%20-%20Government/USA%20-%20NASA/2013 11 29 - NASA - Capture Systems - Part 1_u9VR0iZBkaU - transcript (automated).pdf","Transcript Link")</f>
        <v>Transcript Link</v>
      </c>
      <c r="M2688" s="2" t="str">
        <f>HYPERLINK("https://files.afu.se/Downloads/Transcripts/0%20-%20Government/USA%20-%20NASA/2013 11 29 - NASA - Capture Systems - Part 1_u9VR0iZBkaU - transcript (automated).pdf","Transcript Link")</f>
        <v>Transcript Link</v>
      </c>
    </row>
    <row r="2689" ht="165" spans="1:13">
      <c r="A2689" s="1" t="s">
        <v>12290</v>
      </c>
      <c r="B2689" s="1" t="s">
        <v>13</v>
      </c>
      <c r="C2689" s="4" t="s">
        <v>12323</v>
      </c>
      <c r="D2689" s="1" t="s">
        <v>12324</v>
      </c>
      <c r="E2689" s="1" t="s">
        <v>12325</v>
      </c>
      <c r="F2689" s="4" t="s">
        <v>17</v>
      </c>
      <c r="G2689" s="1" t="s">
        <v>18</v>
      </c>
      <c r="H2689" s="1" t="s">
        <v>19</v>
      </c>
      <c r="I2689" s="1" t="s">
        <v>20</v>
      </c>
      <c r="J2689" s="1" t="s">
        <v>12326</v>
      </c>
      <c r="K2689" s="1" t="s">
        <v>22</v>
      </c>
      <c r="L2689" s="1" t="str">
        <f>HYPERLINK("https://files.afu.se/Downloads/Transcripts/0%20-%20Government/USA%20-%20NASA/2013 11 29 - NASA - Deflections Discussion - Part 2_I1H3ZYq6v3s - transcript (automated).pdf","Transcript Link")</f>
        <v>Transcript Link</v>
      </c>
      <c r="M2689" s="2" t="str">
        <f>HYPERLINK("https://files.afu.se/Downloads/Transcripts/0%20-%20Government/USA%20-%20NASA/2013 11 29 - NASA - Deflections Discussion - Part 2_I1H3ZYq6v3s - transcript (automated).pdf","Transcript Link")</f>
        <v>Transcript Link</v>
      </c>
    </row>
    <row r="2690" ht="165" spans="1:13">
      <c r="A2690" s="1" t="s">
        <v>12290</v>
      </c>
      <c r="B2690" s="1" t="s">
        <v>13</v>
      </c>
      <c r="C2690" s="4" t="s">
        <v>12327</v>
      </c>
      <c r="D2690" s="1" t="s">
        <v>12328</v>
      </c>
      <c r="E2690" s="1" t="s">
        <v>12329</v>
      </c>
      <c r="F2690" s="4" t="s">
        <v>17</v>
      </c>
      <c r="G2690" s="1" t="s">
        <v>18</v>
      </c>
      <c r="H2690" s="1" t="s">
        <v>19</v>
      </c>
      <c r="I2690" s="1" t="s">
        <v>20</v>
      </c>
      <c r="J2690" s="1" t="s">
        <v>12330</v>
      </c>
      <c r="K2690" s="1" t="s">
        <v>22</v>
      </c>
      <c r="L2690" s="1" t="str">
        <f>HYPERLINK("https://files.afu.se/Downloads/Transcripts/0%20-%20Government/USA%20-%20NASA/2013 11 29 - NASA - Deflections Discussion - Part 1_y-GswRJV1Bg - transcript (automated).pdf","Transcript Link")</f>
        <v>Transcript Link</v>
      </c>
      <c r="M2690" s="2" t="str">
        <f>HYPERLINK("https://files.afu.se/Downloads/Transcripts/0%20-%20Government/USA%20-%20NASA/2013 11 29 - NASA - Deflections Discussion - Part 1_y-GswRJV1Bg - transcript (automated).pdf","Transcript Link")</f>
        <v>Transcript Link</v>
      </c>
    </row>
    <row r="2691" ht="165" spans="1:13">
      <c r="A2691" s="1" t="s">
        <v>12290</v>
      </c>
      <c r="B2691" s="1" t="s">
        <v>13</v>
      </c>
      <c r="C2691" s="4" t="s">
        <v>12331</v>
      </c>
      <c r="D2691" s="1" t="s">
        <v>12332</v>
      </c>
      <c r="E2691" s="1" t="s">
        <v>12333</v>
      </c>
      <c r="F2691" s="4" t="s">
        <v>17</v>
      </c>
      <c r="G2691" s="1" t="s">
        <v>18</v>
      </c>
      <c r="H2691" s="1" t="s">
        <v>19</v>
      </c>
      <c r="I2691" s="1" t="s">
        <v>20</v>
      </c>
      <c r="J2691" s="1" t="s">
        <v>12334</v>
      </c>
      <c r="K2691" s="1" t="s">
        <v>22</v>
      </c>
      <c r="L2691" s="1" t="str">
        <f>HYPERLINK("https://files.afu.se/Downloads/Transcripts/0%20-%20Government/USA%20-%20NASA/2013 11 29 - NASA - Capture Systems - Part 2_0JK_PJxcTiM - transcript (automated).pdf","Transcript Link")</f>
        <v>Transcript Link</v>
      </c>
      <c r="M2691" s="2" t="str">
        <f>HYPERLINK("https://files.afu.se/Downloads/Transcripts/0%20-%20Government/USA%20-%20NASA/2013 11 29 - NASA - Capture Systems - Part 2_0JK_PJxcTiM - transcript (automated).pdf","Transcript Link")</f>
        <v>Transcript Link</v>
      </c>
    </row>
    <row r="2692" ht="180" spans="1:13">
      <c r="A2692" s="1" t="s">
        <v>12335</v>
      </c>
      <c r="B2692" s="1" t="s">
        <v>13</v>
      </c>
      <c r="C2692" s="4" t="s">
        <v>12336</v>
      </c>
      <c r="D2692" s="1" t="s">
        <v>12337</v>
      </c>
      <c r="E2692" s="1" t="s">
        <v>12338</v>
      </c>
      <c r="F2692" s="4" t="s">
        <v>17</v>
      </c>
      <c r="G2692" s="1" t="s">
        <v>18</v>
      </c>
      <c r="H2692" s="1" t="s">
        <v>19</v>
      </c>
      <c r="I2692" s="1" t="s">
        <v>20</v>
      </c>
      <c r="J2692" s="1" t="s">
        <v>12339</v>
      </c>
      <c r="K2692" s="1" t="s">
        <v>22</v>
      </c>
      <c r="L2692" s="1" t="str">
        <f>HYPERLINK("https://files.afu.se/Downloads/Transcripts/0%20-%20Government/USA%20-%20NASA/2013 11 28 - NASA - NASA Comet ISON Google+ Hangout_3NB3j1SqG-I - transcript (automated).pdf","Transcript Link")</f>
        <v>Transcript Link</v>
      </c>
      <c r="M2692" s="2" t="str">
        <f>HYPERLINK("https://files.afu.se/Downloads/Transcripts/0%20-%20Government/USA%20-%20NASA/2013 11 28 - NASA - NASA Comet ISON Google+ Hangout_3NB3j1SqG-I - transcript (automated).pdf","Transcript Link")</f>
        <v>Transcript Link</v>
      </c>
    </row>
    <row r="2693" ht="165" spans="1:13">
      <c r="A2693" s="1" t="s">
        <v>12340</v>
      </c>
      <c r="B2693" s="1" t="s">
        <v>13</v>
      </c>
      <c r="C2693" s="4" t="s">
        <v>12341</v>
      </c>
      <c r="D2693" s="1" t="s">
        <v>12342</v>
      </c>
      <c r="E2693" s="1" t="s">
        <v>12343</v>
      </c>
      <c r="F2693" s="4" t="s">
        <v>17</v>
      </c>
      <c r="G2693" s="1" t="s">
        <v>18</v>
      </c>
      <c r="H2693" s="1" t="s">
        <v>19</v>
      </c>
      <c r="I2693" s="1" t="s">
        <v>20</v>
      </c>
      <c r="J2693" s="1" t="s">
        <v>12344</v>
      </c>
      <c r="K2693" s="1" t="s">
        <v>22</v>
      </c>
      <c r="L2693" s="1" t="str">
        <f>HYPERLINK("https://files.afu.se/Downloads/Transcripts/0%20-%20Government/USA%20-%20NASA/2013 11 27 - NASA - An out of this world Thanksgiving greeting, from NASA!_3Vojbd4Lhc4 - transcript (automated).pdf","Transcript Link")</f>
        <v>Transcript Link</v>
      </c>
      <c r="M2693" s="2" t="str">
        <f>HYPERLINK("https://files.afu.se/Downloads/Transcripts/0%20-%20Government/USA%20-%20NASA/2013 11 27 - NASA - An out of this world Thanksgiving greeting, from NASA!_3Vojbd4Lhc4 - transcript (automated).pdf","Transcript Link")</f>
        <v>Transcript Link</v>
      </c>
    </row>
    <row r="2694" ht="165" spans="1:13">
      <c r="A2694" s="1" t="s">
        <v>12345</v>
      </c>
      <c r="B2694" s="1" t="s">
        <v>13</v>
      </c>
      <c r="C2694" s="4" t="s">
        <v>12346</v>
      </c>
      <c r="D2694" s="1" t="s">
        <v>12347</v>
      </c>
      <c r="F2694" s="4" t="s">
        <v>17</v>
      </c>
      <c r="G2694" s="1" t="s">
        <v>18</v>
      </c>
      <c r="H2694" s="1" t="s">
        <v>19</v>
      </c>
      <c r="I2694" s="1" t="s">
        <v>20</v>
      </c>
      <c r="J2694" s="1" t="s">
        <v>12348</v>
      </c>
      <c r="K2694" s="1" t="s">
        <v>22</v>
      </c>
      <c r="L2694" s="1" t="str">
        <f>HYPERLINK("https://files.afu.se/Downloads/Transcripts/0%20-%20Government/USA%20-%20NASA/2013 11 26 - NASA - Asteroid Initiative Workshop - Summary Plenary Session_LMlPcuI0Uaw - transcript (automated).pdf","Transcript Link")</f>
        <v>Transcript Link</v>
      </c>
      <c r="M2694" s="2" t="str">
        <f>HYPERLINK("https://files.afu.se/Downloads/Transcripts/0%20-%20Government/USA%20-%20NASA/2013 11 26 - NASA - Asteroid Initiative Workshop - Summary Plenary Session_LMlPcuI0Uaw - transcript (automated).pdf","Transcript Link")</f>
        <v>Transcript Link</v>
      </c>
    </row>
    <row r="2695" ht="165" spans="1:13">
      <c r="A2695" s="1" t="s">
        <v>12345</v>
      </c>
      <c r="B2695" s="1" t="s">
        <v>13</v>
      </c>
      <c r="C2695" s="4" t="s">
        <v>12349</v>
      </c>
      <c r="D2695" s="1" t="s">
        <v>12350</v>
      </c>
      <c r="E2695" s="1" t="s">
        <v>12351</v>
      </c>
      <c r="F2695" s="4" t="s">
        <v>17</v>
      </c>
      <c r="G2695" s="1" t="s">
        <v>18</v>
      </c>
      <c r="H2695" s="1" t="s">
        <v>19</v>
      </c>
      <c r="I2695" s="1" t="s">
        <v>20</v>
      </c>
      <c r="J2695" s="1" t="s">
        <v>12352</v>
      </c>
      <c r="K2695" s="1" t="s">
        <v>22</v>
      </c>
      <c r="L2695" s="1" t="str">
        <f>HYPERLINK("https://files.afu.se/Downloads/Transcripts/0%20-%20Government/USA%20-%20NASA/2013 11 26 - NASA - Thanksgiving Message From Station's Expedition 38 Crew_h4j8b_ru8pg - transcript (automated).pdf","Transcript Link")</f>
        <v>Transcript Link</v>
      </c>
      <c r="M2695" s="2" t="str">
        <f>HYPERLINK("https://files.afu.se/Downloads/Transcripts/0%20-%20Government/USA%20-%20NASA/2013 11 26 - NASA - Thanksgiving Message From Station's Expedition 38 Crew_h4j8b_ru8pg - transcript (automated).pdf","Transcript Link")</f>
        <v>Transcript Link</v>
      </c>
    </row>
    <row r="2696" ht="270" spans="1:13">
      <c r="A2696" s="1" t="s">
        <v>12353</v>
      </c>
      <c r="B2696" s="1" t="s">
        <v>13</v>
      </c>
      <c r="C2696" s="4" t="s">
        <v>12354</v>
      </c>
      <c r="D2696" s="1" t="s">
        <v>12355</v>
      </c>
      <c r="E2696" s="1" t="s">
        <v>12356</v>
      </c>
      <c r="F2696" s="4" t="s">
        <v>17</v>
      </c>
      <c r="G2696" s="1" t="s">
        <v>18</v>
      </c>
      <c r="H2696" s="1" t="s">
        <v>19</v>
      </c>
      <c r="I2696" s="1" t="s">
        <v>20</v>
      </c>
      <c r="J2696" s="1" t="s">
        <v>12357</v>
      </c>
      <c r="K2696" s="1" t="s">
        <v>22</v>
      </c>
      <c r="L2696" s="1" t="str">
        <f>HYPERLINK("https://files.afu.se/Downloads/Transcripts/0%20-%20Government/USA%20-%20NASA/2013 11 25 - NASA - NASA Hispanic Heritage Month Profile -- Marile Colon Robles_kBNnoJbR98I - transcript (automated).pdf","Transcript Link")</f>
        <v>Transcript Link</v>
      </c>
      <c r="M2696" s="2" t="str">
        <f>HYPERLINK("https://files.afu.se/Downloads/Transcripts/0%20-%20Government/USA%20-%20NASA/2013 11 25 - NASA - NASA Hispanic Heritage Month Profile -- Marile Colon Robles_kBNnoJbR98I - transcript (automated).pdf","Transcript Link")</f>
        <v>Transcript Link</v>
      </c>
    </row>
    <row r="2697" ht="165" spans="1:13">
      <c r="A2697" s="1" t="s">
        <v>12353</v>
      </c>
      <c r="B2697" s="1" t="s">
        <v>13</v>
      </c>
      <c r="C2697" s="4" t="s">
        <v>12358</v>
      </c>
      <c r="D2697" s="1" t="s">
        <v>12359</v>
      </c>
      <c r="E2697" s="1" t="s">
        <v>12360</v>
      </c>
      <c r="F2697" s="4" t="s">
        <v>17</v>
      </c>
      <c r="G2697" s="1" t="s">
        <v>18</v>
      </c>
      <c r="H2697" s="1" t="s">
        <v>19</v>
      </c>
      <c r="I2697" s="1" t="s">
        <v>20</v>
      </c>
      <c r="J2697" s="1" t="s">
        <v>12361</v>
      </c>
      <c r="K2697" s="1" t="s">
        <v>22</v>
      </c>
      <c r="L2697" s="1" t="str">
        <f>HYPERLINK("https://files.afu.se/Downloads/Transcripts/0%20-%20Government/USA%20-%20NASA/2013 11 25 - NASA - Russian Cargo Spacecraft Heads to Space Station with Holiday Goodies_oVu316zwyUs - transcript (automated).pdf","Transcript Link")</f>
        <v>Transcript Link</v>
      </c>
      <c r="M2697" s="2" t="str">
        <f>HYPERLINK("https://files.afu.se/Downloads/Transcripts/0%20-%20Government/USA%20-%20NASA/2013 11 25 - NASA - Russian Cargo Spacecraft Heads to Space Station with Holiday Goodies_oVu316zwyUs - transcript (automated).pdf","Transcript Link")</f>
        <v>Transcript Link</v>
      </c>
    </row>
    <row r="2698" ht="165" spans="1:13">
      <c r="A2698" s="1" t="s">
        <v>12353</v>
      </c>
      <c r="B2698" s="1" t="s">
        <v>13</v>
      </c>
      <c r="C2698" s="4" t="s">
        <v>12362</v>
      </c>
      <c r="D2698" s="1" t="s">
        <v>12363</v>
      </c>
      <c r="E2698" s="1" t="s">
        <v>12364</v>
      </c>
      <c r="F2698" s="4" t="s">
        <v>17</v>
      </c>
      <c r="G2698" s="1" t="s">
        <v>18</v>
      </c>
      <c r="H2698" s="1" t="s">
        <v>19</v>
      </c>
      <c r="I2698" s="1" t="s">
        <v>20</v>
      </c>
      <c r="J2698" s="1" t="s">
        <v>12365</v>
      </c>
      <c r="K2698" s="1" t="s">
        <v>22</v>
      </c>
      <c r="L2698" s="1" t="str">
        <f>HYPERLINK("https://files.afu.se/Downloads/Transcripts/0%20-%20Government/USA%20-%20NASA/2013 11 25 - NASA - MAVEN is on the way on This Week @NASA_6np0bwQyWog - transcript (automated).pdf","Transcript Link")</f>
        <v>Transcript Link</v>
      </c>
      <c r="M2698" s="2" t="str">
        <f>HYPERLINK("https://files.afu.se/Downloads/Transcripts/0%20-%20Government/USA%20-%20NASA/2013 11 25 - NASA - MAVEN is on the way on This Week @NASA_6np0bwQyWog - transcript (automated).pdf","Transcript Link")</f>
        <v>Transcript Link</v>
      </c>
    </row>
    <row r="2699" ht="165" spans="1:13">
      <c r="A2699" s="1" t="s">
        <v>12366</v>
      </c>
      <c r="B2699" s="1" t="s">
        <v>13</v>
      </c>
      <c r="C2699" s="4" t="s">
        <v>12367</v>
      </c>
      <c r="D2699" s="1" t="s">
        <v>12363</v>
      </c>
      <c r="E2699" s="1" t="s">
        <v>12364</v>
      </c>
      <c r="F2699" s="4" t="s">
        <v>17</v>
      </c>
      <c r="G2699" s="1" t="s">
        <v>18</v>
      </c>
      <c r="H2699" s="1" t="s">
        <v>19</v>
      </c>
      <c r="I2699" s="1" t="s">
        <v>20</v>
      </c>
      <c r="J2699" s="1" t="s">
        <v>12368</v>
      </c>
      <c r="K2699" s="1" t="s">
        <v>22</v>
      </c>
      <c r="L2699" s="1" t="str">
        <f>HYPERLINK("https://files.afu.se/Downloads/Transcripts/0%20-%20Government/USA%20-%20NASA/2013 11 22 - NASA - MAVEN is on the way on This Week @NASA_J_oY7yqr0s0 - transcript (automated).pdf","Transcript Link")</f>
        <v>Transcript Link</v>
      </c>
      <c r="M2699" s="2" t="str">
        <f>HYPERLINK("https://files.afu.se/Downloads/Transcripts/0%20-%20Government/USA%20-%20NASA/2013 11 22 - NASA - MAVEN is on the way on This Week @NASA_J_oY7yqr0s0 - transcript (automated).pdf","Transcript Link")</f>
        <v>Transcript Link</v>
      </c>
    </row>
    <row r="2700" ht="165" spans="1:13">
      <c r="A2700" s="1" t="s">
        <v>12366</v>
      </c>
      <c r="B2700" s="1" t="s">
        <v>13</v>
      </c>
      <c r="C2700" s="4" t="s">
        <v>12369</v>
      </c>
      <c r="D2700" s="1" t="s">
        <v>12370</v>
      </c>
      <c r="E2700" s="1" t="s">
        <v>12371</v>
      </c>
      <c r="F2700" s="4" t="s">
        <v>17</v>
      </c>
      <c r="G2700" s="1" t="s">
        <v>18</v>
      </c>
      <c r="H2700" s="1" t="s">
        <v>19</v>
      </c>
      <c r="I2700" s="1" t="s">
        <v>20</v>
      </c>
      <c r="J2700" s="1" t="s">
        <v>12372</v>
      </c>
      <c r="K2700" s="1" t="s">
        <v>22</v>
      </c>
      <c r="L2700" s="1" t="str">
        <f>HYPERLINK("https://files.afu.se/Downloads/Transcripts/0%20-%20Government/USA%20-%20NASA/2013 11 22 - NASA - Asteroid Initiative Workshop - Grand Challenge Panel Part 2_hSrAB9a3TTA - transcript (automated).pdf","Transcript Link")</f>
        <v>Transcript Link</v>
      </c>
      <c r="M2700" s="2" t="str">
        <f>HYPERLINK("https://files.afu.se/Downloads/Transcripts/0%20-%20Government/USA%20-%20NASA/2013 11 22 - NASA - Asteroid Initiative Workshop - Grand Challenge Panel Part 2_hSrAB9a3TTA - transcript (automated).pdf","Transcript Link")</f>
        <v>Transcript Link</v>
      </c>
    </row>
    <row r="2701" ht="165" spans="1:13">
      <c r="A2701" s="1" t="s">
        <v>12366</v>
      </c>
      <c r="B2701" s="1" t="s">
        <v>13</v>
      </c>
      <c r="C2701" s="4" t="s">
        <v>12373</v>
      </c>
      <c r="D2701" s="1" t="s">
        <v>12374</v>
      </c>
      <c r="E2701" s="1" t="s">
        <v>12371</v>
      </c>
      <c r="F2701" s="4" t="s">
        <v>17</v>
      </c>
      <c r="G2701" s="1" t="s">
        <v>18</v>
      </c>
      <c r="H2701" s="1" t="s">
        <v>19</v>
      </c>
      <c r="I2701" s="1" t="s">
        <v>20</v>
      </c>
      <c r="J2701" s="1" t="s">
        <v>12375</v>
      </c>
      <c r="K2701" s="1" t="s">
        <v>22</v>
      </c>
      <c r="L2701" s="1" t="str">
        <f>HYPERLINK("https://files.afu.se/Downloads/Transcripts/0%20-%20Government/USA%20-%20NASA/2013 11 22 - NASA - Asteroid Initiative Workshop - Grand Challenge Panel Part 1_fbrE_vBTeXo - transcript (automated).pdf","Transcript Link")</f>
        <v>Transcript Link</v>
      </c>
      <c r="M2701" s="2" t="str">
        <f>HYPERLINK("https://files.afu.se/Downloads/Transcripts/0%20-%20Government/USA%20-%20NASA/2013 11 22 - NASA - Asteroid Initiative Workshop - Grand Challenge Panel Part 1_fbrE_vBTeXo - transcript (automated).pdf","Transcript Link")</f>
        <v>Transcript Link</v>
      </c>
    </row>
    <row r="2702" ht="165" spans="1:13">
      <c r="A2702" s="1" t="s">
        <v>12366</v>
      </c>
      <c r="B2702" s="1" t="s">
        <v>13</v>
      </c>
      <c r="C2702" s="4" t="s">
        <v>12376</v>
      </c>
      <c r="D2702" s="1" t="s">
        <v>12377</v>
      </c>
      <c r="F2702" s="4" t="s">
        <v>17</v>
      </c>
      <c r="G2702" s="1" t="s">
        <v>18</v>
      </c>
      <c r="H2702" s="1" t="s">
        <v>19</v>
      </c>
      <c r="I2702" s="1" t="s">
        <v>20</v>
      </c>
      <c r="J2702" s="1" t="s">
        <v>12378</v>
      </c>
      <c r="K2702" s="1" t="s">
        <v>22</v>
      </c>
      <c r="L2702" s="1" t="str">
        <f>HYPERLINK("https://files.afu.se/Downloads/Transcripts/0%20-%20Government/USA%20-%20NASA/2013 11 22 - NASA - Asteroid Initiative Workshop   Partnerships and Participatory Engagement Part 3_dgN7lTw6blw - transcript (automated).pdf","Transcript Link")</f>
        <v>Transcript Link</v>
      </c>
      <c r="M2702" s="2" t="str">
        <f>HYPERLINK("https://files.afu.se/Downloads/Transcripts/0%20-%20Government/USA%20-%20NASA/2013 11 22 - NASA - Asteroid Initiative Workshop   Partnerships and Participatory Engagement Part 3_dgN7lTw6blw - transcript (automated).pdf","Transcript Link")</f>
        <v>Transcript Link</v>
      </c>
    </row>
    <row r="2703" ht="165" spans="1:13">
      <c r="A2703" s="1" t="s">
        <v>12366</v>
      </c>
      <c r="B2703" s="1" t="s">
        <v>13</v>
      </c>
      <c r="C2703" s="4" t="s">
        <v>12379</v>
      </c>
      <c r="D2703" s="1" t="s">
        <v>12380</v>
      </c>
      <c r="F2703" s="4" t="s">
        <v>17</v>
      </c>
      <c r="G2703" s="1" t="s">
        <v>18</v>
      </c>
      <c r="H2703" s="1" t="s">
        <v>19</v>
      </c>
      <c r="I2703" s="1" t="s">
        <v>20</v>
      </c>
      <c r="J2703" s="1" t="s">
        <v>12381</v>
      </c>
      <c r="K2703" s="1" t="s">
        <v>22</v>
      </c>
      <c r="L2703" s="1" t="str">
        <f>HYPERLINK("https://files.afu.se/Downloads/Transcripts/0%20-%20Government/USA%20-%20NASA/2013 11 22 - NASA - Asteroid Initiative Workshop   Cosmic Explorations Speakers Session_BNkS1uHUbq8 - transcript (automated).pdf","Transcript Link")</f>
        <v>Transcript Link</v>
      </c>
      <c r="M2703" s="2" t="str">
        <f>HYPERLINK("https://files.afu.se/Downloads/Transcripts/0%20-%20Government/USA%20-%20NASA/2013 11 22 - NASA - Asteroid Initiative Workshop   Cosmic Explorations Speakers Session_BNkS1uHUbq8 - transcript (automated).pdf","Transcript Link")</f>
        <v>Transcript Link</v>
      </c>
    </row>
    <row r="2704" ht="165" spans="1:13">
      <c r="A2704" s="1" t="s">
        <v>12366</v>
      </c>
      <c r="B2704" s="1" t="s">
        <v>13</v>
      </c>
      <c r="C2704" s="4" t="s">
        <v>12382</v>
      </c>
      <c r="D2704" s="1" t="s">
        <v>12383</v>
      </c>
      <c r="F2704" s="4" t="s">
        <v>17</v>
      </c>
      <c r="G2704" s="1" t="s">
        <v>18</v>
      </c>
      <c r="H2704" s="1" t="s">
        <v>19</v>
      </c>
      <c r="I2704" s="1" t="s">
        <v>20</v>
      </c>
      <c r="J2704" s="1" t="s">
        <v>12384</v>
      </c>
      <c r="K2704" s="1" t="s">
        <v>22</v>
      </c>
      <c r="L2704" s="1" t="str">
        <f>HYPERLINK("https://files.afu.se/Downloads/Transcripts/0%20-%20Government/USA%20-%20NASA/2013 11 22 - NASA - Asteroid Initiative Workshop   Asteroid Crew Systems Part 1_GV2ehDT_Tgg - transcript (automated).pdf","Transcript Link")</f>
        <v>Transcript Link</v>
      </c>
      <c r="M2704" s="2" t="str">
        <f>HYPERLINK("https://files.afu.se/Downloads/Transcripts/0%20-%20Government/USA%20-%20NASA/2013 11 22 - NASA - Asteroid Initiative Workshop   Asteroid Crew Systems Part 1_GV2ehDT_Tgg - transcript (automated).pdf","Transcript Link")</f>
        <v>Transcript Link</v>
      </c>
    </row>
    <row r="2705" ht="165" spans="1:13">
      <c r="A2705" s="1" t="s">
        <v>12366</v>
      </c>
      <c r="B2705" s="1" t="s">
        <v>13</v>
      </c>
      <c r="C2705" s="4" t="s">
        <v>12385</v>
      </c>
      <c r="D2705" s="1" t="s">
        <v>12386</v>
      </c>
      <c r="E2705" s="1" t="s">
        <v>12387</v>
      </c>
      <c r="F2705" s="4" t="s">
        <v>17</v>
      </c>
      <c r="G2705" s="1" t="s">
        <v>18</v>
      </c>
      <c r="H2705" s="1" t="s">
        <v>19</v>
      </c>
      <c r="I2705" s="1" t="s">
        <v>20</v>
      </c>
      <c r="J2705" s="1" t="s">
        <v>12388</v>
      </c>
      <c r="K2705" s="1" t="s">
        <v>22</v>
      </c>
      <c r="L2705" s="1" t="str">
        <f>HYPERLINK("https://files.afu.se/Downloads/Transcripts/0%20-%20Government/USA%20-%20NASA/2013 11 22 - NASA - Asteroid Initiative Workshop   Partnerships and Participatory Engagement Part 2_ZSIcnXVzowE - transcript (automated).pdf","Transcript Link")</f>
        <v>Transcript Link</v>
      </c>
      <c r="M2705" s="2" t="str">
        <f>HYPERLINK("https://files.afu.se/Downloads/Transcripts/0%20-%20Government/USA%20-%20NASA/2013 11 22 - NASA - Asteroid Initiative Workshop   Partnerships and Participatory Engagement Part 2_ZSIcnXVzowE - transcript (automated).pdf","Transcript Link")</f>
        <v>Transcript Link</v>
      </c>
    </row>
    <row r="2706" ht="165" spans="1:13">
      <c r="A2706" s="1" t="s">
        <v>12366</v>
      </c>
      <c r="B2706" s="1" t="s">
        <v>13</v>
      </c>
      <c r="C2706" s="4" t="s">
        <v>12389</v>
      </c>
      <c r="D2706" s="1" t="s">
        <v>12390</v>
      </c>
      <c r="F2706" s="4" t="s">
        <v>17</v>
      </c>
      <c r="G2706" s="1" t="s">
        <v>18</v>
      </c>
      <c r="H2706" s="1" t="s">
        <v>19</v>
      </c>
      <c r="I2706" s="1" t="s">
        <v>20</v>
      </c>
      <c r="J2706" s="1" t="s">
        <v>12391</v>
      </c>
      <c r="K2706" s="1" t="s">
        <v>22</v>
      </c>
      <c r="L2706" s="1" t="str">
        <f>HYPERLINK("https://files.afu.se/Downloads/Transcripts/0%20-%20Government/USA%20-%20NASA/2013 11 22 - NASA - Asteroid Initiative Workshop   Asteroid Crew Systems Part 2_AoyPwadQXqw - transcript (automated).pdf","Transcript Link")</f>
        <v>Transcript Link</v>
      </c>
      <c r="M2706" s="2" t="str">
        <f>HYPERLINK("https://files.afu.se/Downloads/Transcripts/0%20-%20Government/USA%20-%20NASA/2013 11 22 - NASA - Asteroid Initiative Workshop   Asteroid Crew Systems Part 2_AoyPwadQXqw - transcript (automated).pdf","Transcript Link")</f>
        <v>Transcript Link</v>
      </c>
    </row>
    <row r="2707" ht="165" spans="1:13">
      <c r="A2707" s="1" t="s">
        <v>12366</v>
      </c>
      <c r="B2707" s="1" t="s">
        <v>13</v>
      </c>
      <c r="C2707" s="4" t="s">
        <v>12392</v>
      </c>
      <c r="D2707" s="1" t="s">
        <v>12393</v>
      </c>
      <c r="E2707" s="1" t="s">
        <v>12387</v>
      </c>
      <c r="F2707" s="4" t="s">
        <v>17</v>
      </c>
      <c r="G2707" s="1" t="s">
        <v>18</v>
      </c>
      <c r="H2707" s="1" t="s">
        <v>19</v>
      </c>
      <c r="I2707" s="1" t="s">
        <v>20</v>
      </c>
      <c r="J2707" s="1" t="s">
        <v>12394</v>
      </c>
      <c r="K2707" s="1" t="s">
        <v>22</v>
      </c>
      <c r="L2707" s="1" t="str">
        <f>HYPERLINK("https://files.afu.se/Downloads/Transcripts/0%20-%20Government/USA%20-%20NASA/2013 11 22 - NASA - Asteroid Initiative Workshop   Partnerships and Participatory Engagement Part 1_X3I5f5ibBUU - transcript (automated).pdf","Transcript Link")</f>
        <v>Transcript Link</v>
      </c>
      <c r="M2707" s="2" t="str">
        <f>HYPERLINK("https://files.afu.se/Downloads/Transcripts/0%20-%20Government/USA%20-%20NASA/2013 11 22 - NASA - Asteroid Initiative Workshop   Partnerships and Participatory Engagement Part 1_X3I5f5ibBUU - transcript (automated).pdf","Transcript Link")</f>
        <v>Transcript Link</v>
      </c>
    </row>
    <row r="2708" ht="165" spans="1:13">
      <c r="A2708" s="1" t="s">
        <v>12395</v>
      </c>
      <c r="B2708" s="1" t="s">
        <v>13</v>
      </c>
      <c r="C2708" s="4" t="s">
        <v>12396</v>
      </c>
      <c r="D2708" s="1" t="s">
        <v>12397</v>
      </c>
      <c r="E2708" s="1" t="s">
        <v>12398</v>
      </c>
      <c r="F2708" s="4" t="s">
        <v>17</v>
      </c>
      <c r="G2708" s="1" t="s">
        <v>18</v>
      </c>
      <c r="H2708" s="1" t="s">
        <v>19</v>
      </c>
      <c r="I2708" s="1" t="s">
        <v>20</v>
      </c>
      <c r="J2708" s="1" t="s">
        <v>12399</v>
      </c>
      <c r="K2708" s="1" t="s">
        <v>22</v>
      </c>
      <c r="L2708" s="1" t="str">
        <f>HYPERLINK("https://files.afu.se/Downloads/Transcripts/0%20-%20Government/USA%20-%20NASA/2013 11 21 - NASA - Asteroid Initiative Workshop Plenary Session_aWq_nPuLZig - transcript (automated).pdf","Transcript Link")</f>
        <v>Transcript Link</v>
      </c>
      <c r="M2708" s="2" t="str">
        <f>HYPERLINK("https://files.afu.se/Downloads/Transcripts/0%20-%20Government/USA%20-%20NASA/2013 11 21 - NASA - Asteroid Initiative Workshop Plenary Session_aWq_nPuLZig - transcript (automated).pdf","Transcript Link")</f>
        <v>Transcript Link</v>
      </c>
    </row>
    <row r="2709" ht="165" spans="1:13">
      <c r="A2709" s="1" t="s">
        <v>12400</v>
      </c>
      <c r="B2709" s="1" t="s">
        <v>13</v>
      </c>
      <c r="C2709" s="4" t="s">
        <v>12401</v>
      </c>
      <c r="D2709" s="1" t="s">
        <v>12402</v>
      </c>
      <c r="F2709" s="4" t="s">
        <v>17</v>
      </c>
      <c r="G2709" s="1" t="s">
        <v>18</v>
      </c>
      <c r="H2709" s="1" t="s">
        <v>19</v>
      </c>
      <c r="I2709" s="1" t="s">
        <v>20</v>
      </c>
      <c r="J2709" s="1" t="s">
        <v>12403</v>
      </c>
      <c r="K2709" s="1" t="s">
        <v>22</v>
      </c>
      <c r="L2709" s="1" t="str">
        <f>HYPERLINK("https://files.afu.se/Downloads/Transcripts/0%20-%20Government/USA%20-%20NASA/2013 11 20 - NASA - NASA Administrator Salutes International Space Station's 15th Anniversary_bYETLtk5BrM - transcript (automated).pdf","Transcript Link")</f>
        <v>Transcript Link</v>
      </c>
      <c r="M2709" s="2" t="str">
        <f>HYPERLINK("https://files.afu.se/Downloads/Transcripts/0%20-%20Government/USA%20-%20NASA/2013 11 20 - NASA - NASA Administrator Salutes International Space Station's 15th Anniversary_bYETLtk5BrM - transcript (automated).pdf","Transcript Link")</f>
        <v>Transcript Link</v>
      </c>
    </row>
    <row r="2710" ht="165" spans="1:13">
      <c r="A2710" s="1" t="s">
        <v>12400</v>
      </c>
      <c r="B2710" s="1" t="s">
        <v>13</v>
      </c>
      <c r="C2710" s="4" t="s">
        <v>12404</v>
      </c>
      <c r="D2710" s="1" t="s">
        <v>12405</v>
      </c>
      <c r="E2710" s="1" t="s">
        <v>12406</v>
      </c>
      <c r="F2710" s="4" t="s">
        <v>17</v>
      </c>
      <c r="G2710" s="1" t="s">
        <v>18</v>
      </c>
      <c r="H2710" s="1" t="s">
        <v>19</v>
      </c>
      <c r="I2710" s="1" t="s">
        <v>20</v>
      </c>
      <c r="J2710" s="1" t="s">
        <v>12407</v>
      </c>
      <c r="K2710" s="1" t="s">
        <v>22</v>
      </c>
      <c r="L2710" s="1" t="str">
        <f>HYPERLINK("https://files.afu.se/Downloads/Transcripts/0%20-%20Government/USA%20-%20NASA/2013 11 20 - NASA - ORS 3 Mission Launches from Wallops_bYzzY9HbBmo - transcript (automated).pdf","Transcript Link")</f>
        <v>Transcript Link</v>
      </c>
      <c r="M2710" s="2" t="str">
        <f>HYPERLINK("https://files.afu.se/Downloads/Transcripts/0%20-%20Government/USA%20-%20NASA/2013 11 20 - NASA - ORS 3 Mission Launches from Wallops_bYzzY9HbBmo - transcript (automated).pdf","Transcript Link")</f>
        <v>Transcript Link</v>
      </c>
    </row>
    <row r="2711" ht="165" spans="1:13">
      <c r="A2711" s="1" t="s">
        <v>12408</v>
      </c>
      <c r="B2711" s="1" t="s">
        <v>13</v>
      </c>
      <c r="C2711" s="4" t="s">
        <v>12409</v>
      </c>
      <c r="D2711" s="1" t="s">
        <v>12410</v>
      </c>
      <c r="E2711" s="1" t="s">
        <v>12411</v>
      </c>
      <c r="F2711" s="4" t="s">
        <v>17</v>
      </c>
      <c r="G2711" s="1" t="s">
        <v>18</v>
      </c>
      <c r="H2711" s="1" t="s">
        <v>19</v>
      </c>
      <c r="I2711" s="1" t="s">
        <v>20</v>
      </c>
      <c r="J2711" s="1" t="s">
        <v>12412</v>
      </c>
      <c r="K2711" s="1" t="s">
        <v>22</v>
      </c>
      <c r="L2711" s="1" t="str">
        <f>HYPERLINK("https://files.afu.se/Downloads/Transcripts/0%20-%20Government/USA%20-%20NASA/2013 11 19 - NASA - Space Station Crew Member Discusses Life in Space With the Media_JzmlsAietqA - transcript (automated).pdf","Transcript Link")</f>
        <v>Transcript Link</v>
      </c>
      <c r="M2711" s="2" t="str">
        <f>HYPERLINK("https://files.afu.se/Downloads/Transcripts/0%20-%20Government/USA%20-%20NASA/2013 11 19 - NASA - Space Station Crew Member Discusses Life in Space With the Media_JzmlsAietqA - transcript (automated).pdf","Transcript Link")</f>
        <v>Transcript Link</v>
      </c>
    </row>
    <row r="2712" ht="165" spans="1:13">
      <c r="A2712" s="1" t="s">
        <v>12413</v>
      </c>
      <c r="B2712" s="1" t="s">
        <v>13</v>
      </c>
      <c r="C2712" s="4" t="s">
        <v>12414</v>
      </c>
      <c r="D2712" s="1" t="s">
        <v>12415</v>
      </c>
      <c r="F2712" s="4" t="s">
        <v>17</v>
      </c>
      <c r="G2712" s="1" t="s">
        <v>18</v>
      </c>
      <c r="H2712" s="1" t="s">
        <v>19</v>
      </c>
      <c r="I2712" s="1" t="s">
        <v>20</v>
      </c>
      <c r="J2712" s="1" t="s">
        <v>12416</v>
      </c>
      <c r="K2712" s="1" t="s">
        <v>22</v>
      </c>
      <c r="L2712" s="1" t="str">
        <f>HYPERLINK("https://files.afu.se/Downloads/Transcripts/0%20-%20Government/USA%20-%20NASA/2013 11 18 - NASA - NASA TV Press Briefing Recaps Launch of Latest Mars Mission_C9j_btv6Mv0 - transcript (automated).pdf","Transcript Link")</f>
        <v>Transcript Link</v>
      </c>
      <c r="M2712" s="2" t="str">
        <f>HYPERLINK("https://files.afu.se/Downloads/Transcripts/0%20-%20Government/USA%20-%20NASA/2013 11 18 - NASA - NASA TV Press Briefing Recaps Launch of Latest Mars Mission_C9j_btv6Mv0 - transcript (automated).pdf","Transcript Link")</f>
        <v>Transcript Link</v>
      </c>
    </row>
    <row r="2713" ht="165" spans="1:13">
      <c r="A2713" s="1" t="s">
        <v>12413</v>
      </c>
      <c r="B2713" s="1" t="s">
        <v>13</v>
      </c>
      <c r="C2713" s="4" t="s">
        <v>12417</v>
      </c>
      <c r="D2713" s="1" t="s">
        <v>12418</v>
      </c>
      <c r="E2713" s="1" t="s">
        <v>12419</v>
      </c>
      <c r="F2713" s="4" t="s">
        <v>17</v>
      </c>
      <c r="G2713" s="1" t="s">
        <v>18</v>
      </c>
      <c r="H2713" s="1" t="s">
        <v>19</v>
      </c>
      <c r="I2713" s="1" t="s">
        <v>20</v>
      </c>
      <c r="J2713" s="1" t="s">
        <v>12420</v>
      </c>
      <c r="K2713" s="1" t="s">
        <v>22</v>
      </c>
      <c r="L2713" s="1" t="str">
        <f>HYPERLINK("https://files.afu.se/Downloads/Transcripts/0%20-%20Government/USA%20-%20NASA/2013 11 18 - NASA - Mars Bound MAVEN Probe Launches_fxGGc-mCwYg - transcript (automated).pdf","Transcript Link")</f>
        <v>Transcript Link</v>
      </c>
      <c r="M2713" s="2" t="str">
        <f>HYPERLINK("https://files.afu.se/Downloads/Transcripts/0%20-%20Government/USA%20-%20NASA/2013 11 18 - NASA - Mars Bound MAVEN Probe Launches_fxGGc-mCwYg - transcript (automated).pdf","Transcript Link")</f>
        <v>Transcript Link</v>
      </c>
    </row>
    <row r="2714" ht="165" spans="1:13">
      <c r="A2714" s="1" t="s">
        <v>12421</v>
      </c>
      <c r="B2714" s="1" t="s">
        <v>13</v>
      </c>
      <c r="C2714" s="4" t="s">
        <v>12422</v>
      </c>
      <c r="D2714" s="1" t="s">
        <v>12423</v>
      </c>
      <c r="E2714" s="1" t="s">
        <v>12424</v>
      </c>
      <c r="F2714" s="4" t="s">
        <v>17</v>
      </c>
      <c r="G2714" s="1" t="s">
        <v>18</v>
      </c>
      <c r="H2714" s="1" t="s">
        <v>19</v>
      </c>
      <c r="I2714" s="1" t="s">
        <v>20</v>
      </c>
      <c r="J2714" s="1" t="s">
        <v>12425</v>
      </c>
      <c r="K2714" s="1" t="s">
        <v>22</v>
      </c>
      <c r="L2714" s="1" t="str">
        <f>HYPERLINK("https://files.afu.se/Downloads/Transcripts/0%20-%20Government/USA%20-%20NASA/2013 11 17 - NASA - The Path Toward Humans to Mars_0F8ndihXCO4 - transcript (automated).pdf","Transcript Link")</f>
        <v>Transcript Link</v>
      </c>
      <c r="M2714" s="2" t="str">
        <f>HYPERLINK("https://files.afu.se/Downloads/Transcripts/0%20-%20Government/USA%20-%20NASA/2013 11 17 - NASA - The Path Toward Humans to Mars_0F8ndihXCO4 - transcript (automated).pdf","Transcript Link")</f>
        <v>Transcript Link</v>
      </c>
    </row>
    <row r="2715" ht="409.5" spans="1:13">
      <c r="A2715" s="1" t="s">
        <v>12421</v>
      </c>
      <c r="B2715" s="1" t="s">
        <v>13</v>
      </c>
      <c r="C2715" s="4" t="s">
        <v>12426</v>
      </c>
      <c r="D2715" s="1" t="s">
        <v>12427</v>
      </c>
      <c r="E2715" s="1" t="s">
        <v>12428</v>
      </c>
      <c r="F2715" s="4" t="s">
        <v>17</v>
      </c>
      <c r="G2715" s="1" t="s">
        <v>18</v>
      </c>
      <c r="H2715" s="1" t="s">
        <v>19</v>
      </c>
      <c r="I2715" s="1" t="s">
        <v>20</v>
      </c>
      <c r="J2715" s="1" t="s">
        <v>12429</v>
      </c>
      <c r="K2715" s="1" t="s">
        <v>22</v>
      </c>
      <c r="L2715" s="1" t="str">
        <f>HYPERLINK("https://files.afu.se/Downloads/Transcripts/0%20-%20Government/USA%20-%20NASA/2013 11 17 - NASA - The Science Behind NASA's Next Mars Mission_bLKaHh0KP3M - transcript (automated).pdf","Transcript Link")</f>
        <v>Transcript Link</v>
      </c>
      <c r="M2715" s="2" t="str">
        <f>HYPERLINK("https://files.afu.se/Downloads/Transcripts/0%20-%20Government/USA%20-%20NASA/2013 11 17 - NASA - The Science Behind NASA's Next Mars Mission_bLKaHh0KP3M - transcript (automated).pdf","Transcript Link")</f>
        <v>Transcript Link</v>
      </c>
    </row>
    <row r="2716" ht="165" spans="1:13">
      <c r="A2716" s="1" t="s">
        <v>12430</v>
      </c>
      <c r="B2716" s="1" t="s">
        <v>13</v>
      </c>
      <c r="C2716" s="4" t="s">
        <v>12431</v>
      </c>
      <c r="D2716" s="1" t="s">
        <v>12432</v>
      </c>
      <c r="E2716" s="1" t="s">
        <v>12433</v>
      </c>
      <c r="F2716" s="4" t="s">
        <v>17</v>
      </c>
      <c r="G2716" s="1" t="s">
        <v>18</v>
      </c>
      <c r="H2716" s="1" t="s">
        <v>19</v>
      </c>
      <c r="I2716" s="1" t="s">
        <v>20</v>
      </c>
      <c r="J2716" s="1" t="s">
        <v>12434</v>
      </c>
      <c r="K2716" s="1" t="s">
        <v>22</v>
      </c>
      <c r="L2716" s="1" t="str">
        <f>HYPERLINK("https://files.afu.se/Downloads/Transcripts/0%20-%20Government/USA%20-%20NASA/2013 11 16 - NASA - MAVEN Launch %23NASASocial_wxIqYjI1Xhg - transcript (automated).pdf","Transcript Link")</f>
        <v>Transcript Link</v>
      </c>
      <c r="M2716" s="2" t="str">
        <f>HYPERLINK("https://files.afu.se/Downloads/Transcripts/0%20-%20Government/USA%20-%20NASA/2013 11 16 - NASA - MAVEN Launch %23NASASocial_wxIqYjI1Xhg - transcript (automated).pdf","Transcript Link")</f>
        <v>Transcript Link</v>
      </c>
    </row>
    <row r="2717" ht="315" spans="1:13">
      <c r="A2717" s="1" t="s">
        <v>12435</v>
      </c>
      <c r="B2717" s="1" t="s">
        <v>13</v>
      </c>
      <c r="C2717" s="4" t="s">
        <v>12436</v>
      </c>
      <c r="D2717" s="1" t="s">
        <v>12437</v>
      </c>
      <c r="E2717" s="1" t="s">
        <v>12438</v>
      </c>
      <c r="F2717" s="4" t="s">
        <v>17</v>
      </c>
      <c r="G2717" s="1" t="s">
        <v>18</v>
      </c>
      <c r="H2717" s="1" t="s">
        <v>19</v>
      </c>
      <c r="I2717" s="1" t="s">
        <v>20</v>
      </c>
      <c r="J2717" s="1" t="s">
        <v>12439</v>
      </c>
      <c r="K2717" s="1" t="s">
        <v>22</v>
      </c>
      <c r="L2717" s="1" t="str">
        <f>HYPERLINK("https://files.afu.se/Downloads/Transcripts/0%20-%20Government/USA%20-%20NASA/2013 11 15 - NASA - MAVEN Prelaunch News Conference from Kennedy Space Center_77QWPT6iRyg - transcript (automated).pdf","Transcript Link")</f>
        <v>Transcript Link</v>
      </c>
      <c r="M2717" s="2" t="str">
        <f>HYPERLINK("https://files.afu.se/Downloads/Transcripts/0%20-%20Government/USA%20-%20NASA/2013 11 15 - NASA - MAVEN Prelaunch News Conference from Kennedy Space Center_77QWPT6iRyg - transcript (automated).pdf","Transcript Link")</f>
        <v>Transcript Link</v>
      </c>
    </row>
    <row r="2718" ht="165" spans="1:13">
      <c r="A2718" s="1" t="s">
        <v>12435</v>
      </c>
      <c r="B2718" s="1" t="s">
        <v>13</v>
      </c>
      <c r="C2718" s="4" t="s">
        <v>12440</v>
      </c>
      <c r="D2718" s="1" t="s">
        <v>12441</v>
      </c>
      <c r="F2718" s="4" t="s">
        <v>17</v>
      </c>
      <c r="G2718" s="1" t="s">
        <v>18</v>
      </c>
      <c r="H2718" s="1" t="s">
        <v>19</v>
      </c>
      <c r="I2718" s="1" t="s">
        <v>20</v>
      </c>
      <c r="J2718" s="1" t="s">
        <v>12442</v>
      </c>
      <c r="K2718" s="1" t="s">
        <v>22</v>
      </c>
      <c r="L2718" s="1" t="str">
        <f>HYPERLINK("https://files.afu.se/Downloads/Transcripts/0%20-%20Government/USA%20-%20NASA/2013 11 15 - NASA - MAVEN Spanish Media Briefing from Kennedy Space Center_R5gCDTBE0IQ - transcript (automated).pdf","Transcript Link")</f>
        <v>Transcript Link</v>
      </c>
      <c r="M2718" s="2" t="str">
        <f>HYPERLINK("https://files.afu.se/Downloads/Transcripts/0%20-%20Government/USA%20-%20NASA/2013 11 15 - NASA - MAVEN Spanish Media Briefing from Kennedy Space Center_R5gCDTBE0IQ - transcript (automated).pdf","Transcript Link")</f>
        <v>Transcript Link</v>
      </c>
    </row>
    <row r="2719" ht="165" spans="1:13">
      <c r="A2719" s="1" t="s">
        <v>12435</v>
      </c>
      <c r="B2719" s="1" t="s">
        <v>13</v>
      </c>
      <c r="C2719" s="4" t="s">
        <v>12443</v>
      </c>
      <c r="D2719" s="1" t="s">
        <v>12444</v>
      </c>
      <c r="E2719" s="1" t="s">
        <v>12445</v>
      </c>
      <c r="F2719" s="4" t="s">
        <v>17</v>
      </c>
      <c r="G2719" s="1" t="s">
        <v>18</v>
      </c>
      <c r="H2719" s="1" t="s">
        <v>19</v>
      </c>
      <c r="I2719" s="1" t="s">
        <v>20</v>
      </c>
      <c r="J2719" s="1" t="s">
        <v>12446</v>
      </c>
      <c r="K2719" s="1" t="s">
        <v>22</v>
      </c>
      <c r="L2719" s="1" t="str">
        <f>HYPERLINK("https://files.afu.se/Downloads/Transcripts/0%20-%20Government/USA%20-%20NASA/2013 11 15 - NASA - MAVEN Update on This Week @NASA_FLKmu9gzjZM - transcript (automated).pdf","Transcript Link")</f>
        <v>Transcript Link</v>
      </c>
      <c r="M2719" s="2" t="str">
        <f>HYPERLINK("https://files.afu.se/Downloads/Transcripts/0%20-%20Government/USA%20-%20NASA/2013 11 15 - NASA - MAVEN Update on This Week @NASA_FLKmu9gzjZM - transcript (automated).pdf","Transcript Link")</f>
        <v>Transcript Link</v>
      </c>
    </row>
    <row r="2720" ht="165" spans="1:13">
      <c r="A2720" s="1" t="s">
        <v>12447</v>
      </c>
      <c r="B2720" s="1" t="s">
        <v>13</v>
      </c>
      <c r="C2720" s="4" t="s">
        <v>12448</v>
      </c>
      <c r="D2720" s="1" t="s">
        <v>12449</v>
      </c>
      <c r="E2720" s="1" t="s">
        <v>12450</v>
      </c>
      <c r="F2720" s="4" t="s">
        <v>17</v>
      </c>
      <c r="G2720" s="1" t="s">
        <v>18</v>
      </c>
      <c r="H2720" s="1" t="s">
        <v>19</v>
      </c>
      <c r="I2720" s="1" t="s">
        <v>20</v>
      </c>
      <c r="J2720" s="1" t="s">
        <v>12451</v>
      </c>
      <c r="K2720" s="1" t="s">
        <v>22</v>
      </c>
      <c r="L2720" s="1" t="str">
        <f>HYPERLINK("https://files.afu.se/Downloads/Transcripts/0%20-%20Government/USA%20-%20NASA/2013 11 14 - NASA - Actor LeVar Burton Shares MAVEN's Story_ijAO0FFExx0 - transcript (automated).pdf","Transcript Link")</f>
        <v>Transcript Link</v>
      </c>
      <c r="M2720" s="2" t="str">
        <f>HYPERLINK("https://files.afu.se/Downloads/Transcripts/0%20-%20Government/USA%20-%20NASA/2013 11 14 - NASA - Actor LeVar Burton Shares MAVEN's Story_ijAO0FFExx0 - transcript (automated).pdf","Transcript Link")</f>
        <v>Transcript Link</v>
      </c>
    </row>
    <row r="2721" ht="360" spans="1:13">
      <c r="A2721" s="1" t="s">
        <v>12447</v>
      </c>
      <c r="B2721" s="1" t="s">
        <v>13</v>
      </c>
      <c r="C2721" s="4" t="s">
        <v>12452</v>
      </c>
      <c r="D2721" s="1" t="s">
        <v>12453</v>
      </c>
      <c r="E2721" s="1" t="s">
        <v>12454</v>
      </c>
      <c r="F2721" s="4" t="s">
        <v>17</v>
      </c>
      <c r="G2721" s="1" t="s">
        <v>18</v>
      </c>
      <c r="H2721" s="1" t="s">
        <v>19</v>
      </c>
      <c r="I2721" s="1" t="s">
        <v>20</v>
      </c>
      <c r="J2721" s="1" t="s">
        <v>12455</v>
      </c>
      <c r="K2721" s="1" t="s">
        <v>22</v>
      </c>
      <c r="L2721" s="1" t="str">
        <f>HYPERLINK("https://files.afu.se/Downloads/Transcripts/0%20-%20Government/USA%20-%20NASA/2013 11 14 - NASA - Google+ Hangout   NASA's Mars Atmosphere Volatile EvolutioN MAVEN_0g3UEfen4ew - transcript (automated).pdf","Transcript Link")</f>
        <v>Transcript Link</v>
      </c>
      <c r="M2721" s="2" t="str">
        <f>HYPERLINK("https://files.afu.se/Downloads/Transcripts/0%20-%20Government/USA%20-%20NASA/2013 11 14 - NASA - Google+ Hangout   NASA's Mars Atmosphere Volatile EvolutioN MAVEN_0g3UEfen4ew - transcript (automated).pdf","Transcript Link")</f>
        <v>Transcript Link</v>
      </c>
    </row>
    <row r="2722" ht="405" spans="1:13">
      <c r="A2722" s="1" t="s">
        <v>12456</v>
      </c>
      <c r="B2722" s="1" t="s">
        <v>13</v>
      </c>
      <c r="C2722" s="4" t="s">
        <v>12457</v>
      </c>
      <c r="D2722" s="1" t="s">
        <v>12458</v>
      </c>
      <c r="E2722" s="1" t="s">
        <v>12459</v>
      </c>
      <c r="F2722" s="4" t="s">
        <v>17</v>
      </c>
      <c r="G2722" s="1" t="s">
        <v>18</v>
      </c>
      <c r="H2722" s="1" t="s">
        <v>19</v>
      </c>
      <c r="I2722" s="1" t="s">
        <v>20</v>
      </c>
      <c r="J2722" s="1" t="s">
        <v>12460</v>
      </c>
      <c r="K2722" s="1" t="s">
        <v>22</v>
      </c>
      <c r="L2722" s="1" t="str">
        <f>HYPERLINK("https://files.afu.se/Downloads/Transcripts/0%20-%20Government/USA%20-%20NASA/2013 11 13 - NASA - NASA News Conference on Completion of COTS Program_OjpIv4B1W-g - transcript (automated).pdf","Transcript Link")</f>
        <v>Transcript Link</v>
      </c>
      <c r="M2722" s="2" t="str">
        <f>HYPERLINK("https://files.afu.se/Downloads/Transcripts/0%20-%20Government/USA%20-%20NASA/2013 11 13 - NASA - NASA News Conference on Completion of COTS Program_OjpIv4B1W-g - transcript (automated).pdf","Transcript Link")</f>
        <v>Transcript Link</v>
      </c>
    </row>
    <row r="2723" ht="195" spans="1:13">
      <c r="A2723" s="1" t="s">
        <v>12456</v>
      </c>
      <c r="B2723" s="1" t="s">
        <v>13</v>
      </c>
      <c r="C2723" s="4" t="s">
        <v>12461</v>
      </c>
      <c r="D2723" s="1" t="s">
        <v>12462</v>
      </c>
      <c r="E2723" s="1" t="s">
        <v>12463</v>
      </c>
      <c r="F2723" s="4" t="s">
        <v>17</v>
      </c>
      <c r="G2723" s="1" t="s">
        <v>18</v>
      </c>
      <c r="H2723" s="1" t="s">
        <v>19</v>
      </c>
      <c r="I2723" s="1" t="s">
        <v>20</v>
      </c>
      <c r="J2723" s="1" t="s">
        <v>12464</v>
      </c>
      <c r="K2723" s="1" t="s">
        <v>22</v>
      </c>
      <c r="L2723" s="1" t="str">
        <f>HYPERLINK("https://files.afu.se/Downloads/Transcripts/0%20-%20Government/USA%20-%20NASA/2013 11 13 - NASA - Commercial Space Program Success_yafvBBH44nU - transcript (automated).pdf","Transcript Link")</f>
        <v>Transcript Link</v>
      </c>
      <c r="M2723" s="2" t="str">
        <f>HYPERLINK("https://files.afu.se/Downloads/Transcripts/0%20-%20Government/USA%20-%20NASA/2013 11 13 - NASA - Commercial Space Program Success_yafvBBH44nU - transcript (automated).pdf","Transcript Link")</f>
        <v>Transcript Link</v>
      </c>
    </row>
    <row r="2724" ht="165" spans="1:13">
      <c r="A2724" s="1" t="s">
        <v>12465</v>
      </c>
      <c r="B2724" s="1" t="s">
        <v>13</v>
      </c>
      <c r="C2724" s="4" t="s">
        <v>12466</v>
      </c>
      <c r="D2724" s="1" t="s">
        <v>12467</v>
      </c>
      <c r="E2724" s="1" t="s">
        <v>12468</v>
      </c>
      <c r="F2724" s="4" t="s">
        <v>17</v>
      </c>
      <c r="G2724" s="1" t="s">
        <v>18</v>
      </c>
      <c r="H2724" s="1" t="s">
        <v>19</v>
      </c>
      <c r="I2724" s="1" t="s">
        <v>20</v>
      </c>
      <c r="J2724" s="1" t="s">
        <v>12469</v>
      </c>
      <c r="K2724" s="1" t="s">
        <v>22</v>
      </c>
      <c r="L2724" s="1" t="str">
        <f>HYPERLINK("https://files.afu.se/Downloads/Transcripts/0%20-%20Government/USA%20-%20NASA/2013 11 12 - NASA - Super-Typhoon Haiyan Seen From International Space Station_w6p9KbVK97w - transcript (automated).pdf","Transcript Link")</f>
        <v>Transcript Link</v>
      </c>
      <c r="M2724" s="2" t="str">
        <f>HYPERLINK("https://files.afu.se/Downloads/Transcripts/0%20-%20Government/USA%20-%20NASA/2013 11 12 - NASA - Super-Typhoon Haiyan Seen From International Space Station_w6p9KbVK97w - transcript (automated).pdf","Transcript Link")</f>
        <v>Transcript Link</v>
      </c>
    </row>
    <row r="2725" ht="345" spans="1:13">
      <c r="A2725" s="1" t="s">
        <v>12465</v>
      </c>
      <c r="B2725" s="1" t="s">
        <v>13</v>
      </c>
      <c r="C2725" s="4" t="s">
        <v>12470</v>
      </c>
      <c r="D2725" s="1" t="s">
        <v>12471</v>
      </c>
      <c r="E2725" s="1" t="s">
        <v>12472</v>
      </c>
      <c r="F2725" s="4" t="s">
        <v>17</v>
      </c>
      <c r="G2725" s="1" t="s">
        <v>18</v>
      </c>
      <c r="H2725" s="1" t="s">
        <v>19</v>
      </c>
      <c r="I2725" s="1" t="s">
        <v>20</v>
      </c>
      <c r="J2725" s="1" t="s">
        <v>12473</v>
      </c>
      <c r="K2725" s="1" t="s">
        <v>22</v>
      </c>
      <c r="L2725" s="1" t="str">
        <f>HYPERLINK("https://files.afu.se/Downloads/Transcripts/0%20-%20Government/USA%20-%20NASA/2013 11 12 - NASA - Removing the Barriers to Deep Space Exploration_Un1AbTvUbQs - transcript (automated).pdf","Transcript Link")</f>
        <v>Transcript Link</v>
      </c>
      <c r="M2725" s="2" t="str">
        <f>HYPERLINK("https://files.afu.se/Downloads/Transcripts/0%20-%20Government/USA%20-%20NASA/2013 11 12 - NASA - Removing the Barriers to Deep Space Exploration_Un1AbTvUbQs - transcript (automated).pdf","Transcript Link")</f>
        <v>Transcript Link</v>
      </c>
    </row>
    <row r="2726" ht="165" spans="1:13">
      <c r="A2726" s="1" t="s">
        <v>12465</v>
      </c>
      <c r="B2726" s="1" t="s">
        <v>13</v>
      </c>
      <c r="C2726" s="4" t="s">
        <v>12474</v>
      </c>
      <c r="D2726" s="1" t="s">
        <v>12475</v>
      </c>
      <c r="E2726" s="1" t="s">
        <v>12476</v>
      </c>
      <c r="F2726" s="4" t="s">
        <v>17</v>
      </c>
      <c r="G2726" s="1" t="s">
        <v>18</v>
      </c>
      <c r="H2726" s="1" t="s">
        <v>19</v>
      </c>
      <c r="I2726" s="1" t="s">
        <v>20</v>
      </c>
      <c r="J2726" s="1" t="s">
        <v>12477</v>
      </c>
      <c r="K2726" s="1" t="s">
        <v>22</v>
      </c>
      <c r="L2726" s="1" t="str">
        <f>HYPERLINK("https://files.afu.se/Downloads/Transcripts/0%20-%20Government/USA%20-%20NASA/2013 11 12 - NASA - Space Station Crew Members Discuss Life in Space with University of Illinois Alumni and Media_WkkC8X29vBE - transcript (automated).pdf","Transcript Link")</f>
        <v>Transcript Link</v>
      </c>
      <c r="M2726" s="2" t="str">
        <f>HYPERLINK("https://files.afu.se/Downloads/Transcripts/0%20-%20Government/USA%20-%20NASA/2013 11 12 - NASA - Space Station Crew Members Discuss Life in Space with University of Illinois Alumni and Media_WkkC8X29vBE - transcript (automated).pdf","Transcript Link")</f>
        <v>Transcript Link</v>
      </c>
    </row>
    <row r="2727" ht="165" spans="1:13">
      <c r="A2727" s="1" t="s">
        <v>12478</v>
      </c>
      <c r="B2727" s="1" t="s">
        <v>13</v>
      </c>
      <c r="C2727" s="4" t="s">
        <v>12479</v>
      </c>
      <c r="D2727" s="1" t="s">
        <v>12480</v>
      </c>
      <c r="E2727" s="1" t="s">
        <v>12481</v>
      </c>
      <c r="F2727" s="4" t="s">
        <v>17</v>
      </c>
      <c r="G2727" s="1" t="s">
        <v>18</v>
      </c>
      <c r="H2727" s="1" t="s">
        <v>19</v>
      </c>
      <c r="I2727" s="1" t="s">
        <v>20</v>
      </c>
      <c r="J2727" s="1" t="s">
        <v>12482</v>
      </c>
      <c r="K2727" s="1" t="s">
        <v>22</v>
      </c>
      <c r="L2727" s="1" t="str">
        <f>HYPERLINK("https://files.afu.se/Downloads/Transcripts/0%20-%20Government/USA%20-%20NASA/2013 11 11 - NASA - Expedition 37 Discusses Mission_14d1HxNMyCQ - transcript (automated).pdf","Transcript Link")</f>
        <v>Transcript Link</v>
      </c>
      <c r="M2727" s="2" t="str">
        <f>HYPERLINK("https://files.afu.se/Downloads/Transcripts/0%20-%20Government/USA%20-%20NASA/2013 11 11 - NASA - Expedition 37 Discusses Mission_14d1HxNMyCQ - transcript (automated).pdf","Transcript Link")</f>
        <v>Transcript Link</v>
      </c>
    </row>
    <row r="2728" ht="165" spans="1:13">
      <c r="A2728" s="1" t="s">
        <v>12478</v>
      </c>
      <c r="B2728" s="1" t="s">
        <v>13</v>
      </c>
      <c r="C2728" s="4" t="s">
        <v>12483</v>
      </c>
      <c r="D2728" s="1" t="s">
        <v>11880</v>
      </c>
      <c r="E2728" s="1" t="s">
        <v>12484</v>
      </c>
      <c r="F2728" s="4" t="s">
        <v>17</v>
      </c>
      <c r="G2728" s="1" t="s">
        <v>18</v>
      </c>
      <c r="H2728" s="1" t="s">
        <v>19</v>
      </c>
      <c r="I2728" s="1" t="s">
        <v>20</v>
      </c>
      <c r="J2728" s="1" t="s">
        <v>12485</v>
      </c>
      <c r="K2728" s="1" t="s">
        <v>22</v>
      </c>
      <c r="L2728" s="1" t="str">
        <f>HYPERLINK("https://files.afu.se/Downloads/Transcripts/0%20-%20Government/USA%20-%20NASA/2013 11 11 - NASA - A Warm Welcome for the Crew_7kNKjUtwpYI - transcript (automated).pdf","Transcript Link")</f>
        <v>Transcript Link</v>
      </c>
      <c r="M2728" s="2" t="str">
        <f>HYPERLINK("https://files.afu.se/Downloads/Transcripts/0%20-%20Government/USA%20-%20NASA/2013 11 11 - NASA - A Warm Welcome for the Crew_7kNKjUtwpYI - transcript (automated).pdf","Transcript Link")</f>
        <v>Transcript Link</v>
      </c>
    </row>
    <row r="2729" ht="165" spans="1:13">
      <c r="A2729" s="1" t="s">
        <v>12478</v>
      </c>
      <c r="B2729" s="1" t="s">
        <v>13</v>
      </c>
      <c r="C2729" s="4" t="s">
        <v>12486</v>
      </c>
      <c r="D2729" s="1" t="s">
        <v>12487</v>
      </c>
      <c r="E2729" s="1" t="s">
        <v>12488</v>
      </c>
      <c r="F2729" s="4" t="s">
        <v>17</v>
      </c>
      <c r="G2729" s="1" t="s">
        <v>18</v>
      </c>
      <c r="H2729" s="1" t="s">
        <v>19</v>
      </c>
      <c r="I2729" s="1" t="s">
        <v>20</v>
      </c>
      <c r="J2729" s="1" t="s">
        <v>12489</v>
      </c>
      <c r="K2729" s="1" t="s">
        <v>22</v>
      </c>
      <c r="L2729" s="1" t="str">
        <f>HYPERLINK("https://files.afu.se/Downloads/Transcripts/0%20-%20Government/USA%20-%20NASA/2013 11 11 - NASA - Expedition 37 Crew Back on Earth_0nKwj_B5Qb4 - transcript (automated).pdf","Transcript Link")</f>
        <v>Transcript Link</v>
      </c>
      <c r="M2729" s="2" t="str">
        <f>HYPERLINK("https://files.afu.se/Downloads/Transcripts/0%20-%20Government/USA%20-%20NASA/2013 11 11 - NASA - Expedition 37 Crew Back on Earth_0nKwj_B5Qb4 - transcript (automated).pdf","Transcript Link")</f>
        <v>Transcript Link</v>
      </c>
    </row>
    <row r="2730" ht="165" spans="1:13">
      <c r="A2730" s="1" t="s">
        <v>12478</v>
      </c>
      <c r="B2730" s="1" t="s">
        <v>13</v>
      </c>
      <c r="C2730" s="4" t="s">
        <v>12490</v>
      </c>
      <c r="D2730" s="1" t="s">
        <v>12491</v>
      </c>
      <c r="E2730" s="1" t="s">
        <v>12492</v>
      </c>
      <c r="F2730" s="4" t="s">
        <v>17</v>
      </c>
      <c r="G2730" s="1" t="s">
        <v>18</v>
      </c>
      <c r="H2730" s="1" t="s">
        <v>19</v>
      </c>
      <c r="I2730" s="1" t="s">
        <v>20</v>
      </c>
      <c r="J2730" s="1" t="s">
        <v>12493</v>
      </c>
      <c r="K2730" s="1" t="s">
        <v>22</v>
      </c>
      <c r="L2730" s="1" t="str">
        <f>HYPERLINK("https://files.afu.se/Downloads/Transcripts/0%20-%20Government/USA%20-%20NASA/2013 11 11 - NASA - Expedition 37 Heads Home_UZonoIlKQKg - transcript (automated).pdf","Transcript Link")</f>
        <v>Transcript Link</v>
      </c>
      <c r="M2730" s="2" t="str">
        <f>HYPERLINK("https://files.afu.se/Downloads/Transcripts/0%20-%20Government/USA%20-%20NASA/2013 11 11 - NASA - Expedition 37 Heads Home_UZonoIlKQKg - transcript (automated).pdf","Transcript Link")</f>
        <v>Transcript Link</v>
      </c>
    </row>
    <row r="2731" ht="180" spans="1:13">
      <c r="A2731" s="1" t="s">
        <v>12494</v>
      </c>
      <c r="B2731" s="1" t="s">
        <v>13</v>
      </c>
      <c r="C2731" s="4" t="s">
        <v>12495</v>
      </c>
      <c r="D2731" s="1" t="s">
        <v>12496</v>
      </c>
      <c r="E2731" s="1" t="s">
        <v>12497</v>
      </c>
      <c r="F2731" s="4" t="s">
        <v>17</v>
      </c>
      <c r="G2731" s="1" t="s">
        <v>18</v>
      </c>
      <c r="H2731" s="1" t="s">
        <v>19</v>
      </c>
      <c r="I2731" s="1" t="s">
        <v>20</v>
      </c>
      <c r="J2731" s="1" t="s">
        <v>12498</v>
      </c>
      <c r="K2731" s="1" t="s">
        <v>22</v>
      </c>
      <c r="L2731" s="1" t="str">
        <f>HYPERLINK("https://files.afu.se/Downloads/Transcripts/0%20-%20Government/USA%20-%20NASA/2013 11 10 - NASA - Change and Transition on the Station_tQmRlXyV3Fw - transcript (automated).pdf","Transcript Link")</f>
        <v>Transcript Link</v>
      </c>
      <c r="M2731" s="2" t="str">
        <f>HYPERLINK("https://files.afu.se/Downloads/Transcripts/0%20-%20Government/USA%20-%20NASA/2013 11 10 - NASA - Change and Transition on the Station_tQmRlXyV3Fw - transcript (automated).pdf","Transcript Link")</f>
        <v>Transcript Link</v>
      </c>
    </row>
    <row r="2732" ht="165" spans="1:13">
      <c r="A2732" s="1" t="s">
        <v>12499</v>
      </c>
      <c r="B2732" s="1" t="s">
        <v>13</v>
      </c>
      <c r="C2732" s="4" t="s">
        <v>12500</v>
      </c>
      <c r="D2732" s="1" t="s">
        <v>12501</v>
      </c>
      <c r="E2732" s="1" t="s">
        <v>12502</v>
      </c>
      <c r="F2732" s="4" t="s">
        <v>17</v>
      </c>
      <c r="G2732" s="1" t="s">
        <v>18</v>
      </c>
      <c r="H2732" s="1" t="s">
        <v>19</v>
      </c>
      <c r="I2732" s="1" t="s">
        <v>20</v>
      </c>
      <c r="J2732" s="1" t="s">
        <v>12503</v>
      </c>
      <c r="K2732" s="1" t="s">
        <v>22</v>
      </c>
      <c r="L2732" s="1" t="str">
        <f>HYPERLINK("https://files.afu.se/Downloads/Transcripts/0%20-%20Government/USA%20-%20NASA/2013 11 09 - NASA - An Olympic Moment in Space_4MrnqEf3i-U - transcript (automated).pdf","Transcript Link")</f>
        <v>Transcript Link</v>
      </c>
      <c r="M2732" s="2" t="str">
        <f>HYPERLINK("https://files.afu.se/Downloads/Transcripts/0%20-%20Government/USA%20-%20NASA/2013 11 09 - NASA - An Olympic Moment in Space_4MrnqEf3i-U - transcript (automated).pdf","Transcript Link")</f>
        <v>Transcript Link</v>
      </c>
    </row>
    <row r="2733" ht="165" spans="1:13">
      <c r="A2733" s="1" t="s">
        <v>12504</v>
      </c>
      <c r="B2733" s="1" t="s">
        <v>13</v>
      </c>
      <c r="C2733" s="4" t="s">
        <v>12505</v>
      </c>
      <c r="D2733" s="1" t="s">
        <v>12506</v>
      </c>
      <c r="E2733" s="1" t="s">
        <v>12507</v>
      </c>
      <c r="F2733" s="4" t="s">
        <v>17</v>
      </c>
      <c r="G2733" s="1" t="s">
        <v>18</v>
      </c>
      <c r="H2733" s="1" t="s">
        <v>19</v>
      </c>
      <c r="I2733" s="1" t="s">
        <v>20</v>
      </c>
      <c r="J2733" s="1" t="s">
        <v>12508</v>
      </c>
      <c r="K2733" s="1" t="s">
        <v>22</v>
      </c>
      <c r="L2733" s="1" t="str">
        <f>HYPERLINK("https://files.afu.se/Downloads/Transcripts/0%20-%20Government/USA%20-%20NASA/2013 11 08 - NASA - Kepler Conference on This Week @NASA_Qy_1DfQpB4A - transcript (automated).pdf","Transcript Link")</f>
        <v>Transcript Link</v>
      </c>
      <c r="M2733" s="2" t="str">
        <f>HYPERLINK("https://files.afu.se/Downloads/Transcripts/0%20-%20Government/USA%20-%20NASA/2013 11 08 - NASA - Kepler Conference on This Week @NASA_Qy_1DfQpB4A - transcript (automated).pdf","Transcript Link")</f>
        <v>Transcript Link</v>
      </c>
    </row>
    <row r="2734" ht="165" spans="1:13">
      <c r="A2734" s="1" t="s">
        <v>12504</v>
      </c>
      <c r="B2734" s="1" t="s">
        <v>13</v>
      </c>
      <c r="C2734" s="4" t="s">
        <v>12509</v>
      </c>
      <c r="D2734" s="1" t="s">
        <v>12510</v>
      </c>
      <c r="E2734" s="1" t="s">
        <v>12511</v>
      </c>
      <c r="F2734" s="4" t="s">
        <v>17</v>
      </c>
      <c r="G2734" s="1" t="s">
        <v>18</v>
      </c>
      <c r="H2734" s="1" t="s">
        <v>19</v>
      </c>
      <c r="I2734" s="1" t="s">
        <v>20</v>
      </c>
      <c r="J2734" s="1" t="s">
        <v>12512</v>
      </c>
      <c r="K2734" s="1" t="s">
        <v>22</v>
      </c>
      <c r="L2734" s="1" t="str">
        <f>HYPERLINK("https://files.afu.se/Downloads/Transcripts/0%20-%20Government/USA%20-%20NASA/2013 11 08 - NASA - News Conference from the ISS_BbiGqW07ER8 - transcript (automated).pdf","Transcript Link")</f>
        <v>Transcript Link</v>
      </c>
      <c r="M2734" s="2" t="str">
        <f>HYPERLINK("https://files.afu.se/Downloads/Transcripts/0%20-%20Government/USA%20-%20NASA/2013 11 08 - NASA - News Conference from the ISS_BbiGqW07ER8 - transcript (automated).pdf","Transcript Link")</f>
        <v>Transcript Link</v>
      </c>
    </row>
    <row r="2735" ht="195" spans="1:13">
      <c r="A2735" s="1" t="s">
        <v>12513</v>
      </c>
      <c r="B2735" s="1" t="s">
        <v>13</v>
      </c>
      <c r="C2735" s="4" t="s">
        <v>12514</v>
      </c>
      <c r="D2735" s="1" t="s">
        <v>12515</v>
      </c>
      <c r="E2735" s="1" t="s">
        <v>12516</v>
      </c>
      <c r="F2735" s="4" t="s">
        <v>17</v>
      </c>
      <c r="G2735" s="1" t="s">
        <v>18</v>
      </c>
      <c r="H2735" s="1" t="s">
        <v>19</v>
      </c>
      <c r="I2735" s="1" t="s">
        <v>20</v>
      </c>
      <c r="J2735" s="1" t="s">
        <v>12517</v>
      </c>
      <c r="K2735" s="1" t="s">
        <v>22</v>
      </c>
      <c r="L2735" s="1" t="str">
        <f>HYPERLINK("https://files.afu.se/Downloads/Transcripts/0%20-%20Government/USA%20-%20NASA/2013 11 07 - NASA - Welcome to the Station!_9_frC79kTC0 - transcript (automated).pdf","Transcript Link")</f>
        <v>Transcript Link</v>
      </c>
      <c r="M2735" s="2" t="str">
        <f>HYPERLINK("https://files.afu.se/Downloads/Transcripts/0%20-%20Government/USA%20-%20NASA/2013 11 07 - NASA - Welcome to the Station!_9_frC79kTC0 - transcript (automated).pdf","Transcript Link")</f>
        <v>Transcript Link</v>
      </c>
    </row>
    <row r="2736" ht="165" spans="1:13">
      <c r="A2736" s="1" t="s">
        <v>12513</v>
      </c>
      <c r="B2736" s="1" t="s">
        <v>13</v>
      </c>
      <c r="C2736" s="4" t="s">
        <v>12518</v>
      </c>
      <c r="D2736" s="1" t="s">
        <v>12519</v>
      </c>
      <c r="E2736" s="1" t="s">
        <v>12520</v>
      </c>
      <c r="F2736" s="4" t="s">
        <v>17</v>
      </c>
      <c r="G2736" s="1" t="s">
        <v>18</v>
      </c>
      <c r="H2736" s="1" t="s">
        <v>19</v>
      </c>
      <c r="I2736" s="1" t="s">
        <v>20</v>
      </c>
      <c r="J2736" s="1" t="s">
        <v>12521</v>
      </c>
      <c r="K2736" s="1" t="s">
        <v>22</v>
      </c>
      <c r="L2736" s="1" t="str">
        <f>HYPERLINK("https://files.afu.se/Downloads/Transcripts/0%20-%20Government/USA%20-%20NASA/2013 11 07 - NASA - Soyuz hooks up to the station_lFPblwNe11M - transcript (automated).pdf","Transcript Link")</f>
        <v>Transcript Link</v>
      </c>
      <c r="M2736" s="2" t="str">
        <f>HYPERLINK("https://files.afu.se/Downloads/Transcripts/0%20-%20Government/USA%20-%20NASA/2013 11 07 - NASA - Soyuz hooks up to the station_lFPblwNe11M - transcript (automated).pdf","Transcript Link")</f>
        <v>Transcript Link</v>
      </c>
    </row>
    <row r="2737" ht="165" spans="1:13">
      <c r="A2737" s="1" t="s">
        <v>12513</v>
      </c>
      <c r="B2737" s="1" t="s">
        <v>13</v>
      </c>
      <c r="C2737" s="4" t="s">
        <v>12522</v>
      </c>
      <c r="D2737" s="1" t="s">
        <v>12523</v>
      </c>
      <c r="E2737" s="1" t="s">
        <v>12524</v>
      </c>
      <c r="F2737" s="4" t="s">
        <v>17</v>
      </c>
      <c r="G2737" s="1" t="s">
        <v>18</v>
      </c>
      <c r="H2737" s="1" t="s">
        <v>19</v>
      </c>
      <c r="I2737" s="1" t="s">
        <v>20</v>
      </c>
      <c r="J2737" s="1" t="s">
        <v>12525</v>
      </c>
      <c r="K2737" s="1" t="s">
        <v>22</v>
      </c>
      <c r="L2737" s="1" t="str">
        <f>HYPERLINK("https://files.afu.se/Downloads/Transcripts/0%20-%20Government/USA%20-%20NASA/2013 11 07 - NASA - Headed Uphill!_WMC6UPNyDp0 - transcript (automated).pdf","Transcript Link")</f>
        <v>Transcript Link</v>
      </c>
      <c r="M2737" s="2" t="str">
        <f>HYPERLINK("https://files.afu.se/Downloads/Transcripts/0%20-%20Government/USA%20-%20NASA/2013 11 07 - NASA - Headed Uphill!_WMC6UPNyDp0 - transcript (automated).pdf","Transcript Link")</f>
        <v>Transcript Link</v>
      </c>
    </row>
    <row r="2738" ht="165" spans="1:13">
      <c r="A2738" s="1" t="s">
        <v>12526</v>
      </c>
      <c r="B2738" s="1" t="s">
        <v>13</v>
      </c>
      <c r="C2738" s="4" t="s">
        <v>12527</v>
      </c>
      <c r="D2738" s="1" t="s">
        <v>12528</v>
      </c>
      <c r="E2738" s="1" t="s">
        <v>12529</v>
      </c>
      <c r="F2738" s="4" t="s">
        <v>17</v>
      </c>
      <c r="G2738" s="1" t="s">
        <v>18</v>
      </c>
      <c r="H2738" s="1" t="s">
        <v>19</v>
      </c>
      <c r="I2738" s="1" t="s">
        <v>20</v>
      </c>
      <c r="J2738" s="1" t="s">
        <v>12530</v>
      </c>
      <c r="K2738" s="1" t="s">
        <v>22</v>
      </c>
      <c r="L2738" s="1" t="str">
        <f>HYPERLINK("https://files.afu.se/Downloads/Transcripts/0%20-%20Government/USA%20-%20NASA/2013 11 05 - NASA - Administrator Bolden on Kepler Mission Findings_EFeoYHZcUpw - transcript (automated).pdf","Transcript Link")</f>
        <v>Transcript Link</v>
      </c>
      <c r="M2738" s="2" t="str">
        <f>HYPERLINK("https://files.afu.se/Downloads/Transcripts/0%20-%20Government/USA%20-%20NASA/2013 11 05 - NASA - Administrator Bolden on Kepler Mission Findings_EFeoYHZcUpw - transcript (automated).pdf","Transcript Link")</f>
        <v>Transcript Link</v>
      </c>
    </row>
    <row r="2739" ht="165" spans="1:13">
      <c r="A2739" s="1" t="s">
        <v>12526</v>
      </c>
      <c r="B2739" s="1" t="s">
        <v>13</v>
      </c>
      <c r="C2739" s="4" t="s">
        <v>12531</v>
      </c>
      <c r="D2739" s="1" t="s">
        <v>12532</v>
      </c>
      <c r="E2739" s="1" t="s">
        <v>12533</v>
      </c>
      <c r="F2739" s="4" t="s">
        <v>17</v>
      </c>
      <c r="G2739" s="1" t="s">
        <v>18</v>
      </c>
      <c r="H2739" s="1" t="s">
        <v>19</v>
      </c>
      <c r="I2739" s="1" t="s">
        <v>20</v>
      </c>
      <c r="J2739" s="1" t="s">
        <v>12534</v>
      </c>
      <c r="K2739" s="1" t="s">
        <v>22</v>
      </c>
      <c r="L2739" s="1" t="str">
        <f>HYPERLINK("https://files.afu.se/Downloads/Transcripts/0%20-%20Government/USA%20-%20NASA/2013 11 05 - NASA - Soyuz and rocket rolled_r2iRGBSMvsg - transcript (automated).pdf","Transcript Link")</f>
        <v>Transcript Link</v>
      </c>
      <c r="M2739" s="2" t="str">
        <f>HYPERLINK("https://files.afu.se/Downloads/Transcripts/0%20-%20Government/USA%20-%20NASA/2013 11 05 - NASA - Soyuz and rocket rolled_r2iRGBSMvsg - transcript (automated).pdf","Transcript Link")</f>
        <v>Transcript Link</v>
      </c>
    </row>
    <row r="2740" ht="165" spans="1:13">
      <c r="A2740" s="1" t="s">
        <v>12526</v>
      </c>
      <c r="B2740" s="1" t="s">
        <v>13</v>
      </c>
      <c r="C2740" s="4" t="s">
        <v>12535</v>
      </c>
      <c r="D2740" s="1" t="s">
        <v>12536</v>
      </c>
      <c r="E2740" s="1" t="s">
        <v>12537</v>
      </c>
      <c r="F2740" s="4" t="s">
        <v>17</v>
      </c>
      <c r="G2740" s="1" t="s">
        <v>18</v>
      </c>
      <c r="H2740" s="1" t="s">
        <v>19</v>
      </c>
      <c r="I2740" s="1" t="s">
        <v>20</v>
      </c>
      <c r="J2740" s="1" t="s">
        <v>12538</v>
      </c>
      <c r="K2740" s="1" t="s">
        <v>22</v>
      </c>
      <c r="L2740" s="1" t="str">
        <f>HYPERLINK("https://files.afu.se/Downloads/Transcripts/0%20-%20Government/USA%20-%20NASA/2013 11 05 - NASA - Astronauts share thoughts on living and working in space_dkdj7T3Cxvk - transcript (automated).pdf","Transcript Link")</f>
        <v>Transcript Link</v>
      </c>
      <c r="M2740" s="2" t="str">
        <f>HYPERLINK("https://files.afu.se/Downloads/Transcripts/0%20-%20Government/USA%20-%20NASA/2013 11 05 - NASA - Astronauts share thoughts on living and working in space_dkdj7T3Cxvk - transcript (automated).pdf","Transcript Link")</f>
        <v>Transcript Link</v>
      </c>
    </row>
    <row r="2741" ht="165" spans="1:13">
      <c r="A2741" s="1" t="s">
        <v>12539</v>
      </c>
      <c r="B2741" s="1" t="s">
        <v>13</v>
      </c>
      <c r="C2741" s="4" t="s">
        <v>12540</v>
      </c>
      <c r="D2741" s="1" t="s">
        <v>12541</v>
      </c>
      <c r="E2741" s="1" t="s">
        <v>12542</v>
      </c>
      <c r="F2741" s="4" t="s">
        <v>17</v>
      </c>
      <c r="G2741" s="1" t="s">
        <v>18</v>
      </c>
      <c r="H2741" s="1" t="s">
        <v>19</v>
      </c>
      <c r="I2741" s="1" t="s">
        <v>20</v>
      </c>
      <c r="J2741" s="1" t="s">
        <v>12543</v>
      </c>
      <c r="K2741" s="1" t="s">
        <v>22</v>
      </c>
      <c r="L2741" s="1" t="str">
        <f>HYPERLINK("https://files.afu.se/Downloads/Transcripts/0%20-%20Government/USA%20-%20NASA/2013 11 04 - NASA - Social Previews Earth Science Missions_MGGHwTQ-c9U - transcript (automated).pdf","Transcript Link")</f>
        <v>Transcript Link</v>
      </c>
      <c r="M2741" s="2" t="str">
        <f>HYPERLINK("https://files.afu.se/Downloads/Transcripts/0%20-%20Government/USA%20-%20NASA/2013 11 04 - NASA - Social Previews Earth Science Missions_MGGHwTQ-c9U - transcript (automated).pdf","Transcript Link")</f>
        <v>Transcript Link</v>
      </c>
    </row>
    <row r="2742" ht="165" spans="1:13">
      <c r="A2742" s="1" t="s">
        <v>12539</v>
      </c>
      <c r="B2742" s="1" t="s">
        <v>13</v>
      </c>
      <c r="C2742" s="4" t="s">
        <v>12544</v>
      </c>
      <c r="D2742" s="1" t="s">
        <v>12545</v>
      </c>
      <c r="E2742" s="1" t="s">
        <v>12546</v>
      </c>
      <c r="F2742" s="4" t="s">
        <v>17</v>
      </c>
      <c r="G2742" s="1" t="s">
        <v>18</v>
      </c>
      <c r="H2742" s="1" t="s">
        <v>19</v>
      </c>
      <c r="I2742" s="1" t="s">
        <v>20</v>
      </c>
      <c r="J2742" s="1" t="s">
        <v>12547</v>
      </c>
      <c r="K2742" s="1" t="s">
        <v>22</v>
      </c>
      <c r="L2742" s="1" t="str">
        <f>HYPERLINK("https://files.afu.se/Downloads/Transcripts/0%20-%20Government/USA%20-%20NASA/2013 11 04 - NASA - Nice Rocket, Mate!_EYuvXxOVB1s - transcript (automated).pdf","Transcript Link")</f>
        <v>Transcript Link</v>
      </c>
      <c r="M2742" s="2" t="str">
        <f>HYPERLINK("https://files.afu.se/Downloads/Transcripts/0%20-%20Government/USA%20-%20NASA/2013 11 04 - NASA - Nice Rocket, Mate!_EYuvXxOVB1s - transcript (automated).pdf","Transcript Link")</f>
        <v>Transcript Link</v>
      </c>
    </row>
    <row r="2743" ht="165" spans="1:13">
      <c r="A2743" s="1" t="s">
        <v>12548</v>
      </c>
      <c r="B2743" s="1" t="s">
        <v>13</v>
      </c>
      <c r="C2743" s="4" t="s">
        <v>12549</v>
      </c>
      <c r="D2743" s="1" t="s">
        <v>12550</v>
      </c>
      <c r="E2743" s="1" t="s">
        <v>12551</v>
      </c>
      <c r="F2743" s="4" t="s">
        <v>17</v>
      </c>
      <c r="G2743" s="1" t="s">
        <v>18</v>
      </c>
      <c r="H2743" s="1" t="s">
        <v>19</v>
      </c>
      <c r="I2743" s="1" t="s">
        <v>20</v>
      </c>
      <c r="J2743" s="1" t="s">
        <v>12552</v>
      </c>
      <c r="K2743" s="1" t="s">
        <v>22</v>
      </c>
      <c r="L2743" s="1" t="str">
        <f>HYPERLINK("https://files.afu.se/Downloads/Transcripts/0%20-%20Government/USA%20-%20NASA/2013 11 01 - NASA - Mars Mission Briefed on This Week @NASA_8Hgw084eUHc - transcript (automated).pdf","Transcript Link")</f>
        <v>Transcript Link</v>
      </c>
      <c r="M2743" s="2" t="str">
        <f>HYPERLINK("https://files.afu.se/Downloads/Transcripts/0%20-%20Government/USA%20-%20NASA/2013 11 01 - NASA - Mars Mission Briefed on This Week @NASA_8Hgw084eUHc - transcript (automated).pdf","Transcript Link")</f>
        <v>Transcript Link</v>
      </c>
    </row>
    <row r="2744" ht="195" spans="1:13">
      <c r="A2744" s="1" t="s">
        <v>12548</v>
      </c>
      <c r="B2744" s="1" t="s">
        <v>13</v>
      </c>
      <c r="C2744" s="4" t="s">
        <v>12553</v>
      </c>
      <c r="D2744" s="1" t="s">
        <v>12554</v>
      </c>
      <c r="E2744" s="1" t="s">
        <v>12555</v>
      </c>
      <c r="F2744" s="4" t="s">
        <v>17</v>
      </c>
      <c r="G2744" s="1" t="s">
        <v>18</v>
      </c>
      <c r="H2744" s="1" t="s">
        <v>19</v>
      </c>
      <c r="I2744" s="1" t="s">
        <v>20</v>
      </c>
      <c r="J2744" s="1" t="s">
        <v>12556</v>
      </c>
      <c r="K2744" s="1" t="s">
        <v>22</v>
      </c>
      <c r="L2744" s="1" t="str">
        <f>HYPERLINK("https://files.afu.se/Downloads/Transcripts/0%20-%20Government/USA%20-%20NASA/2013 11 01 - NASA - Expedition 38 39 Crew Prepares for Launch in Kazakhstan_DmgIBhvDcrg - transcript (automated).pdf","Transcript Link")</f>
        <v>Transcript Link</v>
      </c>
      <c r="M2744" s="2" t="str">
        <f>HYPERLINK("https://files.afu.se/Downloads/Transcripts/0%20-%20Government/USA%20-%20NASA/2013 11 01 - NASA - Expedition 38 39 Crew Prepares for Launch in Kazakhstan_DmgIBhvDcrg - transcript (automated).pdf","Transcript Link")</f>
        <v>Transcript Link</v>
      </c>
    </row>
    <row r="2745" ht="195" spans="1:13">
      <c r="A2745" s="1" t="s">
        <v>12548</v>
      </c>
      <c r="B2745" s="1" t="s">
        <v>13</v>
      </c>
      <c r="C2745" s="4" t="s">
        <v>12557</v>
      </c>
      <c r="D2745" s="1" t="s">
        <v>12558</v>
      </c>
      <c r="E2745" s="1" t="s">
        <v>12559</v>
      </c>
      <c r="F2745" s="4" t="s">
        <v>17</v>
      </c>
      <c r="G2745" s="1" t="s">
        <v>18</v>
      </c>
      <c r="H2745" s="1" t="s">
        <v>19</v>
      </c>
      <c r="I2745" s="1" t="s">
        <v>20</v>
      </c>
      <c r="J2745" s="1" t="s">
        <v>12560</v>
      </c>
      <c r="K2745" s="1" t="s">
        <v>22</v>
      </c>
      <c r="L2745" s="1" t="str">
        <f>HYPERLINK("https://files.afu.se/Downloads/Transcripts/0%20-%20Government/USA%20-%20NASA/2013 11 01 - NASA - Russian Soyuz Vehicle Relocates at the International Space Station_LTflOstC1Ec - transcript (automated).pdf","Transcript Link")</f>
        <v>Transcript Link</v>
      </c>
      <c r="M2745" s="2" t="str">
        <f>HYPERLINK("https://files.afu.se/Downloads/Transcripts/0%20-%20Government/USA%20-%20NASA/2013 11 01 - NASA - Russian Soyuz Vehicle Relocates at the International Space Station_LTflOstC1Ec - transcript (automated).pdf","Transcript Link")</f>
        <v>Transcript Link</v>
      </c>
    </row>
    <row r="2746" ht="390" spans="1:13">
      <c r="A2746" s="1" t="s">
        <v>12561</v>
      </c>
      <c r="B2746" s="1" t="s">
        <v>13</v>
      </c>
      <c r="C2746" s="4" t="s">
        <v>12562</v>
      </c>
      <c r="D2746" s="1" t="s">
        <v>12563</v>
      </c>
      <c r="E2746" s="1" t="s">
        <v>12564</v>
      </c>
      <c r="F2746" s="4" t="s">
        <v>17</v>
      </c>
      <c r="G2746" s="1" t="s">
        <v>18</v>
      </c>
      <c r="H2746" s="1" t="s">
        <v>19</v>
      </c>
      <c r="I2746" s="1" t="s">
        <v>20</v>
      </c>
      <c r="J2746" s="1" t="s">
        <v>12565</v>
      </c>
      <c r="K2746" s="1" t="s">
        <v>22</v>
      </c>
      <c r="L2746" s="1" t="str">
        <f>HYPERLINK("https://files.afu.se/Downloads/Transcripts/0%20-%20Government/USA%20-%20NASA/2013 10 29 - NASA - NASA Google+ Hangout Briefing on Antarctic Ice Campaign_FuUBDtN3v_0 - transcript (automated).pdf","Transcript Link")</f>
        <v>Transcript Link</v>
      </c>
      <c r="M2746" s="2" t="str">
        <f>HYPERLINK("https://files.afu.se/Downloads/Transcripts/0%20-%20Government/USA%20-%20NASA/2013 10 29 - NASA - NASA Google+ Hangout Briefing on Antarctic Ice Campaign_FuUBDtN3v_0 - transcript (automated).pdf","Transcript Link")</f>
        <v>Transcript Link</v>
      </c>
    </row>
    <row r="2747" ht="165" spans="1:13">
      <c r="A2747" s="1" t="s">
        <v>12561</v>
      </c>
      <c r="B2747" s="1" t="s">
        <v>13</v>
      </c>
      <c r="C2747" s="4" t="s">
        <v>12566</v>
      </c>
      <c r="D2747" s="1" t="s">
        <v>12567</v>
      </c>
      <c r="E2747" s="1" t="s">
        <v>12568</v>
      </c>
      <c r="F2747" s="4" t="s">
        <v>17</v>
      </c>
      <c r="G2747" s="1" t="s">
        <v>18</v>
      </c>
      <c r="H2747" s="1" t="s">
        <v>19</v>
      </c>
      <c r="I2747" s="1" t="s">
        <v>20</v>
      </c>
      <c r="J2747" s="1" t="s">
        <v>12569</v>
      </c>
      <c r="K2747" s="1" t="s">
        <v>22</v>
      </c>
      <c r="L2747" s="1" t="str">
        <f>HYPERLINK("https://files.afu.se/Downloads/Transcripts/0%20-%20Government/USA%20-%20NASA/2013 10 29 - NASA - Space Station Crewmember Discusses Life in Space With Illini Students_ZNiC-cpXd-8 - transcript (automated).pdf","Transcript Link")</f>
        <v>Transcript Link</v>
      </c>
      <c r="M2747" s="2" t="str">
        <f>HYPERLINK("https://files.afu.se/Downloads/Transcripts/0%20-%20Government/USA%20-%20NASA/2013 10 29 - NASA - Space Station Crewmember Discusses Life in Space With Illini Students_ZNiC-cpXd-8 - transcript (automated).pdf","Transcript Link")</f>
        <v>Transcript Link</v>
      </c>
    </row>
    <row r="2748" ht="315" spans="1:13">
      <c r="A2748" s="1" t="s">
        <v>12570</v>
      </c>
      <c r="B2748" s="1" t="s">
        <v>13</v>
      </c>
      <c r="C2748" s="4" t="s">
        <v>12571</v>
      </c>
      <c r="D2748" s="1" t="s">
        <v>12572</v>
      </c>
      <c r="E2748" s="1" t="s">
        <v>12573</v>
      </c>
      <c r="F2748" s="4" t="s">
        <v>17</v>
      </c>
      <c r="G2748" s="1" t="s">
        <v>18</v>
      </c>
      <c r="H2748" s="1" t="s">
        <v>19</v>
      </c>
      <c r="I2748" s="1" t="s">
        <v>20</v>
      </c>
      <c r="J2748" s="1" t="s">
        <v>12574</v>
      </c>
      <c r="K2748" s="1" t="s">
        <v>22</v>
      </c>
      <c r="L2748" s="1" t="str">
        <f>HYPERLINK("https://files.afu.se/Downloads/Transcripts/0%20-%20Government/USA%20-%20NASA/2013 10 28 - NASA - NASA's Next Mission to Mars_o5bi32hZ7bw - transcript (automated).pdf","Transcript Link")</f>
        <v>Transcript Link</v>
      </c>
      <c r="M2748" s="2" t="str">
        <f>HYPERLINK("https://files.afu.se/Downloads/Transcripts/0%20-%20Government/USA%20-%20NASA/2013 10 28 - NASA - NASA's Next Mission to Mars_o5bi32hZ7bw - transcript (automated).pdf","Transcript Link")</f>
        <v>Transcript Link</v>
      </c>
    </row>
    <row r="2749" ht="225" spans="1:13">
      <c r="A2749" s="1" t="s">
        <v>12570</v>
      </c>
      <c r="B2749" s="1" t="s">
        <v>13</v>
      </c>
      <c r="C2749" s="4" t="s">
        <v>12575</v>
      </c>
      <c r="D2749" s="1" t="s">
        <v>12576</v>
      </c>
      <c r="E2749" s="1" t="s">
        <v>12577</v>
      </c>
      <c r="F2749" s="4" t="s">
        <v>17</v>
      </c>
      <c r="G2749" s="1" t="s">
        <v>18</v>
      </c>
      <c r="H2749" s="1" t="s">
        <v>19</v>
      </c>
      <c r="I2749" s="1" t="s">
        <v>20</v>
      </c>
      <c r="J2749" s="1" t="s">
        <v>12578</v>
      </c>
      <c r="K2749" s="1" t="s">
        <v>22</v>
      </c>
      <c r="L2749" s="1" t="str">
        <f>HYPERLINK("https://files.afu.se/Downloads/Transcripts/0%20-%20Government/USA%20-%20NASA/2013 10 28 - NASA - Expedition 38 39 Crew Departs for Kazakh Launch Site_cBWLWL5-x9E - transcript (automated).pdf","Transcript Link")</f>
        <v>Transcript Link</v>
      </c>
      <c r="M2749" s="2" t="str">
        <f>HYPERLINK("https://files.afu.se/Downloads/Transcripts/0%20-%20Government/USA%20-%20NASA/2013 10 28 - NASA - Expedition 38 39 Crew Departs for Kazakh Launch Site_cBWLWL5-x9E - transcript (automated).pdf","Transcript Link")</f>
        <v>Transcript Link</v>
      </c>
    </row>
    <row r="2750" ht="165" spans="1:13">
      <c r="A2750" s="1" t="s">
        <v>12570</v>
      </c>
      <c r="B2750" s="1" t="s">
        <v>13</v>
      </c>
      <c r="C2750" s="4" t="s">
        <v>12579</v>
      </c>
      <c r="D2750" s="1" t="s">
        <v>12580</v>
      </c>
      <c r="E2750" s="1" t="s">
        <v>12581</v>
      </c>
      <c r="F2750" s="4" t="s">
        <v>17</v>
      </c>
      <c r="G2750" s="1" t="s">
        <v>18</v>
      </c>
      <c r="H2750" s="1" t="s">
        <v>19</v>
      </c>
      <c r="I2750" s="1" t="s">
        <v>20</v>
      </c>
      <c r="J2750" s="1" t="s">
        <v>12582</v>
      </c>
      <c r="K2750" s="1" t="s">
        <v>22</v>
      </c>
      <c r="L2750" s="1" t="str">
        <f>HYPERLINK("https://files.afu.se/Downloads/Transcripts/0%20-%20Government/USA%20-%20NASA/2013 10 28 - NASA - Goodbye Einstein_GnYJhz0GigU - transcript (automated).pdf","Transcript Link")</f>
        <v>Transcript Link</v>
      </c>
      <c r="M2750" s="2" t="str">
        <f>HYPERLINK("https://files.afu.se/Downloads/Transcripts/0%20-%20Government/USA%20-%20NASA/2013 10 28 - NASA - Goodbye Einstein_GnYJhz0GigU - transcript (automated).pdf","Transcript Link")</f>
        <v>Transcript Link</v>
      </c>
    </row>
    <row r="2751" ht="195" spans="1:13">
      <c r="A2751" s="1" t="s">
        <v>12583</v>
      </c>
      <c r="B2751" s="1" t="s">
        <v>13</v>
      </c>
      <c r="C2751" s="4" t="s">
        <v>12584</v>
      </c>
      <c r="D2751" s="1" t="s">
        <v>12585</v>
      </c>
      <c r="E2751" s="1" t="s">
        <v>12586</v>
      </c>
      <c r="F2751" s="4" t="s">
        <v>17</v>
      </c>
      <c r="G2751" s="1" t="s">
        <v>18</v>
      </c>
      <c r="H2751" s="1" t="s">
        <v>19</v>
      </c>
      <c r="I2751" s="1" t="s">
        <v>20</v>
      </c>
      <c r="J2751" s="1" t="s">
        <v>12587</v>
      </c>
      <c r="K2751" s="1" t="s">
        <v>22</v>
      </c>
      <c r="L2751" s="1" t="str">
        <f>HYPERLINK("https://files.afu.se/Downloads/Transcripts/0%20-%20Government/USA%20-%20NASA/2013 10 25 - NASA - Back to Mission on This Week @NASA_NP8wP-QwbrI - transcript (automated).pdf","Transcript Link")</f>
        <v>Transcript Link</v>
      </c>
      <c r="M2751" s="2" t="str">
        <f>HYPERLINK("https://files.afu.se/Downloads/Transcripts/0%20-%20Government/USA%20-%20NASA/2013 10 25 - NASA - Back to Mission on This Week @NASA_NP8wP-QwbrI - transcript (automated).pdf","Transcript Link")</f>
        <v>Transcript Link</v>
      </c>
    </row>
    <row r="2752" ht="165" spans="1:13">
      <c r="A2752" s="1" t="s">
        <v>12588</v>
      </c>
      <c r="B2752" s="1" t="s">
        <v>13</v>
      </c>
      <c r="C2752" s="4" t="s">
        <v>12589</v>
      </c>
      <c r="D2752" s="1" t="s">
        <v>12590</v>
      </c>
      <c r="E2752" s="1" t="s">
        <v>12591</v>
      </c>
      <c r="F2752" s="4" t="s">
        <v>17</v>
      </c>
      <c r="G2752" s="1" t="s">
        <v>18</v>
      </c>
      <c r="H2752" s="1" t="s">
        <v>19</v>
      </c>
      <c r="I2752" s="1" t="s">
        <v>20</v>
      </c>
      <c r="J2752" s="1" t="s">
        <v>12592</v>
      </c>
      <c r="K2752" s="1" t="s">
        <v>22</v>
      </c>
      <c r="L2752" s="1" t="str">
        <f>HYPERLINK("https://files.afu.se/Downloads/Transcripts/0%20-%20Government/USA%20-%20NASA/2013 10 24 - NASA - A Tribute to Einstein_eCUXk9WsUAY - transcript (automated).pdf","Transcript Link")</f>
        <v>Transcript Link</v>
      </c>
      <c r="M2752" s="2" t="str">
        <f>HYPERLINK("https://files.afu.se/Downloads/Transcripts/0%20-%20Government/USA%20-%20NASA/2013 10 24 - NASA - A Tribute to Einstein_eCUXk9WsUAY - transcript (automated).pdf","Transcript Link")</f>
        <v>Transcript Link</v>
      </c>
    </row>
    <row r="2753" ht="165" spans="1:13">
      <c r="A2753" s="1" t="s">
        <v>12593</v>
      </c>
      <c r="B2753" s="1" t="s">
        <v>13</v>
      </c>
      <c r="C2753" s="4" t="s">
        <v>12594</v>
      </c>
      <c r="D2753" s="1" t="s">
        <v>12595</v>
      </c>
      <c r="E2753" s="1" t="s">
        <v>12596</v>
      </c>
      <c r="F2753" s="4" t="s">
        <v>17</v>
      </c>
      <c r="G2753" s="1" t="s">
        <v>18</v>
      </c>
      <c r="H2753" s="1" t="s">
        <v>19</v>
      </c>
      <c r="I2753" s="1" t="s">
        <v>20</v>
      </c>
      <c r="J2753" s="1" t="s">
        <v>12597</v>
      </c>
      <c r="K2753" s="1" t="s">
        <v>22</v>
      </c>
      <c r="L2753" s="1" t="str">
        <f>HYPERLINK("https://files.afu.se/Downloads/Transcripts/0%20-%20Government/USA%20-%20NASA/2013 10 23 - NASA - Astronaut Educates Home-State Students from Space_4uuju628wyw - transcript (automated).pdf","Transcript Link")</f>
        <v>Transcript Link</v>
      </c>
      <c r="M2753" s="2" t="str">
        <f>HYPERLINK("https://files.afu.se/Downloads/Transcripts/0%20-%20Government/USA%20-%20NASA/2013 10 23 - NASA - Astronaut Educates Home-State Students from Space_4uuju628wyw - transcript (automated).pdf","Transcript Link")</f>
        <v>Transcript Link</v>
      </c>
    </row>
    <row r="2754" ht="165" spans="1:13">
      <c r="A2754" s="1" t="s">
        <v>12598</v>
      </c>
      <c r="B2754" s="1" t="s">
        <v>13</v>
      </c>
      <c r="C2754" s="4" t="s">
        <v>12599</v>
      </c>
      <c r="D2754" s="1" t="s">
        <v>12600</v>
      </c>
      <c r="E2754" s="1" t="s">
        <v>12601</v>
      </c>
      <c r="F2754" s="4" t="s">
        <v>17</v>
      </c>
      <c r="G2754" s="1" t="s">
        <v>18</v>
      </c>
      <c r="H2754" s="1" t="s">
        <v>19</v>
      </c>
      <c r="I2754" s="1" t="s">
        <v>20</v>
      </c>
      <c r="J2754" s="1" t="s">
        <v>12602</v>
      </c>
      <c r="K2754" s="1" t="s">
        <v>22</v>
      </c>
      <c r="L2754" s="1" t="str">
        <f>HYPERLINK("https://files.afu.se/Downloads/Transcripts/0%20-%20Government/USA%20-%20NASA/2013 10 22 - NASA - NASA Administrator Tours Goddard Testing Facilities_mr08NzICcwU - transcript (automated).pdf","Transcript Link")</f>
        <v>Transcript Link</v>
      </c>
      <c r="M2754" s="2" t="str">
        <f>HYPERLINK("https://files.afu.se/Downloads/Transcripts/0%20-%20Government/USA%20-%20NASA/2013 10 22 - NASA - NASA Administrator Tours Goddard Testing Facilities_mr08NzICcwU - transcript (automated).pdf","Transcript Link")</f>
        <v>Transcript Link</v>
      </c>
    </row>
    <row r="2755" ht="165" spans="1:13">
      <c r="A2755" s="1" t="s">
        <v>12598</v>
      </c>
      <c r="B2755" s="1" t="s">
        <v>13</v>
      </c>
      <c r="C2755" s="4" t="s">
        <v>12603</v>
      </c>
      <c r="D2755" s="1" t="s">
        <v>12604</v>
      </c>
      <c r="E2755" s="1" t="s">
        <v>12605</v>
      </c>
      <c r="F2755" s="4" t="s">
        <v>17</v>
      </c>
      <c r="G2755" s="1" t="s">
        <v>18</v>
      </c>
      <c r="H2755" s="1" t="s">
        <v>19</v>
      </c>
      <c r="I2755" s="1" t="s">
        <v>20</v>
      </c>
      <c r="J2755" s="1" t="s">
        <v>12606</v>
      </c>
      <c r="K2755" s="1" t="s">
        <v>22</v>
      </c>
      <c r="L2755" s="1" t="str">
        <f>HYPERLINK("https://files.afu.se/Downloads/Transcripts/0%20-%20Government/USA%20-%20NASA/2013 10 22 - NASA - ISS-Bound Crew Meets the Media_ZANWCwAWY_0 - transcript (automated).pdf","Transcript Link")</f>
        <v>Transcript Link</v>
      </c>
      <c r="M2755" s="2" t="str">
        <f>HYPERLINK("https://files.afu.se/Downloads/Transcripts/0%20-%20Government/USA%20-%20NASA/2013 10 22 - NASA - ISS-Bound Crew Meets the Media_ZANWCwAWY_0 - transcript (automated).pdf","Transcript Link")</f>
        <v>Transcript Link</v>
      </c>
    </row>
    <row r="2756" ht="165" spans="1:13">
      <c r="A2756" s="1" t="s">
        <v>12598</v>
      </c>
      <c r="B2756" s="1" t="s">
        <v>13</v>
      </c>
      <c r="C2756" s="4" t="s">
        <v>12607</v>
      </c>
      <c r="D2756" s="1" t="s">
        <v>12608</v>
      </c>
      <c r="E2756" s="1" t="s">
        <v>12609</v>
      </c>
      <c r="F2756" s="4" t="s">
        <v>17</v>
      </c>
      <c r="G2756" s="1" t="s">
        <v>18</v>
      </c>
      <c r="H2756" s="1" t="s">
        <v>19</v>
      </c>
      <c r="I2756" s="1" t="s">
        <v>20</v>
      </c>
      <c r="J2756" s="1" t="s">
        <v>12610</v>
      </c>
      <c r="K2756" s="1" t="s">
        <v>22</v>
      </c>
      <c r="L2756" s="1" t="str">
        <f>HYPERLINK("https://files.afu.se/Downloads/Transcripts/0%20-%20Government/USA%20-%20NASA/2013 10 22 - NASA - Cygnus Completes Mission!_eCNevvKevd8 - transcript (automated).pdf","Transcript Link")</f>
        <v>Transcript Link</v>
      </c>
      <c r="M2756" s="2" t="str">
        <f>HYPERLINK("https://files.afu.se/Downloads/Transcripts/0%20-%20Government/USA%20-%20NASA/2013 10 22 - NASA - Cygnus Completes Mission!_eCNevvKevd8 - transcript (automated).pdf","Transcript Link")</f>
        <v>Transcript Link</v>
      </c>
    </row>
    <row r="2757" ht="165" spans="1:13">
      <c r="A2757" s="1" t="s">
        <v>12611</v>
      </c>
      <c r="B2757" s="1" t="s">
        <v>13</v>
      </c>
      <c r="C2757" s="4" t="s">
        <v>12612</v>
      </c>
      <c r="D2757" s="1" t="s">
        <v>12613</v>
      </c>
      <c r="E2757" s="1" t="s">
        <v>12614</v>
      </c>
      <c r="F2757" s="4" t="s">
        <v>17</v>
      </c>
      <c r="G2757" s="1" t="s">
        <v>18</v>
      </c>
      <c r="H2757" s="1" t="s">
        <v>19</v>
      </c>
      <c r="I2757" s="1" t="s">
        <v>20</v>
      </c>
      <c r="J2757" s="1" t="s">
        <v>12615</v>
      </c>
      <c r="K2757" s="1" t="s">
        <v>22</v>
      </c>
      <c r="L2757" s="1" t="str">
        <f>HYPERLINK("https://files.afu.se/Downloads/Transcripts/0%20-%20Government/USA%20-%20NASA/2013 10 21 - NASA - Announcing the NEW This Week @ NASA   Promo 2_6ZSQIFMQTKY - transcript (automated).pdf","Transcript Link")</f>
        <v>Transcript Link</v>
      </c>
      <c r="M2757" s="2" t="str">
        <f>HYPERLINK("https://files.afu.se/Downloads/Transcripts/0%20-%20Government/USA%20-%20NASA/2013 10 21 - NASA - Announcing the NEW This Week @ NASA   Promo 2_6ZSQIFMQTKY - transcript (automated).pdf","Transcript Link")</f>
        <v>Transcript Link</v>
      </c>
    </row>
    <row r="2758" ht="165" spans="1:13">
      <c r="A2758" s="1" t="s">
        <v>12611</v>
      </c>
      <c r="B2758" s="1" t="s">
        <v>13</v>
      </c>
      <c r="C2758" s="4" t="s">
        <v>12616</v>
      </c>
      <c r="D2758" s="1" t="s">
        <v>12617</v>
      </c>
      <c r="E2758" s="1" t="s">
        <v>12618</v>
      </c>
      <c r="F2758" s="4" t="s">
        <v>17</v>
      </c>
      <c r="G2758" s="1" t="s">
        <v>18</v>
      </c>
      <c r="H2758" s="1" t="s">
        <v>19</v>
      </c>
      <c r="I2758" s="1" t="s">
        <v>20</v>
      </c>
      <c r="J2758" s="1" t="s">
        <v>12619</v>
      </c>
      <c r="K2758" s="1" t="s">
        <v>22</v>
      </c>
      <c r="L2758" s="1" t="str">
        <f>HYPERLINK("https://files.afu.se/Downloads/Transcripts/0%20-%20Government/USA%20-%20NASA/2013 10 21 - NASA - Announcing the NEW This Week @ NASA   Promo 3_zeyakanQGYA - transcript (automated).pdf","Transcript Link")</f>
        <v>Transcript Link</v>
      </c>
      <c r="M2758" s="2" t="str">
        <f>HYPERLINK("https://files.afu.se/Downloads/Transcripts/0%20-%20Government/USA%20-%20NASA/2013 10 21 - NASA - Announcing the NEW This Week @ NASA   Promo 3_zeyakanQGYA - transcript (automated).pdf","Transcript Link")</f>
        <v>Transcript Link</v>
      </c>
    </row>
    <row r="2759" ht="165" spans="1:13">
      <c r="A2759" s="1" t="s">
        <v>12611</v>
      </c>
      <c r="B2759" s="1" t="s">
        <v>13</v>
      </c>
      <c r="C2759" s="4" t="s">
        <v>12620</v>
      </c>
      <c r="D2759" s="1" t="s">
        <v>12621</v>
      </c>
      <c r="E2759" s="1" t="s">
        <v>12622</v>
      </c>
      <c r="F2759" s="4" t="s">
        <v>17</v>
      </c>
      <c r="G2759" s="1" t="s">
        <v>18</v>
      </c>
      <c r="H2759" s="1" t="s">
        <v>19</v>
      </c>
      <c r="I2759" s="1" t="s">
        <v>20</v>
      </c>
      <c r="J2759" s="1" t="s">
        <v>12623</v>
      </c>
      <c r="K2759" s="1" t="s">
        <v>22</v>
      </c>
      <c r="L2759" s="1" t="str">
        <f>HYPERLINK("https://files.afu.se/Downloads/Transcripts/0%20-%20Government/USA%20-%20NASA/2013 10 21 - NASA - Announcing the NEW This Week @ NASA   Promo 1_Qy1Ru9bJHI8 - transcript (automated).pdf","Transcript Link")</f>
        <v>Transcript Link</v>
      </c>
      <c r="M2759" s="2" t="str">
        <f>HYPERLINK("https://files.afu.se/Downloads/Transcripts/0%20-%20Government/USA%20-%20NASA/2013 10 21 - NASA - Announcing the NEW This Week @ NASA   Promo 1_Qy1Ru9bJHI8 - transcript (automated).pdf","Transcript Link")</f>
        <v>Transcript Link</v>
      </c>
    </row>
    <row r="2760" ht="180" spans="1:13">
      <c r="A2760" s="1" t="s">
        <v>12624</v>
      </c>
      <c r="B2760" s="1" t="s">
        <v>13</v>
      </c>
      <c r="C2760" s="4" t="s">
        <v>12625</v>
      </c>
      <c r="D2760" s="1" t="s">
        <v>12626</v>
      </c>
      <c r="E2760" s="1" t="s">
        <v>12627</v>
      </c>
      <c r="F2760" s="4" t="s">
        <v>17</v>
      </c>
      <c r="G2760" s="1" t="s">
        <v>18</v>
      </c>
      <c r="H2760" s="1" t="s">
        <v>19</v>
      </c>
      <c r="I2760" s="1" t="s">
        <v>20</v>
      </c>
      <c r="J2760" s="1" t="s">
        <v>12628</v>
      </c>
      <c r="K2760" s="1" t="s">
        <v>22</v>
      </c>
      <c r="L2760" s="1" t="str">
        <f>HYPERLINK("https://files.afu.se/Downloads/Transcripts/0%20-%20Government/USA%20-%20NASA/2013 10 18 - NASA - Expedition 38 39 Crew Undergoes Final Training Outside Moscow_dNhzcMM6j3E - transcript (automated).pdf","Transcript Link")</f>
        <v>Transcript Link</v>
      </c>
      <c r="M2760" s="2" t="str">
        <f>HYPERLINK("https://files.afu.se/Downloads/Transcripts/0%20-%20Government/USA%20-%20NASA/2013 10 18 - NASA - Expedition 38 39 Crew Undergoes Final Training Outside Moscow_dNhzcMM6j3E - transcript (automated).pdf","Transcript Link")</f>
        <v>Transcript Link</v>
      </c>
    </row>
    <row r="2761" ht="165" spans="1:13">
      <c r="A2761" s="1" t="s">
        <v>12624</v>
      </c>
      <c r="B2761" s="1" t="s">
        <v>13</v>
      </c>
      <c r="C2761" s="4" t="s">
        <v>12629</v>
      </c>
      <c r="D2761" s="1" t="s">
        <v>12630</v>
      </c>
      <c r="E2761" s="1" t="s">
        <v>12631</v>
      </c>
      <c r="F2761" s="4" t="s">
        <v>17</v>
      </c>
      <c r="G2761" s="1" t="s">
        <v>18</v>
      </c>
      <c r="H2761" s="1" t="s">
        <v>19</v>
      </c>
      <c r="I2761" s="1" t="s">
        <v>20</v>
      </c>
      <c r="J2761" s="1" t="s">
        <v>12632</v>
      </c>
      <c r="K2761" s="1" t="s">
        <v>22</v>
      </c>
      <c r="L2761" s="1" t="str">
        <f>HYPERLINK("https://files.afu.se/Downloads/Transcripts/0%20-%20Government/USA%20-%20NASA/2013 10 18 - NASA - Space Station Crew Members Discuss Life in Space with KSTP-TV and the Big Ten Network__40duqRlVko - transcript (automated).pdf","Transcript Link")</f>
        <v>Transcript Link</v>
      </c>
      <c r="M2761" s="2" t="str">
        <f>HYPERLINK("https://files.afu.se/Downloads/Transcripts/0%20-%20Government/USA%20-%20NASA/2013 10 18 - NASA - Space Station Crew Members Discuss Life in Space with KSTP-TV and the Big Ten Network__40duqRlVko - transcript (automated).pdf","Transcript Link")</f>
        <v>Transcript Link</v>
      </c>
    </row>
    <row r="2762" ht="165" spans="1:13">
      <c r="A2762" s="1" t="s">
        <v>12633</v>
      </c>
      <c r="B2762" s="1" t="s">
        <v>13</v>
      </c>
      <c r="C2762" s="4" t="s">
        <v>12634</v>
      </c>
      <c r="D2762" s="1" t="s">
        <v>12635</v>
      </c>
      <c r="E2762" s="1" t="s">
        <v>12636</v>
      </c>
      <c r="F2762" s="4" t="s">
        <v>17</v>
      </c>
      <c r="G2762" s="1" t="s">
        <v>18</v>
      </c>
      <c r="H2762" s="1" t="s">
        <v>19</v>
      </c>
      <c r="I2762" s="1" t="s">
        <v>20</v>
      </c>
      <c r="J2762" s="1" t="s">
        <v>12637</v>
      </c>
      <c r="K2762" s="1" t="s">
        <v>22</v>
      </c>
      <c r="L2762" s="1" t="str">
        <f>HYPERLINK("https://files.afu.se/Downloads/Transcripts/0%20-%20Government/USA%20-%20NASA/2013 10 01 - NASA - Asteroid Initiative Workshop -- Asteroid Redirection Systems (Part 3 of 3)_Xoqesv4Cm68 - transcript (automated).pdf","Transcript Link")</f>
        <v>Transcript Link</v>
      </c>
      <c r="M2762" s="2" t="str">
        <f>HYPERLINK("https://files.afu.se/Downloads/Transcripts/0%20-%20Government/USA%20-%20NASA/2013 10 01 - NASA - Asteroid Initiative Workshop -- Asteroid Redirection Systems (Part 3 of 3)_Xoqesv4Cm68 - transcript (automated).pdf","Transcript Link")</f>
        <v>Transcript Link</v>
      </c>
    </row>
    <row r="2763" ht="165" spans="1:13">
      <c r="A2763" s="1" t="s">
        <v>12638</v>
      </c>
      <c r="B2763" s="1" t="s">
        <v>13</v>
      </c>
      <c r="C2763" s="4" t="s">
        <v>12639</v>
      </c>
      <c r="D2763" s="1" t="s">
        <v>12640</v>
      </c>
      <c r="E2763" s="1" t="s">
        <v>12636</v>
      </c>
      <c r="F2763" s="4" t="s">
        <v>17</v>
      </c>
      <c r="G2763" s="1" t="s">
        <v>18</v>
      </c>
      <c r="H2763" s="1" t="s">
        <v>19</v>
      </c>
      <c r="I2763" s="1" t="s">
        <v>20</v>
      </c>
      <c r="J2763" s="1" t="s">
        <v>12641</v>
      </c>
      <c r="K2763" s="1" t="s">
        <v>22</v>
      </c>
      <c r="L2763" s="1" t="str">
        <f>HYPERLINK("https://files.afu.se/Downloads/Transcripts/0%20-%20Government/USA%20-%20NASA/2013 09 30 - NASA - Asteroid Initiative Workshop -- Asteroid Redirection Systems (Part 2 of 3)_tGhXcGztpI8 - transcript (automated).pdf","Transcript Link")</f>
        <v>Transcript Link</v>
      </c>
      <c r="M2763" s="2" t="str">
        <f>HYPERLINK("https://files.afu.se/Downloads/Transcripts/0%20-%20Government/USA%20-%20NASA/2013 09 30 - NASA - Asteroid Initiative Workshop -- Asteroid Redirection Systems (Part 2 of 3)_tGhXcGztpI8 - transcript (automated).pdf","Transcript Link")</f>
        <v>Transcript Link</v>
      </c>
    </row>
    <row r="2764" ht="165" spans="1:13">
      <c r="A2764" s="1" t="s">
        <v>12638</v>
      </c>
      <c r="B2764" s="1" t="s">
        <v>13</v>
      </c>
      <c r="C2764" s="4" t="s">
        <v>12642</v>
      </c>
      <c r="D2764" s="1" t="s">
        <v>12643</v>
      </c>
      <c r="E2764" s="1" t="s">
        <v>12636</v>
      </c>
      <c r="F2764" s="4" t="s">
        <v>17</v>
      </c>
      <c r="G2764" s="1" t="s">
        <v>18</v>
      </c>
      <c r="H2764" s="1" t="s">
        <v>19</v>
      </c>
      <c r="I2764" s="1" t="s">
        <v>20</v>
      </c>
      <c r="J2764" s="1" t="s">
        <v>12644</v>
      </c>
      <c r="K2764" s="1" t="s">
        <v>22</v>
      </c>
      <c r="L2764" s="1" t="str">
        <f>HYPERLINK("https://files.afu.se/Downloads/Transcripts/0%20-%20Government/USA%20-%20NASA/2013 09 30 - NASA - Asteroid Initiative Workshop -- Asteroid Redirection Systems (Part 1 of 3)_INBt1iLJk_Q - transcript (automated).pdf","Transcript Link")</f>
        <v>Transcript Link</v>
      </c>
      <c r="M2764" s="2" t="str">
        <f>HYPERLINK("https://files.afu.se/Downloads/Transcripts/0%20-%20Government/USA%20-%20NASA/2013 09 30 - NASA - Asteroid Initiative Workshop -- Asteroid Redirection Systems (Part 1 of 3)_INBt1iLJk_Q - transcript (automated).pdf","Transcript Link")</f>
        <v>Transcript Link</v>
      </c>
    </row>
    <row r="2765" ht="165" spans="1:13">
      <c r="A2765" s="1" t="s">
        <v>12638</v>
      </c>
      <c r="B2765" s="1" t="s">
        <v>13</v>
      </c>
      <c r="C2765" s="4" t="s">
        <v>12645</v>
      </c>
      <c r="D2765" s="1" t="s">
        <v>12646</v>
      </c>
      <c r="E2765" s="1" t="s">
        <v>12398</v>
      </c>
      <c r="F2765" s="4" t="s">
        <v>17</v>
      </c>
      <c r="G2765" s="1" t="s">
        <v>18</v>
      </c>
      <c r="H2765" s="1" t="s">
        <v>19</v>
      </c>
      <c r="I2765" s="1" t="s">
        <v>20</v>
      </c>
      <c r="J2765" s="1" t="s">
        <v>12647</v>
      </c>
      <c r="K2765" s="1" t="s">
        <v>22</v>
      </c>
      <c r="L2765" s="1" t="str">
        <f>HYPERLINK("https://files.afu.se/Downloads/Transcripts/0%20-%20Government/USA%20-%20NASA/2013 09 30 - NASA - Asteroid Initiative Workshop -- Plenary Session_UJRJyljzwTA - transcript (automated).pdf","Transcript Link")</f>
        <v>Transcript Link</v>
      </c>
      <c r="M2765" s="2" t="str">
        <f>HYPERLINK("https://files.afu.se/Downloads/Transcripts/0%20-%20Government/USA%20-%20NASA/2013 09 30 - NASA - Asteroid Initiative Workshop -- Plenary Session_UJRJyljzwTA - transcript (automated).pdf","Transcript Link")</f>
        <v>Transcript Link</v>
      </c>
    </row>
    <row r="2766" ht="165" spans="1:13">
      <c r="A2766" s="1" t="s">
        <v>12648</v>
      </c>
      <c r="B2766" s="1" t="s">
        <v>13</v>
      </c>
      <c r="C2766" s="4" t="s">
        <v>12649</v>
      </c>
      <c r="D2766" s="1" t="s">
        <v>12650</v>
      </c>
      <c r="E2766" s="1" t="s">
        <v>12651</v>
      </c>
      <c r="F2766" s="4" t="s">
        <v>17</v>
      </c>
      <c r="G2766" s="1" t="s">
        <v>18</v>
      </c>
      <c r="H2766" s="1" t="s">
        <v>19</v>
      </c>
      <c r="I2766" s="1" t="s">
        <v>20</v>
      </c>
      <c r="J2766" s="1" t="s">
        <v>12652</v>
      </c>
      <c r="K2766" s="1" t="s">
        <v>22</v>
      </c>
      <c r="L2766" s="1" t="str">
        <f>HYPERLINK("https://files.afu.se/Downloads/Transcripts/0%20-%20Government/USA%20-%20NASA/2013 09 29 - NASA - Recapping the Flight of Cygnus_Hslr5jkR568 - transcript (automated).pdf","Transcript Link")</f>
        <v>Transcript Link</v>
      </c>
      <c r="M2766" s="2" t="str">
        <f>HYPERLINK("https://files.afu.se/Downloads/Transcripts/0%20-%20Government/USA%20-%20NASA/2013 09 29 - NASA - Recapping the Flight of Cygnus_Hslr5jkR568 - transcript (automated).pdf","Transcript Link")</f>
        <v>Transcript Link</v>
      </c>
    </row>
    <row r="2767" ht="165" spans="1:13">
      <c r="A2767" s="1" t="s">
        <v>12648</v>
      </c>
      <c r="B2767" s="1" t="s">
        <v>13</v>
      </c>
      <c r="C2767" s="4" t="s">
        <v>12653</v>
      </c>
      <c r="D2767" s="1" t="s">
        <v>12654</v>
      </c>
      <c r="E2767" s="1" t="s">
        <v>12655</v>
      </c>
      <c r="F2767" s="4" t="s">
        <v>17</v>
      </c>
      <c r="G2767" s="1" t="s">
        <v>18</v>
      </c>
      <c r="H2767" s="1" t="s">
        <v>19</v>
      </c>
      <c r="I2767" s="1" t="s">
        <v>20</v>
      </c>
      <c r="J2767" s="1" t="s">
        <v>12656</v>
      </c>
      <c r="K2767" s="1" t="s">
        <v>22</v>
      </c>
      <c r="L2767" s="1" t="str">
        <f>HYPERLINK("https://files.afu.se/Downloads/Transcripts/0%20-%20Government/USA%20-%20NASA/2013 09 29 - NASA - Welcome Cygnus!_bn3z0MBEUd4 - transcript (automated).pdf","Transcript Link")</f>
        <v>Transcript Link</v>
      </c>
      <c r="M2767" s="2" t="str">
        <f>HYPERLINK("https://files.afu.se/Downloads/Transcripts/0%20-%20Government/USA%20-%20NASA/2013 09 29 - NASA - Welcome Cygnus!_bn3z0MBEUd4 - transcript (automated).pdf","Transcript Link")</f>
        <v>Transcript Link</v>
      </c>
    </row>
    <row r="2768" ht="165" spans="1:13">
      <c r="A2768" s="1" t="s">
        <v>12657</v>
      </c>
      <c r="B2768" s="1" t="s">
        <v>13</v>
      </c>
      <c r="C2768" s="4" t="s">
        <v>12658</v>
      </c>
      <c r="D2768" s="1" t="s">
        <v>12659</v>
      </c>
      <c r="E2768" s="1" t="s">
        <v>12660</v>
      </c>
      <c r="F2768" s="4" t="s">
        <v>17</v>
      </c>
      <c r="G2768" s="1" t="s">
        <v>18</v>
      </c>
      <c r="H2768" s="1" t="s">
        <v>19</v>
      </c>
      <c r="I2768" s="1" t="s">
        <v>20</v>
      </c>
      <c r="J2768" s="1" t="s">
        <v>12661</v>
      </c>
      <c r="K2768" s="1" t="s">
        <v>22</v>
      </c>
      <c r="L2768" s="1" t="str">
        <f>HYPERLINK("https://files.afu.se/Downloads/Transcripts/0%20-%20Government/USA%20-%20NASA/2013 09 27 - NASA - NASA Hispanic Heritage Month Profile -- Jose Lopez , NASA Shared Services Center_rZSlwW4eKaA - transcript (automated).pdf","Transcript Link")</f>
        <v>Transcript Link</v>
      </c>
      <c r="M2768" s="2" t="str">
        <f>HYPERLINK("https://files.afu.se/Downloads/Transcripts/0%20-%20Government/USA%20-%20NASA/2013 09 27 - NASA - NASA Hispanic Heritage Month Profile -- Jose Lopez , NASA Shared Services Center_rZSlwW4eKaA - transcript (automated).pdf","Transcript Link")</f>
        <v>Transcript Link</v>
      </c>
    </row>
    <row r="2769" ht="165" spans="1:13">
      <c r="A2769" s="1" t="s">
        <v>12657</v>
      </c>
      <c r="B2769" s="1" t="s">
        <v>13</v>
      </c>
      <c r="C2769" s="4" t="s">
        <v>12662</v>
      </c>
      <c r="D2769" s="1" t="s">
        <v>12663</v>
      </c>
      <c r="E2769" s="1" t="s">
        <v>12664</v>
      </c>
      <c r="F2769" s="4" t="s">
        <v>17</v>
      </c>
      <c r="G2769" s="1" t="s">
        <v>18</v>
      </c>
      <c r="H2769" s="1" t="s">
        <v>19</v>
      </c>
      <c r="I2769" s="1" t="s">
        <v>20</v>
      </c>
      <c r="J2769" s="1" t="s">
        <v>12665</v>
      </c>
      <c r="K2769" s="1" t="s">
        <v>22</v>
      </c>
      <c r="L2769" s="1" t="str">
        <f>HYPERLINK("https://files.afu.se/Downloads/Transcripts/0%20-%20Government/USA%20-%20NASA/2013 09 27 - NASA - NASA Hispanic Heritage Month Profile -- Diana Santiago-DeJesus, Glenn Research Center_E8RMkEmRNlg - transcript (automated).pdf","Transcript Link")</f>
        <v>Transcript Link</v>
      </c>
      <c r="M2769" s="2" t="str">
        <f>HYPERLINK("https://files.afu.se/Downloads/Transcripts/0%20-%20Government/USA%20-%20NASA/2013 09 27 - NASA - NASA Hispanic Heritage Month Profile -- Diana Santiago-DeJesus, Glenn Research Center_E8RMkEmRNlg - transcript (automated).pdf","Transcript Link")</f>
        <v>Transcript Link</v>
      </c>
    </row>
    <row r="2770" ht="165" spans="1:13">
      <c r="A2770" s="1" t="s">
        <v>12657</v>
      </c>
      <c r="B2770" s="1" t="s">
        <v>13</v>
      </c>
      <c r="C2770" s="4" t="s">
        <v>12666</v>
      </c>
      <c r="D2770" s="1" t="s">
        <v>12667</v>
      </c>
      <c r="E2770" s="1" t="s">
        <v>12668</v>
      </c>
      <c r="F2770" s="4" t="s">
        <v>17</v>
      </c>
      <c r="G2770" s="1" t="s">
        <v>18</v>
      </c>
      <c r="H2770" s="1" t="s">
        <v>19</v>
      </c>
      <c r="I2770" s="1" t="s">
        <v>20</v>
      </c>
      <c r="J2770" s="1" t="s">
        <v>12669</v>
      </c>
      <c r="K2770" s="1" t="s">
        <v>22</v>
      </c>
      <c r="L2770" s="1" t="str">
        <f>HYPERLINK("https://files.afu.se/Downloads/Transcripts/0%20-%20Government/USA%20-%20NASA/2013 09 27 - NASA - NASA Hispanic Heritage Month Profile -- Fernando Abilleira, Jet Propulsion Laboratory_-DWVgJA7DHs - transcript (automated).pdf","Transcript Link")</f>
        <v>Transcript Link</v>
      </c>
      <c r="M2770" s="2" t="str">
        <f>HYPERLINK("https://files.afu.se/Downloads/Transcripts/0%20-%20Government/USA%20-%20NASA/2013 09 27 - NASA - NASA Hispanic Heritage Month Profile -- Fernando Abilleira, Jet Propulsion Laboratory_-DWVgJA7DHs - transcript (automated).pdf","Transcript Link")</f>
        <v>Transcript Link</v>
      </c>
    </row>
    <row r="2771" ht="165" spans="1:13">
      <c r="A2771" s="1" t="s">
        <v>12657</v>
      </c>
      <c r="B2771" s="1" t="s">
        <v>13</v>
      </c>
      <c r="C2771" s="4" t="s">
        <v>12670</v>
      </c>
      <c r="D2771" s="1" t="s">
        <v>12671</v>
      </c>
      <c r="E2771" s="1" t="s">
        <v>12672</v>
      </c>
      <c r="F2771" s="4" t="s">
        <v>17</v>
      </c>
      <c r="G2771" s="1" t="s">
        <v>18</v>
      </c>
      <c r="H2771" s="1" t="s">
        <v>19</v>
      </c>
      <c r="I2771" s="1" t="s">
        <v>20</v>
      </c>
      <c r="J2771" s="1" t="s">
        <v>12673</v>
      </c>
      <c r="K2771" s="1" t="s">
        <v>22</v>
      </c>
      <c r="L2771" s="1" t="str">
        <f>HYPERLINK("https://files.afu.se/Downloads/Transcripts/0%20-%20Government/USA%20-%20NASA/2013 09 27 - NASA - An Out-of-This-World Role_89tYp7O38zs - transcript (automated).pdf","Transcript Link")</f>
        <v>Transcript Link</v>
      </c>
      <c r="M2771" s="2" t="str">
        <f>HYPERLINK("https://files.afu.se/Downloads/Transcripts/0%20-%20Government/USA%20-%20NASA/2013 09 27 - NASA - An Out-of-This-World Role_89tYp7O38zs - transcript (automated).pdf","Transcript Link")</f>
        <v>Transcript Link</v>
      </c>
    </row>
    <row r="2772" ht="165" spans="1:13">
      <c r="A2772" s="1" t="s">
        <v>12674</v>
      </c>
      <c r="B2772" s="1" t="s">
        <v>13</v>
      </c>
      <c r="C2772" s="4" t="s">
        <v>12675</v>
      </c>
      <c r="D2772" s="1" t="s">
        <v>12676</v>
      </c>
      <c r="E2772" s="1" t="s">
        <v>12677</v>
      </c>
      <c r="F2772" s="4" t="s">
        <v>17</v>
      </c>
      <c r="G2772" s="1" t="s">
        <v>18</v>
      </c>
      <c r="H2772" s="1" t="s">
        <v>19</v>
      </c>
      <c r="I2772" s="1" t="s">
        <v>20</v>
      </c>
      <c r="J2772" s="1" t="s">
        <v>12678</v>
      </c>
      <c r="K2772" s="1" t="s">
        <v>22</v>
      </c>
      <c r="L2772" s="1" t="str">
        <f>HYPERLINK("https://files.afu.se/Downloads/Transcripts/0%20-%20Government/USA%20-%20NASA/2013 09 26 - NASA - NASA Astronaut Talks about Space and Science with Students_5Bj8EedBEXQ - transcript (automated).pdf","Transcript Link")</f>
        <v>Transcript Link</v>
      </c>
      <c r="M2772" s="2" t="str">
        <f>HYPERLINK("https://files.afu.se/Downloads/Transcripts/0%20-%20Government/USA%20-%20NASA/2013 09 26 - NASA - NASA Astronaut Talks about Space and Science with Students_5Bj8EedBEXQ - transcript (automated).pdf","Transcript Link")</f>
        <v>Transcript Link</v>
      </c>
    </row>
    <row r="2773" ht="225" spans="1:13">
      <c r="A2773" s="1" t="s">
        <v>12674</v>
      </c>
      <c r="B2773" s="1" t="s">
        <v>13</v>
      </c>
      <c r="C2773" s="4" t="s">
        <v>12679</v>
      </c>
      <c r="D2773" s="1" t="s">
        <v>12680</v>
      </c>
      <c r="E2773" s="1" t="s">
        <v>12681</v>
      </c>
      <c r="F2773" s="4" t="s">
        <v>17</v>
      </c>
      <c r="G2773" s="1" t="s">
        <v>18</v>
      </c>
      <c r="H2773" s="1" t="s">
        <v>19</v>
      </c>
      <c r="I2773" s="1" t="s">
        <v>20</v>
      </c>
      <c r="J2773" s="1" t="s">
        <v>12682</v>
      </c>
      <c r="K2773" s="1" t="s">
        <v>22</v>
      </c>
      <c r="L2773" s="1" t="str">
        <f>HYPERLINK("https://files.afu.se/Downloads/Transcripts/0%20-%20Government/USA%20-%20NASA/2013 09 26 - NASA - Expedition 37 38 Crew Docks to the Space Station and Talks to Family Back on Earth_1Bi8-lrg0j4 - transcript (automated).pdf","Transcript Link")</f>
        <v>Transcript Link</v>
      </c>
      <c r="M2773" s="2" t="str">
        <f>HYPERLINK("https://files.afu.se/Downloads/Transcripts/0%20-%20Government/USA%20-%20NASA/2013 09 26 - NASA - Expedition 37 38 Crew Docks to the Space Station and Talks to Family Back on Earth_1Bi8-lrg0j4 - transcript (automated).pdf","Transcript Link")</f>
        <v>Transcript Link</v>
      </c>
    </row>
    <row r="2774" ht="225" spans="1:13">
      <c r="A2774" s="1" t="s">
        <v>12674</v>
      </c>
      <c r="B2774" s="1" t="s">
        <v>13</v>
      </c>
      <c r="C2774" s="4" t="s">
        <v>12683</v>
      </c>
      <c r="D2774" s="1" t="s">
        <v>12684</v>
      </c>
      <c r="E2774" s="1" t="s">
        <v>12681</v>
      </c>
      <c r="F2774" s="4" t="s">
        <v>17</v>
      </c>
      <c r="G2774" s="1" t="s">
        <v>18</v>
      </c>
      <c r="H2774" s="1" t="s">
        <v>19</v>
      </c>
      <c r="I2774" s="1" t="s">
        <v>20</v>
      </c>
      <c r="J2774" s="1" t="s">
        <v>12685</v>
      </c>
      <c r="K2774" s="1" t="s">
        <v>22</v>
      </c>
      <c r="L2774" s="1" t="str">
        <f>HYPERLINK("https://files.afu.se/Downloads/Transcripts/0%20-%20Government/USA%20-%20NASA/2013 09 26 - NASA - Expedition 37 38 Crew Welcomed into the Space Station_83hBchXALZo - transcript (automated).pdf","Transcript Link")</f>
        <v>Transcript Link</v>
      </c>
      <c r="M2774" s="2" t="str">
        <f>HYPERLINK("https://files.afu.se/Downloads/Transcripts/0%20-%20Government/USA%20-%20NASA/2013 09 26 - NASA - Expedition 37 38 Crew Welcomed into the Space Station_83hBchXALZo - transcript (automated).pdf","Transcript Link")</f>
        <v>Transcript Link</v>
      </c>
    </row>
    <row r="2775" ht="165" spans="1:13">
      <c r="A2775" s="1" t="s">
        <v>12674</v>
      </c>
      <c r="B2775" s="1" t="s">
        <v>13</v>
      </c>
      <c r="C2775" s="4" t="s">
        <v>12686</v>
      </c>
      <c r="D2775" s="1" t="s">
        <v>12687</v>
      </c>
      <c r="E2775" s="1" t="s">
        <v>12688</v>
      </c>
      <c r="F2775" s="4" t="s">
        <v>17</v>
      </c>
      <c r="G2775" s="1" t="s">
        <v>18</v>
      </c>
      <c r="H2775" s="1" t="s">
        <v>19</v>
      </c>
      <c r="I2775" s="1" t="s">
        <v>20</v>
      </c>
      <c r="J2775" s="1" t="s">
        <v>12689</v>
      </c>
      <c r="K2775" s="1" t="s">
        <v>22</v>
      </c>
      <c r="L2775" s="1" t="str">
        <f>HYPERLINK("https://files.afu.se/Downloads/Transcripts/0%20-%20Government/USA%20-%20NASA/2013 09 26 - NASA - Expedition 37 38 Crew Docks to the Space Station_AyQMOm1uBVQ - transcript (automated).pdf","Transcript Link")</f>
        <v>Transcript Link</v>
      </c>
      <c r="M2775" s="2" t="str">
        <f>HYPERLINK("https://files.afu.se/Downloads/Transcripts/0%20-%20Government/USA%20-%20NASA/2013 09 26 - NASA - Expedition 37 38 Crew Docks to the Space Station_AyQMOm1uBVQ - transcript (automated).pdf","Transcript Link")</f>
        <v>Transcript Link</v>
      </c>
    </row>
    <row r="2776" ht="180" spans="1:13">
      <c r="A2776" s="1" t="s">
        <v>12690</v>
      </c>
      <c r="B2776" s="1" t="s">
        <v>13</v>
      </c>
      <c r="C2776" s="4" t="s">
        <v>12691</v>
      </c>
      <c r="D2776" s="1" t="s">
        <v>12692</v>
      </c>
      <c r="E2776" s="1" t="s">
        <v>12693</v>
      </c>
      <c r="F2776" s="4" t="s">
        <v>17</v>
      </c>
      <c r="G2776" s="1" t="s">
        <v>18</v>
      </c>
      <c r="H2776" s="1" t="s">
        <v>19</v>
      </c>
      <c r="I2776" s="1" t="s">
        <v>20</v>
      </c>
      <c r="J2776" s="1" t="s">
        <v>12694</v>
      </c>
      <c r="K2776" s="1" t="s">
        <v>22</v>
      </c>
      <c r="L2776" s="1" t="str">
        <f>HYPERLINK("https://files.afu.se/Downloads/Transcripts/0%20-%20Government/USA%20-%20NASA/2013 09 25 - NASA - ISS Expedition 37 38 Soyuz TMA-10M Pre-Launch, Launch Video and Post-Launch Interviews_lCwuqloOpgM - transcript (automated).pdf","Transcript Link")</f>
        <v>Transcript Link</v>
      </c>
      <c r="M2776" s="2" t="str">
        <f>HYPERLINK("https://files.afu.se/Downloads/Transcripts/0%20-%20Government/USA%20-%20NASA/2013 09 25 - NASA - ISS Expedition 37 38 Soyuz TMA-10M Pre-Launch, Launch Video and Post-Launch Interviews_lCwuqloOpgM - transcript (automated).pdf","Transcript Link")</f>
        <v>Transcript Link</v>
      </c>
    </row>
    <row r="2777" ht="180" spans="1:13">
      <c r="A2777" s="1" t="s">
        <v>12690</v>
      </c>
      <c r="B2777" s="1" t="s">
        <v>13</v>
      </c>
      <c r="C2777" s="4" t="s">
        <v>12695</v>
      </c>
      <c r="D2777" s="1" t="s">
        <v>12696</v>
      </c>
      <c r="E2777" s="1" t="s">
        <v>12693</v>
      </c>
      <c r="F2777" s="4" t="s">
        <v>17</v>
      </c>
      <c r="G2777" s="1" t="s">
        <v>18</v>
      </c>
      <c r="H2777" s="1" t="s">
        <v>19</v>
      </c>
      <c r="I2777" s="1" t="s">
        <v>20</v>
      </c>
      <c r="J2777" s="1" t="s">
        <v>12697</v>
      </c>
      <c r="K2777" s="1" t="s">
        <v>22</v>
      </c>
      <c r="L2777" s="1" t="str">
        <f>HYPERLINK("https://files.afu.se/Downloads/Transcripts/0%20-%20Government/USA%20-%20NASA/2013 09 25 - NASA - Expedition 37 38 Launches to the International Space Station__Co-YKi5PdY - transcript (automated).pdf","Transcript Link")</f>
        <v>Transcript Link</v>
      </c>
      <c r="M2777" s="2" t="str">
        <f>HYPERLINK("https://files.afu.se/Downloads/Transcripts/0%20-%20Government/USA%20-%20NASA/2013 09 25 - NASA - Expedition 37 38 Launches to the International Space Station__Co-YKi5PdY - transcript (automated).pdf","Transcript Link")</f>
        <v>Transcript Link</v>
      </c>
    </row>
    <row r="2778" ht="165" spans="1:13">
      <c r="A2778" s="1" t="s">
        <v>12698</v>
      </c>
      <c r="B2778" s="1" t="s">
        <v>13</v>
      </c>
      <c r="C2778" s="4" t="s">
        <v>12699</v>
      </c>
      <c r="D2778" s="1" t="s">
        <v>12700</v>
      </c>
      <c r="E2778" s="1" t="s">
        <v>12701</v>
      </c>
      <c r="F2778" s="4" t="s">
        <v>17</v>
      </c>
      <c r="G2778" s="1" t="s">
        <v>18</v>
      </c>
      <c r="H2778" s="1" t="s">
        <v>19</v>
      </c>
      <c r="I2778" s="1" t="s">
        <v>20</v>
      </c>
      <c r="J2778" s="1" t="s">
        <v>12702</v>
      </c>
      <c r="K2778" s="1" t="s">
        <v>22</v>
      </c>
      <c r="L2778" s="1" t="str">
        <f>HYPERLINK("https://files.afu.se/Downloads/Transcripts/0%20-%20Government/USA%20-%20NASA/2013 09 24 - NASA - Expedition 37 38 Crew Meets Officials and Reporters as Launch Approaches_o3tOFSHmjVo - transcript (automated).pdf","Transcript Link")</f>
        <v>Transcript Link</v>
      </c>
      <c r="M2778" s="2" t="str">
        <f>HYPERLINK("https://files.afu.se/Downloads/Transcripts/0%20-%20Government/USA%20-%20NASA/2013 09 24 - NASA - Expedition 37 38 Crew Meets Officials and Reporters as Launch Approaches_o3tOFSHmjVo - transcript (automated).pdf","Transcript Link")</f>
        <v>Transcript Link</v>
      </c>
    </row>
    <row r="2779" ht="165" spans="1:13">
      <c r="A2779" s="1" t="s">
        <v>12698</v>
      </c>
      <c r="B2779" s="1" t="s">
        <v>13</v>
      </c>
      <c r="C2779" s="4" t="s">
        <v>12703</v>
      </c>
      <c r="D2779" s="1" t="s">
        <v>12704</v>
      </c>
      <c r="E2779" s="1" t="s">
        <v>12705</v>
      </c>
      <c r="F2779" s="4" t="s">
        <v>17</v>
      </c>
      <c r="G2779" s="1" t="s">
        <v>18</v>
      </c>
      <c r="H2779" s="1" t="s">
        <v>19</v>
      </c>
      <c r="I2779" s="1" t="s">
        <v>20</v>
      </c>
      <c r="J2779" s="1" t="s">
        <v>12706</v>
      </c>
      <c r="K2779" s="1" t="s">
        <v>22</v>
      </c>
      <c r="L2779" s="1" t="str">
        <f>HYPERLINK("https://files.afu.se/Downloads/Transcripts/0%20-%20Government/USA%20-%20NASA/2013 09 24 - NASA - ISS Astronaut Luca Parmitano discusses life in space on BBC's World News_lrU_za2T1UI - transcript (automated).pdf","Transcript Link")</f>
        <v>Transcript Link</v>
      </c>
      <c r="M2779" s="2" t="str">
        <f>HYPERLINK("https://files.afu.se/Downloads/Transcripts/0%20-%20Government/USA%20-%20NASA/2013 09 24 - NASA - ISS Astronaut Luca Parmitano discusses life in space on BBC's World News_lrU_za2T1UI - transcript (automated).pdf","Transcript Link")</f>
        <v>Transcript Link</v>
      </c>
    </row>
    <row r="2780" ht="255" spans="1:13">
      <c r="A2780" s="1" t="s">
        <v>12707</v>
      </c>
      <c r="B2780" s="1" t="s">
        <v>13</v>
      </c>
      <c r="C2780" s="4" t="s">
        <v>12708</v>
      </c>
      <c r="D2780" s="1" t="s">
        <v>12709</v>
      </c>
      <c r="E2780" s="1" t="s">
        <v>12710</v>
      </c>
      <c r="F2780" s="4" t="s">
        <v>17</v>
      </c>
      <c r="G2780" s="1" t="s">
        <v>18</v>
      </c>
      <c r="H2780" s="1" t="s">
        <v>19</v>
      </c>
      <c r="I2780" s="1" t="s">
        <v>20</v>
      </c>
      <c r="J2780" s="1" t="s">
        <v>12711</v>
      </c>
      <c r="K2780" s="1" t="s">
        <v>22</v>
      </c>
      <c r="L2780" s="1" t="str">
        <f>HYPERLINK("https://files.afu.se/Downloads/Transcripts/0%20-%20Government/USA%20-%20NASA/2013 09 23 - NASA - NASA Astronaut and Fellow Crew Members Prepare for Soyuz Rocket Launch_B85Zmo5ql-Q - transcript (automated).pdf","Transcript Link")</f>
        <v>Transcript Link</v>
      </c>
      <c r="M2780" s="2" t="str">
        <f>HYPERLINK("https://files.afu.se/Downloads/Transcripts/0%20-%20Government/USA%20-%20NASA/2013 09 23 - NASA - NASA Astronaut and Fellow Crew Members Prepare for Soyuz Rocket Launch_B85Zmo5ql-Q - transcript (automated).pdf","Transcript Link")</f>
        <v>Transcript Link</v>
      </c>
    </row>
    <row r="2781" ht="285" spans="1:13">
      <c r="A2781" s="1" t="s">
        <v>12712</v>
      </c>
      <c r="B2781" s="1" t="s">
        <v>13</v>
      </c>
      <c r="C2781" s="4" t="s">
        <v>12713</v>
      </c>
      <c r="D2781" s="1" t="s">
        <v>12714</v>
      </c>
      <c r="E2781" s="1" t="s">
        <v>12006</v>
      </c>
      <c r="F2781" s="4" t="s">
        <v>17</v>
      </c>
      <c r="G2781" s="1" t="s">
        <v>18</v>
      </c>
      <c r="H2781" s="1" t="s">
        <v>19</v>
      </c>
      <c r="I2781" s="1" t="s">
        <v>20</v>
      </c>
      <c r="J2781" s="1" t="s">
        <v>12715</v>
      </c>
      <c r="K2781" s="1" t="s">
        <v>22</v>
      </c>
      <c r="L2781" s="1" t="str">
        <f>HYPERLINK("https://files.afu.se/Downloads/Transcripts/0%20-%20Government/USA%20-%20NASA/2013 09 20 - NASA - NASA Curiosity Rover Report -- September 19, 2013_-A9lNVCgb3w - transcript (automated).pdf","Transcript Link")</f>
        <v>Transcript Link</v>
      </c>
      <c r="M2781" s="2" t="str">
        <f>HYPERLINK("https://files.afu.se/Downloads/Transcripts/0%20-%20Government/USA%20-%20NASA/2013 09 20 - NASA - NASA Curiosity Rover Report -- September 19, 2013_-A9lNVCgb3w - transcript (automated).pdf","Transcript Link")</f>
        <v>Transcript Link</v>
      </c>
    </row>
    <row r="2782" ht="165" spans="1:13">
      <c r="A2782" s="1" t="s">
        <v>12712</v>
      </c>
      <c r="B2782" s="1" t="s">
        <v>13</v>
      </c>
      <c r="C2782" s="4" t="s">
        <v>12716</v>
      </c>
      <c r="D2782" s="1" t="s">
        <v>12717</v>
      </c>
      <c r="E2782" s="1" t="s">
        <v>12718</v>
      </c>
      <c r="F2782" s="4" t="s">
        <v>17</v>
      </c>
      <c r="G2782" s="1" t="s">
        <v>18</v>
      </c>
      <c r="H2782" s="1" t="s">
        <v>19</v>
      </c>
      <c r="I2782" s="1" t="s">
        <v>20</v>
      </c>
      <c r="J2782" s="1" t="s">
        <v>12719</v>
      </c>
      <c r="K2782" s="1" t="s">
        <v>22</v>
      </c>
      <c r="L2782" s="1" t="str">
        <f>HYPERLINK("https://files.afu.se/Downloads/Transcripts/0%20-%20Government/USA%20-%20NASA/2013 09 20 - NASA - Cygnus Launched! On This Week @NASA_uLM-SrSu2jI - transcript (automated).pdf","Transcript Link")</f>
        <v>Transcript Link</v>
      </c>
      <c r="M2782" s="2" t="str">
        <f>HYPERLINK("https://files.afu.se/Downloads/Transcripts/0%20-%20Government/USA%20-%20NASA/2013 09 20 - NASA - Cygnus Launched! On This Week @NASA_uLM-SrSu2jI - transcript (automated).pdf","Transcript Link")</f>
        <v>Transcript Link</v>
      </c>
    </row>
    <row r="2783" ht="165" spans="1:13">
      <c r="A2783" s="1" t="s">
        <v>12720</v>
      </c>
      <c r="B2783" s="1" t="s">
        <v>13</v>
      </c>
      <c r="C2783" s="4" t="s">
        <v>12721</v>
      </c>
      <c r="D2783" s="1" t="s">
        <v>12722</v>
      </c>
      <c r="E2783" s="1" t="s">
        <v>12723</v>
      </c>
      <c r="F2783" s="4" t="s">
        <v>17</v>
      </c>
      <c r="G2783" s="1" t="s">
        <v>18</v>
      </c>
      <c r="H2783" s="1" t="s">
        <v>19</v>
      </c>
      <c r="I2783" s="1" t="s">
        <v>20</v>
      </c>
      <c r="J2783" s="1" t="s">
        <v>12724</v>
      </c>
      <c r="K2783" s="1" t="s">
        <v>22</v>
      </c>
      <c r="L2783" s="1" t="str">
        <f>HYPERLINK("https://files.afu.se/Downloads/Transcripts/0%20-%20Government/USA%20-%20NASA/2013 09 19 - NASA - ISS Crew Closing in on Launch_8BkaVdSWbHI - transcript (automated).pdf","Transcript Link")</f>
        <v>Transcript Link</v>
      </c>
      <c r="M2783" s="2" t="str">
        <f>HYPERLINK("https://files.afu.se/Downloads/Transcripts/0%20-%20Government/USA%20-%20NASA/2013 09 19 - NASA - ISS Crew Closing in on Launch_8BkaVdSWbHI - transcript (automated).pdf","Transcript Link")</f>
        <v>Transcript Link</v>
      </c>
    </row>
    <row r="2784" ht="195" spans="1:13">
      <c r="A2784" s="1" t="s">
        <v>12720</v>
      </c>
      <c r="B2784" s="1" t="s">
        <v>13</v>
      </c>
      <c r="C2784" s="4" t="s">
        <v>12725</v>
      </c>
      <c r="D2784" s="1" t="s">
        <v>12726</v>
      </c>
      <c r="E2784" s="1" t="s">
        <v>12727</v>
      </c>
      <c r="F2784" s="4" t="s">
        <v>17</v>
      </c>
      <c r="G2784" s="1" t="s">
        <v>18</v>
      </c>
      <c r="H2784" s="1" t="s">
        <v>19</v>
      </c>
      <c r="I2784" s="1" t="s">
        <v>20</v>
      </c>
      <c r="J2784" s="1" t="s">
        <v>12728</v>
      </c>
      <c r="K2784" s="1" t="s">
        <v>22</v>
      </c>
      <c r="L2784" s="1" t="str">
        <f>HYPERLINK("https://files.afu.se/Downloads/Transcripts/0%20-%20Government/USA%20-%20NASA/2013 09 19 - NASA - NASA Engineer Talks Space with Students_KbGa9nuE0-0 - transcript (automated).pdf","Transcript Link")</f>
        <v>Transcript Link</v>
      </c>
      <c r="M2784" s="2" t="str">
        <f>HYPERLINK("https://files.afu.se/Downloads/Transcripts/0%20-%20Government/USA%20-%20NASA/2013 09 19 - NASA - NASA Engineer Talks Space with Students_KbGa9nuE0-0 - transcript (automated).pdf","Transcript Link")</f>
        <v>Transcript Link</v>
      </c>
    </row>
    <row r="2785" ht="165" spans="1:13">
      <c r="A2785" s="1" t="s">
        <v>12729</v>
      </c>
      <c r="B2785" s="1" t="s">
        <v>13</v>
      </c>
      <c r="C2785" s="4" t="s">
        <v>12730</v>
      </c>
      <c r="D2785" s="1" t="s">
        <v>12731</v>
      </c>
      <c r="E2785" s="1" t="s">
        <v>12732</v>
      </c>
      <c r="F2785" s="4" t="s">
        <v>17</v>
      </c>
      <c r="G2785" s="1" t="s">
        <v>18</v>
      </c>
      <c r="H2785" s="1" t="s">
        <v>19</v>
      </c>
      <c r="I2785" s="1" t="s">
        <v>20</v>
      </c>
      <c r="J2785" s="1" t="s">
        <v>12733</v>
      </c>
      <c r="K2785" s="1" t="s">
        <v>22</v>
      </c>
      <c r="L2785" s="1" t="str">
        <f>HYPERLINK("https://files.afu.se/Downloads/Transcripts/0%20-%20Government/USA%20-%20NASA/2013 09 18 - NASA - Cygnus Post-launch Briefing_ZFhL1T5noDc - transcript (automated).pdf","Transcript Link")</f>
        <v>Transcript Link</v>
      </c>
      <c r="M2785" s="2" t="str">
        <f>HYPERLINK("https://files.afu.se/Downloads/Transcripts/0%20-%20Government/USA%20-%20NASA/2013 09 18 - NASA - Cygnus Post-launch Briefing_ZFhL1T5noDc - transcript (automated).pdf","Transcript Link")</f>
        <v>Transcript Link</v>
      </c>
    </row>
    <row r="2786" ht="165" spans="1:13">
      <c r="A2786" s="1" t="s">
        <v>12729</v>
      </c>
      <c r="B2786" s="1" t="s">
        <v>13</v>
      </c>
      <c r="C2786" s="4" t="s">
        <v>12734</v>
      </c>
      <c r="D2786" s="1" t="s">
        <v>12735</v>
      </c>
      <c r="E2786" s="1" t="s">
        <v>12736</v>
      </c>
      <c r="F2786" s="4" t="s">
        <v>17</v>
      </c>
      <c r="G2786" s="1" t="s">
        <v>18</v>
      </c>
      <c r="H2786" s="1" t="s">
        <v>19</v>
      </c>
      <c r="I2786" s="1" t="s">
        <v>20</v>
      </c>
      <c r="J2786" s="1" t="s">
        <v>12737</v>
      </c>
      <c r="K2786" s="1" t="s">
        <v>22</v>
      </c>
      <c r="L2786" s="1" t="str">
        <f>HYPERLINK("https://files.afu.se/Downloads/Transcripts/0%20-%20Government/USA%20-%20NASA/2013 09 18 - NASA - The Launch of Cygnus!_-s9jXCnL1ig - transcript (automated).pdf","Transcript Link")</f>
        <v>Transcript Link</v>
      </c>
      <c r="M2786" s="2" t="str">
        <f>HYPERLINK("https://files.afu.se/Downloads/Transcripts/0%20-%20Government/USA%20-%20NASA/2013 09 18 - NASA - The Launch of Cygnus!_-s9jXCnL1ig - transcript (automated).pdf","Transcript Link")</f>
        <v>Transcript Link</v>
      </c>
    </row>
    <row r="2787" ht="165" spans="1:13">
      <c r="A2787" s="1" t="s">
        <v>12738</v>
      </c>
      <c r="B2787" s="1" t="s">
        <v>13</v>
      </c>
      <c r="C2787" s="4" t="s">
        <v>12739</v>
      </c>
      <c r="D2787" s="1" t="s">
        <v>12740</v>
      </c>
      <c r="E2787" s="1" t="s">
        <v>12741</v>
      </c>
      <c r="F2787" s="4" t="s">
        <v>17</v>
      </c>
      <c r="G2787" s="1" t="s">
        <v>18</v>
      </c>
      <c r="H2787" s="1" t="s">
        <v>19</v>
      </c>
      <c r="I2787" s="1" t="s">
        <v>20</v>
      </c>
      <c r="J2787" s="1" t="s">
        <v>12742</v>
      </c>
      <c r="K2787" s="1" t="s">
        <v>22</v>
      </c>
      <c r="L2787" s="1" t="str">
        <f>HYPERLINK("https://files.afu.se/Downloads/Transcripts/0%20-%20Government/USA%20-%20NASA/2013 09 17 - NASA - Cygnus Mission Previewed_vtJ9PYkAbII - transcript (automated).pdf","Transcript Link")</f>
        <v>Transcript Link</v>
      </c>
      <c r="M2787" s="2" t="str">
        <f>HYPERLINK("https://files.afu.se/Downloads/Transcripts/0%20-%20Government/USA%20-%20NASA/2013 09 17 - NASA - Cygnus Mission Previewed_vtJ9PYkAbII - transcript (automated).pdf","Transcript Link")</f>
        <v>Transcript Link</v>
      </c>
    </row>
    <row r="2788" ht="165" spans="1:13">
      <c r="A2788" s="1" t="s">
        <v>12743</v>
      </c>
      <c r="B2788" s="1" t="s">
        <v>13</v>
      </c>
      <c r="C2788" s="4" t="s">
        <v>12744</v>
      </c>
      <c r="D2788" s="1" t="s">
        <v>12745</v>
      </c>
      <c r="E2788" s="1" t="s">
        <v>12746</v>
      </c>
      <c r="F2788" s="4" t="s">
        <v>17</v>
      </c>
      <c r="G2788" s="1" t="s">
        <v>18</v>
      </c>
      <c r="H2788" s="1" t="s">
        <v>19</v>
      </c>
      <c r="I2788" s="1" t="s">
        <v>20</v>
      </c>
      <c r="J2788" s="1" t="s">
        <v>12747</v>
      </c>
      <c r="K2788" s="1" t="s">
        <v>22</v>
      </c>
      <c r="L2788" s="1" t="str">
        <f>HYPERLINK("https://files.afu.se/Downloads/Transcripts/0%20-%20Government/USA%20-%20NASA/2013 09 13 - NASA - Voyager in Interstellar Space! On This Week @NASA_prYDgWDXmlQ - transcript (automated).pdf","Transcript Link")</f>
        <v>Transcript Link</v>
      </c>
      <c r="M2788" s="2" t="str">
        <f>HYPERLINK("https://files.afu.se/Downloads/Transcripts/0%20-%20Government/USA%20-%20NASA/2013 09 13 - NASA - Voyager in Interstellar Space! On This Week @NASA_prYDgWDXmlQ - transcript (automated).pdf","Transcript Link")</f>
        <v>Transcript Link</v>
      </c>
    </row>
    <row r="2789" ht="210" spans="1:13">
      <c r="A2789" s="1" t="s">
        <v>12743</v>
      </c>
      <c r="B2789" s="1" t="s">
        <v>13</v>
      </c>
      <c r="C2789" s="4" t="s">
        <v>12748</v>
      </c>
      <c r="D2789" s="1" t="s">
        <v>12749</v>
      </c>
      <c r="E2789" s="1" t="s">
        <v>12750</v>
      </c>
      <c r="F2789" s="4" t="s">
        <v>17</v>
      </c>
      <c r="G2789" s="1" t="s">
        <v>18</v>
      </c>
      <c r="H2789" s="1" t="s">
        <v>19</v>
      </c>
      <c r="I2789" s="1" t="s">
        <v>20</v>
      </c>
      <c r="J2789" s="1" t="s">
        <v>12751</v>
      </c>
      <c r="K2789" s="1" t="s">
        <v>22</v>
      </c>
      <c r="L2789" s="1" t="str">
        <f>HYPERLINK("https://files.afu.se/Downloads/Transcripts/0%20-%20Government/USA%20-%20NASA/2013 09 13 - NASA - Expedition 37 38 Crew Departs for Kazakh Launch Site_Lbfjb49skQA - transcript (automated).pdf","Transcript Link")</f>
        <v>Transcript Link</v>
      </c>
      <c r="M2789" s="2" t="str">
        <f>HYPERLINK("https://files.afu.se/Downloads/Transcripts/0%20-%20Government/USA%20-%20NASA/2013 09 13 - NASA - Expedition 37 38 Crew Departs for Kazakh Launch Site_Lbfjb49skQA - transcript (automated).pdf","Transcript Link")</f>
        <v>Transcript Link</v>
      </c>
    </row>
    <row r="2790" ht="240" spans="1:13">
      <c r="A2790" s="1" t="s">
        <v>12752</v>
      </c>
      <c r="B2790" s="1" t="s">
        <v>13</v>
      </c>
      <c r="C2790" s="4" t="s">
        <v>12753</v>
      </c>
      <c r="D2790" s="1" t="s">
        <v>12754</v>
      </c>
      <c r="E2790" s="1" t="s">
        <v>12755</v>
      </c>
      <c r="F2790" s="4" t="s">
        <v>17</v>
      </c>
      <c r="G2790" s="1" t="s">
        <v>18</v>
      </c>
      <c r="H2790" s="1" t="s">
        <v>19</v>
      </c>
      <c r="I2790" s="1" t="s">
        <v>20</v>
      </c>
      <c r="J2790" s="1" t="s">
        <v>12756</v>
      </c>
      <c r="K2790" s="1" t="s">
        <v>22</v>
      </c>
      <c r="L2790" s="1" t="str">
        <f>HYPERLINK("https://files.afu.se/Downloads/Transcripts/0%20-%20Government/USA%20-%20NASA/2013 09 12 - NASA - NASA's Voyager 1 is in Interstellar Space_8Ddt8xnnGGA - transcript (automated).pdf","Transcript Link")</f>
        <v>Transcript Link</v>
      </c>
      <c r="M2790" s="2" t="str">
        <f>HYPERLINK("https://files.afu.se/Downloads/Transcripts/0%20-%20Government/USA%20-%20NASA/2013 09 12 - NASA - NASA's Voyager 1 is in Interstellar Space_8Ddt8xnnGGA - transcript (automated).pdf","Transcript Link")</f>
        <v>Transcript Link</v>
      </c>
    </row>
    <row r="2791" ht="165" spans="1:13">
      <c r="A2791" s="1" t="s">
        <v>12757</v>
      </c>
      <c r="B2791" s="1" t="s">
        <v>13</v>
      </c>
      <c r="C2791" s="4" t="s">
        <v>12758</v>
      </c>
      <c r="D2791" s="1" t="s">
        <v>12759</v>
      </c>
      <c r="E2791" s="1" t="s">
        <v>12760</v>
      </c>
      <c r="F2791" s="4" t="s">
        <v>17</v>
      </c>
      <c r="G2791" s="1" t="s">
        <v>18</v>
      </c>
      <c r="H2791" s="1" t="s">
        <v>19</v>
      </c>
      <c r="I2791" s="1" t="s">
        <v>20</v>
      </c>
      <c r="J2791" s="1" t="s">
        <v>12761</v>
      </c>
      <c r="K2791" s="1" t="s">
        <v>22</v>
      </c>
      <c r="L2791" s="1" t="str">
        <f>HYPERLINK("https://files.afu.se/Downloads/Transcripts/0%20-%20Government/USA%20-%20NASA/2013 09 11 - NASA - Expedition 36 Returns Safely_OqXOUycHQ08 - transcript (automated).pdf","Transcript Link")</f>
        <v>Transcript Link</v>
      </c>
      <c r="M2791" s="2" t="str">
        <f>HYPERLINK("https://files.afu.se/Downloads/Transcripts/0%20-%20Government/USA%20-%20NASA/2013 09 11 - NASA - Expedition 36 Returns Safely_OqXOUycHQ08 - transcript (automated).pdf","Transcript Link")</f>
        <v>Transcript Link</v>
      </c>
    </row>
    <row r="2792" ht="165" spans="1:13">
      <c r="A2792" s="1" t="s">
        <v>12757</v>
      </c>
      <c r="B2792" s="1" t="s">
        <v>13</v>
      </c>
      <c r="C2792" s="4" t="s">
        <v>12762</v>
      </c>
      <c r="D2792" s="1" t="s">
        <v>12763</v>
      </c>
      <c r="E2792" s="1" t="s">
        <v>12764</v>
      </c>
      <c r="F2792" s="4" t="s">
        <v>17</v>
      </c>
      <c r="G2792" s="1" t="s">
        <v>18</v>
      </c>
      <c r="H2792" s="1" t="s">
        <v>19</v>
      </c>
      <c r="I2792" s="1" t="s">
        <v>20</v>
      </c>
      <c r="J2792" s="1" t="s">
        <v>12765</v>
      </c>
      <c r="K2792" s="1" t="s">
        <v>22</v>
      </c>
      <c r="L2792" s="1" t="str">
        <f>HYPERLINK("https://files.afu.se/Downloads/Transcripts/0%20-%20Government/USA%20-%20NASA/2013 09 11 - NASA - Welcome Home Expedition 36!_5yRb0XS3BU4 - transcript (automated).pdf","Transcript Link")</f>
        <v>Transcript Link</v>
      </c>
      <c r="M2792" s="2" t="str">
        <f>HYPERLINK("https://files.afu.se/Downloads/Transcripts/0%20-%20Government/USA%20-%20NASA/2013 09 11 - NASA - Welcome Home Expedition 36!_5yRb0XS3BU4 - transcript (automated).pdf","Transcript Link")</f>
        <v>Transcript Link</v>
      </c>
    </row>
    <row r="2793" ht="165" spans="1:13">
      <c r="A2793" s="1" t="s">
        <v>12757</v>
      </c>
      <c r="B2793" s="1" t="s">
        <v>13</v>
      </c>
      <c r="C2793" s="4" t="s">
        <v>12766</v>
      </c>
      <c r="D2793" s="1" t="s">
        <v>12767</v>
      </c>
      <c r="E2793" s="1" t="s">
        <v>12768</v>
      </c>
      <c r="F2793" s="4" t="s">
        <v>17</v>
      </c>
      <c r="G2793" s="1" t="s">
        <v>18</v>
      </c>
      <c r="H2793" s="1" t="s">
        <v>19</v>
      </c>
      <c r="I2793" s="1" t="s">
        <v>20</v>
      </c>
      <c r="J2793" s="1" t="s">
        <v>12769</v>
      </c>
      <c r="K2793" s="1" t="s">
        <v>22</v>
      </c>
      <c r="L2793" s="1" t="str">
        <f>HYPERLINK("https://files.afu.se/Downloads/Transcripts/0%20-%20Government/USA%20-%20NASA/2013 09 11 - NASA - Last leg of the Journey_4we7eUdxoUs - transcript (automated).pdf","Transcript Link")</f>
        <v>Transcript Link</v>
      </c>
      <c r="M2793" s="2" t="str">
        <f>HYPERLINK("https://files.afu.se/Downloads/Transcripts/0%20-%20Government/USA%20-%20NASA/2013 09 11 - NASA - Last leg of the Journey_4we7eUdxoUs - transcript (automated).pdf","Transcript Link")</f>
        <v>Transcript Link</v>
      </c>
    </row>
    <row r="2794" ht="165" spans="1:13">
      <c r="A2794" s="1" t="s">
        <v>12757</v>
      </c>
      <c r="B2794" s="1" t="s">
        <v>13</v>
      </c>
      <c r="C2794" s="4" t="s">
        <v>12770</v>
      </c>
      <c r="D2794" s="1" t="s">
        <v>12771</v>
      </c>
      <c r="E2794" s="1" t="s">
        <v>12772</v>
      </c>
      <c r="F2794" s="4" t="s">
        <v>17</v>
      </c>
      <c r="G2794" s="1" t="s">
        <v>18</v>
      </c>
      <c r="H2794" s="1" t="s">
        <v>19</v>
      </c>
      <c r="I2794" s="1" t="s">
        <v>20</v>
      </c>
      <c r="J2794" s="1" t="s">
        <v>12773</v>
      </c>
      <c r="K2794" s="1" t="s">
        <v>22</v>
      </c>
      <c r="L2794" s="1" t="str">
        <f>HYPERLINK("https://files.afu.se/Downloads/Transcripts/0%20-%20Government/USA%20-%20NASA/2013 09 11 - NASA - The Journey Back Home!_m-MXhNJN9pw - transcript (automated).pdf","Transcript Link")</f>
        <v>Transcript Link</v>
      </c>
      <c r="M2794" s="2" t="str">
        <f>HYPERLINK("https://files.afu.se/Downloads/Transcripts/0%20-%20Government/USA%20-%20NASA/2013 09 11 - NASA - The Journey Back Home!_m-MXhNJN9pw - transcript (automated).pdf","Transcript Link")</f>
        <v>Transcript Link</v>
      </c>
    </row>
    <row r="2795" ht="165" spans="1:13">
      <c r="A2795" s="1" t="s">
        <v>12774</v>
      </c>
      <c r="B2795" s="1" t="s">
        <v>13</v>
      </c>
      <c r="C2795" s="4" t="s">
        <v>12775</v>
      </c>
      <c r="D2795" s="1" t="s">
        <v>12776</v>
      </c>
      <c r="E2795" s="1" t="s">
        <v>12777</v>
      </c>
      <c r="F2795" s="4" t="s">
        <v>17</v>
      </c>
      <c r="G2795" s="1" t="s">
        <v>18</v>
      </c>
      <c r="H2795" s="1" t="s">
        <v>19</v>
      </c>
      <c r="I2795" s="1" t="s">
        <v>20</v>
      </c>
      <c r="J2795" s="1" t="s">
        <v>12778</v>
      </c>
      <c r="K2795" s="1" t="s">
        <v>22</v>
      </c>
      <c r="L2795" s="1" t="str">
        <f>HYPERLINK("https://files.afu.se/Downloads/Transcripts/0%20-%20Government/USA%20-%20NASA/2013 09 10 - NASA - Expedition 36  Farewell ISS!_iZE_YzBj2a4 - transcript (automated).pdf","Transcript Link")</f>
        <v>Transcript Link</v>
      </c>
      <c r="M2795" s="2" t="str">
        <f>HYPERLINK("https://files.afu.se/Downloads/Transcripts/0%20-%20Government/USA%20-%20NASA/2013 09 10 - NASA - Expedition 36  Farewell ISS!_iZE_YzBj2a4 - transcript (automated).pdf","Transcript Link")</f>
        <v>Transcript Link</v>
      </c>
    </row>
    <row r="2796" ht="195" spans="1:13">
      <c r="A2796" s="1" t="s">
        <v>12779</v>
      </c>
      <c r="B2796" s="1" t="s">
        <v>13</v>
      </c>
      <c r="C2796" s="4" t="s">
        <v>12780</v>
      </c>
      <c r="D2796" s="1" t="s">
        <v>12781</v>
      </c>
      <c r="E2796" s="1" t="s">
        <v>12782</v>
      </c>
      <c r="F2796" s="4" t="s">
        <v>17</v>
      </c>
      <c r="G2796" s="1" t="s">
        <v>18</v>
      </c>
      <c r="H2796" s="1" t="s">
        <v>19</v>
      </c>
      <c r="I2796" s="1" t="s">
        <v>20</v>
      </c>
      <c r="J2796" s="1" t="s">
        <v>12783</v>
      </c>
      <c r="K2796" s="1" t="s">
        <v>22</v>
      </c>
      <c r="L2796" s="1" t="str">
        <f>HYPERLINK("https://files.afu.se/Downloads/Transcripts/0%20-%20Government/USA%20-%20NASA/2013 09 09 - NASA - Expedition 36 Hands of the Space Station to Expedition 37_jhdf5XNfYGs - transcript (automated).pdf","Transcript Link")</f>
        <v>Transcript Link</v>
      </c>
      <c r="M2796" s="2" t="str">
        <f>HYPERLINK("https://files.afu.se/Downloads/Transcripts/0%20-%20Government/USA%20-%20NASA/2013 09 09 - NASA - Expedition 36 Hands of the Space Station to Expedition 37_jhdf5XNfYGs - transcript (automated).pdf","Transcript Link")</f>
        <v>Transcript Link</v>
      </c>
    </row>
    <row r="2797" ht="165" spans="1:13">
      <c r="A2797" s="1" t="s">
        <v>12784</v>
      </c>
      <c r="B2797" s="1" t="s">
        <v>13</v>
      </c>
      <c r="C2797" s="4" t="s">
        <v>12785</v>
      </c>
      <c r="D2797" s="1" t="s">
        <v>12786</v>
      </c>
      <c r="E2797" s="1" t="s">
        <v>12787</v>
      </c>
      <c r="F2797" s="4" t="s">
        <v>17</v>
      </c>
      <c r="G2797" s="1" t="s">
        <v>18</v>
      </c>
      <c r="H2797" s="1" t="s">
        <v>19</v>
      </c>
      <c r="I2797" s="1" t="s">
        <v>20</v>
      </c>
      <c r="J2797" s="1" t="s">
        <v>12788</v>
      </c>
      <c r="K2797" s="1" t="s">
        <v>22</v>
      </c>
      <c r="L2797" s="1" t="str">
        <f>HYPERLINK("https://files.afu.se/Downloads/Transcripts/0%20-%20Government/USA%20-%20NASA/2013 09 07 - NASA - LADEE Launches! On This Week @NASA_WpLLVxfmpOQ - transcript (automated).pdf","Transcript Link")</f>
        <v>Transcript Link</v>
      </c>
      <c r="M2797" s="2" t="str">
        <f>HYPERLINK("https://files.afu.se/Downloads/Transcripts/0%20-%20Government/USA%20-%20NASA/2013 09 07 - NASA - LADEE Launches! On This Week @NASA_WpLLVxfmpOQ - transcript (automated).pdf","Transcript Link")</f>
        <v>Transcript Link</v>
      </c>
    </row>
    <row r="2798" ht="165" spans="1:13">
      <c r="A2798" s="1" t="s">
        <v>12784</v>
      </c>
      <c r="B2798" s="1" t="s">
        <v>13</v>
      </c>
      <c r="C2798" s="4" t="s">
        <v>12789</v>
      </c>
      <c r="D2798" s="1" t="s">
        <v>12790</v>
      </c>
      <c r="E2798" s="1" t="s">
        <v>12791</v>
      </c>
      <c r="F2798" s="4" t="s">
        <v>17</v>
      </c>
      <c r="G2798" s="1" t="s">
        <v>18</v>
      </c>
      <c r="H2798" s="1" t="s">
        <v>19</v>
      </c>
      <c r="I2798" s="1" t="s">
        <v>20</v>
      </c>
      <c r="J2798" s="1" t="s">
        <v>12792</v>
      </c>
      <c r="K2798" s="1" t="s">
        <v>22</v>
      </c>
      <c r="L2798" s="1" t="str">
        <f>HYPERLINK("https://files.afu.se/Downloads/Transcripts/0%20-%20Government/USA%20-%20NASA/2013 09 07 - NASA - LADEE Launches!_hf0SIRxXvRo - transcript (automated).pdf","Transcript Link")</f>
        <v>Transcript Link</v>
      </c>
      <c r="M2798" s="2" t="str">
        <f>HYPERLINK("https://files.afu.se/Downloads/Transcripts/0%20-%20Government/USA%20-%20NASA/2013 09 07 - NASA - LADEE Launches!_hf0SIRxXvRo - transcript (automated).pdf","Transcript Link")</f>
        <v>Transcript Link</v>
      </c>
    </row>
    <row r="2799" ht="180" spans="1:13">
      <c r="A2799" s="1" t="s">
        <v>12793</v>
      </c>
      <c r="B2799" s="1" t="s">
        <v>13</v>
      </c>
      <c r="C2799" s="4" t="s">
        <v>12794</v>
      </c>
      <c r="D2799" s="1" t="s">
        <v>12795</v>
      </c>
      <c r="E2799" s="1" t="s">
        <v>12796</v>
      </c>
      <c r="F2799" s="4" t="s">
        <v>17</v>
      </c>
      <c r="G2799" s="1" t="s">
        <v>18</v>
      </c>
      <c r="H2799" s="1" t="s">
        <v>19</v>
      </c>
      <c r="I2799" s="1" t="s">
        <v>20</v>
      </c>
      <c r="J2799" s="1" t="s">
        <v>12797</v>
      </c>
      <c r="K2799" s="1" t="s">
        <v>22</v>
      </c>
      <c r="L2799" s="1" t="str">
        <f>HYPERLINK("https://files.afu.se/Downloads/Transcripts/0%20-%20Government/USA%20-%20NASA/2013 09 06 - NASA - Expedition 37 38 Crew Meets the Media_vrM9rdQyKfw - transcript (automated).pdf","Transcript Link")</f>
        <v>Transcript Link</v>
      </c>
      <c r="M2799" s="2" t="str">
        <f>HYPERLINK("https://files.afu.se/Downloads/Transcripts/0%20-%20Government/USA%20-%20NASA/2013 09 06 - NASA - Expedition 37 38 Crew Meets the Media_vrM9rdQyKfw - transcript (automated).pdf","Transcript Link")</f>
        <v>Transcript Link</v>
      </c>
    </row>
    <row r="2800" ht="165" spans="1:13">
      <c r="A2800" s="1" t="s">
        <v>12793</v>
      </c>
      <c r="B2800" s="1" t="s">
        <v>13</v>
      </c>
      <c r="C2800" s="4" t="s">
        <v>12798</v>
      </c>
      <c r="D2800" s="1" t="s">
        <v>12799</v>
      </c>
      <c r="E2800" s="1" t="s">
        <v>12800</v>
      </c>
      <c r="F2800" s="4" t="s">
        <v>17</v>
      </c>
      <c r="G2800" s="1" t="s">
        <v>18</v>
      </c>
      <c r="H2800" s="1" t="s">
        <v>19</v>
      </c>
      <c r="I2800" s="1" t="s">
        <v>20</v>
      </c>
      <c r="J2800" s="1" t="s">
        <v>12801</v>
      </c>
      <c r="K2800" s="1" t="s">
        <v>22</v>
      </c>
      <c r="L2800" s="1" t="str">
        <f>HYPERLINK("https://files.afu.se/Downloads/Transcripts/0%20-%20Government/USA%20-%20NASA/2013 09 06 - NASA - NASA Administrator message to employees about LADEE launch._AEOFoZibesM - transcript (automated).pdf","Transcript Link")</f>
        <v>Transcript Link</v>
      </c>
      <c r="M2800" s="2" t="str">
        <f>HYPERLINK("https://files.afu.se/Downloads/Transcripts/0%20-%20Government/USA%20-%20NASA/2013 09 06 - NASA - NASA Administrator message to employees about LADEE launch._AEOFoZibesM - transcript (automated).pdf","Transcript Link")</f>
        <v>Transcript Link</v>
      </c>
    </row>
    <row r="2801" ht="165" spans="1:13">
      <c r="A2801" s="1" t="s">
        <v>12802</v>
      </c>
      <c r="B2801" s="1" t="s">
        <v>13</v>
      </c>
      <c r="C2801" s="4" t="s">
        <v>12803</v>
      </c>
      <c r="D2801" s="1" t="s">
        <v>12804</v>
      </c>
      <c r="E2801" s="1" t="s">
        <v>12805</v>
      </c>
      <c r="F2801" s="4" t="s">
        <v>17</v>
      </c>
      <c r="G2801" s="1" t="s">
        <v>18</v>
      </c>
      <c r="H2801" s="1" t="s">
        <v>19</v>
      </c>
      <c r="I2801" s="1" t="s">
        <v>20</v>
      </c>
      <c r="J2801" s="1" t="s">
        <v>12806</v>
      </c>
      <c r="K2801" s="1" t="s">
        <v>22</v>
      </c>
      <c r="L2801" s="1" t="str">
        <f>HYPERLINK("https://files.afu.se/Downloads/Transcripts/0%20-%20Government/USA%20-%20NASA/2013 09 05 - NASA - Talking LADEE Science_j0b9DxMSQxw - transcript (automated).pdf","Transcript Link")</f>
        <v>Transcript Link</v>
      </c>
      <c r="M2801" s="2" t="str">
        <f>HYPERLINK("https://files.afu.se/Downloads/Transcripts/0%20-%20Government/USA%20-%20NASA/2013 09 05 - NASA - Talking LADEE Science_j0b9DxMSQxw - transcript (automated).pdf","Transcript Link")</f>
        <v>Transcript Link</v>
      </c>
    </row>
    <row r="2802" ht="180" spans="1:13">
      <c r="A2802" s="1" t="s">
        <v>12802</v>
      </c>
      <c r="B2802" s="1" t="s">
        <v>13</v>
      </c>
      <c r="C2802" s="4" t="s">
        <v>12807</v>
      </c>
      <c r="D2802" s="1" t="s">
        <v>12808</v>
      </c>
      <c r="E2802" s="1" t="s">
        <v>12809</v>
      </c>
      <c r="F2802" s="4" t="s">
        <v>17</v>
      </c>
      <c r="G2802" s="1" t="s">
        <v>18</v>
      </c>
      <c r="H2802" s="1" t="s">
        <v>19</v>
      </c>
      <c r="I2802" s="1" t="s">
        <v>20</v>
      </c>
      <c r="J2802" s="1" t="s">
        <v>12810</v>
      </c>
      <c r="K2802" s="1" t="s">
        <v>22</v>
      </c>
      <c r="L2802" s="1" t="str">
        <f>HYPERLINK("https://files.afu.se/Downloads/Transcripts/0%20-%20Government/USA%20-%20NASA/2013 09 05 - NASA - Closing in on LADEE Launch_wpTCa85V22U - transcript (automated).pdf","Transcript Link")</f>
        <v>Transcript Link</v>
      </c>
      <c r="M2802" s="2" t="str">
        <f>HYPERLINK("https://files.afu.se/Downloads/Transcripts/0%20-%20Government/USA%20-%20NASA/2013 09 05 - NASA - Closing in on LADEE Launch_wpTCa85V22U - transcript (automated).pdf","Transcript Link")</f>
        <v>Transcript Link</v>
      </c>
    </row>
    <row r="2803" ht="195" spans="1:13">
      <c r="A2803" s="1" t="s">
        <v>12802</v>
      </c>
      <c r="B2803" s="1" t="s">
        <v>13</v>
      </c>
      <c r="C2803" s="4" t="s">
        <v>12811</v>
      </c>
      <c r="D2803" s="1" t="s">
        <v>12812</v>
      </c>
      <c r="E2803" s="1" t="s">
        <v>12813</v>
      </c>
      <c r="F2803" s="4" t="s">
        <v>17</v>
      </c>
      <c r="G2803" s="1" t="s">
        <v>18</v>
      </c>
      <c r="H2803" s="1" t="s">
        <v>19</v>
      </c>
      <c r="I2803" s="1" t="s">
        <v>20</v>
      </c>
      <c r="J2803" s="1" t="s">
        <v>12814</v>
      </c>
      <c r="K2803" s="1" t="s">
        <v>22</v>
      </c>
      <c r="L2803" s="1" t="str">
        <f>HYPERLINK("https://files.afu.se/Downloads/Transcripts/0%20-%20Government/USA%20-%20NASA/2013 09 05 - NASA - LADEE Launch Social_9dXheNicK4s - transcript (automated).pdf","Transcript Link")</f>
        <v>Transcript Link</v>
      </c>
      <c r="M2803" s="2" t="str">
        <f>HYPERLINK("https://files.afu.se/Downloads/Transcripts/0%20-%20Government/USA%20-%20NASA/2013 09 05 - NASA - LADEE Launch Social_9dXheNicK4s - transcript (automated).pdf","Transcript Link")</f>
        <v>Transcript Link</v>
      </c>
    </row>
    <row r="2804" ht="165" spans="1:13">
      <c r="A2804" s="1" t="s">
        <v>12802</v>
      </c>
      <c r="B2804" s="1" t="s">
        <v>13</v>
      </c>
      <c r="C2804" s="4" t="s">
        <v>12815</v>
      </c>
      <c r="D2804" s="1" t="s">
        <v>12816</v>
      </c>
      <c r="E2804" s="1" t="s">
        <v>12817</v>
      </c>
      <c r="F2804" s="4" t="s">
        <v>17</v>
      </c>
      <c r="G2804" s="1" t="s">
        <v>18</v>
      </c>
      <c r="H2804" s="1" t="s">
        <v>19</v>
      </c>
      <c r="I2804" s="1" t="s">
        <v>20</v>
      </c>
      <c r="J2804" s="1" t="s">
        <v>12818</v>
      </c>
      <c r="K2804" s="1" t="s">
        <v>22</v>
      </c>
      <c r="L2804" s="1" t="str">
        <f>HYPERLINK("https://files.afu.se/Downloads/Transcripts/0%20-%20Government/USA%20-%20NASA/2013 09 05 - NASA - Cassidy Recounts His Experiences on ISS_7TwyPoa18Do - transcript (automated).pdf","Transcript Link")</f>
        <v>Transcript Link</v>
      </c>
      <c r="M2804" s="2" t="str">
        <f>HYPERLINK("https://files.afu.se/Downloads/Transcripts/0%20-%20Government/USA%20-%20NASA/2013 09 05 - NASA - Cassidy Recounts His Experiences on ISS_7TwyPoa18Do - transcript (automated).pdf","Transcript Link")</f>
        <v>Transcript Link</v>
      </c>
    </row>
    <row r="2805" ht="165" spans="1:13">
      <c r="A2805" s="1" t="s">
        <v>12819</v>
      </c>
      <c r="B2805" s="1" t="s">
        <v>13</v>
      </c>
      <c r="C2805" s="4" t="s">
        <v>12820</v>
      </c>
      <c r="D2805" s="1" t="s">
        <v>12821</v>
      </c>
      <c r="E2805" s="1" t="s">
        <v>12822</v>
      </c>
      <c r="F2805" s="4" t="s">
        <v>17</v>
      </c>
      <c r="G2805" s="1" t="s">
        <v>18</v>
      </c>
      <c r="H2805" s="1" t="s">
        <v>19</v>
      </c>
      <c r="I2805" s="1" t="s">
        <v>20</v>
      </c>
      <c r="J2805" s="1" t="s">
        <v>12823</v>
      </c>
      <c r="K2805" s="1" t="s">
        <v>22</v>
      </c>
      <c r="L2805" s="1" t="str">
        <f>HYPERLINK("https://files.afu.se/Downloads/Transcripts/0%20-%20Government/USA%20-%20NASA/2013 09 04 - NASA - Antares Update_UKXZlcnUY7A - transcript (automated).pdf","Transcript Link")</f>
        <v>Transcript Link</v>
      </c>
      <c r="M2805" s="2" t="str">
        <f>HYPERLINK("https://files.afu.se/Downloads/Transcripts/0%20-%20Government/USA%20-%20NASA/2013 09 04 - NASA - Antares Update_UKXZlcnUY7A - transcript (automated).pdf","Transcript Link")</f>
        <v>Transcript Link</v>
      </c>
    </row>
    <row r="2806" ht="165" spans="1:13">
      <c r="A2806" s="1" t="s">
        <v>12819</v>
      </c>
      <c r="B2806" s="1" t="s">
        <v>13</v>
      </c>
      <c r="C2806" s="4" t="s">
        <v>12824</v>
      </c>
      <c r="D2806" s="1" t="s">
        <v>12825</v>
      </c>
      <c r="E2806" s="1" t="s">
        <v>12826</v>
      </c>
      <c r="F2806" s="4" t="s">
        <v>17</v>
      </c>
      <c r="G2806" s="1" t="s">
        <v>18</v>
      </c>
      <c r="H2806" s="1" t="s">
        <v>19</v>
      </c>
      <c r="I2806" s="1" t="s">
        <v>20</v>
      </c>
      <c r="J2806" s="1" t="s">
        <v>12827</v>
      </c>
      <c r="K2806" s="1" t="s">
        <v>22</v>
      </c>
      <c r="L2806" s="1" t="str">
        <f>HYPERLINK("https://files.afu.se/Downloads/Transcripts/0%20-%20Government/USA%20-%20NASA/2013 09 04 - NASA - Next ISS Crew Trains_hIbIKDWQjjw - transcript (automated).pdf","Transcript Link")</f>
        <v>Transcript Link</v>
      </c>
      <c r="M2806" s="2" t="str">
        <f>HYPERLINK("https://files.afu.se/Downloads/Transcripts/0%20-%20Government/USA%20-%20NASA/2013 09 04 - NASA - Next ISS Crew Trains_hIbIKDWQjjw - transcript (automated).pdf","Transcript Link")</f>
        <v>Transcript Link</v>
      </c>
    </row>
    <row r="2807" ht="165" spans="1:13">
      <c r="A2807" s="1" t="s">
        <v>12819</v>
      </c>
      <c r="B2807" s="1" t="s">
        <v>13</v>
      </c>
      <c r="C2807" s="4" t="s">
        <v>12828</v>
      </c>
      <c r="D2807" s="1" t="s">
        <v>12829</v>
      </c>
      <c r="E2807" s="1" t="s">
        <v>12830</v>
      </c>
      <c r="F2807" s="4" t="s">
        <v>17</v>
      </c>
      <c r="G2807" s="1" t="s">
        <v>18</v>
      </c>
      <c r="H2807" s="1" t="s">
        <v>19</v>
      </c>
      <c r="I2807" s="1" t="s">
        <v>20</v>
      </c>
      <c r="J2807" s="1" t="s">
        <v>12831</v>
      </c>
      <c r="K2807" s="1" t="s">
        <v>22</v>
      </c>
      <c r="L2807" s="1" t="str">
        <f>HYPERLINK("https://files.afu.se/Downloads/Transcripts/0%20-%20Government/USA%20-%20NASA/2013 09 04 - NASA - Bye-Bye HTV!_lYflPJbrys8 - transcript (automated).pdf","Transcript Link")</f>
        <v>Transcript Link</v>
      </c>
      <c r="M2807" s="2" t="str">
        <f>HYPERLINK("https://files.afu.se/Downloads/Transcripts/0%20-%20Government/USA%20-%20NASA/2013 09 04 - NASA - Bye-Bye HTV!_lYflPJbrys8 - transcript (automated).pdf","Transcript Link")</f>
        <v>Transcript Link</v>
      </c>
    </row>
    <row r="2808" ht="165" spans="1:13">
      <c r="A2808" s="1" t="s">
        <v>12832</v>
      </c>
      <c r="B2808" s="1" t="s">
        <v>13</v>
      </c>
      <c r="C2808" s="4" t="s">
        <v>12833</v>
      </c>
      <c r="D2808" s="1" t="s">
        <v>12834</v>
      </c>
      <c r="E2808" s="1" t="s">
        <v>12835</v>
      </c>
      <c r="F2808" s="4" t="s">
        <v>17</v>
      </c>
      <c r="G2808" s="1" t="s">
        <v>18</v>
      </c>
      <c r="H2808" s="1" t="s">
        <v>19</v>
      </c>
      <c r="I2808" s="1" t="s">
        <v>20</v>
      </c>
      <c r="J2808" s="1" t="s">
        <v>12836</v>
      </c>
      <c r="K2808" s="1" t="s">
        <v>22</v>
      </c>
      <c r="L2808" s="1" t="str">
        <f>HYPERLINK("https://files.afu.se/Downloads/Transcripts/0%20-%20Government/USA%20-%20NASA/2013 08 30 - NASA - LADEE To The Moon and Remembering Gordon Fullerton on This Week @NASA_png7yuYjBRQ - transcript (automated).pdf","Transcript Link")</f>
        <v>Transcript Link</v>
      </c>
      <c r="M2808" s="2" t="str">
        <f>HYPERLINK("https://files.afu.se/Downloads/Transcripts/0%20-%20Government/USA%20-%20NASA/2013 08 30 - NASA - LADEE To The Moon and Remembering Gordon Fullerton on This Week @NASA_png7yuYjBRQ - transcript (automated).pdf","Transcript Link")</f>
        <v>Transcript Link</v>
      </c>
    </row>
    <row r="2809" ht="180" spans="1:13">
      <c r="A2809" s="1" t="s">
        <v>12837</v>
      </c>
      <c r="B2809" s="1" t="s">
        <v>13</v>
      </c>
      <c r="C2809" s="4" t="s">
        <v>12838</v>
      </c>
      <c r="D2809" s="1" t="s">
        <v>12839</v>
      </c>
      <c r="E2809" s="1" t="s">
        <v>12840</v>
      </c>
      <c r="F2809" s="4" t="s">
        <v>17</v>
      </c>
      <c r="G2809" s="1" t="s">
        <v>18</v>
      </c>
      <c r="H2809" s="1" t="s">
        <v>19</v>
      </c>
      <c r="I2809" s="1" t="s">
        <v>20</v>
      </c>
      <c r="J2809" s="1" t="s">
        <v>12841</v>
      </c>
      <c r="K2809" s="1" t="s">
        <v>22</v>
      </c>
      <c r="L2809" s="1" t="str">
        <f>HYPERLINK("https://files.afu.se/Downloads/Transcripts/0%20-%20Government/USA%20-%20NASA/2013 08 29 - NASA - NASA Talks Space with Students from McWhirter Elementary School_pQO7CscbpyI - transcript (automated).pdf","Transcript Link")</f>
        <v>Transcript Link</v>
      </c>
      <c r="M2809" s="2" t="str">
        <f>HYPERLINK("https://files.afu.se/Downloads/Transcripts/0%20-%20Government/USA%20-%20NASA/2013 08 29 - NASA - NASA Talks Space with Students from McWhirter Elementary School_pQO7CscbpyI - transcript (automated).pdf","Transcript Link")</f>
        <v>Transcript Link</v>
      </c>
    </row>
    <row r="2810" ht="240" spans="1:13">
      <c r="A2810" s="1" t="s">
        <v>12837</v>
      </c>
      <c r="B2810" s="1" t="s">
        <v>13</v>
      </c>
      <c r="C2810" s="4" t="s">
        <v>12842</v>
      </c>
      <c r="D2810" s="1" t="s">
        <v>12843</v>
      </c>
      <c r="E2810" s="1" t="s">
        <v>12844</v>
      </c>
      <c r="F2810" s="4" t="s">
        <v>17</v>
      </c>
      <c r="G2810" s="1" t="s">
        <v>18</v>
      </c>
      <c r="H2810" s="1" t="s">
        <v>19</v>
      </c>
      <c r="I2810" s="1" t="s">
        <v>20</v>
      </c>
      <c r="J2810" s="1" t="s">
        <v>12845</v>
      </c>
      <c r="K2810" s="1" t="s">
        <v>22</v>
      </c>
      <c r="L2810" s="1" t="str">
        <f>HYPERLINK("https://files.afu.se/Downloads/Transcripts/0%20-%20Government/USA%20-%20NASA/2013 08 29 - NASA - Headed Back to Space for Expedition 38 Crew Members_gl8xj_CosKA - transcript (automated).pdf","Transcript Link")</f>
        <v>Transcript Link</v>
      </c>
      <c r="M2810" s="2" t="str">
        <f>HYPERLINK("https://files.afu.se/Downloads/Transcripts/0%20-%20Government/USA%20-%20NASA/2013 08 29 - NASA - Headed Back to Space for Expedition 38 Crew Members_gl8xj_CosKA - transcript (automated).pdf","Transcript Link")</f>
        <v>Transcript Link</v>
      </c>
    </row>
    <row r="2811" ht="195" spans="1:13">
      <c r="A2811" s="1" t="s">
        <v>12846</v>
      </c>
      <c r="B2811" s="1" t="s">
        <v>13</v>
      </c>
      <c r="C2811" s="4" t="s">
        <v>12847</v>
      </c>
      <c r="D2811" s="1" t="s">
        <v>12848</v>
      </c>
      <c r="E2811" s="1" t="s">
        <v>12849</v>
      </c>
      <c r="F2811" s="4" t="s">
        <v>17</v>
      </c>
      <c r="G2811" s="1" t="s">
        <v>18</v>
      </c>
      <c r="H2811" s="1" t="s">
        <v>19</v>
      </c>
      <c r="I2811" s="1" t="s">
        <v>20</v>
      </c>
      <c r="J2811" s="1" t="s">
        <v>12850</v>
      </c>
      <c r="K2811" s="1" t="s">
        <v>22</v>
      </c>
      <c r="L2811" s="1" t="str">
        <f>HYPERLINK("https://files.afu.se/Downloads/Transcripts/0%20-%20Government/USA%20-%20NASA/2013 08 26 - NASA - New Explorers, New Roadmap on This Week @NASA_0bjmVGiPlls - transcript (automated).pdf","Transcript Link")</f>
        <v>Transcript Link</v>
      </c>
      <c r="M2811" s="2" t="str">
        <f>HYPERLINK("https://files.afu.se/Downloads/Transcripts/0%20-%20Government/USA%20-%20NASA/2013 08 26 - NASA - New Explorers, New Roadmap on This Week @NASA_0bjmVGiPlls - transcript (automated).pdf","Transcript Link")</f>
        <v>Transcript Link</v>
      </c>
    </row>
    <row r="2812" ht="195" spans="1:13">
      <c r="A2812" s="1" t="s">
        <v>12846</v>
      </c>
      <c r="B2812" s="1" t="s">
        <v>13</v>
      </c>
      <c r="C2812" s="4" t="s">
        <v>12851</v>
      </c>
      <c r="D2812" s="1" t="s">
        <v>12852</v>
      </c>
      <c r="E2812" s="1" t="s">
        <v>12853</v>
      </c>
      <c r="F2812" s="4" t="s">
        <v>17</v>
      </c>
      <c r="G2812" s="1" t="s">
        <v>18</v>
      </c>
      <c r="H2812" s="1" t="s">
        <v>19</v>
      </c>
      <c r="I2812" s="1" t="s">
        <v>20</v>
      </c>
      <c r="J2812" s="1" t="s">
        <v>12854</v>
      </c>
      <c r="K2812" s="1" t="s">
        <v>22</v>
      </c>
      <c r="L2812" s="1" t="str">
        <f>HYPERLINK("https://files.afu.se/Downloads/Transcripts/0%20-%20Government/USA%20-%20NASA/2013 08 26 - NASA - New Explorers, New Roadmap on This_Week @NASA_RKAxPD9cuQA - transcript (automated).pdf","Transcript Link")</f>
        <v>Transcript Link</v>
      </c>
      <c r="M2812" s="2" t="str">
        <f>HYPERLINK("https://files.afu.se/Downloads/Transcripts/0%20-%20Government/USA%20-%20NASA/2013 08 26 - NASA - New Explorers, New Roadmap on This_Week @NASA_RKAxPD9cuQA - transcript (automated).pdf","Transcript Link")</f>
        <v>Transcript Link</v>
      </c>
    </row>
    <row r="2813" ht="165" spans="1:13">
      <c r="A2813" s="1" t="s">
        <v>12855</v>
      </c>
      <c r="B2813" s="1" t="s">
        <v>13</v>
      </c>
      <c r="C2813" s="4" t="s">
        <v>12856</v>
      </c>
      <c r="D2813" s="1" t="s">
        <v>12857</v>
      </c>
      <c r="E2813" s="1" t="s">
        <v>12858</v>
      </c>
      <c r="F2813" s="4" t="s">
        <v>17</v>
      </c>
      <c r="G2813" s="1" t="s">
        <v>18</v>
      </c>
      <c r="H2813" s="1" t="s">
        <v>19</v>
      </c>
      <c r="I2813" s="1" t="s">
        <v>20</v>
      </c>
      <c r="J2813" s="1" t="s">
        <v>12859</v>
      </c>
      <c r="K2813" s="1" t="s">
        <v>22</v>
      </c>
      <c r="L2813" s="1" t="str">
        <f>HYPERLINK("https://files.afu.se/Downloads/Transcripts/0%20-%20Government/USA%20-%20NASA/2013 08 23 - NASA - NASA Remembers Neil Armstrong_GS32pRTURdI - transcript (automated).pdf","Transcript Link")</f>
        <v>Transcript Link</v>
      </c>
      <c r="M2813" s="2" t="str">
        <f>HYPERLINK("https://files.afu.se/Downloads/Transcripts/0%20-%20Government/USA%20-%20NASA/2013 08 23 - NASA - NASA Remembers Neil Armstrong_GS32pRTURdI - transcript (automated).pdf","Transcript Link")</f>
        <v>Transcript Link</v>
      </c>
    </row>
    <row r="2814" ht="165" spans="1:13">
      <c r="A2814" s="1" t="s">
        <v>12860</v>
      </c>
      <c r="B2814" s="1" t="s">
        <v>13</v>
      </c>
      <c r="C2814" s="4" t="s">
        <v>12861</v>
      </c>
      <c r="D2814" s="1" t="s">
        <v>12862</v>
      </c>
      <c r="E2814" s="1" t="s">
        <v>12863</v>
      </c>
      <c r="F2814" s="4" t="s">
        <v>17</v>
      </c>
      <c r="G2814" s="1" t="s">
        <v>18</v>
      </c>
      <c r="H2814" s="1" t="s">
        <v>19</v>
      </c>
      <c r="I2814" s="1" t="s">
        <v>20</v>
      </c>
      <c r="J2814" s="1" t="s">
        <v>12864</v>
      </c>
      <c r="K2814" s="1" t="s">
        <v>22</v>
      </c>
      <c r="L2814" s="1" t="str">
        <f>HYPERLINK("https://files.afu.se/Downloads/Transcripts/0%20-%20Government/USA%20-%20NASA/2013 08 22 - NASA - NASA Briefing Previews Lunar Mission_hTzo0Lq1-T4 - transcript (automated).pdf","Transcript Link")</f>
        <v>Transcript Link</v>
      </c>
      <c r="M2814" s="2" t="str">
        <f>HYPERLINK("https://files.afu.se/Downloads/Transcripts/0%20-%20Government/USA%20-%20NASA/2013 08 22 - NASA - NASA Briefing Previews Lunar Mission_hTzo0Lq1-T4 - transcript (automated).pdf","Transcript Link")</f>
        <v>Transcript Link</v>
      </c>
    </row>
    <row r="2815" ht="165" spans="1:13">
      <c r="A2815" s="1" t="s">
        <v>12860</v>
      </c>
      <c r="B2815" s="1" t="s">
        <v>13</v>
      </c>
      <c r="C2815" s="4" t="s">
        <v>12865</v>
      </c>
      <c r="D2815" s="1" t="s">
        <v>12866</v>
      </c>
      <c r="E2815" s="1" t="s">
        <v>12867</v>
      </c>
      <c r="F2815" s="4" t="s">
        <v>17</v>
      </c>
      <c r="G2815" s="1" t="s">
        <v>18</v>
      </c>
      <c r="H2815" s="1" t="s">
        <v>19</v>
      </c>
      <c r="I2815" s="1" t="s">
        <v>20</v>
      </c>
      <c r="J2815" s="1" t="s">
        <v>12868</v>
      </c>
      <c r="K2815" s="1" t="s">
        <v>22</v>
      </c>
      <c r="L2815" s="1" t="str">
        <f>HYPERLINK("https://files.afu.se/Downloads/Transcripts/0%20-%20Government/USA%20-%20NASA/2013 08 22 - NASA - Another Walk in Space for Russian Cosmonauts_-geMqibg1bI - transcript (automated).pdf","Transcript Link")</f>
        <v>Transcript Link</v>
      </c>
      <c r="M2815" s="2" t="str">
        <f>HYPERLINK("https://files.afu.se/Downloads/Transcripts/0%20-%20Government/USA%20-%20NASA/2013 08 22 - NASA - Another Walk in Space for Russian Cosmonauts_-geMqibg1bI - transcript (automated).pdf","Transcript Link")</f>
        <v>Transcript Link</v>
      </c>
    </row>
    <row r="2816" ht="165" spans="1:13">
      <c r="A2816" s="1" t="s">
        <v>12869</v>
      </c>
      <c r="B2816" s="1" t="s">
        <v>13</v>
      </c>
      <c r="C2816" s="4" t="s">
        <v>12870</v>
      </c>
      <c r="D2816" s="1" t="s">
        <v>12871</v>
      </c>
      <c r="E2816" s="1" t="s">
        <v>12872</v>
      </c>
      <c r="F2816" s="4" t="s">
        <v>17</v>
      </c>
      <c r="G2816" s="1" t="s">
        <v>18</v>
      </c>
      <c r="H2816" s="1" t="s">
        <v>19</v>
      </c>
      <c r="I2816" s="1" t="s">
        <v>20</v>
      </c>
      <c r="J2816" s="1" t="s">
        <v>12873</v>
      </c>
      <c r="K2816" s="1" t="s">
        <v>22</v>
      </c>
      <c r="L2816" s="1" t="str">
        <f>HYPERLINK("https://files.afu.se/Downloads/Transcripts/0%20-%20Government/USA%20-%20NASA/2013 08 20 - NASA - NASA Introduces Media to New Astronaut Candidates_K9o888As61E - transcript (automated).pdf","Transcript Link")</f>
        <v>Transcript Link</v>
      </c>
      <c r="M2816" s="2" t="str">
        <f>HYPERLINK("https://files.afu.se/Downloads/Transcripts/0%20-%20Government/USA%20-%20NASA/2013 08 20 - NASA - NASA Introduces Media to New Astronaut Candidates_K9o888As61E - transcript (automated).pdf","Transcript Link")</f>
        <v>Transcript Link</v>
      </c>
    </row>
    <row r="2817" ht="165" spans="1:13">
      <c r="A2817" s="1" t="s">
        <v>12869</v>
      </c>
      <c r="B2817" s="1" t="s">
        <v>13</v>
      </c>
      <c r="C2817" s="4" t="s">
        <v>12874</v>
      </c>
      <c r="D2817" s="1" t="s">
        <v>12875</v>
      </c>
      <c r="E2817" s="1" t="s">
        <v>12876</v>
      </c>
      <c r="F2817" s="4" t="s">
        <v>17</v>
      </c>
      <c r="G2817" s="1" t="s">
        <v>18</v>
      </c>
      <c r="H2817" s="1" t="s">
        <v>19</v>
      </c>
      <c r="I2817" s="1" t="s">
        <v>20</v>
      </c>
      <c r="J2817" s="1" t="s">
        <v>12877</v>
      </c>
      <c r="K2817" s="1" t="s">
        <v>22</v>
      </c>
      <c r="L2817" s="1" t="str">
        <f>HYPERLINK("https://files.afu.se/Downloads/Transcripts/0%20-%20Government/USA%20-%20NASA/2013 08 20 - NASA - Cassidy Shares Experiences in Space with Reporters_yuJJbx-KcQg - transcript (automated).pdf","Transcript Link")</f>
        <v>Transcript Link</v>
      </c>
      <c r="M2817" s="2" t="str">
        <f>HYPERLINK("https://files.afu.se/Downloads/Transcripts/0%20-%20Government/USA%20-%20NASA/2013 08 20 - NASA - Cassidy Shares Experiences in Space with Reporters_yuJJbx-KcQg - transcript (automated).pdf","Transcript Link")</f>
        <v>Transcript Link</v>
      </c>
    </row>
    <row r="2818" ht="240" spans="1:13">
      <c r="A2818" s="1" t="s">
        <v>12878</v>
      </c>
      <c r="B2818" s="1" t="s">
        <v>13</v>
      </c>
      <c r="C2818" s="4" t="s">
        <v>12879</v>
      </c>
      <c r="D2818" s="1" t="s">
        <v>12880</v>
      </c>
      <c r="E2818" s="1" t="s">
        <v>12881</v>
      </c>
      <c r="F2818" s="4" t="s">
        <v>17</v>
      </c>
      <c r="G2818" s="1" t="s">
        <v>18</v>
      </c>
      <c r="H2818" s="1" t="s">
        <v>19</v>
      </c>
      <c r="I2818" s="1" t="s">
        <v>20</v>
      </c>
      <c r="J2818" s="1" t="s">
        <v>12882</v>
      </c>
      <c r="K2818" s="1" t="s">
        <v>22</v>
      </c>
      <c r="L2818" s="1" t="str">
        <f>HYPERLINK("https://files.afu.se/Downloads/Transcripts/0%20-%20Government/USA%20-%20NASA/2013 08 16 - NASA - Space Station Crew Members Take a Walk in Space_i2mqGBDQPSQ - transcript (automated).pdf","Transcript Link")</f>
        <v>Transcript Link</v>
      </c>
      <c r="M2818" s="2" t="str">
        <f>HYPERLINK("https://files.afu.se/Downloads/Transcripts/0%20-%20Government/USA%20-%20NASA/2013 08 16 - NASA - Space Station Crew Members Take a Walk in Space_i2mqGBDQPSQ - transcript (automated).pdf","Transcript Link")</f>
        <v>Transcript Link</v>
      </c>
    </row>
    <row r="2819" ht="195" spans="1:13">
      <c r="A2819" s="1" t="s">
        <v>12878</v>
      </c>
      <c r="B2819" s="1" t="s">
        <v>13</v>
      </c>
      <c r="C2819" s="4" t="s">
        <v>12883</v>
      </c>
      <c r="D2819" s="1" t="s">
        <v>12884</v>
      </c>
      <c r="E2819" s="1" t="s">
        <v>12885</v>
      </c>
      <c r="F2819" s="4" t="s">
        <v>17</v>
      </c>
      <c r="G2819" s="1" t="s">
        <v>18</v>
      </c>
      <c r="H2819" s="1" t="s">
        <v>19</v>
      </c>
      <c r="I2819" s="1" t="s">
        <v>20</v>
      </c>
      <c r="J2819" s="1" t="s">
        <v>12886</v>
      </c>
      <c r="K2819" s="1" t="s">
        <v>22</v>
      </c>
      <c r="L2819" s="1" t="str">
        <f>HYPERLINK("https://files.afu.se/Downloads/Transcripts/0%20-%20Government/USA%20-%20NASA/2013 08 16 - NASA - Something New in the Air On This Week @NASA_eIp0zNAXJOY - transcript (automated).pdf","Transcript Link")</f>
        <v>Transcript Link</v>
      </c>
      <c r="M2819" s="2" t="str">
        <f>HYPERLINK("https://files.afu.se/Downloads/Transcripts/0%20-%20Government/USA%20-%20NASA/2013 08 16 - NASA - Something New in the Air On This Week @NASA_eIp0zNAXJOY - transcript (automated).pdf","Transcript Link")</f>
        <v>Transcript Link</v>
      </c>
    </row>
    <row r="2820" ht="165" spans="1:13">
      <c r="A2820" s="1" t="s">
        <v>12887</v>
      </c>
      <c r="B2820" s="1" t="s">
        <v>13</v>
      </c>
      <c r="C2820" s="4" t="s">
        <v>12888</v>
      </c>
      <c r="D2820" s="1" t="s">
        <v>12889</v>
      </c>
      <c r="E2820" s="1" t="s">
        <v>12890</v>
      </c>
      <c r="F2820" s="4" t="s">
        <v>17</v>
      </c>
      <c r="G2820" s="1" t="s">
        <v>18</v>
      </c>
      <c r="H2820" s="1" t="s">
        <v>19</v>
      </c>
      <c r="I2820" s="1" t="s">
        <v>20</v>
      </c>
      <c r="J2820" s="1" t="s">
        <v>12891</v>
      </c>
      <c r="K2820" s="1" t="s">
        <v>22</v>
      </c>
      <c r="L2820" s="1" t="str">
        <f>HYPERLINK("https://files.afu.se/Downloads/Transcripts/0%20-%20Government/USA%20-%20NASA/2013 08 14 - NASA - Space Station Crew Member Discusses Life in Space with the NBC  Today  Show_4NGyP5j2AJs - transcript (automated).pdf","Transcript Link")</f>
        <v>Transcript Link</v>
      </c>
      <c r="M2820" s="2" t="str">
        <f>HYPERLINK("https://files.afu.se/Downloads/Transcripts/0%20-%20Government/USA%20-%20NASA/2013 08 14 - NASA - Space Station Crew Member Discusses Life in Space with the NBC  Today  Show_4NGyP5j2AJs - transcript (automated).pdf","Transcript Link")</f>
        <v>Transcript Link</v>
      </c>
    </row>
    <row r="2821" ht="165" spans="1:13">
      <c r="A2821" s="1" t="s">
        <v>12892</v>
      </c>
      <c r="B2821" s="1" t="s">
        <v>13</v>
      </c>
      <c r="C2821" s="4" t="s">
        <v>12893</v>
      </c>
      <c r="D2821" s="1" t="s">
        <v>12894</v>
      </c>
      <c r="E2821" s="1" t="s">
        <v>12895</v>
      </c>
      <c r="F2821" s="4" t="s">
        <v>17</v>
      </c>
      <c r="G2821" s="1" t="s">
        <v>18</v>
      </c>
      <c r="H2821" s="1" t="s">
        <v>19</v>
      </c>
      <c r="I2821" s="1" t="s">
        <v>20</v>
      </c>
      <c r="J2821" s="1" t="s">
        <v>12896</v>
      </c>
      <c r="K2821" s="1" t="s">
        <v>22</v>
      </c>
      <c r="L2821" s="1" t="str">
        <f>HYPERLINK("https://files.afu.se/Downloads/Transcripts/0%20-%20Government/USA%20-%20NASA/2013 08 12 - NASA - NASA Hangout Focuses on Wildfires and Climate Change_hyImXg9iqZU - transcript (automated).pdf","Transcript Link")</f>
        <v>Transcript Link</v>
      </c>
      <c r="M2821" s="2" t="str">
        <f>HYPERLINK("https://files.afu.se/Downloads/Transcripts/0%20-%20Government/USA%20-%20NASA/2013 08 12 - NASA - NASA Hangout Focuses on Wildfires and Climate Change_hyImXg9iqZU - transcript (automated).pdf","Transcript Link")</f>
        <v>Transcript Link</v>
      </c>
    </row>
    <row r="2822" ht="210" spans="1:13">
      <c r="A2822" s="1" t="s">
        <v>12897</v>
      </c>
      <c r="B2822" s="1" t="s">
        <v>13</v>
      </c>
      <c r="C2822" s="4" t="s">
        <v>12898</v>
      </c>
      <c r="D2822" s="1" t="s">
        <v>12899</v>
      </c>
      <c r="E2822" s="1" t="s">
        <v>12900</v>
      </c>
      <c r="F2822" s="4" t="s">
        <v>17</v>
      </c>
      <c r="G2822" s="1" t="s">
        <v>18</v>
      </c>
      <c r="H2822" s="1" t="s">
        <v>19</v>
      </c>
      <c r="I2822" s="1" t="s">
        <v>20</v>
      </c>
      <c r="J2822" s="1" t="s">
        <v>12901</v>
      </c>
      <c r="K2822" s="1" t="s">
        <v>22</v>
      </c>
      <c r="L2822" s="1" t="str">
        <f>HYPERLINK("https://files.afu.se/Downloads/Transcripts/0%20-%20Government/USA%20-%20NASA/2013 08 09 - NASA - One Year on Mars! On This Week @NASA_VrCeKTPQqts - transcript (automated).pdf","Transcript Link")</f>
        <v>Transcript Link</v>
      </c>
      <c r="M2822" s="2" t="str">
        <f>HYPERLINK("https://files.afu.se/Downloads/Transcripts/0%20-%20Government/USA%20-%20NASA/2013 08 09 - NASA - One Year on Mars! On This Week @NASA_VrCeKTPQqts - transcript (automated).pdf","Transcript Link")</f>
        <v>Transcript Link</v>
      </c>
    </row>
    <row r="2823" ht="165" spans="1:13">
      <c r="A2823" s="1" t="s">
        <v>12897</v>
      </c>
      <c r="B2823" s="1" t="s">
        <v>13</v>
      </c>
      <c r="C2823" s="4" t="s">
        <v>12902</v>
      </c>
      <c r="D2823" s="1" t="s">
        <v>12903</v>
      </c>
      <c r="E2823" s="1" t="s">
        <v>12904</v>
      </c>
      <c r="F2823" s="4" t="s">
        <v>17</v>
      </c>
      <c r="G2823" s="1" t="s">
        <v>18</v>
      </c>
      <c r="H2823" s="1" t="s">
        <v>19</v>
      </c>
      <c r="I2823" s="1" t="s">
        <v>20</v>
      </c>
      <c r="J2823" s="1" t="s">
        <v>12905</v>
      </c>
      <c r="K2823" s="1" t="s">
        <v>22</v>
      </c>
      <c r="L2823" s="1" t="str">
        <f>HYPERLINK("https://files.afu.se/Downloads/Transcripts/0%20-%20Government/USA%20-%20NASA/2013 08 09 - NASA - Japanese Cargo Ship Attached to ISS_b02_UAo6nGw - transcript (automated).pdf","Transcript Link")</f>
        <v>Transcript Link</v>
      </c>
      <c r="M2823" s="2" t="str">
        <f>HYPERLINK("https://files.afu.se/Downloads/Transcripts/0%20-%20Government/USA%20-%20NASA/2013 08 09 - NASA - Japanese Cargo Ship Attached to ISS_b02_UAo6nGw - transcript (automated).pdf","Transcript Link")</f>
        <v>Transcript Link</v>
      </c>
    </row>
    <row r="2824" ht="165" spans="1:13">
      <c r="A2824" s="1" t="s">
        <v>12897</v>
      </c>
      <c r="B2824" s="1" t="s">
        <v>13</v>
      </c>
      <c r="C2824" s="4" t="s">
        <v>12906</v>
      </c>
      <c r="D2824" s="1" t="s">
        <v>12907</v>
      </c>
      <c r="E2824" s="1" t="s">
        <v>12908</v>
      </c>
      <c r="F2824" s="4" t="s">
        <v>17</v>
      </c>
      <c r="G2824" s="1" t="s">
        <v>18</v>
      </c>
      <c r="H2824" s="1" t="s">
        <v>19</v>
      </c>
      <c r="I2824" s="1" t="s">
        <v>20</v>
      </c>
      <c r="J2824" s="1" t="s">
        <v>12909</v>
      </c>
      <c r="K2824" s="1" t="s">
        <v>22</v>
      </c>
      <c r="L2824" s="1" t="str">
        <f>HYPERLINK("https://files.afu.se/Downloads/Transcripts/0%20-%20Government/USA%20-%20NASA/2013 08 09 - NASA - Japanese Cargo Ship Arrives at ISS_bAWo0HjUyOc - transcript (automated).pdf","Transcript Link")</f>
        <v>Transcript Link</v>
      </c>
      <c r="M2824" s="2" t="str">
        <f>HYPERLINK("https://files.afu.se/Downloads/Transcripts/0%20-%20Government/USA%20-%20NASA/2013 08 09 - NASA - Japanese Cargo Ship Arrives at ISS_bAWo0HjUyOc - transcript (automated).pdf","Transcript Link")</f>
        <v>Transcript Link</v>
      </c>
    </row>
    <row r="2825" ht="195" spans="1:13">
      <c r="A2825" s="1" t="s">
        <v>12910</v>
      </c>
      <c r="B2825" s="1" t="s">
        <v>13</v>
      </c>
      <c r="C2825" s="4" t="s">
        <v>12911</v>
      </c>
      <c r="D2825" s="1" t="s">
        <v>12912</v>
      </c>
      <c r="E2825" s="1" t="s">
        <v>12913</v>
      </c>
      <c r="F2825" s="4" t="s">
        <v>17</v>
      </c>
      <c r="G2825" s="1" t="s">
        <v>18</v>
      </c>
      <c r="H2825" s="1" t="s">
        <v>19</v>
      </c>
      <c r="I2825" s="1" t="s">
        <v>20</v>
      </c>
      <c r="J2825" s="1" t="s">
        <v>12914</v>
      </c>
      <c r="K2825" s="1" t="s">
        <v>22</v>
      </c>
      <c r="L2825" s="1" t="str">
        <f>HYPERLINK("https://files.afu.se/Downloads/Transcripts/0%20-%20Government/USA%20-%20NASA/2013 08 08 - NASA - NASA Spacesuit Engineer Talks Space with Students_yLapSXvNbI8 - transcript (automated).pdf","Transcript Link")</f>
        <v>Transcript Link</v>
      </c>
      <c r="M2825" s="2" t="str">
        <f>HYPERLINK("https://files.afu.se/Downloads/Transcripts/0%20-%20Government/USA%20-%20NASA/2013 08 08 - NASA - NASA Spacesuit Engineer Talks Space with Students_yLapSXvNbI8 - transcript (automated).pdf","Transcript Link")</f>
        <v>Transcript Link</v>
      </c>
    </row>
    <row r="2826" ht="165" spans="1:13">
      <c r="A2826" s="1" t="s">
        <v>12915</v>
      </c>
      <c r="B2826" s="1" t="s">
        <v>13</v>
      </c>
      <c r="C2826" s="4" t="s">
        <v>12916</v>
      </c>
      <c r="D2826" s="1" t="s">
        <v>12917</v>
      </c>
      <c r="E2826" s="1" t="s">
        <v>12918</v>
      </c>
      <c r="F2826" s="4" t="s">
        <v>17</v>
      </c>
      <c r="G2826" s="1" t="s">
        <v>18</v>
      </c>
      <c r="H2826" s="1" t="s">
        <v>19</v>
      </c>
      <c r="I2826" s="1" t="s">
        <v>20</v>
      </c>
      <c r="J2826" s="1" t="s">
        <v>12919</v>
      </c>
      <c r="K2826" s="1" t="s">
        <v>22</v>
      </c>
      <c r="L2826" s="1" t="str">
        <f>HYPERLINK("https://files.afu.se/Downloads/Transcripts/0%20-%20Government/USA%20-%20NASA/2013 08 06 - NASA - Robots, Humans and Future Exploration_dOG1O-XqA9A - transcript (automated).pdf","Transcript Link")</f>
        <v>Transcript Link</v>
      </c>
      <c r="M2826" s="2" t="str">
        <f>HYPERLINK("https://files.afu.se/Downloads/Transcripts/0%20-%20Government/USA%20-%20NASA/2013 08 06 - NASA - Robots, Humans and Future Exploration_dOG1O-XqA9A - transcript (automated).pdf","Transcript Link")</f>
        <v>Transcript Link</v>
      </c>
    </row>
    <row r="2827" ht="165" spans="1:13">
      <c r="A2827" s="1" t="s">
        <v>12915</v>
      </c>
      <c r="B2827" s="1" t="s">
        <v>13</v>
      </c>
      <c r="C2827" s="4" t="s">
        <v>12920</v>
      </c>
      <c r="D2827" s="1" t="s">
        <v>12921</v>
      </c>
      <c r="E2827" s="1" t="s">
        <v>12922</v>
      </c>
      <c r="F2827" s="4" t="s">
        <v>17</v>
      </c>
      <c r="G2827" s="1" t="s">
        <v>18</v>
      </c>
      <c r="H2827" s="1" t="s">
        <v>19</v>
      </c>
      <c r="I2827" s="1" t="s">
        <v>20</v>
      </c>
      <c r="J2827" s="1" t="s">
        <v>12923</v>
      </c>
      <c r="K2827" s="1" t="s">
        <v>22</v>
      </c>
      <c r="L2827" s="1" t="str">
        <f>HYPERLINK("https://files.afu.se/Downloads/Transcripts/0%20-%20Government/USA%20-%20NASA/2013 08 06 - NASA - A Year of Curiosity on Mars_CP3cud3QIaM - transcript (automated).pdf","Transcript Link")</f>
        <v>Transcript Link</v>
      </c>
      <c r="M2827" s="2" t="str">
        <f>HYPERLINK("https://files.afu.se/Downloads/Transcripts/0%20-%20Government/USA%20-%20NASA/2013 08 06 - NASA - A Year of Curiosity on Mars_CP3cud3QIaM - transcript (automated).pdf","Transcript Link")</f>
        <v>Transcript Link</v>
      </c>
    </row>
    <row r="2828" ht="165" spans="1:13">
      <c r="A2828" s="1" t="s">
        <v>12924</v>
      </c>
      <c r="B2828" s="1" t="s">
        <v>13</v>
      </c>
      <c r="C2828" s="4" t="s">
        <v>12925</v>
      </c>
      <c r="D2828" s="1" t="s">
        <v>12926</v>
      </c>
      <c r="E2828" s="1" t="s">
        <v>12927</v>
      </c>
      <c r="F2828" s="4" t="s">
        <v>17</v>
      </c>
      <c r="G2828" s="1" t="s">
        <v>18</v>
      </c>
      <c r="H2828" s="1" t="s">
        <v>19</v>
      </c>
      <c r="I2828" s="1" t="s">
        <v>20</v>
      </c>
      <c r="J2828" s="1" t="s">
        <v>12928</v>
      </c>
      <c r="K2828" s="1" t="s">
        <v>22</v>
      </c>
      <c r="L2828" s="1" t="str">
        <f>HYPERLINK("https://files.afu.se/Downloads/Transcripts/0%20-%20Government/USA%20-%20NASA/2013 08 05 - NASA - Parmitano Discusses Life in Space With Italian Journalists_3_MjqizDNec - transcript (automated).pdf","Transcript Link")</f>
        <v>Transcript Link</v>
      </c>
      <c r="M2828" s="2" t="str">
        <f>HYPERLINK("https://files.afu.se/Downloads/Transcripts/0%20-%20Government/USA%20-%20NASA/2013 08 05 - NASA - Parmitano Discusses Life in Space With Italian Journalists_3_MjqizDNec - transcript (automated).pdf","Transcript Link")</f>
        <v>Transcript Link</v>
      </c>
    </row>
    <row r="2829" ht="270" spans="1:13">
      <c r="A2829" s="1" t="s">
        <v>12924</v>
      </c>
      <c r="B2829" s="1" t="s">
        <v>13</v>
      </c>
      <c r="C2829" s="4" t="s">
        <v>12929</v>
      </c>
      <c r="D2829" s="1" t="s">
        <v>12930</v>
      </c>
      <c r="E2829" s="1" t="s">
        <v>12931</v>
      </c>
      <c r="F2829" s="4" t="s">
        <v>17</v>
      </c>
      <c r="G2829" s="1" t="s">
        <v>18</v>
      </c>
      <c r="H2829" s="1" t="s">
        <v>19</v>
      </c>
      <c r="I2829" s="1" t="s">
        <v>20</v>
      </c>
      <c r="J2829" s="1" t="s">
        <v>12932</v>
      </c>
      <c r="K2829" s="1" t="s">
        <v>22</v>
      </c>
      <c r="L2829" s="1" t="str">
        <f>HYPERLINK("https://files.afu.se/Downloads/Transcripts/0%20-%20Government/USA%20-%20NASA/2013 08 05 - NASA - NASA's Curiosity Rover Marks One Year on Mars  Tuesday on NASA TV_QqwtV9k3zOc - transcript (automated).pdf","Transcript Link")</f>
        <v>Transcript Link</v>
      </c>
      <c r="M2829" s="2" t="str">
        <f>HYPERLINK("https://files.afu.se/Downloads/Transcripts/0%20-%20Government/USA%20-%20NASA/2013 08 05 - NASA - NASA's Curiosity Rover Marks One Year on Mars  Tuesday on NASA TV_QqwtV9k3zOc - transcript (automated).pdf","Transcript Link")</f>
        <v>Transcript Link</v>
      </c>
    </row>
    <row r="2830" ht="180" spans="1:13">
      <c r="A2830" s="1" t="s">
        <v>12933</v>
      </c>
      <c r="B2830" s="1" t="s">
        <v>13</v>
      </c>
      <c r="C2830" s="4" t="s">
        <v>12934</v>
      </c>
      <c r="D2830" s="1" t="s">
        <v>12935</v>
      </c>
      <c r="E2830" s="1" t="s">
        <v>12936</v>
      </c>
      <c r="F2830" s="4" t="s">
        <v>17</v>
      </c>
      <c r="G2830" s="1" t="s">
        <v>18</v>
      </c>
      <c r="H2830" s="1" t="s">
        <v>19</v>
      </c>
      <c r="I2830" s="1" t="s">
        <v>20</v>
      </c>
      <c r="J2830" s="1" t="s">
        <v>12937</v>
      </c>
      <c r="K2830" s="1" t="s">
        <v>22</v>
      </c>
      <c r="L2830" s="1" t="str">
        <f>HYPERLINK("https://files.afu.se/Downloads/Transcripts/0%20-%20Government/USA%20-%20NASA/2013 08 03 - NASA - A new visitor launches for the International Space Station_VP7izZhhE9A - transcript (automated).pdf","Transcript Link")</f>
        <v>Transcript Link</v>
      </c>
      <c r="M2830" s="2" t="str">
        <f>HYPERLINK("https://files.afu.se/Downloads/Transcripts/0%20-%20Government/USA%20-%20NASA/2013 08 03 - NASA - A new visitor launches for the International Space Station_VP7izZhhE9A - transcript (automated).pdf","Transcript Link")</f>
        <v>Transcript Link</v>
      </c>
    </row>
    <row r="2831" ht="270" spans="1:13">
      <c r="A2831" s="1" t="s">
        <v>12938</v>
      </c>
      <c r="B2831" s="1" t="s">
        <v>13</v>
      </c>
      <c r="C2831" s="4" t="s">
        <v>12939</v>
      </c>
      <c r="D2831" s="1" t="s">
        <v>12940</v>
      </c>
      <c r="E2831" s="1" t="s">
        <v>12941</v>
      </c>
      <c r="F2831" s="4" t="s">
        <v>17</v>
      </c>
      <c r="G2831" s="1" t="s">
        <v>18</v>
      </c>
      <c r="H2831" s="1" t="s">
        <v>19</v>
      </c>
      <c r="I2831" s="1" t="s">
        <v>20</v>
      </c>
      <c r="J2831" s="1" t="s">
        <v>12942</v>
      </c>
      <c r="K2831" s="1" t="s">
        <v>22</v>
      </c>
      <c r="L2831" s="1" t="str">
        <f>HYPERLINK("https://files.afu.se/Downloads/Transcripts/0%20-%20Government/USA%20-%20NASA/2013 08 02 - NASA - DC Celebrates Curiosity on This Week @NASA_IXZccFhshZs - transcript (automated).pdf","Transcript Link")</f>
        <v>Transcript Link</v>
      </c>
      <c r="M2831" s="2" t="str">
        <f>HYPERLINK("https://files.afu.se/Downloads/Transcripts/0%20-%20Government/USA%20-%20NASA/2013 08 02 - NASA - DC Celebrates Curiosity on This Week @NASA_IXZccFhshZs - transcript (automated).pdf","Transcript Link")</f>
        <v>Transcript Link</v>
      </c>
    </row>
    <row r="2832" ht="165" spans="1:13">
      <c r="A2832" s="1" t="s">
        <v>12938</v>
      </c>
      <c r="B2832" s="1" t="s">
        <v>13</v>
      </c>
      <c r="C2832" s="4" t="s">
        <v>12943</v>
      </c>
      <c r="D2832" s="1" t="s">
        <v>12944</v>
      </c>
      <c r="E2832" s="1" t="s">
        <v>12945</v>
      </c>
      <c r="F2832" s="4" t="s">
        <v>17</v>
      </c>
      <c r="G2832" s="1" t="s">
        <v>18</v>
      </c>
      <c r="H2832" s="1" t="s">
        <v>19</v>
      </c>
      <c r="I2832" s="1" t="s">
        <v>20</v>
      </c>
      <c r="J2832" s="1" t="s">
        <v>12946</v>
      </c>
      <c r="K2832" s="1" t="s">
        <v>22</v>
      </c>
      <c r="L2832" s="1" t="str">
        <f>HYPERLINK("https://files.afu.se/Downloads/Transcripts/0%20-%20Government/USA%20-%20NASA/2013 08 02 - NASA - Space Station Crew Discusses Life in Space with Minnesota Media and the Navy_Z85H-vnvh0o - transcript (automated).pdf","Transcript Link")</f>
        <v>Transcript Link</v>
      </c>
      <c r="M2832" s="2" t="str">
        <f>HYPERLINK("https://files.afu.se/Downloads/Transcripts/0%20-%20Government/USA%20-%20NASA/2013 08 02 - NASA - Space Station Crew Discusses Life in Space with Minnesota Media and the Navy_Z85H-vnvh0o - transcript (automated).pdf","Transcript Link")</f>
        <v>Transcript Link</v>
      </c>
    </row>
    <row r="2833" ht="165" spans="1:13">
      <c r="A2833" s="1" t="s">
        <v>12947</v>
      </c>
      <c r="B2833" s="1" t="s">
        <v>13</v>
      </c>
      <c r="C2833" s="4" t="s">
        <v>12948</v>
      </c>
      <c r="D2833" s="1" t="s">
        <v>12949</v>
      </c>
      <c r="E2833" s="1" t="s">
        <v>12950</v>
      </c>
      <c r="F2833" s="4" t="s">
        <v>17</v>
      </c>
      <c r="G2833" s="1" t="s">
        <v>18</v>
      </c>
      <c r="H2833" s="1" t="s">
        <v>19</v>
      </c>
      <c r="I2833" s="1" t="s">
        <v>20</v>
      </c>
      <c r="J2833" s="1" t="s">
        <v>12951</v>
      </c>
      <c r="K2833" s="1" t="s">
        <v>22</v>
      </c>
      <c r="L2833" s="1" t="str">
        <f>HYPERLINK("https://files.afu.se/Downloads/Transcripts/0%20-%20Government/USA%20-%20NASA/2013 07 31 - NASA - Space Station Crew Member Discusses Life in Space and Scientific Research_vyeL_Yx-zcM - transcript (automated).pdf","Transcript Link")</f>
        <v>Transcript Link</v>
      </c>
      <c r="M2833" s="2" t="str">
        <f>HYPERLINK("https://files.afu.se/Downloads/Transcripts/0%20-%20Government/USA%20-%20NASA/2013 07 31 - NASA - Space Station Crew Member Discusses Life in Space and Scientific Research_vyeL_Yx-zcM - transcript (automated).pdf","Transcript Link")</f>
        <v>Transcript Link</v>
      </c>
    </row>
    <row r="2834" ht="165" spans="1:13">
      <c r="A2834" s="1" t="s">
        <v>12952</v>
      </c>
      <c r="B2834" s="1" t="s">
        <v>13</v>
      </c>
      <c r="C2834" s="4" t="s">
        <v>12953</v>
      </c>
      <c r="D2834" s="1" t="s">
        <v>12954</v>
      </c>
      <c r="E2834" s="1" t="s">
        <v>12955</v>
      </c>
      <c r="F2834" s="4" t="s">
        <v>17</v>
      </c>
      <c r="G2834" s="1" t="s">
        <v>18</v>
      </c>
      <c r="H2834" s="1" t="s">
        <v>19</v>
      </c>
      <c r="I2834" s="1" t="s">
        <v>20</v>
      </c>
      <c r="J2834" s="1" t="s">
        <v>12956</v>
      </c>
      <c r="K2834" s="1" t="s">
        <v>22</v>
      </c>
      <c r="L2834" s="1" t="str">
        <f>HYPERLINK("https://files.afu.se/Downloads/Transcripts/0%20-%20Government/USA%20-%20NASA/2013 07 28 - NASA - New Cargo Ship, New Supplies for ISS_yxpfBqp0fKw - transcript (automated).pdf","Transcript Link")</f>
        <v>Transcript Link</v>
      </c>
      <c r="M2834" s="2" t="str">
        <f>HYPERLINK("https://files.afu.se/Downloads/Transcripts/0%20-%20Government/USA%20-%20NASA/2013 07 28 - NASA - New Cargo Ship, New Supplies for ISS_yxpfBqp0fKw - transcript (automated).pdf","Transcript Link")</f>
        <v>Transcript Link</v>
      </c>
    </row>
    <row r="2835" ht="165" spans="1:13">
      <c r="A2835" s="1" t="s">
        <v>12957</v>
      </c>
      <c r="B2835" s="1" t="s">
        <v>13</v>
      </c>
      <c r="C2835" s="4" t="s">
        <v>12958</v>
      </c>
      <c r="D2835" s="1" t="s">
        <v>12959</v>
      </c>
      <c r="E2835" s="1" t="s">
        <v>12960</v>
      </c>
      <c r="F2835" s="4" t="s">
        <v>17</v>
      </c>
      <c r="G2835" s="1" t="s">
        <v>18</v>
      </c>
      <c r="H2835" s="1" t="s">
        <v>19</v>
      </c>
      <c r="I2835" s="1" t="s">
        <v>20</v>
      </c>
      <c r="J2835" s="1" t="s">
        <v>12961</v>
      </c>
      <c r="K2835" s="1" t="s">
        <v>22</v>
      </c>
      <c r="L2835" s="1" t="str">
        <f>HYPERLINK("https://files.afu.se/Downloads/Transcripts/0%20-%20Government/USA%20-%20NASA/2013 07 27 - NASA - New Cargo Ship Heads to the ISS_LX9mspttL-c - transcript (automated).pdf","Transcript Link")</f>
        <v>Transcript Link</v>
      </c>
      <c r="M2835" s="2" t="str">
        <f>HYPERLINK("https://files.afu.se/Downloads/Transcripts/0%20-%20Government/USA%20-%20NASA/2013 07 27 - NASA - New Cargo Ship Heads to the ISS_LX9mspttL-c - transcript (automated).pdf","Transcript Link")</f>
        <v>Transcript Link</v>
      </c>
    </row>
    <row r="2836" ht="165" spans="1:13">
      <c r="A2836" s="1" t="s">
        <v>12962</v>
      </c>
      <c r="B2836" s="1" t="s">
        <v>13</v>
      </c>
      <c r="C2836" s="4" t="s">
        <v>12963</v>
      </c>
      <c r="D2836" s="1" t="s">
        <v>12964</v>
      </c>
      <c r="E2836" s="1" t="s">
        <v>12965</v>
      </c>
      <c r="F2836" s="4" t="s">
        <v>17</v>
      </c>
      <c r="G2836" s="1" t="s">
        <v>18</v>
      </c>
      <c r="H2836" s="1" t="s">
        <v>19</v>
      </c>
      <c r="I2836" s="1" t="s">
        <v>20</v>
      </c>
      <c r="J2836" s="1" t="s">
        <v>12966</v>
      </c>
      <c r="K2836" s="1" t="s">
        <v>22</v>
      </c>
      <c r="L2836" s="1" t="str">
        <f>HYPERLINK("https://files.afu.se/Downloads/Transcripts/0%20-%20Government/USA%20-%20NASA/2013 07 26 - NASA - A Remote Possibility on This Week @NASA_eC9gfgB6Ft4 - transcript (automated).pdf","Transcript Link")</f>
        <v>Transcript Link</v>
      </c>
      <c r="M2836" s="2" t="str">
        <f>HYPERLINK("https://files.afu.se/Downloads/Transcripts/0%20-%20Government/USA%20-%20NASA/2013 07 26 - NASA - A Remote Possibility on This Week @NASA_eC9gfgB6Ft4 - transcript (automated).pdf","Transcript Link")</f>
        <v>Transcript Link</v>
      </c>
    </row>
    <row r="2837" ht="165" spans="1:13">
      <c r="A2837" s="1" t="s">
        <v>12962</v>
      </c>
      <c r="B2837" s="1" t="s">
        <v>13</v>
      </c>
      <c r="C2837" s="4" t="s">
        <v>12967</v>
      </c>
      <c r="D2837" s="1" t="s">
        <v>12968</v>
      </c>
      <c r="E2837" s="1" t="s">
        <v>12969</v>
      </c>
      <c r="F2837" s="4" t="s">
        <v>17</v>
      </c>
      <c r="G2837" s="1" t="s">
        <v>18</v>
      </c>
      <c r="H2837" s="1" t="s">
        <v>19</v>
      </c>
      <c r="I2837" s="1" t="s">
        <v>20</v>
      </c>
      <c r="J2837" s="1" t="s">
        <v>12970</v>
      </c>
      <c r="K2837" s="1" t="s">
        <v>22</v>
      </c>
      <c r="L2837" s="1" t="str">
        <f>HYPERLINK("https://files.afu.se/Downloads/Transcripts/0%20-%20Government/USA%20-%20NASA/2013 07 26 - NASA - The N.E.X.T. Thing for Space Travel_lOtuK7qTGrg - transcript (automated).pdf","Transcript Link")</f>
        <v>Transcript Link</v>
      </c>
      <c r="M2837" s="2" t="str">
        <f>HYPERLINK("https://files.afu.se/Downloads/Transcripts/0%20-%20Government/USA%20-%20NASA/2013 07 26 - NASA - The N.E.X.T. Thing for Space Travel_lOtuK7qTGrg - transcript (automated).pdf","Transcript Link")</f>
        <v>Transcript Link</v>
      </c>
    </row>
    <row r="2838" ht="165" spans="1:13">
      <c r="A2838" s="1" t="s">
        <v>12971</v>
      </c>
      <c r="B2838" s="1" t="s">
        <v>13</v>
      </c>
      <c r="C2838" s="4" t="s">
        <v>12972</v>
      </c>
      <c r="D2838" s="1" t="s">
        <v>12973</v>
      </c>
      <c r="E2838" s="1" t="s">
        <v>12974</v>
      </c>
      <c r="F2838" s="4" t="s">
        <v>17</v>
      </c>
      <c r="G2838" s="1" t="s">
        <v>18</v>
      </c>
      <c r="H2838" s="1" t="s">
        <v>19</v>
      </c>
      <c r="I2838" s="1" t="s">
        <v>20</v>
      </c>
      <c r="J2838" s="1" t="s">
        <v>12975</v>
      </c>
      <c r="K2838" s="1" t="s">
        <v>22</v>
      </c>
      <c r="L2838" s="1" t="str">
        <f>HYPERLINK("https://files.afu.se/Downloads/Transcripts/0%20-%20Government/USA%20-%20NASA/2013 07 25 - NASA - Cargo Ship Leaves ISS_RaBeeZJI6c8 - transcript (automated).pdf","Transcript Link")</f>
        <v>Transcript Link</v>
      </c>
      <c r="M2838" s="2" t="str">
        <f>HYPERLINK("https://files.afu.se/Downloads/Transcripts/0%20-%20Government/USA%20-%20NASA/2013 07 25 - NASA - Cargo Ship Leaves ISS_RaBeeZJI6c8 - transcript (automated).pdf","Transcript Link")</f>
        <v>Transcript Link</v>
      </c>
    </row>
    <row r="2839" ht="165" spans="1:13">
      <c r="A2839" s="1" t="s">
        <v>12971</v>
      </c>
      <c r="B2839" s="1" t="s">
        <v>13</v>
      </c>
      <c r="C2839" s="4" t="s">
        <v>12976</v>
      </c>
      <c r="D2839" s="1" t="s">
        <v>12977</v>
      </c>
      <c r="E2839" s="1" t="s">
        <v>12978</v>
      </c>
      <c r="F2839" s="4" t="s">
        <v>17</v>
      </c>
      <c r="G2839" s="1" t="s">
        <v>18</v>
      </c>
      <c r="H2839" s="1" t="s">
        <v>19</v>
      </c>
      <c r="I2839" s="1" t="s">
        <v>20</v>
      </c>
      <c r="J2839" s="1" t="s">
        <v>12979</v>
      </c>
      <c r="K2839" s="1" t="s">
        <v>22</v>
      </c>
      <c r="L2839" s="1" t="str">
        <f>HYPERLINK("https://files.afu.se/Downloads/Transcripts/0%20-%20Government/USA%20-%20NASA/2013 07 25 - NASA - ISS Astronauts Discuss Mission with the Media_dT26heNtCL8 - transcript (automated).pdf","Transcript Link")</f>
        <v>Transcript Link</v>
      </c>
      <c r="M2839" s="2" t="str">
        <f>HYPERLINK("https://files.afu.se/Downloads/Transcripts/0%20-%20Government/USA%20-%20NASA/2013 07 25 - NASA - ISS Astronauts Discuss Mission with the Media_dT26heNtCL8 - transcript (automated).pdf","Transcript Link")</f>
        <v>Transcript Link</v>
      </c>
    </row>
    <row r="2840" ht="165" spans="1:13">
      <c r="A2840" s="1" t="s">
        <v>12980</v>
      </c>
      <c r="B2840" s="1" t="s">
        <v>13</v>
      </c>
      <c r="C2840" s="4" t="s">
        <v>12981</v>
      </c>
      <c r="D2840" s="1" t="s">
        <v>12982</v>
      </c>
      <c r="E2840" s="1" t="s">
        <v>12983</v>
      </c>
      <c r="F2840" s="4" t="s">
        <v>17</v>
      </c>
      <c r="G2840" s="1" t="s">
        <v>18</v>
      </c>
      <c r="H2840" s="1" t="s">
        <v>19</v>
      </c>
      <c r="I2840" s="1" t="s">
        <v>20</v>
      </c>
      <c r="J2840" s="1" t="s">
        <v>12984</v>
      </c>
      <c r="K2840" s="1" t="s">
        <v>22</v>
      </c>
      <c r="L2840" s="1" t="str">
        <f>HYPERLINK("https://files.afu.se/Downloads/Transcripts/0%20-%20Government/USA%20-%20NASA/2013 07 23 - NASA - Hangout to Celebrate Sally Ride_BQ2E_cUvoIo - transcript (automated).pdf","Transcript Link")</f>
        <v>Transcript Link</v>
      </c>
      <c r="M2840" s="2" t="str">
        <f>HYPERLINK("https://files.afu.se/Downloads/Transcripts/0%20-%20Government/USA%20-%20NASA/2013 07 23 - NASA - Hangout to Celebrate Sally Ride_BQ2E_cUvoIo - transcript (automated).pdf","Transcript Link")</f>
        <v>Transcript Link</v>
      </c>
    </row>
    <row r="2841" ht="165" spans="1:13">
      <c r="A2841" s="1" t="s">
        <v>12980</v>
      </c>
      <c r="B2841" s="1" t="s">
        <v>13</v>
      </c>
      <c r="C2841" s="4" t="s">
        <v>12985</v>
      </c>
      <c r="D2841" s="1" t="s">
        <v>12986</v>
      </c>
      <c r="E2841" s="1" t="s">
        <v>12987</v>
      </c>
      <c r="F2841" s="4" t="s">
        <v>17</v>
      </c>
      <c r="G2841" s="1" t="s">
        <v>18</v>
      </c>
      <c r="H2841" s="1" t="s">
        <v>19</v>
      </c>
      <c r="I2841" s="1" t="s">
        <v>20</v>
      </c>
      <c r="J2841" s="1" t="s">
        <v>12988</v>
      </c>
      <c r="K2841" s="1" t="s">
        <v>22</v>
      </c>
      <c r="L2841" s="1" t="str">
        <f>HYPERLINK("https://files.afu.se/Downloads/Transcripts/0%20-%20Government/USA%20-%20NASA/2013 07 23 - NASA - Hangout for Hurricane Research_JPM0hAxlR5s - transcript (automated).pdf","Transcript Link")</f>
        <v>Transcript Link</v>
      </c>
      <c r="M2841" s="2" t="str">
        <f>HYPERLINK("https://files.afu.se/Downloads/Transcripts/0%20-%20Government/USA%20-%20NASA/2013 07 23 - NASA - Hangout for Hurricane Research_JPM0hAxlR5s - transcript (automated).pdf","Transcript Link")</f>
        <v>Transcript Link</v>
      </c>
    </row>
    <row r="2842" ht="165" spans="1:13">
      <c r="A2842" s="1" t="s">
        <v>12980</v>
      </c>
      <c r="B2842" s="1" t="s">
        <v>13</v>
      </c>
      <c r="C2842" s="4" t="s">
        <v>12989</v>
      </c>
      <c r="D2842" s="1" t="s">
        <v>12990</v>
      </c>
      <c r="E2842" s="1" t="s">
        <v>12991</v>
      </c>
      <c r="F2842" s="4" t="s">
        <v>17</v>
      </c>
      <c r="G2842" s="1" t="s">
        <v>18</v>
      </c>
      <c r="H2842" s="1" t="s">
        <v>19</v>
      </c>
      <c r="I2842" s="1" t="s">
        <v>20</v>
      </c>
      <c r="J2842" s="1" t="s">
        <v>12992</v>
      </c>
      <c r="K2842" s="1" t="s">
        <v>22</v>
      </c>
      <c r="L2842" s="1" t="str">
        <f>HYPERLINK("https://files.afu.se/Downloads/Transcripts/0%20-%20Government/USA%20-%20NASA/2013 07 23 - NASA - Luca Talks with European Engineers from Space_0aAvVZKSGr8 - transcript (automated).pdf","Transcript Link")</f>
        <v>Transcript Link</v>
      </c>
      <c r="M2842" s="2" t="str">
        <f>HYPERLINK("https://files.afu.se/Downloads/Transcripts/0%20-%20Government/USA%20-%20NASA/2013 07 23 - NASA - Luca Talks with European Engineers from Space_0aAvVZKSGr8 - transcript (automated).pdf","Transcript Link")</f>
        <v>Transcript Link</v>
      </c>
    </row>
    <row r="2843" ht="165" spans="1:13">
      <c r="A2843" s="1" t="s">
        <v>12993</v>
      </c>
      <c r="B2843" s="1" t="s">
        <v>13</v>
      </c>
      <c r="C2843" s="4" t="s">
        <v>12994</v>
      </c>
      <c r="D2843" s="1" t="s">
        <v>12995</v>
      </c>
      <c r="E2843" s="1" t="s">
        <v>12996</v>
      </c>
      <c r="F2843" s="4" t="s">
        <v>17</v>
      </c>
      <c r="G2843" s="1" t="s">
        <v>18</v>
      </c>
      <c r="H2843" s="1" t="s">
        <v>19</v>
      </c>
      <c r="I2843" s="1" t="s">
        <v>20</v>
      </c>
      <c r="J2843" s="1" t="s">
        <v>12997</v>
      </c>
      <c r="K2843" s="1" t="s">
        <v>22</v>
      </c>
      <c r="L2843" s="1" t="str">
        <f>HYPERLINK("https://files.afu.se/Downloads/Transcripts/0%20-%20Government/USA%20-%20NASA/2013 07 19 - NASA - A Leaky Spacewalk on This Week @NASA_NY6gn-RCtA0 - transcript (automated).pdf","Transcript Link")</f>
        <v>Transcript Link</v>
      </c>
      <c r="M2843" s="2" t="str">
        <f>HYPERLINK("https://files.afu.se/Downloads/Transcripts/0%20-%20Government/USA%20-%20NASA/2013 07 19 - NASA - A Leaky Spacewalk on This Week @NASA_NY6gn-RCtA0 - transcript (automated).pdf","Transcript Link")</f>
        <v>Transcript Link</v>
      </c>
    </row>
    <row r="2844" ht="165" spans="1:13">
      <c r="A2844" s="1" t="s">
        <v>12993</v>
      </c>
      <c r="B2844" s="1" t="s">
        <v>13</v>
      </c>
      <c r="C2844" s="4" t="s">
        <v>12998</v>
      </c>
      <c r="D2844" s="1" t="s">
        <v>12999</v>
      </c>
      <c r="E2844" s="1" t="s">
        <v>13000</v>
      </c>
      <c r="F2844" s="4" t="s">
        <v>17</v>
      </c>
      <c r="G2844" s="1" t="s">
        <v>18</v>
      </c>
      <c r="H2844" s="1" t="s">
        <v>19</v>
      </c>
      <c r="I2844" s="1" t="s">
        <v>20</v>
      </c>
      <c r="J2844" s="1" t="s">
        <v>13001</v>
      </c>
      <c r="K2844" s="1" t="s">
        <v>22</v>
      </c>
      <c r="L2844" s="1" t="str">
        <f>HYPERLINK("https://files.afu.se/Downloads/Transcripts/0%20-%20Government/USA%20-%20NASA/2013 07 19 - NASA - Space Station Crew Member Discusses Life in Space With Italy's Prime Minister_MJwzpfbS5OU - transcript (automated).pdf","Transcript Link")</f>
        <v>Transcript Link</v>
      </c>
      <c r="M2844" s="2" t="str">
        <f>HYPERLINK("https://files.afu.se/Downloads/Transcripts/0%20-%20Government/USA%20-%20NASA/2013 07 19 - NASA - Space Station Crew Member Discusses Life in Space With Italy's Prime Minister_MJwzpfbS5OU - transcript (automated).pdf","Transcript Link")</f>
        <v>Transcript Link</v>
      </c>
    </row>
    <row r="2845" ht="165" spans="1:13">
      <c r="A2845" s="1" t="s">
        <v>13002</v>
      </c>
      <c r="B2845" s="1" t="s">
        <v>13</v>
      </c>
      <c r="C2845" s="4" t="s">
        <v>13003</v>
      </c>
      <c r="D2845" s="1" t="s">
        <v>13004</v>
      </c>
      <c r="E2845" s="1" t="s">
        <v>13005</v>
      </c>
      <c r="F2845" s="4" t="s">
        <v>17</v>
      </c>
      <c r="G2845" s="1" t="s">
        <v>18</v>
      </c>
      <c r="H2845" s="1" t="s">
        <v>19</v>
      </c>
      <c r="I2845" s="1" t="s">
        <v>20</v>
      </c>
      <c r="J2845" s="1" t="s">
        <v>13006</v>
      </c>
      <c r="K2845" s="1" t="s">
        <v>22</v>
      </c>
      <c r="L2845" s="1" t="str">
        <f>HYPERLINK("https://files.afu.se/Downloads/Transcripts/0%20-%20Government/USA%20-%20NASA/2013 07 18 - NASA - Space Station Crew Discusses Life in Space with News Media Representatives_o9nVJqD0rHM - transcript (automated).pdf","Transcript Link")</f>
        <v>Transcript Link</v>
      </c>
      <c r="M2845" s="2" t="str">
        <f>HYPERLINK("https://files.afu.se/Downloads/Transcripts/0%20-%20Government/USA%20-%20NASA/2013 07 18 - NASA - Space Station Crew Discusses Life in Space with News Media Representatives_o9nVJqD0rHM - transcript (automated).pdf","Transcript Link")</f>
        <v>Transcript Link</v>
      </c>
    </row>
    <row r="2846" ht="165" spans="1:13">
      <c r="A2846" s="1" t="s">
        <v>13002</v>
      </c>
      <c r="B2846" s="1" t="s">
        <v>13</v>
      </c>
      <c r="C2846" s="4" t="s">
        <v>13007</v>
      </c>
      <c r="D2846" s="1" t="s">
        <v>13008</v>
      </c>
      <c r="F2846" s="4" t="s">
        <v>17</v>
      </c>
      <c r="G2846" s="1" t="s">
        <v>18</v>
      </c>
      <c r="H2846" s="1" t="s">
        <v>19</v>
      </c>
      <c r="I2846" s="1" t="s">
        <v>20</v>
      </c>
      <c r="J2846" s="1" t="s">
        <v>13009</v>
      </c>
      <c r="K2846" s="1" t="s">
        <v>22</v>
      </c>
      <c r="L2846" s="1" t="str">
        <f>HYPERLINK("https://files.afu.se/Downloads/Transcripts/0%20-%20Government/USA%20-%20NASA/2013 07 18 - NASA - NASA Agency Honor Awards_wMEGXAvO4kw - transcript (automated).pdf","Transcript Link")</f>
        <v>Transcript Link</v>
      </c>
      <c r="M2846" s="2" t="str">
        <f>HYPERLINK("https://files.afu.se/Downloads/Transcripts/0%20-%20Government/USA%20-%20NASA/2013 07 18 - NASA - NASA Agency Honor Awards_wMEGXAvO4kw - transcript (automated).pdf","Transcript Link")</f>
        <v>Transcript Link</v>
      </c>
    </row>
    <row r="2847" ht="165" spans="1:13">
      <c r="A2847" s="1" t="s">
        <v>13002</v>
      </c>
      <c r="B2847" s="1" t="s">
        <v>13</v>
      </c>
      <c r="C2847" s="4" t="s">
        <v>13010</v>
      </c>
      <c r="D2847" s="1" t="s">
        <v>13011</v>
      </c>
      <c r="E2847" s="1" t="s">
        <v>13012</v>
      </c>
      <c r="F2847" s="4" t="s">
        <v>17</v>
      </c>
      <c r="G2847" s="1" t="s">
        <v>18</v>
      </c>
      <c r="H2847" s="1" t="s">
        <v>19</v>
      </c>
      <c r="I2847" s="1" t="s">
        <v>20</v>
      </c>
      <c r="J2847" s="1" t="s">
        <v>13013</v>
      </c>
      <c r="K2847" s="1" t="s">
        <v>22</v>
      </c>
      <c r="L2847" s="1" t="str">
        <f>HYPERLINK("https://files.afu.se/Downloads/Transcripts/0%20-%20Government/USA%20-%20NASA/2013 07 18 - NASA - Astronaut Mike Hopkins, Next Station Crew Meet Media_K735zeXfd2U - transcript (automated).pdf","Transcript Link")</f>
        <v>Transcript Link</v>
      </c>
      <c r="M2847" s="2" t="str">
        <f>HYPERLINK("https://files.afu.se/Downloads/Transcripts/0%20-%20Government/USA%20-%20NASA/2013 07 18 - NASA - Astronaut Mike Hopkins, Next Station Crew Meet Media_K735zeXfd2U - transcript (automated).pdf","Transcript Link")</f>
        <v>Transcript Link</v>
      </c>
    </row>
    <row r="2848" ht="285" spans="1:13">
      <c r="A2848" s="1" t="s">
        <v>13014</v>
      </c>
      <c r="B2848" s="1" t="s">
        <v>13</v>
      </c>
      <c r="C2848" s="4" t="s">
        <v>13015</v>
      </c>
      <c r="D2848" s="1" t="s">
        <v>13016</v>
      </c>
      <c r="E2848" s="1" t="s">
        <v>13017</v>
      </c>
      <c r="F2848" s="4" t="s">
        <v>17</v>
      </c>
      <c r="G2848" s="1" t="s">
        <v>18</v>
      </c>
      <c r="H2848" s="1" t="s">
        <v>19</v>
      </c>
      <c r="I2848" s="1" t="s">
        <v>20</v>
      </c>
      <c r="J2848" s="1" t="s">
        <v>13018</v>
      </c>
      <c r="K2848" s="1" t="s">
        <v>22</v>
      </c>
      <c r="L2848" s="1" t="str">
        <f>HYPERLINK("https://files.afu.se/Downloads/Transcripts/0%20-%20Government/USA%20-%20NASA/2013 07 17 - NASA - Students visiting Seattle's Museum of Flight chat with International Space Station Controller_cl1l76SSK90 - transcript (automated).pdf","Transcript Link")</f>
        <v>Transcript Link</v>
      </c>
      <c r="M2848" s="2" t="str">
        <f>HYPERLINK("https://files.afu.se/Downloads/Transcripts/0%20-%20Government/USA%20-%20NASA/2013 07 17 - NASA - Students visiting Seattle's Museum of Flight chat with International Space Station Controller_cl1l76SSK90 - transcript (automated).pdf","Transcript Link")</f>
        <v>Transcript Link</v>
      </c>
    </row>
    <row r="2849" ht="165" spans="1:13">
      <c r="A2849" s="1" t="s">
        <v>13019</v>
      </c>
      <c r="B2849" s="1" t="s">
        <v>13</v>
      </c>
      <c r="C2849" s="4" t="s">
        <v>13020</v>
      </c>
      <c r="D2849" s="1" t="s">
        <v>13021</v>
      </c>
      <c r="E2849" s="1" t="s">
        <v>13022</v>
      </c>
      <c r="F2849" s="4" t="s">
        <v>17</v>
      </c>
      <c r="G2849" s="1" t="s">
        <v>18</v>
      </c>
      <c r="H2849" s="1" t="s">
        <v>19</v>
      </c>
      <c r="I2849" s="1" t="s">
        <v>20</v>
      </c>
      <c r="J2849" s="1" t="s">
        <v>13023</v>
      </c>
      <c r="K2849" s="1" t="s">
        <v>22</v>
      </c>
      <c r="L2849" s="1" t="str">
        <f>HYPERLINK("https://files.afu.se/Downloads/Transcripts/0%20-%20Government/USA%20-%20NASA/2013 07 16 - NASA - NASA Managers Brief Media on Spacewalk Leak_7YpCXpkn4Vo - transcript (automated).pdf","Transcript Link")</f>
        <v>Transcript Link</v>
      </c>
      <c r="M2849" s="2" t="str">
        <f>HYPERLINK("https://files.afu.se/Downloads/Transcripts/0%20-%20Government/USA%20-%20NASA/2013 07 16 - NASA - NASA Managers Brief Media on Spacewalk Leak_7YpCXpkn4Vo - transcript (automated).pdf","Transcript Link")</f>
        <v>Transcript Link</v>
      </c>
    </row>
    <row r="2850" ht="210" spans="1:13">
      <c r="A2850" s="1" t="s">
        <v>13019</v>
      </c>
      <c r="B2850" s="1" t="s">
        <v>13</v>
      </c>
      <c r="C2850" s="4" t="s">
        <v>13024</v>
      </c>
      <c r="D2850" s="1" t="s">
        <v>13025</v>
      </c>
      <c r="E2850" s="1" t="s">
        <v>13026</v>
      </c>
      <c r="F2850" s="4" t="s">
        <v>17</v>
      </c>
      <c r="G2850" s="1" t="s">
        <v>18</v>
      </c>
      <c r="H2850" s="1" t="s">
        <v>19</v>
      </c>
      <c r="I2850" s="1" t="s">
        <v>20</v>
      </c>
      <c r="J2850" s="1" t="s">
        <v>13027</v>
      </c>
      <c r="K2850" s="1" t="s">
        <v>22</v>
      </c>
      <c r="L2850" s="1" t="str">
        <f>HYPERLINK("https://files.afu.se/Downloads/Transcripts/0%20-%20Government/USA%20-%20NASA/2013 07 16 - NASA - Space Station Spacewalk Ended Early for Malfunction_QJfTjoR_22g - transcript (automated).pdf","Transcript Link")</f>
        <v>Transcript Link</v>
      </c>
      <c r="M2850" s="2" t="str">
        <f>HYPERLINK("https://files.afu.se/Downloads/Transcripts/0%20-%20Government/USA%20-%20NASA/2013 07 16 - NASA - Space Station Spacewalk Ended Early for Malfunction_QJfTjoR_22g - transcript (automated).pdf","Transcript Link")</f>
        <v>Transcript Link</v>
      </c>
    </row>
    <row r="2851" ht="210" spans="1:13">
      <c r="A2851" s="1" t="s">
        <v>13019</v>
      </c>
      <c r="B2851" s="1" t="s">
        <v>13</v>
      </c>
      <c r="C2851" s="4" t="s">
        <v>13028</v>
      </c>
      <c r="D2851" s="1" t="s">
        <v>13029</v>
      </c>
      <c r="E2851" s="1" t="s">
        <v>13030</v>
      </c>
      <c r="F2851" s="4" t="s">
        <v>17</v>
      </c>
      <c r="G2851" s="1" t="s">
        <v>18</v>
      </c>
      <c r="H2851" s="1" t="s">
        <v>19</v>
      </c>
      <c r="I2851" s="1" t="s">
        <v>20</v>
      </c>
      <c r="J2851" s="1" t="s">
        <v>13031</v>
      </c>
      <c r="K2851" s="1" t="s">
        <v>22</v>
      </c>
      <c r="L2851" s="1" t="str">
        <f>HYPERLINK("https://files.afu.se/Downloads/Transcripts/0%20-%20Government/USA%20-%20NASA/2013 07 16 - NASA - Astronaut Tom Marshburn Takes Questions From Kids at the Newseum__LbX8wRTWvc - transcript (automated).pdf","Transcript Link")</f>
        <v>Transcript Link</v>
      </c>
      <c r="M2851" s="2" t="str">
        <f>HYPERLINK("https://files.afu.se/Downloads/Transcripts/0%20-%20Government/USA%20-%20NASA/2013 07 16 - NASA - Astronaut Tom Marshburn Takes Questions From Kids at the Newseum__LbX8wRTWvc - transcript (automated).pdf","Transcript Link")</f>
        <v>Transcript Link</v>
      </c>
    </row>
    <row r="2852" ht="285" spans="1:13">
      <c r="A2852" s="1" t="s">
        <v>13032</v>
      </c>
      <c r="B2852" s="1" t="s">
        <v>13</v>
      </c>
      <c r="C2852" s="4" t="s">
        <v>13033</v>
      </c>
      <c r="D2852" s="1" t="s">
        <v>13034</v>
      </c>
      <c r="E2852" s="1" t="s">
        <v>12006</v>
      </c>
      <c r="F2852" s="4" t="s">
        <v>17</v>
      </c>
      <c r="G2852" s="1" t="s">
        <v>18</v>
      </c>
      <c r="H2852" s="1" t="s">
        <v>19</v>
      </c>
      <c r="I2852" s="1" t="s">
        <v>20</v>
      </c>
      <c r="J2852" s="1" t="s">
        <v>13035</v>
      </c>
      <c r="K2852" s="1" t="s">
        <v>22</v>
      </c>
      <c r="L2852" s="1" t="str">
        <f>HYPERLINK("https://files.afu.se/Downloads/Transcripts/0%20-%20Government/USA%20-%20NASA/2013 07 12 - NASA - NASA Mars Curiosity Rover Report -- July 11, 2013_ataNExfunPw - transcript (automated).pdf","Transcript Link")</f>
        <v>Transcript Link</v>
      </c>
      <c r="M2852" s="2" t="str">
        <f>HYPERLINK("https://files.afu.se/Downloads/Transcripts/0%20-%20Government/USA%20-%20NASA/2013 07 12 - NASA - NASA Mars Curiosity Rover Report -- July 11, 2013_ataNExfunPw - transcript (automated).pdf","Transcript Link")</f>
        <v>Transcript Link</v>
      </c>
    </row>
    <row r="2853" ht="180" spans="1:13">
      <c r="A2853" s="1" t="s">
        <v>13032</v>
      </c>
      <c r="B2853" s="1" t="s">
        <v>13</v>
      </c>
      <c r="C2853" s="4" t="s">
        <v>13036</v>
      </c>
      <c r="D2853" s="1" t="s">
        <v>13037</v>
      </c>
      <c r="E2853" s="1" t="s">
        <v>13038</v>
      </c>
      <c r="F2853" s="4" t="s">
        <v>17</v>
      </c>
      <c r="G2853" s="1" t="s">
        <v>18</v>
      </c>
      <c r="H2853" s="1" t="s">
        <v>19</v>
      </c>
      <c r="I2853" s="1" t="s">
        <v>20</v>
      </c>
      <c r="J2853" s="1" t="s">
        <v>13039</v>
      </c>
      <c r="K2853" s="1" t="s">
        <v>22</v>
      </c>
      <c r="L2853" s="1" t="str">
        <f>HYPERLINK("https://files.afu.se/Downloads/Transcripts/0%20-%20Government/USA%20-%20NASA/2013 07 12 - NASA - Station Spacewalk on This Week @NASA_LWMoaT0nRXM - transcript (automated).pdf","Transcript Link")</f>
        <v>Transcript Link</v>
      </c>
      <c r="M2853" s="2" t="str">
        <f>HYPERLINK("https://files.afu.se/Downloads/Transcripts/0%20-%20Government/USA%20-%20NASA/2013 07 12 - NASA - Station Spacewalk on This Week @NASA_LWMoaT0nRXM - transcript (automated).pdf","Transcript Link")</f>
        <v>Transcript Link</v>
      </c>
    </row>
    <row r="2854" ht="210" spans="1:13">
      <c r="A2854" s="1" t="s">
        <v>13032</v>
      </c>
      <c r="B2854" s="1" t="s">
        <v>13</v>
      </c>
      <c r="C2854" s="4" t="s">
        <v>13040</v>
      </c>
      <c r="D2854" s="1" t="s">
        <v>13041</v>
      </c>
      <c r="E2854" s="1" t="s">
        <v>13042</v>
      </c>
      <c r="F2854" s="4" t="s">
        <v>17</v>
      </c>
      <c r="G2854" s="1" t="s">
        <v>18</v>
      </c>
      <c r="H2854" s="1" t="s">
        <v>19</v>
      </c>
      <c r="I2854" s="1" t="s">
        <v>20</v>
      </c>
      <c r="J2854" s="1" t="s">
        <v>13043</v>
      </c>
      <c r="K2854" s="1" t="s">
        <v>22</v>
      </c>
      <c r="L2854" s="1" t="str">
        <f>HYPERLINK("https://files.afu.se/Downloads/Transcripts/0%20-%20Government/USA%20-%20NASA/2013 07 12 - NASA - Space Station Crewmember Discusses His First Spacewalk with Italian Reporters_spKVThL6pRg - transcript (automated).pdf","Transcript Link")</f>
        <v>Transcript Link</v>
      </c>
      <c r="M2854" s="2" t="str">
        <f>HYPERLINK("https://files.afu.se/Downloads/Transcripts/0%20-%20Government/USA%20-%20NASA/2013 07 12 - NASA - Space Station Crewmember Discusses His First Spacewalk with Italian Reporters_spKVThL6pRg - transcript (automated).pdf","Transcript Link")</f>
        <v>Transcript Link</v>
      </c>
    </row>
    <row r="2855" ht="210" spans="1:13">
      <c r="A2855" s="1" t="s">
        <v>13044</v>
      </c>
      <c r="B2855" s="1" t="s">
        <v>13</v>
      </c>
      <c r="C2855" s="4" t="s">
        <v>13045</v>
      </c>
      <c r="D2855" s="1" t="s">
        <v>13046</v>
      </c>
      <c r="E2855" s="1" t="s">
        <v>13047</v>
      </c>
      <c r="F2855" s="4" t="s">
        <v>17</v>
      </c>
      <c r="G2855" s="1" t="s">
        <v>18</v>
      </c>
      <c r="H2855" s="1" t="s">
        <v>19</v>
      </c>
      <c r="I2855" s="1" t="s">
        <v>20</v>
      </c>
      <c r="J2855" s="1" t="s">
        <v>13048</v>
      </c>
      <c r="K2855" s="1" t="s">
        <v>22</v>
      </c>
      <c r="L2855" s="1" t="str">
        <f>HYPERLINK("https://files.afu.se/Downloads/Transcripts/0%20-%20Government/USA%20-%20NASA/2013 07 11 - NASA - NASA Astronaut Talks Space with Students_lozXsrvgfTY - transcript (automated).pdf","Transcript Link")</f>
        <v>Transcript Link</v>
      </c>
      <c r="M2855" s="2" t="str">
        <f>HYPERLINK("https://files.afu.se/Downloads/Transcripts/0%20-%20Government/USA%20-%20NASA/2013 07 11 - NASA - NASA Astronaut Talks Space with Students_lozXsrvgfTY - transcript (automated).pdf","Transcript Link")</f>
        <v>Transcript Link</v>
      </c>
    </row>
    <row r="2856" ht="195" spans="1:13">
      <c r="A2856" s="1" t="s">
        <v>13049</v>
      </c>
      <c r="B2856" s="1" t="s">
        <v>13</v>
      </c>
      <c r="C2856" s="4" t="s">
        <v>13050</v>
      </c>
      <c r="D2856" s="1" t="s">
        <v>13051</v>
      </c>
      <c r="E2856" s="1" t="s">
        <v>13052</v>
      </c>
      <c r="F2856" s="4" t="s">
        <v>17</v>
      </c>
      <c r="G2856" s="1" t="s">
        <v>18</v>
      </c>
      <c r="H2856" s="1" t="s">
        <v>19</v>
      </c>
      <c r="I2856" s="1" t="s">
        <v>20</v>
      </c>
      <c r="J2856" s="1" t="s">
        <v>13053</v>
      </c>
      <c r="K2856" s="1" t="s">
        <v>22</v>
      </c>
      <c r="L2856" s="1" t="str">
        <f>HYPERLINK("https://files.afu.se/Downloads/Transcripts/0%20-%20Government/USA%20-%20NASA/2013 07 09 - NASA -  Grab Bag  of Tasks Performed During ISS Spacewalk_t9Q4E1oILqs - transcript (automated).pdf","Transcript Link")</f>
        <v>Transcript Link</v>
      </c>
      <c r="M2856" s="2" t="str">
        <f>HYPERLINK("https://files.afu.se/Downloads/Transcripts/0%20-%20Government/USA%20-%20NASA/2013 07 09 - NASA -  Grab Bag  of Tasks Performed During ISS Spacewalk_t9Q4E1oILqs - transcript (automated).pdf","Transcript Link")</f>
        <v>Transcript Link</v>
      </c>
    </row>
    <row r="2857" ht="165" spans="1:13">
      <c r="A2857" s="1" t="s">
        <v>13054</v>
      </c>
      <c r="B2857" s="1" t="s">
        <v>13</v>
      </c>
      <c r="C2857" s="4" t="s">
        <v>13055</v>
      </c>
      <c r="D2857" s="1" t="s">
        <v>13056</v>
      </c>
      <c r="E2857" s="1" t="s">
        <v>13057</v>
      </c>
      <c r="F2857" s="4" t="s">
        <v>17</v>
      </c>
      <c r="G2857" s="1" t="s">
        <v>18</v>
      </c>
      <c r="H2857" s="1" t="s">
        <v>19</v>
      </c>
      <c r="I2857" s="1" t="s">
        <v>20</v>
      </c>
      <c r="J2857" s="1" t="s">
        <v>13058</v>
      </c>
      <c r="K2857" s="1" t="s">
        <v>22</v>
      </c>
      <c r="L2857" s="1" t="str">
        <f>HYPERLINK("https://files.afu.se/Downloads/Transcripts/0%20-%20Government/USA%20-%20NASA/2013 07 05 - NASA - July Spacewalks Previewed on This Week @NASA_MMwe7P05_DE - transcript (automated).pdf","Transcript Link")</f>
        <v>Transcript Link</v>
      </c>
      <c r="M2857" s="2" t="str">
        <f>HYPERLINK("https://files.afu.se/Downloads/Transcripts/0%20-%20Government/USA%20-%20NASA/2013 07 05 - NASA - July Spacewalks Previewed on This Week @NASA_MMwe7P05_DE - transcript (automated).pdf","Transcript Link")</f>
        <v>Transcript Link</v>
      </c>
    </row>
    <row r="2858" ht="165" spans="1:13">
      <c r="A2858" s="1" t="s">
        <v>13059</v>
      </c>
      <c r="B2858" s="1" t="s">
        <v>13</v>
      </c>
      <c r="C2858" s="4" t="s">
        <v>13060</v>
      </c>
      <c r="D2858" s="1" t="s">
        <v>13061</v>
      </c>
      <c r="E2858" s="1" t="s">
        <v>13062</v>
      </c>
      <c r="F2858" s="4" t="s">
        <v>17</v>
      </c>
      <c r="G2858" s="1" t="s">
        <v>18</v>
      </c>
      <c r="H2858" s="1" t="s">
        <v>19</v>
      </c>
      <c r="I2858" s="1" t="s">
        <v>20</v>
      </c>
      <c r="J2858" s="1" t="s">
        <v>13063</v>
      </c>
      <c r="K2858" s="1" t="s">
        <v>22</v>
      </c>
      <c r="L2858" s="1" t="str">
        <f>HYPERLINK("https://files.afu.se/Downloads/Transcripts/0%20-%20Government/USA%20-%20NASA/2013 07 03 - NASA - NASA Astronaut Chats from Space with Home State Media_k6XjtPs1SX8 - transcript (automated).pdf","Transcript Link")</f>
        <v>Transcript Link</v>
      </c>
      <c r="M2858" s="2" t="str">
        <f>HYPERLINK("https://files.afu.se/Downloads/Transcripts/0%20-%20Government/USA%20-%20NASA/2013 07 03 - NASA - NASA Astronaut Chats from Space with Home State Media_k6XjtPs1SX8 - transcript (automated).pdf","Transcript Link")</f>
        <v>Transcript Link</v>
      </c>
    </row>
    <row r="2859" ht="180" spans="1:13">
      <c r="A2859" s="1" t="s">
        <v>13064</v>
      </c>
      <c r="B2859" s="1" t="s">
        <v>13</v>
      </c>
      <c r="C2859" s="4" t="s">
        <v>13065</v>
      </c>
      <c r="D2859" s="1" t="s">
        <v>13066</v>
      </c>
      <c r="E2859" s="1" t="s">
        <v>13067</v>
      </c>
      <c r="F2859" s="4" t="s">
        <v>17</v>
      </c>
      <c r="G2859" s="1" t="s">
        <v>18</v>
      </c>
      <c r="H2859" s="1" t="s">
        <v>19</v>
      </c>
      <c r="I2859" s="1" t="s">
        <v>20</v>
      </c>
      <c r="J2859" s="1" t="s">
        <v>13068</v>
      </c>
      <c r="K2859" s="1" t="s">
        <v>22</v>
      </c>
      <c r="L2859" s="1" t="str">
        <f>HYPERLINK("https://files.afu.se/Downloads/Transcripts/0%20-%20Government/USA%20-%20NASA/2013 07 02 - NASA - New Spacewalk Brief for ISS Expedition 36_S2xIo9CVzg4 - transcript (automated).pdf","Transcript Link")</f>
        <v>Transcript Link</v>
      </c>
      <c r="M2859" s="2" t="str">
        <f>HYPERLINK("https://files.afu.se/Downloads/Transcripts/0%20-%20Government/USA%20-%20NASA/2013 07 02 - NASA - New Spacewalk Brief for ISS Expedition 36_S2xIo9CVzg4 - transcript (automated).pdf","Transcript Link")</f>
        <v>Transcript Link</v>
      </c>
    </row>
    <row r="2860" ht="165" spans="1:13">
      <c r="A2860" s="1" t="s">
        <v>13069</v>
      </c>
      <c r="B2860" s="1" t="s">
        <v>13</v>
      </c>
      <c r="C2860" s="4" t="s">
        <v>13070</v>
      </c>
      <c r="D2860" s="1" t="s">
        <v>13071</v>
      </c>
      <c r="E2860" s="1" t="s">
        <v>13072</v>
      </c>
      <c r="F2860" s="4" t="s">
        <v>17</v>
      </c>
      <c r="G2860" s="1" t="s">
        <v>18</v>
      </c>
      <c r="H2860" s="1" t="s">
        <v>19</v>
      </c>
      <c r="I2860" s="1" t="s">
        <v>20</v>
      </c>
      <c r="J2860" s="1" t="s">
        <v>13073</v>
      </c>
      <c r="K2860" s="1" t="s">
        <v>22</v>
      </c>
      <c r="L2860" s="1" t="str">
        <f>HYPERLINK("https://files.afu.se/Downloads/Transcripts/0%20-%20Government/USA%20-%20NASA/2013 07 01 - NASA - IRIS Mission Underway on This Week @NASA_R74jUezvfAI - transcript (automated).pdf","Transcript Link")</f>
        <v>Transcript Link</v>
      </c>
      <c r="M2860" s="2" t="str">
        <f>HYPERLINK("https://files.afu.se/Downloads/Transcripts/0%20-%20Government/USA%20-%20NASA/2013 07 01 - NASA - IRIS Mission Underway on This Week @NASA_R74jUezvfAI - transcript (automated).pdf","Transcript Link")</f>
        <v>Transcript Link</v>
      </c>
    </row>
    <row r="2861" ht="210" spans="1:13">
      <c r="A2861" s="1" t="s">
        <v>13074</v>
      </c>
      <c r="B2861" s="1" t="s">
        <v>13</v>
      </c>
      <c r="C2861" s="4" t="s">
        <v>13075</v>
      </c>
      <c r="D2861" s="1" t="s">
        <v>13076</v>
      </c>
      <c r="E2861" s="1" t="s">
        <v>13077</v>
      </c>
      <c r="F2861" s="4" t="s">
        <v>17</v>
      </c>
      <c r="G2861" s="1" t="s">
        <v>18</v>
      </c>
      <c r="H2861" s="1" t="s">
        <v>19</v>
      </c>
      <c r="I2861" s="1" t="s">
        <v>20</v>
      </c>
      <c r="J2861" s="1" t="s">
        <v>13078</v>
      </c>
      <c r="K2861" s="1" t="s">
        <v>22</v>
      </c>
      <c r="L2861" s="1" t="str">
        <f>HYPERLINK("https://files.afu.se/Downloads/Transcripts/0%20-%20Government/USA%20-%20NASA/2013 06 29 - NASA - New Space Shuttle Atlantis Exhibit Unveiled at Kennedy Space Center Visitor Center_FdKWe9_OPTs - transcript (automated).pdf","Transcript Link")</f>
        <v>Transcript Link</v>
      </c>
      <c r="M2861" s="2" t="str">
        <f>HYPERLINK("https://files.afu.se/Downloads/Transcripts/0%20-%20Government/USA%20-%20NASA/2013 06 29 - NASA - New Space Shuttle Atlantis Exhibit Unveiled at Kennedy Space Center Visitor Center_FdKWe9_OPTs - transcript (automated).pdf","Transcript Link")</f>
        <v>Transcript Link</v>
      </c>
    </row>
    <row r="2862" ht="165" spans="1:13">
      <c r="A2862" s="1" t="s">
        <v>13079</v>
      </c>
      <c r="B2862" s="1" t="s">
        <v>13</v>
      </c>
      <c r="C2862" s="4" t="s">
        <v>13080</v>
      </c>
      <c r="D2862" s="1" t="s">
        <v>13081</v>
      </c>
      <c r="E2862" s="1" t="s">
        <v>13082</v>
      </c>
      <c r="F2862" s="4" t="s">
        <v>17</v>
      </c>
      <c r="G2862" s="1" t="s">
        <v>18</v>
      </c>
      <c r="H2862" s="1" t="s">
        <v>19</v>
      </c>
      <c r="I2862" s="1" t="s">
        <v>20</v>
      </c>
      <c r="J2862" s="1" t="s">
        <v>13083</v>
      </c>
      <c r="K2862" s="1" t="s">
        <v>22</v>
      </c>
      <c r="L2862" s="1" t="str">
        <f>HYPERLINK("https://files.afu.se/Downloads/Transcripts/0%20-%20Government/USA%20-%20NASA/2013 06 28 - NASA - Astronaut Discusses Spaceflight and Family with Media_xhP6AeBm2rg - transcript (automated).pdf","Transcript Link")</f>
        <v>Transcript Link</v>
      </c>
      <c r="M2862" s="2" t="str">
        <f>HYPERLINK("https://files.afu.se/Downloads/Transcripts/0%20-%20Government/USA%20-%20NASA/2013 06 28 - NASA - Astronaut Discusses Spaceflight and Family with Media_xhP6AeBm2rg - transcript (automated).pdf","Transcript Link")</f>
        <v>Transcript Link</v>
      </c>
    </row>
    <row r="2863" ht="180" spans="1:13">
      <c r="A2863" s="1" t="s">
        <v>13079</v>
      </c>
      <c r="B2863" s="1" t="s">
        <v>13</v>
      </c>
      <c r="C2863" s="4" t="s">
        <v>13084</v>
      </c>
      <c r="D2863" s="1" t="s">
        <v>13085</v>
      </c>
      <c r="E2863" s="1" t="s">
        <v>13086</v>
      </c>
      <c r="F2863" s="4" t="s">
        <v>17</v>
      </c>
      <c r="G2863" s="1" t="s">
        <v>18</v>
      </c>
      <c r="H2863" s="1" t="s">
        <v>19</v>
      </c>
      <c r="I2863" s="1" t="s">
        <v>20</v>
      </c>
      <c r="J2863" s="1" t="s">
        <v>13087</v>
      </c>
      <c r="K2863" s="1" t="s">
        <v>22</v>
      </c>
      <c r="L2863" s="1" t="str">
        <f>HYPERLINK("https://files.afu.se/Downloads/Transcripts/0%20-%20Government/USA%20-%20NASA/2013 06 28 - NASA - Latest Solar Mission Launched on NASA TV_G5MmTI3Qr8o - transcript (automated).pdf","Transcript Link")</f>
        <v>Transcript Link</v>
      </c>
      <c r="M2863" s="2" t="str">
        <f>HYPERLINK("https://files.afu.se/Downloads/Transcripts/0%20-%20Government/USA%20-%20NASA/2013 06 28 - NASA - Latest Solar Mission Launched on NASA TV_G5MmTI3Qr8o - transcript (automated).pdf","Transcript Link")</f>
        <v>Transcript Link</v>
      </c>
    </row>
    <row r="2864" ht="165" spans="1:13">
      <c r="A2864" s="1" t="s">
        <v>13088</v>
      </c>
      <c r="B2864" s="1" t="s">
        <v>13</v>
      </c>
      <c r="C2864" s="4" t="s">
        <v>13089</v>
      </c>
      <c r="D2864" s="1" t="s">
        <v>13090</v>
      </c>
      <c r="E2864" s="1" t="s">
        <v>13091</v>
      </c>
      <c r="F2864" s="4" t="s">
        <v>17</v>
      </c>
      <c r="G2864" s="1" t="s">
        <v>18</v>
      </c>
      <c r="H2864" s="1" t="s">
        <v>19</v>
      </c>
      <c r="I2864" s="1" t="s">
        <v>20</v>
      </c>
      <c r="J2864" s="1" t="s">
        <v>13092</v>
      </c>
      <c r="K2864" s="1" t="s">
        <v>22</v>
      </c>
      <c r="L2864" s="1" t="str">
        <f>HYPERLINK("https://files.afu.se/Downloads/Transcripts/0%20-%20Government/USA%20-%20NASA/2013 06 27 - NASA - NASA Observes LGBT Month with Randy Herrera_wRn_8bGvvMM - transcript (automated).pdf","Transcript Link")</f>
        <v>Transcript Link</v>
      </c>
      <c r="M2864" s="2" t="str">
        <f>HYPERLINK("https://files.afu.se/Downloads/Transcripts/0%20-%20Government/USA%20-%20NASA/2013 06 27 - NASA - NASA Observes LGBT Month with Randy Herrera_wRn_8bGvvMM - transcript (automated).pdf","Transcript Link")</f>
        <v>Transcript Link</v>
      </c>
    </row>
    <row r="2865" ht="165" spans="1:13">
      <c r="A2865" s="1" t="s">
        <v>13088</v>
      </c>
      <c r="B2865" s="1" t="s">
        <v>13</v>
      </c>
      <c r="C2865" s="4" t="s">
        <v>13093</v>
      </c>
      <c r="D2865" s="1" t="s">
        <v>13094</v>
      </c>
      <c r="E2865" s="1" t="s">
        <v>13095</v>
      </c>
      <c r="F2865" s="4" t="s">
        <v>17</v>
      </c>
      <c r="G2865" s="1" t="s">
        <v>18</v>
      </c>
      <c r="H2865" s="1" t="s">
        <v>19</v>
      </c>
      <c r="I2865" s="1" t="s">
        <v>20</v>
      </c>
      <c r="J2865" s="1" t="s">
        <v>13096</v>
      </c>
      <c r="K2865" s="1" t="s">
        <v>22</v>
      </c>
      <c r="L2865" s="1" t="str">
        <f>HYPERLINK("https://files.afu.se/Downloads/Transcripts/0%20-%20Government/USA%20-%20NASA/2013 06 27 - NASA - NASA Observes LGBT Month with Robert Hurt_x2Yxwg15gz8 - transcript (automated).pdf","Transcript Link")</f>
        <v>Transcript Link</v>
      </c>
      <c r="M2865" s="2" t="str">
        <f>HYPERLINK("https://files.afu.se/Downloads/Transcripts/0%20-%20Government/USA%20-%20NASA/2013 06 27 - NASA - NASA Observes LGBT Month with Robert Hurt_x2Yxwg15gz8 - transcript (automated).pdf","Transcript Link")</f>
        <v>Transcript Link</v>
      </c>
    </row>
    <row r="2866" ht="240" spans="1:13">
      <c r="A2866" s="1" t="s">
        <v>13088</v>
      </c>
      <c r="B2866" s="1" t="s">
        <v>13</v>
      </c>
      <c r="C2866" s="4" t="s">
        <v>13097</v>
      </c>
      <c r="D2866" s="1" t="s">
        <v>13098</v>
      </c>
      <c r="E2866" s="1" t="s">
        <v>13099</v>
      </c>
      <c r="F2866" s="4" t="s">
        <v>17</v>
      </c>
      <c r="G2866" s="1" t="s">
        <v>18</v>
      </c>
      <c r="H2866" s="1" t="s">
        <v>19</v>
      </c>
      <c r="I2866" s="1" t="s">
        <v>20</v>
      </c>
      <c r="J2866" s="1" t="s">
        <v>13100</v>
      </c>
      <c r="K2866" s="1" t="s">
        <v>22</v>
      </c>
      <c r="L2866" s="1" t="str">
        <f>HYPERLINK("https://files.afu.se/Downloads/Transcripts/0%20-%20Government/USA%20-%20NASA/2013 06 27 - NASA - ISS Mission Control Interview for Digital Learning Network_G3kQbvDD9jY - transcript (automated).pdf","Transcript Link")</f>
        <v>Transcript Link</v>
      </c>
      <c r="M2866" s="2" t="str">
        <f>HYPERLINK("https://files.afu.se/Downloads/Transcripts/0%20-%20Government/USA%20-%20NASA/2013 06 27 - NASA - ISS Mission Control Interview for Digital Learning Network_G3kQbvDD9jY - transcript (automated).pdf","Transcript Link")</f>
        <v>Transcript Link</v>
      </c>
    </row>
    <row r="2867" ht="300" spans="1:13">
      <c r="A2867" s="1" t="s">
        <v>13101</v>
      </c>
      <c r="B2867" s="1" t="s">
        <v>13</v>
      </c>
      <c r="C2867" s="4" t="s">
        <v>13102</v>
      </c>
      <c r="D2867" s="1" t="s">
        <v>13103</v>
      </c>
      <c r="E2867" s="1" t="s">
        <v>13104</v>
      </c>
      <c r="F2867" s="4" t="s">
        <v>17</v>
      </c>
      <c r="G2867" s="1" t="s">
        <v>18</v>
      </c>
      <c r="H2867" s="1" t="s">
        <v>19</v>
      </c>
      <c r="I2867" s="1" t="s">
        <v>20</v>
      </c>
      <c r="J2867" s="1" t="s">
        <v>13105</v>
      </c>
      <c r="K2867" s="1" t="s">
        <v>22</v>
      </c>
      <c r="L2867" s="1" t="str">
        <f>HYPERLINK("https://files.afu.se/Downloads/Transcripts/0%20-%20Government/USA%20-%20NASA/2013 06 25 - NASA - Mission Scientist Give Details on IRIS Mission_e4C08j5FP-E - transcript (automated).pdf","Transcript Link")</f>
        <v>Transcript Link</v>
      </c>
      <c r="M2867" s="2" t="str">
        <f>HYPERLINK("https://files.afu.se/Downloads/Transcripts/0%20-%20Government/USA%20-%20NASA/2013 06 25 - NASA - Mission Scientist Give Details on IRIS Mission_e4C08j5FP-E - transcript (automated).pdf","Transcript Link")</f>
        <v>Transcript Link</v>
      </c>
    </row>
    <row r="2868" ht="240" spans="1:13">
      <c r="A2868" s="1" t="s">
        <v>13101</v>
      </c>
      <c r="B2868" s="1" t="s">
        <v>13</v>
      </c>
      <c r="C2868" s="4" t="s">
        <v>13106</v>
      </c>
      <c r="D2868" s="1" t="s">
        <v>13107</v>
      </c>
      <c r="E2868" s="1" t="s">
        <v>13108</v>
      </c>
      <c r="F2868" s="4" t="s">
        <v>17</v>
      </c>
      <c r="G2868" s="1" t="s">
        <v>18</v>
      </c>
      <c r="H2868" s="1" t="s">
        <v>19</v>
      </c>
      <c r="I2868" s="1" t="s">
        <v>20</v>
      </c>
      <c r="J2868" s="1" t="s">
        <v>13109</v>
      </c>
      <c r="K2868" s="1" t="s">
        <v>22</v>
      </c>
      <c r="L2868" s="1" t="str">
        <f>HYPERLINK("https://files.afu.se/Downloads/Transcripts/0%20-%20Government/USA%20-%20NASA/2013 06 25 - NASA - Mission Managers Give Updates on Latest IRIS Launch_NsPxjFDqHOQ - transcript (automated).pdf","Transcript Link")</f>
        <v>Transcript Link</v>
      </c>
      <c r="M2868" s="2" t="str">
        <f>HYPERLINK("https://files.afu.se/Downloads/Transcripts/0%20-%20Government/USA%20-%20NASA/2013 06 25 - NASA - Mission Managers Give Updates on Latest IRIS Launch_NsPxjFDqHOQ - transcript (automated).pdf","Transcript Link")</f>
        <v>Transcript Link</v>
      </c>
    </row>
    <row r="2869" ht="240" spans="1:13">
      <c r="A2869" s="1" t="s">
        <v>13110</v>
      </c>
      <c r="B2869" s="1" t="s">
        <v>13</v>
      </c>
      <c r="C2869" s="4" t="s">
        <v>13111</v>
      </c>
      <c r="D2869" s="1" t="s">
        <v>13112</v>
      </c>
      <c r="E2869" s="1" t="s">
        <v>13113</v>
      </c>
      <c r="F2869" s="4" t="s">
        <v>17</v>
      </c>
      <c r="G2869" s="1" t="s">
        <v>18</v>
      </c>
      <c r="H2869" s="1" t="s">
        <v>19</v>
      </c>
      <c r="I2869" s="1" t="s">
        <v>20</v>
      </c>
      <c r="J2869" s="1" t="s">
        <v>13114</v>
      </c>
      <c r="K2869" s="1" t="s">
        <v>22</v>
      </c>
      <c r="L2869" s="1" t="str">
        <f>HYPERLINK("https://files.afu.se/Downloads/Transcripts/0%20-%20Government/USA%20-%20NASA/2013 06 24 - NASA - Station Crew Members Take a Walk in Space_37CNj6zy7w4 - transcript (automated).pdf","Transcript Link")</f>
        <v>Transcript Link</v>
      </c>
      <c r="M2869" s="2" t="str">
        <f>HYPERLINK("https://files.afu.se/Downloads/Transcripts/0%20-%20Government/USA%20-%20NASA/2013 06 24 - NASA - Station Crew Members Take a Walk in Space_37CNj6zy7w4 - transcript (automated).pdf","Transcript Link")</f>
        <v>Transcript Link</v>
      </c>
    </row>
    <row r="2870" ht="165" spans="1:13">
      <c r="A2870" s="1" t="s">
        <v>13115</v>
      </c>
      <c r="B2870" s="1" t="s">
        <v>13</v>
      </c>
      <c r="C2870" s="4" t="s">
        <v>13116</v>
      </c>
      <c r="D2870" s="1" t="s">
        <v>13117</v>
      </c>
      <c r="E2870" s="1" t="s">
        <v>13118</v>
      </c>
      <c r="F2870" s="4" t="s">
        <v>17</v>
      </c>
      <c r="G2870" s="1" t="s">
        <v>18</v>
      </c>
      <c r="H2870" s="1" t="s">
        <v>19</v>
      </c>
      <c r="I2870" s="1" t="s">
        <v>20</v>
      </c>
      <c r="J2870" s="1" t="s">
        <v>13119</v>
      </c>
      <c r="K2870" s="1" t="s">
        <v>22</v>
      </c>
      <c r="L2870" s="1" t="str">
        <f>HYPERLINK("https://files.afu.se/Downloads/Transcripts/0%20-%20Government/USA%20-%20NASA/2013 06 21 - NASA - ScienceCasts  Arctic Permafrost_ABougk7p6gI - transcript (automated).pdf","Transcript Link")</f>
        <v>Transcript Link</v>
      </c>
      <c r="M2870" s="2" t="str">
        <f>HYPERLINK("https://files.afu.se/Downloads/Transcripts/0%20-%20Government/USA%20-%20NASA/2013 06 21 - NASA - ScienceCasts  Arctic Permafrost_ABougk7p6gI - transcript (automated).pdf","Transcript Link")</f>
        <v>Transcript Link</v>
      </c>
    </row>
    <row r="2871" ht="165" spans="1:13">
      <c r="A2871" s="1" t="s">
        <v>13115</v>
      </c>
      <c r="B2871" s="1" t="s">
        <v>13</v>
      </c>
      <c r="C2871" s="4" t="s">
        <v>13120</v>
      </c>
      <c r="D2871" s="1" t="s">
        <v>13121</v>
      </c>
      <c r="E2871" s="1" t="s">
        <v>13122</v>
      </c>
      <c r="F2871" s="4" t="s">
        <v>17</v>
      </c>
      <c r="G2871" s="1" t="s">
        <v>18</v>
      </c>
      <c r="H2871" s="1" t="s">
        <v>19</v>
      </c>
      <c r="I2871" s="1" t="s">
        <v>20</v>
      </c>
      <c r="J2871" s="1" t="s">
        <v>13123</v>
      </c>
      <c r="K2871" s="1" t="s">
        <v>22</v>
      </c>
      <c r="L2871" s="1" t="str">
        <f>HYPERLINK("https://files.afu.se/Downloads/Transcripts/0%20-%20Government/USA%20-%20NASA/2013 06 21 - NASA - Asteroid Grand Challenge on This Week @NASA_Ke9Ms7Ob6vc - transcript (automated).pdf","Transcript Link")</f>
        <v>Transcript Link</v>
      </c>
      <c r="M2871" s="2" t="str">
        <f>HYPERLINK("https://files.afu.se/Downloads/Transcripts/0%20-%20Government/USA%20-%20NASA/2013 06 21 - NASA - Asteroid Grand Challenge on This Week @NASA_Ke9Ms7Ob6vc - transcript (automated).pdf","Transcript Link")</f>
        <v>Transcript Link</v>
      </c>
    </row>
    <row r="2872" ht="180" spans="1:13">
      <c r="A2872" s="1" t="s">
        <v>13124</v>
      </c>
      <c r="B2872" s="1" t="s">
        <v>13</v>
      </c>
      <c r="C2872" s="4" t="s">
        <v>13125</v>
      </c>
      <c r="D2872" s="1" t="s">
        <v>13126</v>
      </c>
      <c r="E2872" s="1" t="s">
        <v>13127</v>
      </c>
      <c r="F2872" s="4" t="s">
        <v>17</v>
      </c>
      <c r="G2872" s="1" t="s">
        <v>18</v>
      </c>
      <c r="H2872" s="1" t="s">
        <v>19</v>
      </c>
      <c r="I2872" s="1" t="s">
        <v>20</v>
      </c>
      <c r="J2872" s="1" t="s">
        <v>13128</v>
      </c>
      <c r="K2872" s="1" t="s">
        <v>22</v>
      </c>
      <c r="L2872" s="1" t="str">
        <f>HYPERLINK("https://files.afu.se/Downloads/Transcripts/0%20-%20Government/USA%20-%20NASA/2013 06 19 - NASA - Aerospace Adventures Students Talk Space Technology with NASA_10dqCcZJ95Q - transcript (automated).pdf","Transcript Link")</f>
        <v>Transcript Link</v>
      </c>
      <c r="M2872" s="2" t="str">
        <f>HYPERLINK("https://files.afu.se/Downloads/Transcripts/0%20-%20Government/USA%20-%20NASA/2013 06 19 - NASA - Aerospace Adventures Students Talk Space Technology with NASA_10dqCcZJ95Q - transcript (automated).pdf","Transcript Link")</f>
        <v>Transcript Link</v>
      </c>
    </row>
    <row r="2873" ht="195" spans="1:13">
      <c r="A2873" s="1" t="s">
        <v>13124</v>
      </c>
      <c r="B2873" s="1" t="s">
        <v>13</v>
      </c>
      <c r="C2873" s="4" t="s">
        <v>13129</v>
      </c>
      <c r="D2873" s="1" t="s">
        <v>13130</v>
      </c>
      <c r="E2873" s="1" t="s">
        <v>13131</v>
      </c>
      <c r="F2873" s="4" t="s">
        <v>17</v>
      </c>
      <c r="G2873" s="1" t="s">
        <v>18</v>
      </c>
      <c r="H2873" s="1" t="s">
        <v>19</v>
      </c>
      <c r="I2873" s="1" t="s">
        <v>20</v>
      </c>
      <c r="J2873" s="1" t="s">
        <v>13132</v>
      </c>
      <c r="K2873" s="1" t="s">
        <v>22</v>
      </c>
      <c r="L2873" s="1" t="str">
        <f>HYPERLINK("https://files.afu.se/Downloads/Transcripts/0%20-%20Government/USA%20-%20NASA/2013 06 19 - NASA - Kansas Students Speak Live with Space Station NASA Astronauts_-QYqTe__3TU - transcript (automated).pdf","Transcript Link")</f>
        <v>Transcript Link</v>
      </c>
      <c r="M2873" s="2" t="str">
        <f>HYPERLINK("https://files.afu.se/Downloads/Transcripts/0%20-%20Government/USA%20-%20NASA/2013 06 19 - NASA - Kansas Students Speak Live with Space Station NASA Astronauts_-QYqTe__3TU - transcript (automated).pdf","Transcript Link")</f>
        <v>Transcript Link</v>
      </c>
    </row>
    <row r="2874" ht="180" spans="1:13">
      <c r="A2874" s="1" t="s">
        <v>13133</v>
      </c>
      <c r="B2874" s="1" t="s">
        <v>13</v>
      </c>
      <c r="C2874" s="4" t="s">
        <v>13134</v>
      </c>
      <c r="D2874" s="1" t="s">
        <v>13135</v>
      </c>
      <c r="E2874" s="1" t="s">
        <v>13136</v>
      </c>
      <c r="F2874" s="4" t="s">
        <v>17</v>
      </c>
      <c r="G2874" s="1" t="s">
        <v>18</v>
      </c>
      <c r="H2874" s="1" t="s">
        <v>19</v>
      </c>
      <c r="I2874" s="1" t="s">
        <v>20</v>
      </c>
      <c r="J2874" s="1" t="s">
        <v>13137</v>
      </c>
      <c r="K2874" s="1" t="s">
        <v>22</v>
      </c>
      <c r="L2874" s="1" t="str">
        <f>HYPERLINK("https://files.afu.se/Downloads/Transcripts/0%20-%20Government/USA%20-%20NASA/2013 06 18 - NASA - NASA Announces Asteroid Grand Challenge_f5rsJwsyni4 - transcript (automated).pdf","Transcript Link")</f>
        <v>Transcript Link</v>
      </c>
      <c r="M2874" s="2" t="str">
        <f>HYPERLINK("https://files.afu.se/Downloads/Transcripts/0%20-%20Government/USA%20-%20NASA/2013 06 18 - NASA - NASA Announces Asteroid Grand Challenge_f5rsJwsyni4 - transcript (automated).pdf","Transcript Link")</f>
        <v>Transcript Link</v>
      </c>
    </row>
    <row r="2875" ht="165" spans="1:13">
      <c r="A2875" s="1" t="s">
        <v>13133</v>
      </c>
      <c r="B2875" s="1" t="s">
        <v>13</v>
      </c>
      <c r="C2875" s="4" t="s">
        <v>13138</v>
      </c>
      <c r="D2875" s="1" t="s">
        <v>13139</v>
      </c>
      <c r="E2875" s="1" t="s">
        <v>13140</v>
      </c>
      <c r="F2875" s="4" t="s">
        <v>17</v>
      </c>
      <c r="G2875" s="1" t="s">
        <v>18</v>
      </c>
      <c r="H2875" s="1" t="s">
        <v>19</v>
      </c>
      <c r="I2875" s="1" t="s">
        <v>20</v>
      </c>
      <c r="J2875" s="1" t="s">
        <v>13141</v>
      </c>
      <c r="K2875" s="1" t="s">
        <v>22</v>
      </c>
      <c r="L2875" s="1" t="str">
        <f>HYPERLINK("https://files.afu.se/Downloads/Transcripts/0%20-%20Government/USA%20-%20NASA/2013 06 18 - NASA - Expedition 36 Space Station Crew Talks with Euronews_SHgfmzhtrE0 - transcript (automated).pdf","Transcript Link")</f>
        <v>Transcript Link</v>
      </c>
      <c r="M2875" s="2" t="str">
        <f>HYPERLINK("https://files.afu.se/Downloads/Transcripts/0%20-%20Government/USA%20-%20NASA/2013 06 18 - NASA - Expedition 36 Space Station Crew Talks with Euronews_SHgfmzhtrE0 - transcript (automated).pdf","Transcript Link")</f>
        <v>Transcript Link</v>
      </c>
    </row>
    <row r="2876" ht="165" spans="1:13">
      <c r="A2876" s="1" t="s">
        <v>13133</v>
      </c>
      <c r="B2876" s="1" t="s">
        <v>13</v>
      </c>
      <c r="C2876" s="4" t="s">
        <v>13142</v>
      </c>
      <c r="D2876" s="1" t="s">
        <v>13143</v>
      </c>
      <c r="E2876" s="1" t="s">
        <v>13144</v>
      </c>
      <c r="F2876" s="4" t="s">
        <v>17</v>
      </c>
      <c r="G2876" s="1" t="s">
        <v>18</v>
      </c>
      <c r="H2876" s="1" t="s">
        <v>19</v>
      </c>
      <c r="I2876" s="1" t="s">
        <v>20</v>
      </c>
      <c r="J2876" s="1" t="s">
        <v>13145</v>
      </c>
      <c r="K2876" s="1" t="s">
        <v>22</v>
      </c>
      <c r="L2876" s="1" t="str">
        <f>HYPERLINK("https://files.afu.se/Downloads/Transcripts/0%20-%20Government/USA%20-%20NASA/2013 06 18 - NASA - 2013 Astronaut Class on This Week @NASA_szMpTiCMh98 - transcript (automated).pdf","Transcript Link")</f>
        <v>Transcript Link</v>
      </c>
      <c r="M2876" s="2" t="str">
        <f>HYPERLINK("https://files.afu.se/Downloads/Transcripts/0%20-%20Government/USA%20-%20NASA/2013 06 18 - NASA - 2013 Astronaut Class on This Week @NASA_szMpTiCMh98 - transcript (automated).pdf","Transcript Link")</f>
        <v>Transcript Link</v>
      </c>
    </row>
    <row r="2877" ht="165" spans="1:13">
      <c r="A2877" s="1" t="s">
        <v>13133</v>
      </c>
      <c r="B2877" s="1" t="s">
        <v>13</v>
      </c>
      <c r="C2877" s="4" t="s">
        <v>13146</v>
      </c>
      <c r="D2877" s="1" t="s">
        <v>13147</v>
      </c>
      <c r="E2877" s="1" t="s">
        <v>13148</v>
      </c>
      <c r="F2877" s="4" t="s">
        <v>17</v>
      </c>
      <c r="G2877" s="1" t="s">
        <v>18</v>
      </c>
      <c r="H2877" s="1" t="s">
        <v>19</v>
      </c>
      <c r="I2877" s="1" t="s">
        <v>20</v>
      </c>
      <c r="J2877" s="1" t="s">
        <v>13149</v>
      </c>
      <c r="K2877" s="1" t="s">
        <v>22</v>
      </c>
      <c r="L2877" s="1" t="str">
        <f>HYPERLINK("https://files.afu.se/Downloads/Transcripts/0%20-%20Government/USA%20-%20NASA/2013 06 18 - NASA - ScienceCasts  Strange Flames on the International Space Station_OXRF95iuLvg - transcript (automated).pdf","Transcript Link")</f>
        <v>Transcript Link</v>
      </c>
      <c r="M2877" s="2" t="str">
        <f>HYPERLINK("https://files.afu.se/Downloads/Transcripts/0%20-%20Government/USA%20-%20NASA/2013 06 18 - NASA - ScienceCasts  Strange Flames on the International Space Station_OXRF95iuLvg - transcript (automated).pdf","Transcript Link")</f>
        <v>Transcript Link</v>
      </c>
    </row>
    <row r="2878" ht="255" spans="1:13">
      <c r="A2878" s="1" t="s">
        <v>13150</v>
      </c>
      <c r="B2878" s="1" t="s">
        <v>13</v>
      </c>
      <c r="C2878" s="4" t="s">
        <v>13151</v>
      </c>
      <c r="D2878" s="1" t="s">
        <v>13152</v>
      </c>
      <c r="E2878" s="1" t="s">
        <v>13153</v>
      </c>
      <c r="F2878" s="4" t="s">
        <v>17</v>
      </c>
      <c r="G2878" s="1" t="s">
        <v>18</v>
      </c>
      <c r="H2878" s="1" t="s">
        <v>19</v>
      </c>
      <c r="I2878" s="1" t="s">
        <v>20</v>
      </c>
      <c r="J2878" s="1" t="s">
        <v>13154</v>
      </c>
      <c r="K2878" s="1" t="s">
        <v>22</v>
      </c>
      <c r="L2878" s="1" t="str">
        <f>HYPERLINK("https://files.afu.se/Downloads/Transcripts/0%20-%20Government/USA%20-%20NASA/2013 06 17 - NASA - Astronaut Class of 2013_OxXi1xfdhr4 - transcript (automated).pdf","Transcript Link")</f>
        <v>Transcript Link</v>
      </c>
      <c r="M2878" s="2" t="str">
        <f>HYPERLINK("https://files.afu.se/Downloads/Transcripts/0%20-%20Government/USA%20-%20NASA/2013 06 17 - NASA - Astronaut Class of 2013_OxXi1xfdhr4 - transcript (automated).pdf","Transcript Link")</f>
        <v>Transcript Link</v>
      </c>
    </row>
    <row r="2879" ht="360" spans="1:13">
      <c r="A2879" s="1" t="s">
        <v>13155</v>
      </c>
      <c r="B2879" s="1" t="s">
        <v>13</v>
      </c>
      <c r="C2879" s="4" t="s">
        <v>13156</v>
      </c>
      <c r="D2879" s="1" t="s">
        <v>13157</v>
      </c>
      <c r="E2879" s="1" t="s">
        <v>13158</v>
      </c>
      <c r="F2879" s="4" t="s">
        <v>17</v>
      </c>
      <c r="G2879" s="1" t="s">
        <v>18</v>
      </c>
      <c r="H2879" s="1" t="s">
        <v>19</v>
      </c>
      <c r="I2879" s="1" t="s">
        <v>20</v>
      </c>
      <c r="J2879" s="1" t="s">
        <v>13159</v>
      </c>
      <c r="K2879" s="1" t="s">
        <v>22</v>
      </c>
      <c r="L2879" s="1" t="str">
        <f>HYPERLINK("https://files.afu.se/Downloads/Transcripts/0%20-%20Government/USA%20-%20NASA/2013 06 15 - NASA - NASA Small Business Week -- Doing Incredible Things_4xjm0D9mYYE - transcript (automated).pdf","Transcript Link")</f>
        <v>Transcript Link</v>
      </c>
      <c r="M2879" s="2" t="str">
        <f>HYPERLINK("https://files.afu.se/Downloads/Transcripts/0%20-%20Government/USA%20-%20NASA/2013 06 15 - NASA - NASA Small Business Week -- Doing Incredible Things_4xjm0D9mYYE - transcript (automated).pdf","Transcript Link")</f>
        <v>Transcript Link</v>
      </c>
    </row>
    <row r="2880" ht="180" spans="1:13">
      <c r="A2880" s="1" t="s">
        <v>13155</v>
      </c>
      <c r="B2880" s="1" t="s">
        <v>13</v>
      </c>
      <c r="C2880" s="4" t="s">
        <v>13160</v>
      </c>
      <c r="D2880" s="1" t="s">
        <v>13161</v>
      </c>
      <c r="E2880" s="1" t="s">
        <v>13162</v>
      </c>
      <c r="F2880" s="4" t="s">
        <v>17</v>
      </c>
      <c r="G2880" s="1" t="s">
        <v>18</v>
      </c>
      <c r="H2880" s="1" t="s">
        <v>19</v>
      </c>
      <c r="I2880" s="1" t="s">
        <v>20</v>
      </c>
      <c r="J2880" s="1" t="s">
        <v>13163</v>
      </c>
      <c r="K2880" s="1" t="s">
        <v>22</v>
      </c>
      <c r="L2880" s="1" t="str">
        <f>HYPERLINK("https://files.afu.se/Downloads/Transcripts/0%20-%20Government/USA%20-%20NASA/2013 06 15 - NASA - Cargo Craft Makes a  Relatively  Large Delivery to The International Space Station_swmajJIZxtc - transcript (automated).pdf","Transcript Link")</f>
        <v>Transcript Link</v>
      </c>
      <c r="M2880" s="2" t="str">
        <f>HYPERLINK("https://files.afu.se/Downloads/Transcripts/0%20-%20Government/USA%20-%20NASA/2013 06 15 - NASA - Cargo Craft Makes a  Relatively  Large Delivery to The International Space Station_swmajJIZxtc - transcript (automated).pdf","Transcript Link")</f>
        <v>Transcript Link</v>
      </c>
    </row>
    <row r="2881" ht="210" spans="1:13">
      <c r="A2881" s="1" t="s">
        <v>13164</v>
      </c>
      <c r="B2881" s="1" t="s">
        <v>13</v>
      </c>
      <c r="C2881" s="4" t="s">
        <v>13165</v>
      </c>
      <c r="D2881" s="1" t="s">
        <v>13166</v>
      </c>
      <c r="E2881" s="1" t="s">
        <v>13167</v>
      </c>
      <c r="F2881" s="4" t="s">
        <v>17</v>
      </c>
      <c r="G2881" s="1" t="s">
        <v>18</v>
      </c>
      <c r="H2881" s="1" t="s">
        <v>19</v>
      </c>
      <c r="I2881" s="1" t="s">
        <v>20</v>
      </c>
      <c r="J2881" s="1" t="s">
        <v>13168</v>
      </c>
      <c r="K2881" s="1" t="s">
        <v>22</v>
      </c>
      <c r="L2881" s="1" t="str">
        <f>HYPERLINK("https://files.afu.se/Downloads/Transcripts/0%20-%20Government/USA%20-%20NASA/2013 06 14 - NASA - Science Day on The Hill on This Week @NASA_q87Xc7Z-agU - transcript (automated).pdf","Transcript Link")</f>
        <v>Transcript Link</v>
      </c>
      <c r="M2881" s="2" t="str">
        <f>HYPERLINK("https://files.afu.se/Downloads/Transcripts/0%20-%20Government/USA%20-%20NASA/2013 06 14 - NASA - Science Day on The Hill on This Week @NASA_q87Xc7Z-agU - transcript (automated).pdf","Transcript Link")</f>
        <v>Transcript Link</v>
      </c>
    </row>
    <row r="2882" ht="165" spans="1:13">
      <c r="A2882" s="1" t="s">
        <v>13169</v>
      </c>
      <c r="B2882" s="1" t="s">
        <v>13</v>
      </c>
      <c r="C2882" s="4" t="s">
        <v>13170</v>
      </c>
      <c r="D2882" s="1" t="s">
        <v>13171</v>
      </c>
      <c r="E2882" s="1" t="s">
        <v>13172</v>
      </c>
      <c r="F2882" s="4" t="s">
        <v>17</v>
      </c>
      <c r="G2882" s="1" t="s">
        <v>18</v>
      </c>
      <c r="H2882" s="1" t="s">
        <v>19</v>
      </c>
      <c r="I2882" s="1" t="s">
        <v>20</v>
      </c>
      <c r="J2882" s="1" t="s">
        <v>13173</v>
      </c>
      <c r="K2882" s="1" t="s">
        <v>22</v>
      </c>
      <c r="L2882" s="1" t="str">
        <f>HYPERLINK("https://files.afu.se/Downloads/Transcripts/0%20-%20Government/USA%20-%20NASA/2013 06 13 - NASA - Space Station Crew Talks with Seattle Area Students About Life On-Orbit_MJ5ltPwk5vc - transcript (automated).pdf","Transcript Link")</f>
        <v>Transcript Link</v>
      </c>
      <c r="M2882" s="2" t="str">
        <f>HYPERLINK("https://files.afu.se/Downloads/Transcripts/0%20-%20Government/USA%20-%20NASA/2013 06 13 - NASA - Space Station Crew Talks with Seattle Area Students About Life On-Orbit_MJ5ltPwk5vc - transcript (automated).pdf","Transcript Link")</f>
        <v>Transcript Link</v>
      </c>
    </row>
    <row r="2883" ht="225" spans="1:13">
      <c r="A2883" s="1" t="s">
        <v>13169</v>
      </c>
      <c r="B2883" s="1" t="s">
        <v>13</v>
      </c>
      <c r="C2883" s="4" t="s">
        <v>13174</v>
      </c>
      <c r="D2883" s="1" t="s">
        <v>13175</v>
      </c>
      <c r="E2883" s="1" t="s">
        <v>13176</v>
      </c>
      <c r="F2883" s="4" t="s">
        <v>17</v>
      </c>
      <c r="G2883" s="1" t="s">
        <v>18</v>
      </c>
      <c r="H2883" s="1" t="s">
        <v>19</v>
      </c>
      <c r="I2883" s="1" t="s">
        <v>20</v>
      </c>
      <c r="J2883" s="1" t="s">
        <v>13177</v>
      </c>
      <c r="K2883" s="1" t="s">
        <v>22</v>
      </c>
      <c r="L2883" s="1" t="str">
        <f>HYPERLINK("https://files.afu.se/Downloads/Transcripts/0%20-%20Government/USA%20-%20NASA/2013 06 13 - NASA - NASA Project Manager Julie Mitchell Talks Space With Students_68BQxfKc8-Q - transcript (automated).pdf","Transcript Link")</f>
        <v>Transcript Link</v>
      </c>
      <c r="M2883" s="2" t="str">
        <f>HYPERLINK("https://files.afu.se/Downloads/Transcripts/0%20-%20Government/USA%20-%20NASA/2013 06 13 - NASA - NASA Project Manager Julie Mitchell Talks Space With Students_68BQxfKc8-Q - transcript (automated).pdf","Transcript Link")</f>
        <v>Transcript Link</v>
      </c>
    </row>
    <row r="2884" ht="165" spans="1:13">
      <c r="A2884" s="1" t="s">
        <v>13178</v>
      </c>
      <c r="B2884" s="1" t="s">
        <v>13</v>
      </c>
      <c r="C2884" s="4" t="s">
        <v>13179</v>
      </c>
      <c r="D2884" s="1" t="s">
        <v>13180</v>
      </c>
      <c r="E2884" s="1" t="s">
        <v>13181</v>
      </c>
      <c r="F2884" s="4" t="s">
        <v>17</v>
      </c>
      <c r="G2884" s="1" t="s">
        <v>18</v>
      </c>
      <c r="H2884" s="1" t="s">
        <v>19</v>
      </c>
      <c r="I2884" s="1" t="s">
        <v>20</v>
      </c>
      <c r="J2884" s="1" t="s">
        <v>13182</v>
      </c>
      <c r="K2884" s="1" t="s">
        <v>22</v>
      </c>
      <c r="L2884" s="1" t="str">
        <f>HYPERLINK("https://files.afu.se/Downloads/Transcripts/0%20-%20Government/USA%20-%20NASA/2013 06 11 - NASA - Space Station Cargo Craft Makes Way for Another_mTUay3cqIAo - transcript (automated).pdf","Transcript Link")</f>
        <v>Transcript Link</v>
      </c>
      <c r="M2884" s="2" t="str">
        <f>HYPERLINK("https://files.afu.se/Downloads/Transcripts/0%20-%20Government/USA%20-%20NASA/2013 06 11 - NASA - Space Station Cargo Craft Makes Way for Another_mTUay3cqIAo - transcript (automated).pdf","Transcript Link")</f>
        <v>Transcript Link</v>
      </c>
    </row>
    <row r="2885" ht="165" spans="1:13">
      <c r="A2885" s="1" t="s">
        <v>13183</v>
      </c>
      <c r="B2885" s="1" t="s">
        <v>13</v>
      </c>
      <c r="C2885" s="4" t="s">
        <v>13184</v>
      </c>
      <c r="D2885" s="1" t="s">
        <v>13185</v>
      </c>
      <c r="E2885" s="1" t="s">
        <v>13186</v>
      </c>
      <c r="F2885" s="4" t="s">
        <v>17</v>
      </c>
      <c r="G2885" s="1" t="s">
        <v>18</v>
      </c>
      <c r="H2885" s="1" t="s">
        <v>19</v>
      </c>
      <c r="I2885" s="1" t="s">
        <v>20</v>
      </c>
      <c r="J2885" s="1" t="s">
        <v>13187</v>
      </c>
      <c r="K2885" s="1" t="s">
        <v>22</v>
      </c>
      <c r="L2885" s="1" t="str">
        <f>HYPERLINK("https://files.afu.se/Downloads/Transcripts/0%20-%20Government/USA%20-%20NASA/2013 06 10 - NASA - It Gets Better_4AdaREcAJxc - transcript (automated).pdf","Transcript Link")</f>
        <v>Transcript Link</v>
      </c>
      <c r="M2885" s="2" t="str">
        <f>HYPERLINK("https://files.afu.se/Downloads/Transcripts/0%20-%20Government/USA%20-%20NASA/2013 06 10 - NASA - It Gets Better_4AdaREcAJxc - transcript (automated).pdf","Transcript Link")</f>
        <v>Transcript Link</v>
      </c>
    </row>
    <row r="2886" ht="165" spans="1:13">
      <c r="A2886" s="1" t="s">
        <v>13183</v>
      </c>
      <c r="B2886" s="1" t="s">
        <v>13</v>
      </c>
      <c r="C2886" s="4" t="s">
        <v>13188</v>
      </c>
      <c r="D2886" s="1" t="s">
        <v>13189</v>
      </c>
      <c r="E2886" s="1" t="s">
        <v>13190</v>
      </c>
      <c r="F2886" s="4" t="s">
        <v>17</v>
      </c>
      <c r="G2886" s="1" t="s">
        <v>18</v>
      </c>
      <c r="H2886" s="1" t="s">
        <v>19</v>
      </c>
      <c r="I2886" s="1" t="s">
        <v>20</v>
      </c>
      <c r="J2886" s="1" t="s">
        <v>13191</v>
      </c>
      <c r="K2886" s="1" t="s">
        <v>22</v>
      </c>
      <c r="L2886" s="1" t="str">
        <f>HYPERLINK("https://files.afu.se/Downloads/Transcripts/0%20-%20Government/USA%20-%20NASA/2013 06 10 - NASA - Space Station Astronauts Connect with Massachusetts Students_qm9ZeWjYfu8 - transcript (automated).pdf","Transcript Link")</f>
        <v>Transcript Link</v>
      </c>
      <c r="M2886" s="2" t="str">
        <f>HYPERLINK("https://files.afu.se/Downloads/Transcripts/0%20-%20Government/USA%20-%20NASA/2013 06 10 - NASA - Space Station Astronauts Connect with Massachusetts Students_qm9ZeWjYfu8 - transcript (automated).pdf","Transcript Link")</f>
        <v>Transcript Link</v>
      </c>
    </row>
    <row r="2887" ht="165" spans="1:13">
      <c r="A2887" s="1" t="s">
        <v>13183</v>
      </c>
      <c r="B2887" s="1" t="s">
        <v>13</v>
      </c>
      <c r="C2887" s="4" t="s">
        <v>13192</v>
      </c>
      <c r="D2887" s="1" t="s">
        <v>13193</v>
      </c>
      <c r="E2887" s="1" t="s">
        <v>13194</v>
      </c>
      <c r="F2887" s="4" t="s">
        <v>17</v>
      </c>
      <c r="G2887" s="1" t="s">
        <v>18</v>
      </c>
      <c r="H2887" s="1" t="s">
        <v>19</v>
      </c>
      <c r="I2887" s="1" t="s">
        <v>20</v>
      </c>
      <c r="J2887" s="1" t="s">
        <v>13195</v>
      </c>
      <c r="K2887" s="1" t="s">
        <v>22</v>
      </c>
      <c r="L2887" s="1" t="str">
        <f>HYPERLINK("https://files.afu.se/Downloads/Transcripts/0%20-%20Government/USA%20-%20NASA/2013 06 10 - NASA - ScienceCasts  An Early Start for Noctilucent Clouds_5EhsIN6BMyk - transcript (automated).pdf","Transcript Link")</f>
        <v>Transcript Link</v>
      </c>
      <c r="M2887" s="2" t="str">
        <f>HYPERLINK("https://files.afu.se/Downloads/Transcripts/0%20-%20Government/USA%20-%20NASA/2013 06 10 - NASA - ScienceCasts  An Early Start for Noctilucent Clouds_5EhsIN6BMyk - transcript (automated).pdf","Transcript Link")</f>
        <v>Transcript Link</v>
      </c>
    </row>
    <row r="2888" ht="285" spans="1:13">
      <c r="A2888" s="1" t="s">
        <v>13196</v>
      </c>
      <c r="B2888" s="1" t="s">
        <v>13</v>
      </c>
      <c r="C2888" s="4" t="s">
        <v>13197</v>
      </c>
      <c r="D2888" s="1" t="s">
        <v>13198</v>
      </c>
      <c r="E2888" s="1" t="s">
        <v>12006</v>
      </c>
      <c r="F2888" s="4" t="s">
        <v>17</v>
      </c>
      <c r="G2888" s="1" t="s">
        <v>18</v>
      </c>
      <c r="H2888" s="1" t="s">
        <v>19</v>
      </c>
      <c r="I2888" s="1" t="s">
        <v>20</v>
      </c>
      <c r="J2888" s="1" t="s">
        <v>13199</v>
      </c>
      <c r="K2888" s="1" t="s">
        <v>22</v>
      </c>
      <c r="L2888" s="1" t="str">
        <f>HYPERLINK("https://files.afu.se/Downloads/Transcripts/0%20-%20Government/USA%20-%20NASA/2013 06 07 - NASA - NASA Mars Curiosity Rover Report -- June 7, 2013_QysRsOuwyAo - transcript (automated).pdf","Transcript Link")</f>
        <v>Transcript Link</v>
      </c>
      <c r="M2888" s="2" t="str">
        <f>HYPERLINK("https://files.afu.se/Downloads/Transcripts/0%20-%20Government/USA%20-%20NASA/2013 06 07 - NASA - NASA Mars Curiosity Rover Report -- June 7, 2013_QysRsOuwyAo - transcript (automated).pdf","Transcript Link")</f>
        <v>Transcript Link</v>
      </c>
    </row>
    <row r="2889" ht="210" spans="1:13">
      <c r="A2889" s="1" t="s">
        <v>13196</v>
      </c>
      <c r="B2889" s="1" t="s">
        <v>13</v>
      </c>
      <c r="C2889" s="4" t="s">
        <v>13200</v>
      </c>
      <c r="D2889" s="1" t="s">
        <v>13201</v>
      </c>
      <c r="E2889" s="1" t="s">
        <v>13202</v>
      </c>
      <c r="F2889" s="4" t="s">
        <v>17</v>
      </c>
      <c r="G2889" s="1" t="s">
        <v>18</v>
      </c>
      <c r="H2889" s="1" t="s">
        <v>19</v>
      </c>
      <c r="I2889" s="1" t="s">
        <v>20</v>
      </c>
      <c r="J2889" s="1" t="s">
        <v>13203</v>
      </c>
      <c r="K2889" s="1" t="s">
        <v>22</v>
      </c>
      <c r="L2889" s="1" t="str">
        <f>HYPERLINK("https://files.afu.se/Downloads/Transcripts/0%20-%20Government/USA%20-%20NASA/2013 06 07 - NASA - Space Weather Enterprise Forum on This Week @NASA_o7c3dEuKc18 - transcript (automated).pdf","Transcript Link")</f>
        <v>Transcript Link</v>
      </c>
      <c r="M2889" s="2" t="str">
        <f>HYPERLINK("https://files.afu.se/Downloads/Transcripts/0%20-%20Government/USA%20-%20NASA/2013 06 07 - NASA - Space Weather Enterprise Forum on This Week @NASA_o7c3dEuKc18 - transcript (automated).pdf","Transcript Link")</f>
        <v>Transcript Link</v>
      </c>
    </row>
    <row r="2890" ht="165" spans="1:13">
      <c r="A2890" s="1" t="s">
        <v>13196</v>
      </c>
      <c r="B2890" s="1" t="s">
        <v>13</v>
      </c>
      <c r="C2890" s="4" t="s">
        <v>13204</v>
      </c>
      <c r="D2890" s="1" t="s">
        <v>13205</v>
      </c>
      <c r="E2890" s="1" t="s">
        <v>13206</v>
      </c>
      <c r="F2890" s="4" t="s">
        <v>17</v>
      </c>
      <c r="G2890" s="1" t="s">
        <v>18</v>
      </c>
      <c r="H2890" s="1" t="s">
        <v>19</v>
      </c>
      <c r="I2890" s="1" t="s">
        <v>20</v>
      </c>
      <c r="J2890" s="1" t="s">
        <v>13207</v>
      </c>
      <c r="K2890" s="1" t="s">
        <v>22</v>
      </c>
      <c r="L2890" s="1" t="str">
        <f>HYPERLINK("https://files.afu.se/Downloads/Transcripts/0%20-%20Government/USA%20-%20NASA/2013 06 07 - NASA - Latest Update of Expedition 36 ESA Astronaut Luca Parmitano_XRXD52L_EAE - transcript (automated).pdf","Transcript Link")</f>
        <v>Transcript Link</v>
      </c>
      <c r="M2890" s="2" t="str">
        <f>HYPERLINK("https://files.afu.se/Downloads/Transcripts/0%20-%20Government/USA%20-%20NASA/2013 06 07 - NASA - Latest Update of Expedition 36 ESA Astronaut Luca Parmitano_XRXD52L_EAE - transcript (automated).pdf","Transcript Link")</f>
        <v>Transcript Link</v>
      </c>
    </row>
    <row r="2891" ht="180" spans="1:13">
      <c r="A2891" s="1" t="s">
        <v>13208</v>
      </c>
      <c r="B2891" s="1" t="s">
        <v>13</v>
      </c>
      <c r="C2891" s="4" t="s">
        <v>13209</v>
      </c>
      <c r="D2891" s="1" t="s">
        <v>13210</v>
      </c>
      <c r="E2891" s="1" t="s">
        <v>13211</v>
      </c>
      <c r="F2891" s="4" t="s">
        <v>17</v>
      </c>
      <c r="G2891" s="1" t="s">
        <v>18</v>
      </c>
      <c r="H2891" s="1" t="s">
        <v>19</v>
      </c>
      <c r="I2891" s="1" t="s">
        <v>20</v>
      </c>
      <c r="J2891" s="1" t="s">
        <v>13212</v>
      </c>
      <c r="K2891" s="1" t="s">
        <v>22</v>
      </c>
      <c r="L2891" s="1" t="str">
        <f>HYPERLINK("https://files.afu.se/Downloads/Transcripts/0%20-%20Government/USA%20-%20NASA/2013 06 06 - NASA - NASA Flight Controller Talks Space with Students_z5_0hfU6b1s - transcript (automated).pdf","Transcript Link")</f>
        <v>Transcript Link</v>
      </c>
      <c r="M2891" s="2" t="str">
        <f>HYPERLINK("https://files.afu.se/Downloads/Transcripts/0%20-%20Government/USA%20-%20NASA/2013 06 06 - NASA - NASA Flight Controller Talks Space with Students_z5_0hfU6b1s - transcript (automated).pdf","Transcript Link")</f>
        <v>Transcript Link</v>
      </c>
    </row>
    <row r="2892" ht="180" spans="1:13">
      <c r="A2892" s="1" t="s">
        <v>13213</v>
      </c>
      <c r="B2892" s="1" t="s">
        <v>13</v>
      </c>
      <c r="C2892" s="4" t="s">
        <v>13214</v>
      </c>
      <c r="D2892" s="1" t="s">
        <v>13215</v>
      </c>
      <c r="E2892" s="1" t="s">
        <v>13216</v>
      </c>
      <c r="F2892" s="4" t="s">
        <v>17</v>
      </c>
      <c r="G2892" s="1" t="s">
        <v>18</v>
      </c>
      <c r="H2892" s="1" t="s">
        <v>19</v>
      </c>
      <c r="I2892" s="1" t="s">
        <v>20</v>
      </c>
      <c r="J2892" s="1" t="s">
        <v>13217</v>
      </c>
      <c r="K2892" s="1" t="s">
        <v>22</v>
      </c>
      <c r="L2892" s="1" t="str">
        <f>HYPERLINK("https://files.afu.se/Downloads/Transcripts/0%20-%20Government/USA%20-%20NASA/2013 06 05 - NASA - ATV-4 Albert Einstein Heads to Space_ZnN0vJj5Z9U - transcript (automated).pdf","Transcript Link")</f>
        <v>Transcript Link</v>
      </c>
      <c r="M2892" s="2" t="str">
        <f>HYPERLINK("https://files.afu.se/Downloads/Transcripts/0%20-%20Government/USA%20-%20NASA/2013 06 05 - NASA - ATV-4 Albert Einstein Heads to Space_ZnN0vJj5Z9U - transcript (automated).pdf","Transcript Link")</f>
        <v>Transcript Link</v>
      </c>
    </row>
    <row r="2893" ht="165" spans="1:13">
      <c r="A2893" s="1" t="s">
        <v>13213</v>
      </c>
      <c r="B2893" s="1" t="s">
        <v>13</v>
      </c>
      <c r="C2893" s="4" t="s">
        <v>13218</v>
      </c>
      <c r="D2893" s="1" t="s">
        <v>13219</v>
      </c>
      <c r="E2893" s="1" t="s">
        <v>13220</v>
      </c>
      <c r="F2893" s="4" t="s">
        <v>17</v>
      </c>
      <c r="G2893" s="1" t="s">
        <v>18</v>
      </c>
      <c r="H2893" s="1" t="s">
        <v>19</v>
      </c>
      <c r="I2893" s="1" t="s">
        <v>20</v>
      </c>
      <c r="J2893" s="1" t="s">
        <v>13221</v>
      </c>
      <c r="K2893" s="1" t="s">
        <v>22</v>
      </c>
      <c r="L2893" s="1" t="str">
        <f>HYPERLINK("https://files.afu.se/Downloads/Transcripts/0%20-%20Government/USA%20-%20NASA/2013 06 05 - NASA - NASA's Newest View of the Sun_HCg3MkL93rY - transcript (automated).pdf","Transcript Link")</f>
        <v>Transcript Link</v>
      </c>
      <c r="M2893" s="2" t="str">
        <f>HYPERLINK("https://files.afu.se/Downloads/Transcripts/0%20-%20Government/USA%20-%20NASA/2013 06 05 - NASA - NASA's Newest View of the Sun_HCg3MkL93rY - transcript (automated).pdf","Transcript Link")</f>
        <v>Transcript Link</v>
      </c>
    </row>
    <row r="2894" ht="165" spans="1:13">
      <c r="A2894" s="1" t="s">
        <v>13222</v>
      </c>
      <c r="B2894" s="1" t="s">
        <v>13</v>
      </c>
      <c r="C2894" s="4" t="s">
        <v>13223</v>
      </c>
      <c r="D2894" s="1" t="s">
        <v>13224</v>
      </c>
      <c r="E2894" s="1" t="s">
        <v>13225</v>
      </c>
      <c r="F2894" s="4" t="s">
        <v>17</v>
      </c>
      <c r="G2894" s="1" t="s">
        <v>18</v>
      </c>
      <c r="H2894" s="1" t="s">
        <v>19</v>
      </c>
      <c r="I2894" s="1" t="s">
        <v>20</v>
      </c>
      <c r="J2894" s="1" t="s">
        <v>13226</v>
      </c>
      <c r="K2894" s="1" t="s">
        <v>22</v>
      </c>
      <c r="L2894" s="1" t="str">
        <f>HYPERLINK("https://files.afu.se/Downloads/Transcripts/0%20-%20Government/USA%20-%20NASA/2013 06 04 - NASA - Minneapolis Talks Space with the ISS_mgBhgKBxhus - transcript (automated).pdf","Transcript Link")</f>
        <v>Transcript Link</v>
      </c>
      <c r="M2894" s="2" t="str">
        <f>HYPERLINK("https://files.afu.se/Downloads/Transcripts/0%20-%20Government/USA%20-%20NASA/2013 06 04 - NASA - Minneapolis Talks Space with the ISS_mgBhgKBxhus - transcript (automated).pdf","Transcript Link")</f>
        <v>Transcript Link</v>
      </c>
    </row>
    <row r="2895" ht="255" spans="1:13">
      <c r="A2895" s="1" t="s">
        <v>13227</v>
      </c>
      <c r="B2895" s="1" t="s">
        <v>13</v>
      </c>
      <c r="C2895" s="4" t="s">
        <v>13228</v>
      </c>
      <c r="D2895" s="1" t="s">
        <v>13229</v>
      </c>
      <c r="E2895" s="1" t="s">
        <v>13230</v>
      </c>
      <c r="F2895" s="4" t="s">
        <v>17</v>
      </c>
      <c r="G2895" s="1" t="s">
        <v>18</v>
      </c>
      <c r="H2895" s="1" t="s">
        <v>19</v>
      </c>
      <c r="I2895" s="1" t="s">
        <v>20</v>
      </c>
      <c r="J2895" s="1" t="s">
        <v>13231</v>
      </c>
      <c r="K2895" s="1" t="s">
        <v>22</v>
      </c>
      <c r="L2895" s="1" t="str">
        <f>HYPERLINK("https://files.afu.se/Downloads/Transcripts/0%20-%20Government/USA%20-%20NASA/2013 05 31 - NASA - QE2's Flyby on This Week @NASA_SL_1DGv2XxQ - transcript (automated).pdf","Transcript Link")</f>
        <v>Transcript Link</v>
      </c>
      <c r="M2895" s="2" t="str">
        <f>HYPERLINK("https://files.afu.se/Downloads/Transcripts/0%20-%20Government/USA%20-%20NASA/2013 05 31 - NASA - QE2's Flyby on This Week @NASA_SL_1DGv2XxQ - transcript (automated).pdf","Transcript Link")</f>
        <v>Transcript Link</v>
      </c>
    </row>
    <row r="2896" ht="165" spans="1:13">
      <c r="A2896" s="1" t="s">
        <v>13227</v>
      </c>
      <c r="B2896" s="1" t="s">
        <v>13</v>
      </c>
      <c r="C2896" s="4" t="s">
        <v>13232</v>
      </c>
      <c r="D2896" s="1" t="s">
        <v>13233</v>
      </c>
      <c r="E2896" s="1" t="s">
        <v>13234</v>
      </c>
      <c r="F2896" s="4" t="s">
        <v>17</v>
      </c>
      <c r="G2896" s="1" t="s">
        <v>18</v>
      </c>
      <c r="H2896" s="1" t="s">
        <v>19</v>
      </c>
      <c r="I2896" s="1" t="s">
        <v>20</v>
      </c>
      <c r="J2896" s="1" t="s">
        <v>13235</v>
      </c>
      <c r="K2896" s="1" t="s">
        <v>22</v>
      </c>
      <c r="L2896" s="1" t="str">
        <f>HYPERLINK("https://files.afu.se/Downloads/Transcripts/0%20-%20Government/USA%20-%20NASA/2013 05 31 - NASA - Launch Aboard NASA's Summer of Innovation_MW_NsN0Ilro - transcript (automated).pdf","Transcript Link")</f>
        <v>Transcript Link</v>
      </c>
      <c r="M2896" s="2" t="str">
        <f>HYPERLINK("https://files.afu.se/Downloads/Transcripts/0%20-%20Government/USA%20-%20NASA/2013 05 31 - NASA - Launch Aboard NASA's Summer of Innovation_MW_NsN0Ilro - transcript (automated).pdf","Transcript Link")</f>
        <v>Transcript Link</v>
      </c>
    </row>
    <row r="2897" ht="165" spans="1:13">
      <c r="A2897" s="1" t="s">
        <v>13236</v>
      </c>
      <c r="B2897" s="1" t="s">
        <v>13</v>
      </c>
      <c r="C2897" s="4" t="s">
        <v>13237</v>
      </c>
      <c r="D2897" s="1" t="s">
        <v>13238</v>
      </c>
      <c r="E2897" s="1" t="s">
        <v>13239</v>
      </c>
      <c r="F2897" s="4" t="s">
        <v>17</v>
      </c>
      <c r="G2897" s="1" t="s">
        <v>18</v>
      </c>
      <c r="H2897" s="1" t="s">
        <v>19</v>
      </c>
      <c r="I2897" s="1" t="s">
        <v>20</v>
      </c>
      <c r="J2897" s="1" t="s">
        <v>13240</v>
      </c>
      <c r="K2897" s="1" t="s">
        <v>22</v>
      </c>
      <c r="L2897" s="1" t="str">
        <f>HYPERLINK("https://files.afu.se/Downloads/Transcripts/0%20-%20Government/USA%20-%20NASA/2013 05 30 - NASA - ScienceCasts  Big Asteroid Flyby_b_dx5G89DzY - transcript (automated).pdf","Transcript Link")</f>
        <v>Transcript Link</v>
      </c>
      <c r="M2897" s="2" t="str">
        <f>HYPERLINK("https://files.afu.se/Downloads/Transcripts/0%20-%20Government/USA%20-%20NASA/2013 05 30 - NASA - ScienceCasts  Big Asteroid Flyby_b_dx5G89DzY - transcript (automated).pdf","Transcript Link")</f>
        <v>Transcript Link</v>
      </c>
    </row>
    <row r="2898" ht="195" spans="1:13">
      <c r="A2898" s="1" t="s">
        <v>13236</v>
      </c>
      <c r="B2898" s="1" t="s">
        <v>13</v>
      </c>
      <c r="C2898" s="4" t="s">
        <v>13241</v>
      </c>
      <c r="D2898" s="1" t="s">
        <v>13242</v>
      </c>
      <c r="E2898" s="1" t="s">
        <v>13243</v>
      </c>
      <c r="F2898" s="4" t="s">
        <v>17</v>
      </c>
      <c r="G2898" s="1" t="s">
        <v>18</v>
      </c>
      <c r="H2898" s="1" t="s">
        <v>19</v>
      </c>
      <c r="I2898" s="1" t="s">
        <v>20</v>
      </c>
      <c r="J2898" s="1" t="s">
        <v>13244</v>
      </c>
      <c r="K2898" s="1" t="s">
        <v>22</v>
      </c>
      <c r="L2898" s="1" t="str">
        <f>HYPERLINK("https://files.afu.se/Downloads/Transcripts/0%20-%20Government/USA%20-%20NASA/2013 05 30 - NASA - NASA Covers Asteroid's Flyby of Earth_o-vPMsArqm0 - transcript (automated).pdf","Transcript Link")</f>
        <v>Transcript Link</v>
      </c>
      <c r="M2898" s="2" t="str">
        <f>HYPERLINK("https://files.afu.se/Downloads/Transcripts/0%20-%20Government/USA%20-%20NASA/2013 05 30 - NASA - NASA Covers Asteroid's Flyby of Earth_o-vPMsArqm0 - transcript (automated).pdf","Transcript Link")</f>
        <v>Transcript Link</v>
      </c>
    </row>
    <row r="2899" ht="195" spans="1:13">
      <c r="A2899" s="1" t="s">
        <v>13236</v>
      </c>
      <c r="B2899" s="1" t="s">
        <v>13</v>
      </c>
      <c r="C2899" s="4" t="s">
        <v>13245</v>
      </c>
      <c r="D2899" s="1" t="s">
        <v>13246</v>
      </c>
      <c r="E2899" s="1" t="s">
        <v>13247</v>
      </c>
      <c r="F2899" s="4" t="s">
        <v>17</v>
      </c>
      <c r="G2899" s="1" t="s">
        <v>18</v>
      </c>
      <c r="H2899" s="1" t="s">
        <v>19</v>
      </c>
      <c r="I2899" s="1" t="s">
        <v>20</v>
      </c>
      <c r="J2899" s="1" t="s">
        <v>13248</v>
      </c>
      <c r="K2899" s="1" t="s">
        <v>22</v>
      </c>
      <c r="L2899" s="1" t="str">
        <f>HYPERLINK("https://files.afu.se/Downloads/Transcripts/0%20-%20Government/USA%20-%20NASA/2013 05 30 - NASA - NASA Aerospace Engineer Talks Space with Students_mhVSAvY51Kw - transcript (automated).pdf","Transcript Link")</f>
        <v>Transcript Link</v>
      </c>
      <c r="M2899" s="2" t="str">
        <f>HYPERLINK("https://files.afu.se/Downloads/Transcripts/0%20-%20Government/USA%20-%20NASA/2013 05 30 - NASA - NASA Aerospace Engineer Talks Space with Students_mhVSAvY51Kw - transcript (automated).pdf","Transcript Link")</f>
        <v>Transcript Link</v>
      </c>
    </row>
    <row r="2900" ht="165" spans="1:13">
      <c r="A2900" s="1" t="s">
        <v>13236</v>
      </c>
      <c r="B2900" s="1" t="s">
        <v>13</v>
      </c>
      <c r="C2900" s="4" t="s">
        <v>13249</v>
      </c>
      <c r="D2900" s="1" t="s">
        <v>13250</v>
      </c>
      <c r="E2900" s="1" t="s">
        <v>13251</v>
      </c>
      <c r="F2900" s="4" t="s">
        <v>17</v>
      </c>
      <c r="G2900" s="1" t="s">
        <v>18</v>
      </c>
      <c r="H2900" s="1" t="s">
        <v>19</v>
      </c>
      <c r="I2900" s="1" t="s">
        <v>20</v>
      </c>
      <c r="J2900" s="1" t="s">
        <v>13252</v>
      </c>
      <c r="K2900" s="1" t="s">
        <v>22</v>
      </c>
      <c r="L2900" s="1" t="str">
        <f>HYPERLINK("https://files.afu.se/Downloads/Transcripts/0%20-%20Government/USA%20-%20NASA/2013 05 30 - NASA - Actor Jaden Smith Highlights NASA Earth Science_fshNptg_BxY - transcript (automated).pdf","Transcript Link")</f>
        <v>Transcript Link</v>
      </c>
      <c r="M2900" s="2" t="str">
        <f>HYPERLINK("https://files.afu.se/Downloads/Transcripts/0%20-%20Government/USA%20-%20NASA/2013 05 30 - NASA - Actor Jaden Smith Highlights NASA Earth Science_fshNptg_BxY - transcript (automated).pdf","Transcript Link")</f>
        <v>Transcript Link</v>
      </c>
    </row>
    <row r="2901" ht="225" spans="1:13">
      <c r="A2901" s="1" t="s">
        <v>13253</v>
      </c>
      <c r="B2901" s="1" t="s">
        <v>13</v>
      </c>
      <c r="C2901" s="4" t="s">
        <v>13254</v>
      </c>
      <c r="D2901" s="1" t="s">
        <v>13255</v>
      </c>
      <c r="E2901" s="1" t="s">
        <v>13256</v>
      </c>
      <c r="F2901" s="4" t="s">
        <v>17</v>
      </c>
      <c r="G2901" s="1" t="s">
        <v>18</v>
      </c>
      <c r="H2901" s="1" t="s">
        <v>19</v>
      </c>
      <c r="I2901" s="1" t="s">
        <v>20</v>
      </c>
      <c r="J2901" s="1" t="s">
        <v>13257</v>
      </c>
      <c r="K2901" s="1" t="s">
        <v>22</v>
      </c>
      <c r="L2901" s="1" t="str">
        <f>HYPERLINK("https://files.afu.se/Downloads/Transcripts/0%20-%20Government/USA%20-%20NASA/2013 05 29 - NASA - New Crew to Station on This Week @NASA_9KxN447nKCY - transcript (automated).pdf","Transcript Link")</f>
        <v>Transcript Link</v>
      </c>
      <c r="M2901" s="2" t="str">
        <f>HYPERLINK("https://files.afu.se/Downloads/Transcripts/0%20-%20Government/USA%20-%20NASA/2013 05 29 - NASA - New Crew to Station on This Week @NASA_9KxN447nKCY - transcript (automated).pdf","Transcript Link")</f>
        <v>Transcript Link</v>
      </c>
    </row>
    <row r="2902" ht="180" spans="1:13">
      <c r="A2902" s="1" t="s">
        <v>13253</v>
      </c>
      <c r="B2902" s="1" t="s">
        <v>13</v>
      </c>
      <c r="C2902" s="4" t="s">
        <v>13258</v>
      </c>
      <c r="D2902" s="1" t="s">
        <v>13259</v>
      </c>
      <c r="E2902" s="1" t="s">
        <v>13260</v>
      </c>
      <c r="F2902" s="4" t="s">
        <v>17</v>
      </c>
      <c r="G2902" s="1" t="s">
        <v>18</v>
      </c>
      <c r="H2902" s="1" t="s">
        <v>19</v>
      </c>
      <c r="I2902" s="1" t="s">
        <v>20</v>
      </c>
      <c r="J2902" s="1" t="s">
        <v>13261</v>
      </c>
      <c r="K2902" s="1" t="s">
        <v>22</v>
      </c>
      <c r="L2902" s="1" t="str">
        <f>HYPERLINK("https://files.afu.se/Downloads/Transcripts/0%20-%20Government/USA%20-%20NASA/2013 05 29 - NASA - New Crew Members Complete Safe Trip to ISS_ESr9anxT_Bs - transcript (automated).pdf","Transcript Link")</f>
        <v>Transcript Link</v>
      </c>
      <c r="M2902" s="2" t="str">
        <f>HYPERLINK("https://files.afu.se/Downloads/Transcripts/0%20-%20Government/USA%20-%20NASA/2013 05 29 - NASA - New Crew Members Complete Safe Trip to ISS_ESr9anxT_Bs - transcript (automated).pdf","Transcript Link")</f>
        <v>Transcript Link</v>
      </c>
    </row>
    <row r="2903" ht="165" spans="1:13">
      <c r="A2903" s="1" t="s">
        <v>13253</v>
      </c>
      <c r="B2903" s="1" t="s">
        <v>13</v>
      </c>
      <c r="C2903" s="4" t="s">
        <v>13262</v>
      </c>
      <c r="D2903" s="1" t="s">
        <v>13263</v>
      </c>
      <c r="E2903" s="1" t="s">
        <v>13264</v>
      </c>
      <c r="F2903" s="4" t="s">
        <v>17</v>
      </c>
      <c r="G2903" s="1" t="s">
        <v>18</v>
      </c>
      <c r="H2903" s="1" t="s">
        <v>19</v>
      </c>
      <c r="I2903" s="1" t="s">
        <v>20</v>
      </c>
      <c r="J2903" s="1" t="s">
        <v>13265</v>
      </c>
      <c r="K2903" s="1" t="s">
        <v>22</v>
      </c>
      <c r="L2903" s="1" t="str">
        <f>HYPERLINK("https://files.afu.se/Downloads/Transcripts/0%20-%20Government/USA%20-%20NASA/2013 05 29 - NASA - New ISS Crew Members Welcomed!_Kt_bJDaZQrM - transcript (automated).pdf","Transcript Link")</f>
        <v>Transcript Link</v>
      </c>
      <c r="M2903" s="2" t="str">
        <f>HYPERLINK("https://files.afu.se/Downloads/Transcripts/0%20-%20Government/USA%20-%20NASA/2013 05 29 - NASA - New ISS Crew Members Welcomed!_Kt_bJDaZQrM - transcript (automated).pdf","Transcript Link")</f>
        <v>Transcript Link</v>
      </c>
    </row>
    <row r="2904" ht="165" spans="1:13">
      <c r="A2904" s="1" t="s">
        <v>13253</v>
      </c>
      <c r="B2904" s="1" t="s">
        <v>13</v>
      </c>
      <c r="C2904" s="4" t="s">
        <v>13266</v>
      </c>
      <c r="D2904" s="1" t="s">
        <v>13267</v>
      </c>
      <c r="E2904" s="1" t="s">
        <v>13268</v>
      </c>
      <c r="F2904" s="4" t="s">
        <v>17</v>
      </c>
      <c r="G2904" s="1" t="s">
        <v>18</v>
      </c>
      <c r="H2904" s="1" t="s">
        <v>19</v>
      </c>
      <c r="I2904" s="1" t="s">
        <v>20</v>
      </c>
      <c r="J2904" s="1" t="s">
        <v>13269</v>
      </c>
      <c r="K2904" s="1" t="s">
        <v>22</v>
      </c>
      <c r="L2904" s="1" t="str">
        <f>HYPERLINK("https://files.afu.se/Downloads/Transcripts/0%20-%20Government/USA%20-%20NASA/2013 05 29 - NASA - Next ISS Crew Makes Its Arrival_Dby-85KuB58 - transcript (automated).pdf","Transcript Link")</f>
        <v>Transcript Link</v>
      </c>
      <c r="M2904" s="2" t="str">
        <f>HYPERLINK("https://files.afu.se/Downloads/Transcripts/0%20-%20Government/USA%20-%20NASA/2013 05 29 - NASA - Next ISS Crew Makes Its Arrival_Dby-85KuB58 - transcript (automated).pdf","Transcript Link")</f>
        <v>Transcript Link</v>
      </c>
    </row>
    <row r="2905" ht="165" spans="1:13">
      <c r="A2905" s="1" t="s">
        <v>13253</v>
      </c>
      <c r="B2905" s="1" t="s">
        <v>13</v>
      </c>
      <c r="C2905" s="4" t="s">
        <v>13270</v>
      </c>
      <c r="D2905" s="1" t="s">
        <v>13271</v>
      </c>
      <c r="E2905" s="1" t="s">
        <v>13272</v>
      </c>
      <c r="F2905" s="4" t="s">
        <v>17</v>
      </c>
      <c r="G2905" s="1" t="s">
        <v>18</v>
      </c>
      <c r="H2905" s="1" t="s">
        <v>19</v>
      </c>
      <c r="I2905" s="1" t="s">
        <v>20</v>
      </c>
      <c r="J2905" s="1" t="s">
        <v>13273</v>
      </c>
      <c r="K2905" s="1" t="s">
        <v>22</v>
      </c>
      <c r="L2905" s="1" t="str">
        <f>HYPERLINK("https://files.afu.se/Downloads/Transcripts/0%20-%20Government/USA%20-%20NASA/2013 05 29 - NASA - Expedition 36 37 Crew Heads to the ISS_XhSqeVsbqsI - transcript (automated).pdf","Transcript Link")</f>
        <v>Transcript Link</v>
      </c>
      <c r="M2905" s="2" t="str">
        <f>HYPERLINK("https://files.afu.se/Downloads/Transcripts/0%20-%20Government/USA%20-%20NASA/2013 05 29 - NASA - Expedition 36 37 Crew Heads to the ISS_XhSqeVsbqsI - transcript (automated).pdf","Transcript Link")</f>
        <v>Transcript Link</v>
      </c>
    </row>
    <row r="2906" ht="225" spans="1:13">
      <c r="A2906" s="1" t="s">
        <v>13274</v>
      </c>
      <c r="B2906" s="1" t="s">
        <v>13</v>
      </c>
      <c r="C2906" s="4" t="s">
        <v>13275</v>
      </c>
      <c r="D2906" s="1" t="s">
        <v>13276</v>
      </c>
      <c r="E2906" s="1" t="s">
        <v>13277</v>
      </c>
      <c r="F2906" s="4" t="s">
        <v>17</v>
      </c>
      <c r="G2906" s="1" t="s">
        <v>18</v>
      </c>
      <c r="H2906" s="1" t="s">
        <v>19</v>
      </c>
      <c r="I2906" s="1" t="s">
        <v>20</v>
      </c>
      <c r="J2906" s="1" t="s">
        <v>13278</v>
      </c>
      <c r="K2906" s="1" t="s">
        <v>22</v>
      </c>
      <c r="L2906" s="1" t="str">
        <f>HYPERLINK("https://files.afu.se/Downloads/Transcripts/0%20-%20Government/USA%20-%20NASA/2013 05 28 - NASA - NASA Television Covers the Launch of the Next ISS Crew_VtVTkvqcA_8 - transcript (automated).pdf","Transcript Link")</f>
        <v>Transcript Link</v>
      </c>
      <c r="M2906" s="2" t="str">
        <f>HYPERLINK("https://files.afu.se/Downloads/Transcripts/0%20-%20Government/USA%20-%20NASA/2013 05 28 - NASA - NASA Television Covers the Launch of the Next ISS Crew_VtVTkvqcA_8 - transcript (automated).pdf","Transcript Link")</f>
        <v>Transcript Link</v>
      </c>
    </row>
    <row r="2907" ht="165" spans="1:13">
      <c r="A2907" s="1" t="s">
        <v>13279</v>
      </c>
      <c r="B2907" s="1" t="s">
        <v>13</v>
      </c>
      <c r="C2907" s="4" t="s">
        <v>13280</v>
      </c>
      <c r="D2907" s="1" t="s">
        <v>13281</v>
      </c>
      <c r="E2907" s="1" t="s">
        <v>13282</v>
      </c>
      <c r="F2907" s="4" t="s">
        <v>17</v>
      </c>
      <c r="G2907" s="1" t="s">
        <v>18</v>
      </c>
      <c r="H2907" s="1" t="s">
        <v>19</v>
      </c>
      <c r="I2907" s="1" t="s">
        <v>20</v>
      </c>
      <c r="J2907" s="1" t="s">
        <v>13283</v>
      </c>
      <c r="K2907" s="1" t="s">
        <v>22</v>
      </c>
      <c r="L2907" s="1" t="str">
        <f>HYPERLINK("https://files.afu.se/Downloads/Transcripts/0%20-%20Government/USA%20-%20NASA/2013 05 27 - NASA - Expedition Crew Meets With Russian State Commission and Media_XVPg1w5PTEg - transcript (automated).pdf","Transcript Link")</f>
        <v>Transcript Link</v>
      </c>
      <c r="M2907" s="2" t="str">
        <f>HYPERLINK("https://files.afu.se/Downloads/Transcripts/0%20-%20Government/USA%20-%20NASA/2013 05 27 - NASA - Expedition Crew Meets With Russian State Commission and Media_XVPg1w5PTEg - transcript (automated).pdf","Transcript Link")</f>
        <v>Transcript Link</v>
      </c>
    </row>
    <row r="2908" ht="165" spans="1:13">
      <c r="A2908" s="1" t="s">
        <v>13284</v>
      </c>
      <c r="B2908" s="1" t="s">
        <v>13</v>
      </c>
      <c r="C2908" s="4" t="s">
        <v>13285</v>
      </c>
      <c r="D2908" s="1" t="s">
        <v>13286</v>
      </c>
      <c r="E2908" s="1" t="s">
        <v>13287</v>
      </c>
      <c r="F2908" s="4" t="s">
        <v>17</v>
      </c>
      <c r="G2908" s="1" t="s">
        <v>18</v>
      </c>
      <c r="H2908" s="1" t="s">
        <v>19</v>
      </c>
      <c r="I2908" s="1" t="s">
        <v>20</v>
      </c>
      <c r="J2908" s="1" t="s">
        <v>13288</v>
      </c>
      <c r="K2908" s="1" t="s">
        <v>22</v>
      </c>
      <c r="L2908" s="1" t="str">
        <f>HYPERLINK("https://files.afu.se/Downloads/Transcripts/0%20-%20Government/USA%20-%20NASA/2013 05 26 - NASA - Expedition 36 37 Soyuz Rocket moves to Launch Pad_6JM4q97lIlE - transcript (automated).pdf","Transcript Link")</f>
        <v>Transcript Link</v>
      </c>
      <c r="M2908" s="2" t="str">
        <f>HYPERLINK("https://files.afu.se/Downloads/Transcripts/0%20-%20Government/USA%20-%20NASA/2013 05 26 - NASA - Expedition 36 37 Soyuz Rocket moves to Launch Pad_6JM4q97lIlE - transcript (automated).pdf","Transcript Link")</f>
        <v>Transcript Link</v>
      </c>
    </row>
    <row r="2909" ht="165" spans="1:13">
      <c r="A2909" s="1" t="s">
        <v>13289</v>
      </c>
      <c r="B2909" s="1" t="s">
        <v>13</v>
      </c>
      <c r="C2909" s="4" t="s">
        <v>13290</v>
      </c>
      <c r="D2909" s="1" t="s">
        <v>13291</v>
      </c>
      <c r="E2909" s="1" t="s">
        <v>13292</v>
      </c>
      <c r="F2909" s="4" t="s">
        <v>17</v>
      </c>
      <c r="G2909" s="1" t="s">
        <v>18</v>
      </c>
      <c r="H2909" s="1" t="s">
        <v>19</v>
      </c>
      <c r="I2909" s="1" t="s">
        <v>20</v>
      </c>
      <c r="J2909" s="1" t="s">
        <v>13293</v>
      </c>
      <c r="K2909" s="1" t="s">
        <v>22</v>
      </c>
      <c r="L2909" s="1" t="str">
        <f>HYPERLINK("https://files.afu.se/Downloads/Transcripts/0%20-%20Government/USA%20-%20NASA/2013 05 24 - NASA - The Oklahoma Storms As Seen From Space on This Week @NASA_uFREb5Us4dg - transcript (automated).pdf","Transcript Link")</f>
        <v>Transcript Link</v>
      </c>
      <c r="M2909" s="2" t="str">
        <f>HYPERLINK("https://files.afu.se/Downloads/Transcripts/0%20-%20Government/USA%20-%20NASA/2013 05 24 - NASA - The Oklahoma Storms As Seen From Space on This Week @NASA_uFREb5Us4dg - transcript (automated).pdf","Transcript Link")</f>
        <v>Transcript Link</v>
      </c>
    </row>
    <row r="2910" ht="165" spans="1:13">
      <c r="A2910" s="1" t="s">
        <v>13289</v>
      </c>
      <c r="B2910" s="1" t="s">
        <v>13</v>
      </c>
      <c r="C2910" s="4" t="s">
        <v>13294</v>
      </c>
      <c r="D2910" s="1" t="s">
        <v>13295</v>
      </c>
      <c r="E2910" s="1" t="s">
        <v>13296</v>
      </c>
      <c r="F2910" s="4" t="s">
        <v>17</v>
      </c>
      <c r="G2910" s="1" t="s">
        <v>18</v>
      </c>
      <c r="H2910" s="1" t="s">
        <v>19</v>
      </c>
      <c r="I2910" s="1" t="s">
        <v>20</v>
      </c>
      <c r="J2910" s="1" t="s">
        <v>13297</v>
      </c>
      <c r="K2910" s="1" t="s">
        <v>22</v>
      </c>
      <c r="L2910" s="1" t="str">
        <f>HYPERLINK("https://files.afu.se/Downloads/Transcripts/0%20-%20Government/USA%20-%20NASA/2013 05 24 - NASA - ScienceCasts  Big Weather on Hot Jupiters_wUNb81RoAuM - transcript (automated).pdf","Transcript Link")</f>
        <v>Transcript Link</v>
      </c>
      <c r="M2910" s="2" t="str">
        <f>HYPERLINK("https://files.afu.se/Downloads/Transcripts/0%20-%20Government/USA%20-%20NASA/2013 05 24 - NASA - ScienceCasts  Big Weather on Hot Jupiters_wUNb81RoAuM - transcript (automated).pdf","Transcript Link")</f>
        <v>Transcript Link</v>
      </c>
    </row>
    <row r="2911" ht="165" spans="1:13">
      <c r="A2911" s="1" t="s">
        <v>13298</v>
      </c>
      <c r="B2911" s="1" t="s">
        <v>13</v>
      </c>
      <c r="C2911" s="4" t="s">
        <v>13299</v>
      </c>
      <c r="D2911" s="1" t="s">
        <v>13300</v>
      </c>
      <c r="F2911" s="4" t="s">
        <v>17</v>
      </c>
      <c r="G2911" s="1" t="s">
        <v>18</v>
      </c>
      <c r="H2911" s="1" t="s">
        <v>19</v>
      </c>
      <c r="I2911" s="1" t="s">
        <v>20</v>
      </c>
      <c r="J2911" s="1" t="s">
        <v>13301</v>
      </c>
      <c r="K2911" s="1" t="s">
        <v>22</v>
      </c>
      <c r="L2911" s="1" t="str">
        <f>HYPERLINK("https://files.afu.se/Downloads/Transcripts/0%20-%20Government/USA%20-%20NASA/2013 05 23 - NASA - NASA 50th Anniversary of Gordon Cooper's Last Flight of Project Mercury_vzRiFnHS-Fk - transcript (automated).pdf","Transcript Link")</f>
        <v>Transcript Link</v>
      </c>
      <c r="M2911" s="2" t="str">
        <f>HYPERLINK("https://files.afu.se/Downloads/Transcripts/0%20-%20Government/USA%20-%20NASA/2013 05 23 - NASA - NASA 50th Anniversary of Gordon Cooper's Last Flight of Project Mercury_vzRiFnHS-Fk - transcript (automated).pdf","Transcript Link")</f>
        <v>Transcript Link</v>
      </c>
    </row>
    <row r="2912" ht="180" spans="1:13">
      <c r="A2912" s="1" t="s">
        <v>13298</v>
      </c>
      <c r="B2912" s="1" t="s">
        <v>13</v>
      </c>
      <c r="C2912" s="4" t="s">
        <v>13302</v>
      </c>
      <c r="D2912" s="1" t="s">
        <v>13046</v>
      </c>
      <c r="E2912" s="1" t="s">
        <v>13303</v>
      </c>
      <c r="F2912" s="4" t="s">
        <v>17</v>
      </c>
      <c r="G2912" s="1" t="s">
        <v>18</v>
      </c>
      <c r="H2912" s="1" t="s">
        <v>19</v>
      </c>
      <c r="I2912" s="1" t="s">
        <v>20</v>
      </c>
      <c r="J2912" s="1" t="s">
        <v>13304</v>
      </c>
      <c r="K2912" s="1" t="s">
        <v>22</v>
      </c>
      <c r="L2912" s="1" t="str">
        <f>HYPERLINK("https://files.afu.se/Downloads/Transcripts/0%20-%20Government/USA%20-%20NASA/2013 05 23 - NASA - NASA Astronaut Talks Space with Students_BXXnU-woHBo - transcript (automated).pdf","Transcript Link")</f>
        <v>Transcript Link</v>
      </c>
      <c r="M2912" s="2" t="str">
        <f>HYPERLINK("https://files.afu.se/Downloads/Transcripts/0%20-%20Government/USA%20-%20NASA/2013 05 23 - NASA - NASA Astronaut Talks Space with Students_BXXnU-woHBo - transcript (automated).pdf","Transcript Link")</f>
        <v>Transcript Link</v>
      </c>
    </row>
    <row r="2913" ht="255" spans="1:13">
      <c r="A2913" s="1" t="s">
        <v>13298</v>
      </c>
      <c r="B2913" s="1" t="s">
        <v>13</v>
      </c>
      <c r="C2913" s="4" t="s">
        <v>13305</v>
      </c>
      <c r="D2913" s="1" t="s">
        <v>13306</v>
      </c>
      <c r="E2913" s="1" t="s">
        <v>13307</v>
      </c>
      <c r="F2913" s="4" t="s">
        <v>17</v>
      </c>
      <c r="G2913" s="1" t="s">
        <v>18</v>
      </c>
      <c r="H2913" s="1" t="s">
        <v>19</v>
      </c>
      <c r="I2913" s="1" t="s">
        <v>20</v>
      </c>
      <c r="J2913" s="1" t="s">
        <v>13308</v>
      </c>
      <c r="K2913" s="1" t="s">
        <v>22</v>
      </c>
      <c r="L2913" s="1" t="str">
        <f>HYPERLINK("https://files.afu.se/Downloads/Transcripts/0%20-%20Government/USA%20-%20NASA/2013 05 23 - NASA - Next Space Station Mission Previewed for Media_GTktRY6J-0k - transcript (automated).pdf","Transcript Link")</f>
        <v>Transcript Link</v>
      </c>
      <c r="M2913" s="2" t="str">
        <f>HYPERLINK("https://files.afu.se/Downloads/Transcripts/0%20-%20Government/USA%20-%20NASA/2013 05 23 - NASA - Next Space Station Mission Previewed for Media_GTktRY6J-0k - transcript (automated).pdf","Transcript Link")</f>
        <v>Transcript Link</v>
      </c>
    </row>
    <row r="2914" ht="165" spans="1:13">
      <c r="A2914" s="1" t="s">
        <v>13298</v>
      </c>
      <c r="B2914" s="1" t="s">
        <v>13</v>
      </c>
      <c r="C2914" s="4" t="s">
        <v>13309</v>
      </c>
      <c r="D2914" s="1" t="s">
        <v>13310</v>
      </c>
      <c r="E2914" s="1" t="s">
        <v>13311</v>
      </c>
      <c r="F2914" s="4" t="s">
        <v>17</v>
      </c>
      <c r="G2914" s="1" t="s">
        <v>18</v>
      </c>
      <c r="H2914" s="1" t="s">
        <v>19</v>
      </c>
      <c r="I2914" s="1" t="s">
        <v>20</v>
      </c>
      <c r="J2914" s="1" t="s">
        <v>13312</v>
      </c>
      <c r="K2914" s="1" t="s">
        <v>22</v>
      </c>
      <c r="L2914" s="1" t="str">
        <f>HYPERLINK("https://files.afu.se/Downloads/Transcripts/0%20-%20Government/USA%20-%20NASA/2013 05 23 - NASA - Cassidy Shares Slice of  Space Life  with Home State Students_AOE7mLDF-qU - transcript (automated).pdf","Transcript Link")</f>
        <v>Transcript Link</v>
      </c>
      <c r="M2914" s="2" t="str">
        <f>HYPERLINK("https://files.afu.se/Downloads/Transcripts/0%20-%20Government/USA%20-%20NASA/2013 05 23 - NASA - Cassidy Shares Slice of  Space Life  with Home State Students_AOE7mLDF-qU - transcript (automated).pdf","Transcript Link")</f>
        <v>Transcript Link</v>
      </c>
    </row>
    <row r="2915" ht="165" spans="1:13">
      <c r="A2915" s="1" t="s">
        <v>13313</v>
      </c>
      <c r="B2915" s="1" t="s">
        <v>13</v>
      </c>
      <c r="C2915" s="4" t="s">
        <v>13314</v>
      </c>
      <c r="D2915" s="1" t="s">
        <v>13315</v>
      </c>
      <c r="E2915" s="1" t="s">
        <v>13316</v>
      </c>
      <c r="F2915" s="4" t="s">
        <v>17</v>
      </c>
      <c r="G2915" s="1" t="s">
        <v>18</v>
      </c>
      <c r="H2915" s="1" t="s">
        <v>19</v>
      </c>
      <c r="I2915" s="1" t="s">
        <v>20</v>
      </c>
      <c r="J2915" s="1" t="s">
        <v>13317</v>
      </c>
      <c r="K2915" s="1" t="s">
        <v>22</v>
      </c>
      <c r="L2915" s="1" t="str">
        <f>HYPERLINK("https://files.afu.se/Downloads/Transcripts/0%20-%20Government/USA%20-%20NASA/2013 05 22 - NASA - NASA's KSC Hosts Students' Mining Competition_ObufI4GKFUA - transcript (automated).pdf","Transcript Link")</f>
        <v>Transcript Link</v>
      </c>
      <c r="M2915" s="2" t="str">
        <f>HYPERLINK("https://files.afu.se/Downloads/Transcripts/0%20-%20Government/USA%20-%20NASA/2013 05 22 - NASA - NASA's KSC Hosts Students' Mining Competition_ObufI4GKFUA - transcript (automated).pdf","Transcript Link")</f>
        <v>Transcript Link</v>
      </c>
    </row>
    <row r="2916" ht="165" spans="1:13">
      <c r="A2916" s="1" t="s">
        <v>13313</v>
      </c>
      <c r="B2916" s="1" t="s">
        <v>13</v>
      </c>
      <c r="C2916" s="4" t="s">
        <v>13318</v>
      </c>
      <c r="D2916" s="1" t="s">
        <v>13319</v>
      </c>
      <c r="E2916" s="1" t="s">
        <v>13320</v>
      </c>
      <c r="F2916" s="4" t="s">
        <v>17</v>
      </c>
      <c r="G2916" s="1" t="s">
        <v>18</v>
      </c>
      <c r="H2916" s="1" t="s">
        <v>19</v>
      </c>
      <c r="I2916" s="1" t="s">
        <v>20</v>
      </c>
      <c r="J2916" s="1" t="s">
        <v>13321</v>
      </c>
      <c r="K2916" s="1" t="s">
        <v>22</v>
      </c>
      <c r="L2916" s="1" t="str">
        <f>HYPERLINK("https://files.afu.se/Downloads/Transcripts/0%20-%20Government/USA%20-%20NASA/2013 05 22 - NASA - Suni's Shoutout for NASA-TV_rqUv2xw78Q0 - transcript (automated).pdf","Transcript Link")</f>
        <v>Transcript Link</v>
      </c>
      <c r="M2916" s="2" t="str">
        <f>HYPERLINK("https://files.afu.se/Downloads/Transcripts/0%20-%20Government/USA%20-%20NASA/2013 05 22 - NASA - Suni's Shoutout for NASA-TV_rqUv2xw78Q0 - transcript (automated).pdf","Transcript Link")</f>
        <v>Transcript Link</v>
      </c>
    </row>
    <row r="2917" ht="165" spans="1:13">
      <c r="A2917" s="1" t="s">
        <v>13313</v>
      </c>
      <c r="B2917" s="1" t="s">
        <v>13</v>
      </c>
      <c r="C2917" s="4" t="s">
        <v>13322</v>
      </c>
      <c r="D2917" s="1" t="s">
        <v>13323</v>
      </c>
      <c r="E2917" s="1" t="s">
        <v>13324</v>
      </c>
      <c r="F2917" s="4" t="s">
        <v>17</v>
      </c>
      <c r="G2917" s="1" t="s">
        <v>18</v>
      </c>
      <c r="H2917" s="1" t="s">
        <v>19</v>
      </c>
      <c r="I2917" s="1" t="s">
        <v>20</v>
      </c>
      <c r="J2917" s="1" t="s">
        <v>13325</v>
      </c>
      <c r="K2917" s="1" t="s">
        <v>22</v>
      </c>
      <c r="L2917" s="1" t="str">
        <f>HYPERLINK("https://files.afu.se/Downloads/Transcripts/0%20-%20Government/USA%20-%20NASA/2013 05 22 - NASA - Expedition 36 37 Crew Prepares for Launch in Kazakhstan_fHWJlxPMj7I - transcript (automated).pdf","Transcript Link")</f>
        <v>Transcript Link</v>
      </c>
      <c r="M2917" s="2" t="str">
        <f>HYPERLINK("https://files.afu.se/Downloads/Transcripts/0%20-%20Government/USA%20-%20NASA/2013 05 22 - NASA - Expedition 36 37 Crew Prepares for Launch in Kazakhstan_fHWJlxPMj7I - transcript (automated).pdf","Transcript Link")</f>
        <v>Transcript Link</v>
      </c>
    </row>
    <row r="2918" ht="165" spans="1:13">
      <c r="A2918" s="1" t="s">
        <v>13313</v>
      </c>
      <c r="B2918" s="1" t="s">
        <v>13</v>
      </c>
      <c r="C2918" s="4" t="s">
        <v>13326</v>
      </c>
      <c r="D2918" s="1" t="s">
        <v>13327</v>
      </c>
      <c r="E2918" s="1" t="s">
        <v>13328</v>
      </c>
      <c r="F2918" s="4" t="s">
        <v>17</v>
      </c>
      <c r="G2918" s="1" t="s">
        <v>18</v>
      </c>
      <c r="H2918" s="1" t="s">
        <v>19</v>
      </c>
      <c r="I2918" s="1" t="s">
        <v>20</v>
      </c>
      <c r="J2918" s="1" t="s">
        <v>13329</v>
      </c>
      <c r="K2918" s="1" t="s">
        <v>22</v>
      </c>
      <c r="L2918" s="1" t="str">
        <f>HYPERLINK("https://files.afu.se/Downloads/Transcripts/0%20-%20Government/USA%20-%20NASA/2013 05 22 - NASA - ISS Astronauts chat live from orbit with USA TODAY and FIT_lVkHhxumqUA - transcript (automated).pdf","Transcript Link")</f>
        <v>Transcript Link</v>
      </c>
      <c r="M2918" s="2" t="str">
        <f>HYPERLINK("https://files.afu.se/Downloads/Transcripts/0%20-%20Government/USA%20-%20NASA/2013 05 22 - NASA - ISS Astronauts chat live from orbit with USA TODAY and FIT_lVkHhxumqUA - transcript (automated).pdf","Transcript Link")</f>
        <v>Transcript Link</v>
      </c>
    </row>
    <row r="2919" ht="225" spans="1:13">
      <c r="A2919" s="1" t="s">
        <v>13313</v>
      </c>
      <c r="B2919" s="1" t="s">
        <v>13</v>
      </c>
      <c r="C2919" s="4" t="s">
        <v>13330</v>
      </c>
      <c r="D2919" s="1" t="s">
        <v>13331</v>
      </c>
      <c r="E2919" s="1" t="s">
        <v>13332</v>
      </c>
      <c r="F2919" s="4" t="s">
        <v>17</v>
      </c>
      <c r="G2919" s="1" t="s">
        <v>18</v>
      </c>
      <c r="H2919" s="1" t="s">
        <v>19</v>
      </c>
      <c r="I2919" s="1" t="s">
        <v>20</v>
      </c>
      <c r="J2919" s="1" t="s">
        <v>13333</v>
      </c>
      <c r="K2919" s="1" t="s">
        <v>22</v>
      </c>
      <c r="L2919" s="1" t="str">
        <f>HYPERLINK("https://files.afu.se/Downloads/Transcripts/0%20-%20Government/USA%20-%20NASA/2013 05 22 - NASA - Kepler Update on This Week @NASA_j7iOnMBgQDo - transcript (automated).pdf","Transcript Link")</f>
        <v>Transcript Link</v>
      </c>
      <c r="M2919" s="2" t="str">
        <f>HYPERLINK("https://files.afu.se/Downloads/Transcripts/0%20-%20Government/USA%20-%20NASA/2013 05 22 - NASA - Kepler Update on This Week @NASA_j7iOnMBgQDo - transcript (automated).pdf","Transcript Link")</f>
        <v>Transcript Link</v>
      </c>
    </row>
    <row r="2920" ht="285" spans="1:13">
      <c r="A2920" s="1" t="s">
        <v>13334</v>
      </c>
      <c r="B2920" s="1" t="s">
        <v>13</v>
      </c>
      <c r="C2920" s="4" t="s">
        <v>13335</v>
      </c>
      <c r="D2920" s="1" t="s">
        <v>13336</v>
      </c>
      <c r="E2920" s="1" t="s">
        <v>12006</v>
      </c>
      <c r="F2920" s="4" t="s">
        <v>17</v>
      </c>
      <c r="G2920" s="1" t="s">
        <v>18</v>
      </c>
      <c r="H2920" s="1" t="s">
        <v>19</v>
      </c>
      <c r="I2920" s="1" t="s">
        <v>20</v>
      </c>
      <c r="J2920" s="1" t="s">
        <v>13337</v>
      </c>
      <c r="K2920" s="1" t="s">
        <v>22</v>
      </c>
      <c r="L2920" s="1" t="str">
        <f>HYPERLINK("https://files.afu.se/Downloads/Transcripts/0%20-%20Government/USA%20-%20NASA/2013 05 17 - NASA - NASA Mars Curiosity Rover Report - May 16, 2013_jMcPrFXP0cQ - transcript (automated).pdf","Transcript Link")</f>
        <v>Transcript Link</v>
      </c>
      <c r="M2920" s="2" t="str">
        <f>HYPERLINK("https://files.afu.se/Downloads/Transcripts/0%20-%20Government/USA%20-%20NASA/2013 05 17 - NASA - NASA Mars Curiosity Rover Report - May 16, 2013_jMcPrFXP0cQ - transcript (automated).pdf","Transcript Link")</f>
        <v>Transcript Link</v>
      </c>
    </row>
    <row r="2921" ht="165" spans="1:13">
      <c r="A2921" s="1" t="s">
        <v>13334</v>
      </c>
      <c r="B2921" s="1" t="s">
        <v>13</v>
      </c>
      <c r="C2921" s="4" t="s">
        <v>13338</v>
      </c>
      <c r="D2921" s="1" t="s">
        <v>13339</v>
      </c>
      <c r="E2921" s="1" t="s">
        <v>13340</v>
      </c>
      <c r="F2921" s="4" t="s">
        <v>17</v>
      </c>
      <c r="G2921" s="1" t="s">
        <v>18</v>
      </c>
      <c r="H2921" s="1" t="s">
        <v>19</v>
      </c>
      <c r="I2921" s="1" t="s">
        <v>20</v>
      </c>
      <c r="J2921" s="1" t="s">
        <v>13341</v>
      </c>
      <c r="K2921" s="1" t="s">
        <v>22</v>
      </c>
      <c r="L2921" s="1" t="str">
        <f>HYPERLINK("https://files.afu.se/Downloads/Transcripts/0%20-%20Government/USA%20-%20NASA/2013 05 17 - NASA - NASA Asian American Pacific Islander History Month - Wason Miles_G-0_zTwT-_o - transcript (automated).pdf","Transcript Link")</f>
        <v>Transcript Link</v>
      </c>
      <c r="M2921" s="2" t="str">
        <f>HYPERLINK("https://files.afu.se/Downloads/Transcripts/0%20-%20Government/USA%20-%20NASA/2013 05 17 - NASA - NASA Asian American Pacific Islander History Month - Wason Miles_G-0_zTwT-_o - transcript (automated).pdf","Transcript Link")</f>
        <v>Transcript Link</v>
      </c>
    </row>
    <row r="2922" ht="165" spans="1:13">
      <c r="A2922" s="1" t="s">
        <v>13334</v>
      </c>
      <c r="B2922" s="1" t="s">
        <v>13</v>
      </c>
      <c r="C2922" s="4" t="s">
        <v>13342</v>
      </c>
      <c r="D2922" s="1" t="s">
        <v>13343</v>
      </c>
      <c r="E2922" s="1" t="s">
        <v>13344</v>
      </c>
      <c r="F2922" s="4" t="s">
        <v>17</v>
      </c>
      <c r="G2922" s="1" t="s">
        <v>18</v>
      </c>
      <c r="H2922" s="1" t="s">
        <v>19</v>
      </c>
      <c r="I2922" s="1" t="s">
        <v>20</v>
      </c>
      <c r="J2922" s="1" t="s">
        <v>13345</v>
      </c>
      <c r="K2922" s="1" t="s">
        <v>22</v>
      </c>
      <c r="L2922" s="1" t="str">
        <f>HYPERLINK("https://files.afu.se/Downloads/Transcripts/0%20-%20Government/USA%20-%20NASA/2013 05 17 - NASA - The Impact of Sally Ride's Contributions in Space and Education_4T8X1GksQaY - transcript (automated).pdf","Transcript Link")</f>
        <v>Transcript Link</v>
      </c>
      <c r="M2922" s="2" t="str">
        <f>HYPERLINK("https://files.afu.se/Downloads/Transcripts/0%20-%20Government/USA%20-%20NASA/2013 05 17 - NASA - The Impact of Sally Ride's Contributions in Space and Education_4T8X1GksQaY - transcript (automated).pdf","Transcript Link")</f>
        <v>Transcript Link</v>
      </c>
    </row>
    <row r="2923" ht="210" spans="1:13">
      <c r="A2923" s="1" t="s">
        <v>13346</v>
      </c>
      <c r="B2923" s="1" t="s">
        <v>13</v>
      </c>
      <c r="C2923" s="4" t="s">
        <v>13347</v>
      </c>
      <c r="D2923" s="1" t="s">
        <v>13210</v>
      </c>
      <c r="E2923" s="1" t="s">
        <v>13348</v>
      </c>
      <c r="F2923" s="4" t="s">
        <v>17</v>
      </c>
      <c r="G2923" s="1" t="s">
        <v>18</v>
      </c>
      <c r="H2923" s="1" t="s">
        <v>19</v>
      </c>
      <c r="I2923" s="1" t="s">
        <v>20</v>
      </c>
      <c r="J2923" s="1" t="s">
        <v>13349</v>
      </c>
      <c r="K2923" s="1" t="s">
        <v>22</v>
      </c>
      <c r="L2923" s="1" t="str">
        <f>HYPERLINK("https://files.afu.se/Downloads/Transcripts/0%20-%20Government/USA%20-%20NASA/2013 05 16 - NASA - NASA Flight Controller Talks Space with Students_x-GYo0BbJiI - transcript (automated).pdf","Transcript Link")</f>
        <v>Transcript Link</v>
      </c>
      <c r="M2923" s="2" t="str">
        <f>HYPERLINK("https://files.afu.se/Downloads/Transcripts/0%20-%20Government/USA%20-%20NASA/2013 05 16 - NASA - NASA Flight Controller Talks Space with Students_x-GYo0BbJiI - transcript (automated).pdf","Transcript Link")</f>
        <v>Transcript Link</v>
      </c>
    </row>
    <row r="2924" ht="165" spans="1:13">
      <c r="A2924" s="1" t="s">
        <v>13346</v>
      </c>
      <c r="B2924" s="1" t="s">
        <v>13</v>
      </c>
      <c r="C2924" s="4" t="s">
        <v>13350</v>
      </c>
      <c r="D2924" s="1" t="s">
        <v>13351</v>
      </c>
      <c r="E2924" s="1" t="s">
        <v>13352</v>
      </c>
      <c r="F2924" s="4" t="s">
        <v>17</v>
      </c>
      <c r="G2924" s="1" t="s">
        <v>18</v>
      </c>
      <c r="H2924" s="1" t="s">
        <v>19</v>
      </c>
      <c r="I2924" s="1" t="s">
        <v>20</v>
      </c>
      <c r="J2924" s="1" t="s">
        <v>13353</v>
      </c>
      <c r="K2924" s="1" t="s">
        <v>22</v>
      </c>
      <c r="L2924" s="1" t="str">
        <f>HYPERLINK("https://files.afu.se/Downloads/Transcripts/0%20-%20Government/USA%20-%20NASA/2013 05 16 - NASA - ScienceCasts  Bright Explosion on the Moon_BxewkRwY_uY - transcript (automated).pdf","Transcript Link")</f>
        <v>Transcript Link</v>
      </c>
      <c r="M2924" s="2" t="str">
        <f>HYPERLINK("https://files.afu.se/Downloads/Transcripts/0%20-%20Government/USA%20-%20NASA/2013 05 16 - NASA - ScienceCasts  Bright Explosion on the Moon_BxewkRwY_uY - transcript (automated).pdf","Transcript Link")</f>
        <v>Transcript Link</v>
      </c>
    </row>
    <row r="2925" ht="225" spans="1:13">
      <c r="A2925" s="1" t="s">
        <v>13346</v>
      </c>
      <c r="B2925" s="1" t="s">
        <v>13</v>
      </c>
      <c r="C2925" s="4" t="s">
        <v>13354</v>
      </c>
      <c r="D2925" s="1" t="s">
        <v>11862</v>
      </c>
      <c r="E2925" s="1" t="s">
        <v>13355</v>
      </c>
      <c r="F2925" s="4" t="s">
        <v>17</v>
      </c>
      <c r="G2925" s="1" t="s">
        <v>18</v>
      </c>
      <c r="H2925" s="1" t="s">
        <v>19</v>
      </c>
      <c r="I2925" s="1" t="s">
        <v>20</v>
      </c>
      <c r="J2925" s="1" t="s">
        <v>13356</v>
      </c>
      <c r="K2925" s="1" t="s">
        <v>22</v>
      </c>
      <c r="L2925" s="1" t="str">
        <f>HYPERLINK("https://files.afu.se/Downloads/Transcripts/0%20-%20Government/USA%20-%20NASA/2013 05 16 - NASA - Next ISS Crew Heads to Launch Site_d-LQprVtKv4 - transcript (automated).pdf","Transcript Link")</f>
        <v>Transcript Link</v>
      </c>
      <c r="M2925" s="2" t="str">
        <f>HYPERLINK("https://files.afu.se/Downloads/Transcripts/0%20-%20Government/USA%20-%20NASA/2013 05 16 - NASA - Next ISS Crew Heads to Launch Site_d-LQprVtKv4 - transcript (automated).pdf","Transcript Link")</f>
        <v>Transcript Link</v>
      </c>
    </row>
    <row r="2926" ht="165" spans="1:13">
      <c r="A2926" s="1" t="s">
        <v>13357</v>
      </c>
      <c r="B2926" s="1" t="s">
        <v>13</v>
      </c>
      <c r="C2926" s="4" t="s">
        <v>13358</v>
      </c>
      <c r="D2926" s="1" t="s">
        <v>13359</v>
      </c>
      <c r="E2926" s="1" t="s">
        <v>13360</v>
      </c>
      <c r="F2926" s="4" t="s">
        <v>17</v>
      </c>
      <c r="G2926" s="1" t="s">
        <v>18</v>
      </c>
      <c r="H2926" s="1" t="s">
        <v>19</v>
      </c>
      <c r="I2926" s="1" t="s">
        <v>20</v>
      </c>
      <c r="J2926" s="1" t="s">
        <v>13361</v>
      </c>
      <c r="K2926" s="1" t="s">
        <v>22</v>
      </c>
      <c r="L2926" s="1" t="str">
        <f>HYPERLINK("https://files.afu.se/Downloads/Transcripts/0%20-%20Government/USA%20-%20NASA/2013 05 14 - NASA - Astronaut Kevin Ford Shares his ISS Experience_VFPg4f8Vn1E - transcript (automated).pdf","Transcript Link")</f>
        <v>Transcript Link</v>
      </c>
      <c r="M2926" s="2" t="str">
        <f>HYPERLINK("https://files.afu.se/Downloads/Transcripts/0%20-%20Government/USA%20-%20NASA/2013 05 14 - NASA - Astronaut Kevin Ford Shares his ISS Experience_VFPg4f8Vn1E - transcript (automated).pdf","Transcript Link")</f>
        <v>Transcript Link</v>
      </c>
    </row>
    <row r="2927" ht="195" spans="1:13">
      <c r="A2927" s="1" t="s">
        <v>13357</v>
      </c>
      <c r="B2927" s="1" t="s">
        <v>13</v>
      </c>
      <c r="C2927" s="4" t="s">
        <v>13362</v>
      </c>
      <c r="D2927" s="1" t="s">
        <v>13363</v>
      </c>
      <c r="E2927" s="1" t="s">
        <v>13364</v>
      </c>
      <c r="F2927" s="4" t="s">
        <v>17</v>
      </c>
      <c r="G2927" s="1" t="s">
        <v>18</v>
      </c>
      <c r="H2927" s="1" t="s">
        <v>19</v>
      </c>
      <c r="I2927" s="1" t="s">
        <v>20</v>
      </c>
      <c r="J2927" s="1" t="s">
        <v>13365</v>
      </c>
      <c r="K2927" s="1" t="s">
        <v>22</v>
      </c>
      <c r="L2927" s="1" t="str">
        <f>HYPERLINK("https://files.afu.se/Downloads/Transcripts/0%20-%20Government/USA%20-%20NASA/2013 05 14 - NASA - Warm Welcome for Expedition 35_1LQMpJJPZJg - transcript (automated).pdf","Transcript Link")</f>
        <v>Transcript Link</v>
      </c>
      <c r="M2927" s="2" t="str">
        <f>HYPERLINK("https://files.afu.se/Downloads/Transcripts/0%20-%20Government/USA%20-%20NASA/2013 05 14 - NASA - Warm Welcome for Expedition 35_1LQMpJJPZJg - transcript (automated).pdf","Transcript Link")</f>
        <v>Transcript Link</v>
      </c>
    </row>
    <row r="2928" ht="285" spans="1:13">
      <c r="A2928" s="1" t="s">
        <v>13357</v>
      </c>
      <c r="B2928" s="1" t="s">
        <v>13</v>
      </c>
      <c r="C2928" s="4" t="s">
        <v>13366</v>
      </c>
      <c r="D2928" s="1" t="s">
        <v>13367</v>
      </c>
      <c r="E2928" s="1" t="s">
        <v>13368</v>
      </c>
      <c r="F2928" s="4" t="s">
        <v>17</v>
      </c>
      <c r="G2928" s="1" t="s">
        <v>18</v>
      </c>
      <c r="H2928" s="1" t="s">
        <v>19</v>
      </c>
      <c r="I2928" s="1" t="s">
        <v>20</v>
      </c>
      <c r="J2928" s="1" t="s">
        <v>13369</v>
      </c>
      <c r="K2928" s="1" t="s">
        <v>22</v>
      </c>
      <c r="L2928" s="1" t="str">
        <f>HYPERLINK("https://files.afu.se/Downloads/Transcripts/0%20-%20Government/USA%20-%20NASA/2013 05 14 - NASA - Expedition 35 Back Home Safely on This Week @NASA_HnPjBQ4Silw - transcript (automated).pdf","Transcript Link")</f>
        <v>Transcript Link</v>
      </c>
      <c r="M2928" s="2" t="str">
        <f>HYPERLINK("https://files.afu.se/Downloads/Transcripts/0%20-%20Government/USA%20-%20NASA/2013 05 14 - NASA - Expedition 35 Back Home Safely on This Week @NASA_HnPjBQ4Silw - transcript (automated).pdf","Transcript Link")</f>
        <v>Transcript Link</v>
      </c>
    </row>
    <row r="2929" ht="165" spans="1:13">
      <c r="A2929" s="1" t="s">
        <v>13357</v>
      </c>
      <c r="B2929" s="1" t="s">
        <v>13</v>
      </c>
      <c r="C2929" s="4" t="s">
        <v>13370</v>
      </c>
      <c r="D2929" s="1" t="s">
        <v>13371</v>
      </c>
      <c r="E2929" s="1" t="s">
        <v>13372</v>
      </c>
      <c r="F2929" s="4" t="s">
        <v>17</v>
      </c>
      <c r="G2929" s="1" t="s">
        <v>18</v>
      </c>
      <c r="H2929" s="1" t="s">
        <v>19</v>
      </c>
      <c r="I2929" s="1" t="s">
        <v>20</v>
      </c>
      <c r="J2929" s="1" t="s">
        <v>13373</v>
      </c>
      <c r="K2929" s="1" t="s">
        <v>22</v>
      </c>
      <c r="L2929" s="1" t="str">
        <f>HYPERLINK("https://files.afu.se/Downloads/Transcripts/0%20-%20Government/USA%20-%20NASA/2013 05 14 - NASA - The Skylab Legacy -- Long Duration Space Flight_JZNKVnDvQY4 - transcript (automated).pdf","Transcript Link")</f>
        <v>Transcript Link</v>
      </c>
      <c r="M2929" s="2" t="str">
        <f>HYPERLINK("https://files.afu.se/Downloads/Transcripts/0%20-%20Government/USA%20-%20NASA/2013 05 14 - NASA - The Skylab Legacy -- Long Duration Space Flight_JZNKVnDvQY4 - transcript (automated).pdf","Transcript Link")</f>
        <v>Transcript Link</v>
      </c>
    </row>
    <row r="2930" ht="165" spans="1:13">
      <c r="A2930" s="1" t="s">
        <v>13357</v>
      </c>
      <c r="B2930" s="1" t="s">
        <v>13</v>
      </c>
      <c r="C2930" s="4" t="s">
        <v>13374</v>
      </c>
      <c r="D2930" s="1" t="s">
        <v>13375</v>
      </c>
      <c r="E2930" s="1" t="s">
        <v>13376</v>
      </c>
      <c r="F2930" s="4" t="s">
        <v>17</v>
      </c>
      <c r="G2930" s="1" t="s">
        <v>18</v>
      </c>
      <c r="H2930" s="1" t="s">
        <v>19</v>
      </c>
      <c r="I2930" s="1" t="s">
        <v>20</v>
      </c>
      <c r="J2930" s="1" t="s">
        <v>13377</v>
      </c>
      <c r="K2930" s="1" t="s">
        <v>22</v>
      </c>
      <c r="L2930" s="1" t="str">
        <f>HYPERLINK("https://files.afu.se/Downloads/Transcripts/0%20-%20Government/USA%20-%20NASA/2013 05 14 - NASA - Welcome Back, Expedition 35!_WJVfe6do-C0 - transcript (automated).pdf","Transcript Link")</f>
        <v>Transcript Link</v>
      </c>
      <c r="M2930" s="2" t="str">
        <f>HYPERLINK("https://files.afu.se/Downloads/Transcripts/0%20-%20Government/USA%20-%20NASA/2013 05 14 - NASA - Welcome Back, Expedition 35!_WJVfe6do-C0 - transcript (automated).pdf","Transcript Link")</f>
        <v>Transcript Link</v>
      </c>
    </row>
    <row r="2931" ht="165" spans="1:13">
      <c r="A2931" s="1" t="s">
        <v>13357</v>
      </c>
      <c r="B2931" s="1" t="s">
        <v>13</v>
      </c>
      <c r="C2931" s="4" t="s">
        <v>13378</v>
      </c>
      <c r="D2931" s="1" t="s">
        <v>13379</v>
      </c>
      <c r="E2931" s="1" t="s">
        <v>13380</v>
      </c>
      <c r="F2931" s="4" t="s">
        <v>17</v>
      </c>
      <c r="G2931" s="1" t="s">
        <v>18</v>
      </c>
      <c r="H2931" s="1" t="s">
        <v>19</v>
      </c>
      <c r="I2931" s="1" t="s">
        <v>20</v>
      </c>
      <c r="J2931" s="1" t="s">
        <v>13381</v>
      </c>
      <c r="K2931" s="1" t="s">
        <v>22</v>
      </c>
      <c r="L2931" s="1" t="str">
        <f>HYPERLINK("https://files.afu.se/Downloads/Transcripts/0%20-%20Government/USA%20-%20NASA/2013 05 14 - NASA - Expedition 35 Bids Adieu to the ISS_m2WIBkPtFoM - transcript (automated).pdf","Transcript Link")</f>
        <v>Transcript Link</v>
      </c>
      <c r="M2931" s="2" t="str">
        <f>HYPERLINK("https://files.afu.se/Downloads/Transcripts/0%20-%20Government/USA%20-%20NASA/2013 05 14 - NASA - Expedition 35 Bids Adieu to the ISS_m2WIBkPtFoM - transcript (automated).pdf","Transcript Link")</f>
        <v>Transcript Link</v>
      </c>
    </row>
    <row r="2932" ht="180" spans="1:13">
      <c r="A2932" s="1" t="s">
        <v>13382</v>
      </c>
      <c r="B2932" s="1" t="s">
        <v>13</v>
      </c>
      <c r="C2932" s="4" t="s">
        <v>13383</v>
      </c>
      <c r="D2932" s="1" t="s">
        <v>13384</v>
      </c>
      <c r="E2932" s="1" t="s">
        <v>13385</v>
      </c>
      <c r="F2932" s="4" t="s">
        <v>17</v>
      </c>
      <c r="G2932" s="1" t="s">
        <v>18</v>
      </c>
      <c r="H2932" s="1" t="s">
        <v>19</v>
      </c>
      <c r="I2932" s="1" t="s">
        <v>20</v>
      </c>
      <c r="J2932" s="1" t="s">
        <v>13386</v>
      </c>
      <c r="K2932" s="1" t="s">
        <v>22</v>
      </c>
      <c r="L2932" s="1" t="str">
        <f>HYPERLINK("https://files.afu.se/Downloads/Transcripts/0%20-%20Government/USA%20-%20NASA/2013 05 13 - NASA - Expedition 35 Prepares to Leave the ISS_BqWtS7Y95ys - transcript (automated).pdf","Transcript Link")</f>
        <v>Transcript Link</v>
      </c>
      <c r="M2932" s="2" t="str">
        <f>HYPERLINK("https://files.afu.se/Downloads/Transcripts/0%20-%20Government/USA%20-%20NASA/2013 05 13 - NASA - Expedition 35 Prepares to Leave the ISS_BqWtS7Y95ys - transcript (automated).pdf","Transcript Link")</f>
        <v>Transcript Link</v>
      </c>
    </row>
    <row r="2933" ht="225" spans="1:13">
      <c r="A2933" s="1" t="s">
        <v>13382</v>
      </c>
      <c r="B2933" s="1" t="s">
        <v>13</v>
      </c>
      <c r="C2933" s="4" t="s">
        <v>13387</v>
      </c>
      <c r="D2933" s="1" t="s">
        <v>13388</v>
      </c>
      <c r="E2933" s="1" t="s">
        <v>13389</v>
      </c>
      <c r="F2933" s="4" t="s">
        <v>17</v>
      </c>
      <c r="G2933" s="1" t="s">
        <v>18</v>
      </c>
      <c r="H2933" s="1" t="s">
        <v>19</v>
      </c>
      <c r="I2933" s="1" t="s">
        <v>20</v>
      </c>
      <c r="J2933" s="1" t="s">
        <v>13390</v>
      </c>
      <c r="K2933" s="1" t="s">
        <v>22</v>
      </c>
      <c r="L2933" s="1" t="str">
        <f>HYPERLINK("https://files.afu.se/Downloads/Transcripts/0%20-%20Government/USA%20-%20NASA/2013 05 13 - NASA - 40th Anniversary of Skylab_39BjPoKaSH4 - transcript (automated).pdf","Transcript Link")</f>
        <v>Transcript Link</v>
      </c>
      <c r="M2933" s="2" t="str">
        <f>HYPERLINK("https://files.afu.se/Downloads/Transcripts/0%20-%20Government/USA%20-%20NASA/2013 05 13 - NASA - 40th Anniversary of Skylab_39BjPoKaSH4 - transcript (automated).pdf","Transcript Link")</f>
        <v>Transcript Link</v>
      </c>
    </row>
    <row r="2934" ht="300" spans="1:13">
      <c r="A2934" s="1" t="s">
        <v>13382</v>
      </c>
      <c r="B2934" s="1" t="s">
        <v>13</v>
      </c>
      <c r="C2934" s="4" t="s">
        <v>13391</v>
      </c>
      <c r="D2934" s="1" t="s">
        <v>13392</v>
      </c>
      <c r="E2934" s="1" t="s">
        <v>13393</v>
      </c>
      <c r="F2934" s="4" t="s">
        <v>17</v>
      </c>
      <c r="G2934" s="1" t="s">
        <v>18</v>
      </c>
      <c r="H2934" s="1" t="s">
        <v>19</v>
      </c>
      <c r="I2934" s="1" t="s">
        <v>20</v>
      </c>
      <c r="J2934" s="1" t="s">
        <v>13394</v>
      </c>
      <c r="K2934" s="1" t="s">
        <v>22</v>
      </c>
      <c r="L2934" s="1" t="str">
        <f>HYPERLINK("https://files.afu.se/Downloads/Transcripts/0%20-%20Government/USA%20-%20NASA/2013 05 13 - NASA - Coolant Pump Replaced on ISS on This Week @NASA_kLkBYdnct2c - transcript (automated).pdf","Transcript Link")</f>
        <v>Transcript Link</v>
      </c>
      <c r="M2934" s="2" t="str">
        <f>HYPERLINK("https://files.afu.se/Downloads/Transcripts/0%20-%20Government/USA%20-%20NASA/2013 05 13 - NASA - Coolant Pump Replaced on ISS on This Week @NASA_kLkBYdnct2c - transcript (automated).pdf","Transcript Link")</f>
        <v>Transcript Link</v>
      </c>
    </row>
    <row r="2935" ht="165" spans="1:13">
      <c r="A2935" s="1" t="s">
        <v>13395</v>
      </c>
      <c r="B2935" s="1" t="s">
        <v>13</v>
      </c>
      <c r="C2935" s="4" t="s">
        <v>13396</v>
      </c>
      <c r="D2935" s="1" t="s">
        <v>13397</v>
      </c>
      <c r="E2935" s="1" t="s">
        <v>13398</v>
      </c>
      <c r="F2935" s="4" t="s">
        <v>17</v>
      </c>
      <c r="G2935" s="1" t="s">
        <v>18</v>
      </c>
      <c r="H2935" s="1" t="s">
        <v>19</v>
      </c>
      <c r="I2935" s="1" t="s">
        <v>20</v>
      </c>
      <c r="J2935" s="1" t="s">
        <v>13399</v>
      </c>
      <c r="K2935" s="1" t="s">
        <v>22</v>
      </c>
      <c r="L2935" s="1" t="str">
        <f>HYPERLINK("https://files.afu.se/Downloads/Transcripts/0%20-%20Government/USA%20-%20NASA/2013 05 12 - NASA - Space Exchange_7fQXaLcY5Zc - transcript (automated).pdf","Transcript Link")</f>
        <v>Transcript Link</v>
      </c>
      <c r="M2935" s="2" t="str">
        <f>HYPERLINK("https://files.afu.se/Downloads/Transcripts/0%20-%20Government/USA%20-%20NASA/2013 05 12 - NASA - Space Exchange_7fQXaLcY5Zc - transcript (automated).pdf","Transcript Link")</f>
        <v>Transcript Link</v>
      </c>
    </row>
    <row r="2936" ht="210" spans="1:13">
      <c r="A2936" s="1" t="s">
        <v>13395</v>
      </c>
      <c r="B2936" s="1" t="s">
        <v>13</v>
      </c>
      <c r="C2936" s="4" t="s">
        <v>13400</v>
      </c>
      <c r="D2936" s="1" t="s">
        <v>13401</v>
      </c>
      <c r="E2936" s="1" t="s">
        <v>13402</v>
      </c>
      <c r="F2936" s="4" t="s">
        <v>17</v>
      </c>
      <c r="G2936" s="1" t="s">
        <v>18</v>
      </c>
      <c r="H2936" s="1" t="s">
        <v>19</v>
      </c>
      <c r="I2936" s="1" t="s">
        <v>20</v>
      </c>
      <c r="J2936" s="1" t="s">
        <v>13403</v>
      </c>
      <c r="K2936" s="1" t="s">
        <v>22</v>
      </c>
      <c r="L2936" s="1" t="str">
        <f>HYPERLINK("https://files.afu.se/Downloads/Transcripts/0%20-%20Government/USA%20-%20NASA/2013 05 12 - NASA - Coolant Pump Replaced on ISS on This Week @NASA1_S9B5G_3F37o - transcript (automated).pdf","Transcript Link")</f>
        <v>Transcript Link</v>
      </c>
      <c r="M2936" s="2" t="str">
        <f>HYPERLINK("https://files.afu.se/Downloads/Transcripts/0%20-%20Government/USA%20-%20NASA/2013 05 12 - NASA - Coolant Pump Replaced on ISS on This Week @NASA1_S9B5G_3F37o - transcript (automated).pdf","Transcript Link")</f>
        <v>Transcript Link</v>
      </c>
    </row>
    <row r="2937" ht="285" spans="1:13">
      <c r="A2937" s="1" t="s">
        <v>13404</v>
      </c>
      <c r="B2937" s="1" t="s">
        <v>13</v>
      </c>
      <c r="C2937" s="4" t="s">
        <v>13405</v>
      </c>
      <c r="D2937" s="1" t="s">
        <v>13406</v>
      </c>
      <c r="E2937" s="1" t="s">
        <v>12006</v>
      </c>
      <c r="F2937" s="4" t="s">
        <v>17</v>
      </c>
      <c r="G2937" s="1" t="s">
        <v>18</v>
      </c>
      <c r="H2937" s="1" t="s">
        <v>19</v>
      </c>
      <c r="I2937" s="1" t="s">
        <v>20</v>
      </c>
      <c r="J2937" s="1" t="s">
        <v>13407</v>
      </c>
      <c r="K2937" s="1" t="s">
        <v>22</v>
      </c>
      <c r="L2937" s="1" t="str">
        <f>HYPERLINK("https://files.afu.se/Downloads/Transcripts/0%20-%20Government/USA%20-%20NASA/2013 05 10 - NASA - NASA Mars Curiosity Rover Report -- May 9, 2013_Y9b-yu8L0rc - transcript (automated).pdf","Transcript Link")</f>
        <v>Transcript Link</v>
      </c>
      <c r="M2937" s="2" t="str">
        <f>HYPERLINK("https://files.afu.se/Downloads/Transcripts/0%20-%20Government/USA%20-%20NASA/2013 05 10 - NASA - NASA Mars Curiosity Rover Report -- May 9, 2013_Y9b-yu8L0rc - transcript (automated).pdf","Transcript Link")</f>
        <v>Transcript Link</v>
      </c>
    </row>
    <row r="2938" ht="165" spans="1:13">
      <c r="A2938" s="1" t="s">
        <v>13404</v>
      </c>
      <c r="B2938" s="1" t="s">
        <v>13</v>
      </c>
      <c r="C2938" s="4" t="s">
        <v>13408</v>
      </c>
      <c r="D2938" s="1" t="s">
        <v>13409</v>
      </c>
      <c r="E2938" s="1" t="s">
        <v>13410</v>
      </c>
      <c r="F2938" s="4" t="s">
        <v>17</v>
      </c>
      <c r="G2938" s="1" t="s">
        <v>18</v>
      </c>
      <c r="H2938" s="1" t="s">
        <v>19</v>
      </c>
      <c r="I2938" s="1" t="s">
        <v>20</v>
      </c>
      <c r="J2938" s="1" t="s">
        <v>13411</v>
      </c>
      <c r="K2938" s="1" t="s">
        <v>22</v>
      </c>
      <c r="L2938" s="1" t="str">
        <f>HYPERLINK("https://files.afu.se/Downloads/Transcripts/0%20-%20Government/USA%20-%20NASA/2013 05 10 - NASA - Spacewalk Planned to Help the ISS Keep its Cool_h35IHz6qdWY - transcript (automated).pdf","Transcript Link")</f>
        <v>Transcript Link</v>
      </c>
      <c r="M2938" s="2" t="str">
        <f>HYPERLINK("https://files.afu.se/Downloads/Transcripts/0%20-%20Government/USA%20-%20NASA/2013 05 10 - NASA - Spacewalk Planned to Help the ISS Keep its Cool_h35IHz6qdWY - transcript (automated).pdf","Transcript Link")</f>
        <v>Transcript Link</v>
      </c>
    </row>
    <row r="2939" ht="165" spans="1:13">
      <c r="A2939" s="1" t="s">
        <v>13412</v>
      </c>
      <c r="B2939" s="1" t="s">
        <v>13</v>
      </c>
      <c r="C2939" s="4" t="s">
        <v>13413</v>
      </c>
      <c r="D2939" s="1" t="s">
        <v>13414</v>
      </c>
      <c r="E2939" s="1" t="s">
        <v>13415</v>
      </c>
      <c r="F2939" s="4" t="s">
        <v>17</v>
      </c>
      <c r="G2939" s="1" t="s">
        <v>18</v>
      </c>
      <c r="H2939" s="1" t="s">
        <v>19</v>
      </c>
      <c r="I2939" s="1" t="s">
        <v>20</v>
      </c>
      <c r="J2939" s="1" t="s">
        <v>13416</v>
      </c>
      <c r="K2939" s="1" t="s">
        <v>22</v>
      </c>
      <c r="L2939" s="1" t="str">
        <f>HYPERLINK("https://files.afu.se/Downloads/Transcripts/0%20-%20Government/USA%20-%20NASA/2013 05 09 - NASA - NASA ISS Flight Controller Talks Space with Students_YKWvHBbcZYI - transcript (automated).pdf","Transcript Link")</f>
        <v>Transcript Link</v>
      </c>
      <c r="M2939" s="2" t="str">
        <f>HYPERLINK("https://files.afu.se/Downloads/Transcripts/0%20-%20Government/USA%20-%20NASA/2013 05 09 - NASA - NASA ISS Flight Controller Talks Space with Students_YKWvHBbcZYI - transcript (automated).pdf","Transcript Link")</f>
        <v>Transcript Link</v>
      </c>
    </row>
    <row r="2940" ht="165" spans="1:13">
      <c r="A2940" s="1" t="s">
        <v>13412</v>
      </c>
      <c r="B2940" s="1" t="s">
        <v>13</v>
      </c>
      <c r="C2940" s="4" t="s">
        <v>13417</v>
      </c>
      <c r="D2940" s="1" t="s">
        <v>13418</v>
      </c>
      <c r="E2940" s="1" t="s">
        <v>13419</v>
      </c>
      <c r="F2940" s="4" t="s">
        <v>17</v>
      </c>
      <c r="G2940" s="1" t="s">
        <v>18</v>
      </c>
      <c r="H2940" s="1" t="s">
        <v>19</v>
      </c>
      <c r="I2940" s="1" t="s">
        <v>20</v>
      </c>
      <c r="J2940" s="1" t="s">
        <v>13420</v>
      </c>
      <c r="K2940" s="1" t="s">
        <v>22</v>
      </c>
      <c r="L2940" s="1" t="str">
        <f>HYPERLINK("https://files.afu.se/Downloads/Transcripts/0%20-%20Government/USA%20-%20NASA/2013 05 09 - NASA - ScienceCasts  Sunset Triangle_-DlCeZw9RFw - transcript (automated).pdf","Transcript Link")</f>
        <v>Transcript Link</v>
      </c>
      <c r="M2940" s="2" t="str">
        <f>HYPERLINK("https://files.afu.se/Downloads/Transcripts/0%20-%20Government/USA%20-%20NASA/2013 05 09 - NASA - ScienceCasts  Sunset Triangle_-DlCeZw9RFw - transcript (automated).pdf","Transcript Link")</f>
        <v>Transcript Link</v>
      </c>
    </row>
    <row r="2941" ht="165" spans="1:13">
      <c r="A2941" s="1" t="s">
        <v>13421</v>
      </c>
      <c r="B2941" s="1" t="s">
        <v>13</v>
      </c>
      <c r="C2941" s="4" t="s">
        <v>13422</v>
      </c>
      <c r="D2941" s="1" t="s">
        <v>13423</v>
      </c>
      <c r="E2941" s="1" t="s">
        <v>13424</v>
      </c>
      <c r="F2941" s="4" t="s">
        <v>17</v>
      </c>
      <c r="G2941" s="1" t="s">
        <v>18</v>
      </c>
      <c r="H2941" s="1" t="s">
        <v>19</v>
      </c>
      <c r="I2941" s="1" t="s">
        <v>20</v>
      </c>
      <c r="J2941" s="1" t="s">
        <v>13425</v>
      </c>
      <c r="K2941" s="1" t="s">
        <v>22</v>
      </c>
      <c r="L2941" s="1" t="str">
        <f>HYPERLINK("https://files.afu.se/Downloads/Transcripts/0%20-%20Government/USA%20-%20NASA/2013 05 08 - NASA - Expedition 36 37 Crew Takes Questions from Media_m4uxtqdGoC8 - transcript (automated).pdf","Transcript Link")</f>
        <v>Transcript Link</v>
      </c>
      <c r="M2941" s="2" t="str">
        <f>HYPERLINK("https://files.afu.se/Downloads/Transcripts/0%20-%20Government/USA%20-%20NASA/2013 05 08 - NASA - Expedition 36 37 Crew Takes Questions from Media_m4uxtqdGoC8 - transcript (automated).pdf","Transcript Link")</f>
        <v>Transcript Link</v>
      </c>
    </row>
    <row r="2942" ht="165" spans="1:13">
      <c r="A2942" s="1" t="s">
        <v>13426</v>
      </c>
      <c r="B2942" s="1" t="s">
        <v>13</v>
      </c>
      <c r="C2942" s="4" t="s">
        <v>13427</v>
      </c>
      <c r="D2942" s="1" t="s">
        <v>13428</v>
      </c>
      <c r="E2942" s="1" t="s">
        <v>13429</v>
      </c>
      <c r="F2942" s="4" t="s">
        <v>17</v>
      </c>
      <c r="G2942" s="1" t="s">
        <v>18</v>
      </c>
      <c r="H2942" s="1" t="s">
        <v>19</v>
      </c>
      <c r="I2942" s="1" t="s">
        <v>20</v>
      </c>
      <c r="J2942" s="1" t="s">
        <v>13430</v>
      </c>
      <c r="K2942" s="1" t="s">
        <v>22</v>
      </c>
      <c r="L2942" s="1" t="str">
        <f>HYPERLINK("https://files.afu.se/Downloads/Transcripts/0%20-%20Government/USA%20-%20NASA/2013 05 07 - NASA - Space Station Crewmember Testifies Before Senate Committee_rgyngI6Wx7A - transcript (automated).pdf","Transcript Link")</f>
        <v>Transcript Link</v>
      </c>
      <c r="M2942" s="2" t="str">
        <f>HYPERLINK("https://files.afu.se/Downloads/Transcripts/0%20-%20Government/USA%20-%20NASA/2013 05 07 - NASA - Space Station Crewmember Testifies Before Senate Committee_rgyngI6Wx7A - transcript (automated).pdf","Transcript Link")</f>
        <v>Transcript Link</v>
      </c>
    </row>
    <row r="2943" ht="165" spans="1:13">
      <c r="A2943" s="1" t="s">
        <v>13431</v>
      </c>
      <c r="B2943" s="1" t="s">
        <v>13</v>
      </c>
      <c r="C2943" s="4" t="s">
        <v>13432</v>
      </c>
      <c r="D2943" s="1" t="s">
        <v>13433</v>
      </c>
      <c r="E2943" s="1" t="s">
        <v>13434</v>
      </c>
      <c r="F2943" s="4" t="s">
        <v>17</v>
      </c>
      <c r="G2943" s="1" t="s">
        <v>18</v>
      </c>
      <c r="H2943" s="1" t="s">
        <v>19</v>
      </c>
      <c r="I2943" s="1" t="s">
        <v>20</v>
      </c>
      <c r="J2943" s="1" t="s">
        <v>13435</v>
      </c>
      <c r="K2943" s="1" t="s">
        <v>22</v>
      </c>
      <c r="L2943" s="1" t="str">
        <f>HYPERLINK("https://files.afu.se/Downloads/Transcripts/0%20-%20Government/USA%20-%20NASA/2013 05 06 - NASA - Music Monday Comes to Space_wM7XerPy2kY - transcript (automated).pdf","Transcript Link")</f>
        <v>Transcript Link</v>
      </c>
      <c r="M2943" s="2" t="str">
        <f>HYPERLINK("https://files.afu.se/Downloads/Transcripts/0%20-%20Government/USA%20-%20NASA/2013 05 06 - NASA - Music Monday Comes to Space_wM7XerPy2kY - transcript (automated).pdf","Transcript Link")</f>
        <v>Transcript Link</v>
      </c>
    </row>
    <row r="2944" ht="165" spans="1:13">
      <c r="A2944" s="1" t="s">
        <v>13431</v>
      </c>
      <c r="B2944" s="1" t="s">
        <v>13</v>
      </c>
      <c r="C2944" s="4" t="s">
        <v>13436</v>
      </c>
      <c r="D2944" s="1" t="s">
        <v>13437</v>
      </c>
      <c r="E2944" s="1" t="s">
        <v>13438</v>
      </c>
      <c r="F2944" s="4" t="s">
        <v>17</v>
      </c>
      <c r="G2944" s="1" t="s">
        <v>18</v>
      </c>
      <c r="H2944" s="1" t="s">
        <v>19</v>
      </c>
      <c r="I2944" s="1" t="s">
        <v>20</v>
      </c>
      <c r="J2944" s="1" t="s">
        <v>13439</v>
      </c>
      <c r="K2944" s="1" t="s">
        <v>22</v>
      </c>
      <c r="L2944" s="1" t="str">
        <f>HYPERLINK("https://files.afu.se/Downloads/Transcripts/0%20-%20Government/USA%20-%20NASA/2013 05 06 - NASA - New ISS Crew Prepares for Space Launch_uBhnFzSRats - transcript (automated).pdf","Transcript Link")</f>
        <v>Transcript Link</v>
      </c>
      <c r="M2944" s="2" t="str">
        <f>HYPERLINK("https://files.afu.se/Downloads/Transcripts/0%20-%20Government/USA%20-%20NASA/2013 05 06 - NASA - New ISS Crew Prepares for Space Launch_uBhnFzSRats - transcript (automated).pdf","Transcript Link")</f>
        <v>Transcript Link</v>
      </c>
    </row>
    <row r="2945" ht="165" spans="1:13">
      <c r="A2945" s="1" t="s">
        <v>13431</v>
      </c>
      <c r="B2945" s="1" t="s">
        <v>13</v>
      </c>
      <c r="C2945" s="4" t="s">
        <v>13440</v>
      </c>
      <c r="D2945" s="1" t="s">
        <v>13441</v>
      </c>
      <c r="E2945" s="1" t="s">
        <v>13442</v>
      </c>
      <c r="F2945" s="4" t="s">
        <v>17</v>
      </c>
      <c r="G2945" s="1" t="s">
        <v>18</v>
      </c>
      <c r="H2945" s="1" t="s">
        <v>19</v>
      </c>
      <c r="I2945" s="1" t="s">
        <v>20</v>
      </c>
      <c r="J2945" s="1" t="s">
        <v>13443</v>
      </c>
      <c r="K2945" s="1" t="s">
        <v>22</v>
      </c>
      <c r="L2945" s="1" t="str">
        <f>HYPERLINK("https://files.afu.se/Downloads/Transcripts/0%20-%20Government/USA%20-%20NASA/2013 05 06 - NASA - NASA Asian American Pacific Islander History Month - Tu-Quynh Bui, Johnson Space Center_aFv4ojLtc1s - transcript (automated).pdf","Transcript Link")</f>
        <v>Transcript Link</v>
      </c>
      <c r="M2945" s="2" t="str">
        <f>HYPERLINK("https://files.afu.se/Downloads/Transcripts/0%20-%20Government/USA%20-%20NASA/2013 05 06 - NASA - NASA Asian American Pacific Islander History Month - Tu-Quynh Bui, Johnson Space Center_aFv4ojLtc1s - transcript (automated).pdf","Transcript Link")</f>
        <v>Transcript Link</v>
      </c>
    </row>
    <row r="2946" ht="225" spans="1:13">
      <c r="A2946" s="1" t="s">
        <v>13444</v>
      </c>
      <c r="B2946" s="1" t="s">
        <v>13</v>
      </c>
      <c r="C2946" s="4" t="s">
        <v>13445</v>
      </c>
      <c r="D2946" s="1" t="s">
        <v>13446</v>
      </c>
      <c r="E2946" s="1" t="s">
        <v>13447</v>
      </c>
      <c r="F2946" s="4" t="s">
        <v>17</v>
      </c>
      <c r="G2946" s="1" t="s">
        <v>18</v>
      </c>
      <c r="H2946" s="1" t="s">
        <v>19</v>
      </c>
      <c r="I2946" s="1" t="s">
        <v>20</v>
      </c>
      <c r="J2946" s="1" t="s">
        <v>13448</v>
      </c>
      <c r="K2946" s="1" t="s">
        <v>22</v>
      </c>
      <c r="L2946" s="1" t="str">
        <f>HYPERLINK("https://files.afu.se/Downloads/Transcripts/0%20-%20Government/USA%20-%20NASA/2013 05 03 - NASA - Garver Tours Gulf Region NASA Facilities on This Week @ NASA_W5J6qmcnnp0 - transcript (automated).pdf","Transcript Link")</f>
        <v>Transcript Link</v>
      </c>
      <c r="M2946" s="2" t="str">
        <f>HYPERLINK("https://files.afu.se/Downloads/Transcripts/0%20-%20Government/USA%20-%20NASA/2013 05 03 - NASA - Garver Tours Gulf Region NASA Facilities on This Week @ NASA_W5J6qmcnnp0 - transcript (automated).pdf","Transcript Link")</f>
        <v>Transcript Link</v>
      </c>
    </row>
    <row r="2947" ht="165" spans="1:13">
      <c r="A2947" s="1" t="s">
        <v>13444</v>
      </c>
      <c r="B2947" s="1" t="s">
        <v>13</v>
      </c>
      <c r="C2947" s="4" t="s">
        <v>13449</v>
      </c>
      <c r="D2947" s="1" t="s">
        <v>13450</v>
      </c>
      <c r="E2947" s="1" t="s">
        <v>13451</v>
      </c>
      <c r="F2947" s="4" t="s">
        <v>17</v>
      </c>
      <c r="G2947" s="1" t="s">
        <v>18</v>
      </c>
      <c r="H2947" s="1" t="s">
        <v>19</v>
      </c>
      <c r="I2947" s="1" t="s">
        <v>20</v>
      </c>
      <c r="J2947" s="1" t="s">
        <v>13452</v>
      </c>
      <c r="K2947" s="1" t="s">
        <v>22</v>
      </c>
      <c r="L2947" s="1" t="str">
        <f>HYPERLINK("https://files.afu.se/Downloads/Transcripts/0%20-%20Government/USA%20-%20NASA/2013 05 03 - NASA - NASA Asian American Pacific Islander History Month - Wayne Wong, Glenn Research Center_ZHxw8Hk_l4w - transcript (automated).pdf","Transcript Link")</f>
        <v>Transcript Link</v>
      </c>
      <c r="M2947" s="2" t="str">
        <f>HYPERLINK("https://files.afu.se/Downloads/Transcripts/0%20-%20Government/USA%20-%20NASA/2013 05 03 - NASA - NASA Asian American Pacific Islander History Month - Wayne Wong, Glenn Research Center_ZHxw8Hk_l4w - transcript (automated).pdf","Transcript Link")</f>
        <v>Transcript Link</v>
      </c>
    </row>
    <row r="2948" ht="165" spans="1:13">
      <c r="A2948" s="1" t="s">
        <v>13444</v>
      </c>
      <c r="B2948" s="1" t="s">
        <v>13</v>
      </c>
      <c r="C2948" s="4" t="s">
        <v>13453</v>
      </c>
      <c r="D2948" s="1" t="s">
        <v>13454</v>
      </c>
      <c r="E2948" s="1" t="s">
        <v>13455</v>
      </c>
      <c r="F2948" s="4" t="s">
        <v>17</v>
      </c>
      <c r="G2948" s="1" t="s">
        <v>18</v>
      </c>
      <c r="H2948" s="1" t="s">
        <v>19</v>
      </c>
      <c r="I2948" s="1" t="s">
        <v>20</v>
      </c>
      <c r="J2948" s="1" t="s">
        <v>13456</v>
      </c>
      <c r="K2948" s="1" t="s">
        <v>22</v>
      </c>
      <c r="L2948" s="1" t="str">
        <f>HYPERLINK("https://files.afu.se/Downloads/Transcripts/0%20-%20Government/USA%20-%20NASA/2013 05 03 - NASA - NASA Asian American Pacific Islander History Month - Pauline Hwang, Jet Propulsion Laboratory_asRVahOUI6s - transcript (automated).pdf","Transcript Link")</f>
        <v>Transcript Link</v>
      </c>
      <c r="M2948" s="2" t="str">
        <f>HYPERLINK("https://files.afu.se/Downloads/Transcripts/0%20-%20Government/USA%20-%20NASA/2013 05 03 - NASA - NASA Asian American Pacific Islander History Month - Pauline Hwang, Jet Propulsion Laboratory_asRVahOUI6s - transcript (automated).pdf","Transcript Link")</f>
        <v>Transcript Link</v>
      </c>
    </row>
    <row r="2949" ht="165" spans="1:13">
      <c r="A2949" s="1" t="s">
        <v>13444</v>
      </c>
      <c r="B2949" s="1" t="s">
        <v>13</v>
      </c>
      <c r="C2949" s="4" t="s">
        <v>13457</v>
      </c>
      <c r="D2949" s="1" t="s">
        <v>13458</v>
      </c>
      <c r="E2949" s="1" t="s">
        <v>13459</v>
      </c>
      <c r="F2949" s="4" t="s">
        <v>17</v>
      </c>
      <c r="G2949" s="1" t="s">
        <v>18</v>
      </c>
      <c r="H2949" s="1" t="s">
        <v>19</v>
      </c>
      <c r="I2949" s="1" t="s">
        <v>20</v>
      </c>
      <c r="J2949" s="1" t="s">
        <v>13460</v>
      </c>
      <c r="K2949" s="1" t="s">
        <v>22</v>
      </c>
      <c r="L2949" s="1" t="str">
        <f>HYPERLINK("https://files.afu.se/Downloads/Transcripts/0%20-%20Government/USA%20-%20NASA/2013 05 03 - NASA - NASA Asian American Pacific Islander History Month - Lein Moore, Kennedy Space Center_DHaE6MWP2z8 - transcript (automated).pdf","Transcript Link")</f>
        <v>Transcript Link</v>
      </c>
      <c r="M2949" s="2" t="str">
        <f>HYPERLINK("https://files.afu.se/Downloads/Transcripts/0%20-%20Government/USA%20-%20NASA/2013 05 03 - NASA - NASA Asian American Pacific Islander History Month - Lein Moore, Kennedy Space Center_DHaE6MWP2z8 - transcript (automated).pdf","Transcript Link")</f>
        <v>Transcript Link</v>
      </c>
    </row>
    <row r="2950" ht="165" spans="1:13">
      <c r="A2950" s="1" t="s">
        <v>13444</v>
      </c>
      <c r="B2950" s="1" t="s">
        <v>13</v>
      </c>
      <c r="C2950" s="4" t="s">
        <v>13461</v>
      </c>
      <c r="D2950" s="1" t="s">
        <v>13462</v>
      </c>
      <c r="E2950" s="1" t="s">
        <v>13463</v>
      </c>
      <c r="F2950" s="4" t="s">
        <v>17</v>
      </c>
      <c r="G2950" s="1" t="s">
        <v>18</v>
      </c>
      <c r="H2950" s="1" t="s">
        <v>19</v>
      </c>
      <c r="I2950" s="1" t="s">
        <v>20</v>
      </c>
      <c r="J2950" s="1" t="s">
        <v>13464</v>
      </c>
      <c r="K2950" s="1" t="s">
        <v>22</v>
      </c>
      <c r="L2950" s="1" t="str">
        <f>HYPERLINK("https://files.afu.se/Downloads/Transcripts/0%20-%20Government/USA%20-%20NASA/2013 05 03 - NASA - NASA Asian American Pacific Islander History Month - Ngoc Phan Nguyen, Michoud Assembly Facility_oxbnDFFA0nk - transcript (automated).pdf","Transcript Link")</f>
        <v>Transcript Link</v>
      </c>
      <c r="M2950" s="2" t="str">
        <f>HYPERLINK("https://files.afu.se/Downloads/Transcripts/0%20-%20Government/USA%20-%20NASA/2013 05 03 - NASA - NASA Asian American Pacific Islander History Month - Ngoc Phan Nguyen, Michoud Assembly Facility_oxbnDFFA0nk - transcript (automated).pdf","Transcript Link")</f>
        <v>Transcript Link</v>
      </c>
    </row>
    <row r="2951" ht="165" spans="1:13">
      <c r="A2951" s="1" t="s">
        <v>13444</v>
      </c>
      <c r="B2951" s="1" t="s">
        <v>13</v>
      </c>
      <c r="C2951" s="4" t="s">
        <v>13465</v>
      </c>
      <c r="D2951" s="1" t="s">
        <v>13466</v>
      </c>
      <c r="E2951" s="1" t="s">
        <v>13467</v>
      </c>
      <c r="F2951" s="4" t="s">
        <v>17</v>
      </c>
      <c r="G2951" s="1" t="s">
        <v>18</v>
      </c>
      <c r="H2951" s="1" t="s">
        <v>19</v>
      </c>
      <c r="I2951" s="1" t="s">
        <v>20</v>
      </c>
      <c r="J2951" s="1" t="s">
        <v>13468</v>
      </c>
      <c r="K2951" s="1" t="s">
        <v>22</v>
      </c>
      <c r="L2951" s="1" t="str">
        <f>HYPERLINK("https://files.afu.se/Downloads/Transcripts/0%20-%20Government/USA%20-%20NASA/2013 05 03 - NASA - NASA Asian American Pacific Islander History Month - Eric Vitug, Langley Research Center_GGIGflN3xWQ - transcript (automated).pdf","Transcript Link")</f>
        <v>Transcript Link</v>
      </c>
      <c r="M2951" s="2" t="str">
        <f>HYPERLINK("https://files.afu.se/Downloads/Transcripts/0%20-%20Government/USA%20-%20NASA/2013 05 03 - NASA - NASA Asian American Pacific Islander History Month - Eric Vitug, Langley Research Center_GGIGflN3xWQ - transcript (automated).pdf","Transcript Link")</f>
        <v>Transcript Link</v>
      </c>
    </row>
    <row r="2952" ht="165" spans="1:13">
      <c r="A2952" s="1" t="s">
        <v>13444</v>
      </c>
      <c r="B2952" s="1" t="s">
        <v>13</v>
      </c>
      <c r="C2952" s="4" t="s">
        <v>13469</v>
      </c>
      <c r="D2952" s="1" t="s">
        <v>13470</v>
      </c>
      <c r="E2952" s="1" t="s">
        <v>13471</v>
      </c>
      <c r="F2952" s="4" t="s">
        <v>17</v>
      </c>
      <c r="G2952" s="1" t="s">
        <v>18</v>
      </c>
      <c r="H2952" s="1" t="s">
        <v>19</v>
      </c>
      <c r="I2952" s="1" t="s">
        <v>20</v>
      </c>
      <c r="J2952" s="1" t="s">
        <v>13472</v>
      </c>
      <c r="K2952" s="1" t="s">
        <v>22</v>
      </c>
      <c r="L2952" s="1" t="str">
        <f>HYPERLINK("https://files.afu.se/Downloads/Transcripts/0%20-%20Government/USA%20-%20NASA/2013 05 03 - NASA - ScienceCasts  Glow-in-the-Dark Plants on the ISS_sk30ZcLrII8 - transcript (automated).pdf","Transcript Link")</f>
        <v>Transcript Link</v>
      </c>
      <c r="M2952" s="2" t="str">
        <f>HYPERLINK("https://files.afu.se/Downloads/Transcripts/0%20-%20Government/USA%20-%20NASA/2013 05 03 - NASA - ScienceCasts  Glow-in-the-Dark Plants on the ISS_sk30ZcLrII8 - transcript (automated).pdf","Transcript Link")</f>
        <v>Transcript Link</v>
      </c>
    </row>
    <row r="2953" ht="195" spans="1:13">
      <c r="A2953" s="1" t="s">
        <v>13473</v>
      </c>
      <c r="B2953" s="1" t="s">
        <v>13</v>
      </c>
      <c r="C2953" s="4" t="s">
        <v>13474</v>
      </c>
      <c r="D2953" s="1" t="s">
        <v>13210</v>
      </c>
      <c r="E2953" s="1" t="s">
        <v>13475</v>
      </c>
      <c r="F2953" s="4" t="s">
        <v>17</v>
      </c>
      <c r="G2953" s="1" t="s">
        <v>18</v>
      </c>
      <c r="H2953" s="1" t="s">
        <v>19</v>
      </c>
      <c r="I2953" s="1" t="s">
        <v>20</v>
      </c>
      <c r="J2953" s="1" t="s">
        <v>13476</v>
      </c>
      <c r="K2953" s="1" t="s">
        <v>22</v>
      </c>
      <c r="L2953" s="1" t="str">
        <f>HYPERLINK("https://files.afu.se/Downloads/Transcripts/0%20-%20Government/USA%20-%20NASA/2013 05 02 - NASA - NASA Flight Controller Talks Space with Students_PvsmA_c2bxs - transcript (automated).pdf","Transcript Link")</f>
        <v>Transcript Link</v>
      </c>
      <c r="M2953" s="2" t="str">
        <f>HYPERLINK("https://files.afu.se/Downloads/Transcripts/0%20-%20Government/USA%20-%20NASA/2013 05 02 - NASA - NASA Flight Controller Talks Space with Students_PvsmA_c2bxs - transcript (automated).pdf","Transcript Link")</f>
        <v>Transcript Link</v>
      </c>
    </row>
    <row r="2954" ht="165" spans="1:13">
      <c r="A2954" s="1" t="s">
        <v>13473</v>
      </c>
      <c r="B2954" s="1" t="s">
        <v>13</v>
      </c>
      <c r="C2954" s="4" t="s">
        <v>13477</v>
      </c>
      <c r="D2954" s="1" t="s">
        <v>13478</v>
      </c>
      <c r="E2954" s="1" t="s">
        <v>13479</v>
      </c>
      <c r="F2954" s="4" t="s">
        <v>17</v>
      </c>
      <c r="G2954" s="1" t="s">
        <v>18</v>
      </c>
      <c r="H2954" s="1" t="s">
        <v>19</v>
      </c>
      <c r="I2954" s="1" t="s">
        <v>20</v>
      </c>
      <c r="J2954" s="1" t="s">
        <v>13480</v>
      </c>
      <c r="K2954" s="1" t="s">
        <v>22</v>
      </c>
      <c r="L2954" s="1" t="str">
        <f>HYPERLINK("https://files.afu.se/Downloads/Transcripts/0%20-%20Government/USA%20-%20NASA/2013 05 02 - NASA - NASA Astronaut Discusses Life Onboard ISS with Texas Legislator_oVj57Mg7yms - transcript (automated).pdf","Transcript Link")</f>
        <v>Transcript Link</v>
      </c>
      <c r="M2954" s="2" t="str">
        <f>HYPERLINK("https://files.afu.se/Downloads/Transcripts/0%20-%20Government/USA%20-%20NASA/2013 05 02 - NASA - NASA Astronaut Discusses Life Onboard ISS with Texas Legislator_oVj57Mg7yms - transcript (automated).pdf","Transcript Link")</f>
        <v>Transcript Link</v>
      </c>
    </row>
    <row r="2955" ht="165" spans="1:13">
      <c r="A2955" s="1" t="s">
        <v>13481</v>
      </c>
      <c r="B2955" s="1" t="s">
        <v>13</v>
      </c>
      <c r="C2955" s="4" t="s">
        <v>13482</v>
      </c>
      <c r="D2955" s="1" t="s">
        <v>13483</v>
      </c>
      <c r="E2955" s="1" t="s">
        <v>13484</v>
      </c>
      <c r="F2955" s="4" t="s">
        <v>17</v>
      </c>
      <c r="G2955" s="1" t="s">
        <v>18</v>
      </c>
      <c r="H2955" s="1" t="s">
        <v>19</v>
      </c>
      <c r="I2955" s="1" t="s">
        <v>20</v>
      </c>
      <c r="J2955" s="1" t="s">
        <v>13485</v>
      </c>
      <c r="K2955" s="1" t="s">
        <v>22</v>
      </c>
      <c r="L2955" s="1" t="str">
        <f>HYPERLINK("https://files.afu.se/Downloads/Transcripts/0%20-%20Government/USA%20-%20NASA/2013 04 30 - NASA - New Canadian Cash Unveiled From Orbit_Mr0g_xD20mA - transcript (automated).pdf","Transcript Link")</f>
        <v>Transcript Link</v>
      </c>
      <c r="M2955" s="2" t="str">
        <f>HYPERLINK("https://files.afu.se/Downloads/Transcripts/0%20-%20Government/USA%20-%20NASA/2013 04 30 - NASA - New Canadian Cash Unveiled From Orbit_Mr0g_xD20mA - transcript (automated).pdf","Transcript Link")</f>
        <v>Transcript Link</v>
      </c>
    </row>
    <row r="2956" ht="165" spans="1:13">
      <c r="A2956" s="1" t="s">
        <v>13481</v>
      </c>
      <c r="B2956" s="1" t="s">
        <v>13</v>
      </c>
      <c r="C2956" s="4" t="s">
        <v>13486</v>
      </c>
      <c r="D2956" s="1" t="s">
        <v>13487</v>
      </c>
      <c r="F2956" s="4" t="s">
        <v>17</v>
      </c>
      <c r="G2956" s="1" t="s">
        <v>18</v>
      </c>
      <c r="H2956" s="1" t="s">
        <v>19</v>
      </c>
      <c r="I2956" s="1" t="s">
        <v>20</v>
      </c>
      <c r="J2956" s="1" t="s">
        <v>13488</v>
      </c>
      <c r="K2956" s="1" t="s">
        <v>22</v>
      </c>
      <c r="L2956" s="1" t="str">
        <f>HYPERLINK("https://files.afu.se/Downloads/Transcripts/0%20-%20Government/USA%20-%20NASA/2013 04 30 - NASA - Next ISS Crew Conducts Final Exam in Soyuz Simulator_Jt4BZalMbqs - transcript (automated).pdf","Transcript Link")</f>
        <v>Transcript Link</v>
      </c>
      <c r="M2956" s="2" t="str">
        <f>HYPERLINK("https://files.afu.se/Downloads/Transcripts/0%20-%20Government/USA%20-%20NASA/2013 04 30 - NASA - Next ISS Crew Conducts Final Exam in Soyuz Simulator_Jt4BZalMbqs - transcript (automated).pdf","Transcript Link")</f>
        <v>Transcript Link</v>
      </c>
    </row>
    <row r="2957" ht="165" spans="1:13">
      <c r="A2957" s="1" t="s">
        <v>13489</v>
      </c>
      <c r="B2957" s="1" t="s">
        <v>13</v>
      </c>
      <c r="C2957" s="4" t="s">
        <v>13490</v>
      </c>
      <c r="D2957" s="1" t="s">
        <v>13491</v>
      </c>
      <c r="E2957" s="1" t="s">
        <v>13492</v>
      </c>
      <c r="F2957" s="4" t="s">
        <v>17</v>
      </c>
      <c r="G2957" s="1" t="s">
        <v>18</v>
      </c>
      <c r="H2957" s="1" t="s">
        <v>19</v>
      </c>
      <c r="I2957" s="1" t="s">
        <v>20</v>
      </c>
      <c r="J2957" s="1" t="s">
        <v>13493</v>
      </c>
      <c r="K2957" s="1" t="s">
        <v>22</v>
      </c>
      <c r="L2957" s="1" t="str">
        <f>HYPERLINK("https://files.afu.se/Downloads/Transcripts/0%20-%20Government/USA%20-%20NASA/2013 04 26 - NASA - Earth Day 2013 on This Week @ NASA_rl8jEj6T9WM - transcript (automated).pdf","Transcript Link")</f>
        <v>Transcript Link</v>
      </c>
      <c r="M2957" s="2" t="str">
        <f>HYPERLINK("https://files.afu.se/Downloads/Transcripts/0%20-%20Government/USA%20-%20NASA/2013 04 26 - NASA - Earth Day 2013 on This Week @ NASA_rl8jEj6T9WM - transcript (automated).pdf","Transcript Link")</f>
        <v>Transcript Link</v>
      </c>
    </row>
    <row r="2958" ht="165" spans="1:13">
      <c r="A2958" s="1" t="s">
        <v>13489</v>
      </c>
      <c r="B2958" s="1" t="s">
        <v>13</v>
      </c>
      <c r="C2958" s="4" t="s">
        <v>13494</v>
      </c>
      <c r="D2958" s="1" t="s">
        <v>13495</v>
      </c>
      <c r="E2958" s="1" t="s">
        <v>13496</v>
      </c>
      <c r="F2958" s="4" t="s">
        <v>17</v>
      </c>
      <c r="G2958" s="1" t="s">
        <v>18</v>
      </c>
      <c r="H2958" s="1" t="s">
        <v>19</v>
      </c>
      <c r="I2958" s="1" t="s">
        <v>20</v>
      </c>
      <c r="J2958" s="1" t="s">
        <v>13497</v>
      </c>
      <c r="K2958" s="1" t="s">
        <v>22</v>
      </c>
      <c r="L2958" s="1" t="str">
        <f>HYPERLINK("https://files.afu.se/Downloads/Transcripts/0%20-%20Government/USA%20-%20NASA/2013 04 26 - NASA - Cargo Ship delivers the Goods to Space Station_YXdQsJuAwGA - transcript (automated).pdf","Transcript Link")</f>
        <v>Transcript Link</v>
      </c>
      <c r="M2958" s="2" t="str">
        <f>HYPERLINK("https://files.afu.se/Downloads/Transcripts/0%20-%20Government/USA%20-%20NASA/2013 04 26 - NASA - Cargo Ship delivers the Goods to Space Station_YXdQsJuAwGA - transcript (automated).pdf","Transcript Link")</f>
        <v>Transcript Link</v>
      </c>
    </row>
    <row r="2959" ht="180" spans="1:13">
      <c r="A2959" s="1" t="s">
        <v>13498</v>
      </c>
      <c r="B2959" s="1" t="s">
        <v>13</v>
      </c>
      <c r="C2959" s="4" t="s">
        <v>13499</v>
      </c>
      <c r="D2959" s="1" t="s">
        <v>13500</v>
      </c>
      <c r="E2959" s="1" t="s">
        <v>13501</v>
      </c>
      <c r="F2959" s="4" t="s">
        <v>17</v>
      </c>
      <c r="G2959" s="1" t="s">
        <v>18</v>
      </c>
      <c r="H2959" s="1" t="s">
        <v>19</v>
      </c>
      <c r="I2959" s="1" t="s">
        <v>20</v>
      </c>
      <c r="J2959" s="1" t="s">
        <v>13502</v>
      </c>
      <c r="K2959" s="1" t="s">
        <v>22</v>
      </c>
      <c r="L2959" s="1" t="str">
        <f>HYPERLINK("https://files.afu.se/Downloads/Transcripts/0%20-%20Government/USA%20-%20NASA/2013 04 25 - NASA - Astronaut Chats About Space Exploration with Atlanta Area Students_D4OipNT_joo - transcript (automated).pdf","Transcript Link")</f>
        <v>Transcript Link</v>
      </c>
      <c r="M2959" s="2" t="str">
        <f>HYPERLINK("https://files.afu.se/Downloads/Transcripts/0%20-%20Government/USA%20-%20NASA/2013 04 25 - NASA - Astronaut Chats About Space Exploration with Atlanta Area Students_D4OipNT_joo - transcript (automated).pdf","Transcript Link")</f>
        <v>Transcript Link</v>
      </c>
    </row>
    <row r="2960" ht="165" spans="1:13">
      <c r="A2960" s="1" t="s">
        <v>13498</v>
      </c>
      <c r="B2960" s="1" t="s">
        <v>13</v>
      </c>
      <c r="C2960" s="4" t="s">
        <v>13503</v>
      </c>
      <c r="D2960" s="1" t="s">
        <v>13504</v>
      </c>
      <c r="E2960" s="1" t="s">
        <v>13505</v>
      </c>
      <c r="F2960" s="4" t="s">
        <v>17</v>
      </c>
      <c r="G2960" s="1" t="s">
        <v>18</v>
      </c>
      <c r="H2960" s="1" t="s">
        <v>19</v>
      </c>
      <c r="I2960" s="1" t="s">
        <v>20</v>
      </c>
      <c r="J2960" s="1" t="s">
        <v>13506</v>
      </c>
      <c r="K2960" s="1" t="s">
        <v>22</v>
      </c>
      <c r="L2960" s="1" t="str">
        <f>HYPERLINK("https://files.afu.se/Downloads/Transcripts/0%20-%20Government/USA%20-%20NASA/2013 04 25 - NASA - ISS ASTRONAUTS DISCUSS THE CHALLENGE OF LIVING IN SPACE WITH MEDIA REPRESENTATIVES_MV6ErX2mYJo - transcript (automated).pdf","Transcript Link")</f>
        <v>Transcript Link</v>
      </c>
      <c r="M2960" s="2" t="str">
        <f>HYPERLINK("https://files.afu.se/Downloads/Transcripts/0%20-%20Government/USA%20-%20NASA/2013 04 25 - NASA - ISS ASTRONAUTS DISCUSS THE CHALLENGE OF LIVING IN SPACE WITH MEDIA REPRESENTATIVES_MV6ErX2mYJo - transcript (automated).pdf","Transcript Link")</f>
        <v>Transcript Link</v>
      </c>
    </row>
    <row r="2961" ht="165" spans="1:13">
      <c r="A2961" s="1" t="s">
        <v>13498</v>
      </c>
      <c r="B2961" s="1" t="s">
        <v>13</v>
      </c>
      <c r="C2961" s="4" t="s">
        <v>13507</v>
      </c>
      <c r="D2961" s="1" t="s">
        <v>13508</v>
      </c>
      <c r="E2961" s="1" t="s">
        <v>13509</v>
      </c>
      <c r="F2961" s="4" t="s">
        <v>17</v>
      </c>
      <c r="G2961" s="1" t="s">
        <v>18</v>
      </c>
      <c r="H2961" s="1" t="s">
        <v>19</v>
      </c>
      <c r="I2961" s="1" t="s">
        <v>20</v>
      </c>
      <c r="J2961" s="1" t="s">
        <v>13510</v>
      </c>
      <c r="K2961" s="1" t="s">
        <v>22</v>
      </c>
      <c r="L2961" s="1" t="str">
        <f>HYPERLINK("https://files.afu.se/Downloads/Transcripts/0%20-%20Government/USA%20-%20NASA/2013 04 25 - NASA - ScienceCasts  Saturn Close Up_9o_3xvW7si8 - transcript (automated).pdf","Transcript Link")</f>
        <v>Transcript Link</v>
      </c>
      <c r="M2961" s="2" t="str">
        <f>HYPERLINK("https://files.afu.se/Downloads/Transcripts/0%20-%20Government/USA%20-%20NASA/2013 04 25 - NASA - ScienceCasts  Saturn Close Up_9o_3xvW7si8 - transcript (automated).pdf","Transcript Link")</f>
        <v>Transcript Link</v>
      </c>
    </row>
    <row r="2962" ht="165" spans="1:13">
      <c r="A2962" s="1" t="s">
        <v>13511</v>
      </c>
      <c r="B2962" s="1" t="s">
        <v>13</v>
      </c>
      <c r="C2962" s="4" t="s">
        <v>13512</v>
      </c>
      <c r="D2962" s="1" t="s">
        <v>13513</v>
      </c>
      <c r="E2962" s="1" t="s">
        <v>13514</v>
      </c>
      <c r="F2962" s="4" t="s">
        <v>17</v>
      </c>
      <c r="G2962" s="1" t="s">
        <v>18</v>
      </c>
      <c r="H2962" s="1" t="s">
        <v>19</v>
      </c>
      <c r="I2962" s="1" t="s">
        <v>20</v>
      </c>
      <c r="J2962" s="1" t="s">
        <v>13515</v>
      </c>
      <c r="K2962" s="1" t="s">
        <v>22</v>
      </c>
      <c r="L2962" s="1" t="str">
        <f>HYPERLINK("https://files.afu.se/Downloads/Transcripts/0%20-%20Government/USA%20-%20NASA/2013 04 24 - NASA - Russian Cargo Freighter Heads for the International Space Station_41xuAow-UJU - transcript (automated).pdf","Transcript Link")</f>
        <v>Transcript Link</v>
      </c>
      <c r="M2962" s="2" t="str">
        <f>HYPERLINK("https://files.afu.se/Downloads/Transcripts/0%20-%20Government/USA%20-%20NASA/2013 04 24 - NASA - Russian Cargo Freighter Heads for the International Space Station_41xuAow-UJU - transcript (automated).pdf","Transcript Link")</f>
        <v>Transcript Link</v>
      </c>
    </row>
    <row r="2963" ht="165" spans="1:13">
      <c r="A2963" s="1" t="s">
        <v>13516</v>
      </c>
      <c r="B2963" s="1" t="s">
        <v>13</v>
      </c>
      <c r="C2963" s="4" t="s">
        <v>13517</v>
      </c>
      <c r="D2963" s="1" t="s">
        <v>13518</v>
      </c>
      <c r="E2963" s="1" t="s">
        <v>13519</v>
      </c>
      <c r="F2963" s="4" t="s">
        <v>17</v>
      </c>
      <c r="G2963" s="1" t="s">
        <v>18</v>
      </c>
      <c r="H2963" s="1" t="s">
        <v>19</v>
      </c>
      <c r="I2963" s="1" t="s">
        <v>20</v>
      </c>
      <c r="J2963" s="1" t="s">
        <v>13520</v>
      </c>
      <c r="K2963" s="1" t="s">
        <v>22</v>
      </c>
      <c r="L2963" s="1" t="str">
        <f>HYPERLINK("https://files.afu.se/Downloads/Transcripts/0%20-%20Government/USA%20-%20NASA/2013 04 22 - NASA - Hadfield Shares The Excitement Of Space With Canadian Students_tdAOJthwehM - transcript (automated).pdf","Transcript Link")</f>
        <v>Transcript Link</v>
      </c>
      <c r="M2963" s="2" t="str">
        <f>HYPERLINK("https://files.afu.se/Downloads/Transcripts/0%20-%20Government/USA%20-%20NASA/2013 04 22 - NASA - Hadfield Shares The Excitement Of Space With Canadian Students_tdAOJthwehM - transcript (automated).pdf","Transcript Link")</f>
        <v>Transcript Link</v>
      </c>
    </row>
    <row r="2964" ht="210" spans="1:13">
      <c r="A2964" s="1" t="s">
        <v>13516</v>
      </c>
      <c r="B2964" s="1" t="s">
        <v>13</v>
      </c>
      <c r="C2964" s="4" t="s">
        <v>13521</v>
      </c>
      <c r="D2964" s="1" t="s">
        <v>13522</v>
      </c>
      <c r="E2964" s="1" t="s">
        <v>13523</v>
      </c>
      <c r="F2964" s="4" t="s">
        <v>17</v>
      </c>
      <c r="G2964" s="1" t="s">
        <v>18</v>
      </c>
      <c r="H2964" s="1" t="s">
        <v>19</v>
      </c>
      <c r="I2964" s="1" t="s">
        <v>20</v>
      </c>
      <c r="J2964" s="1" t="s">
        <v>13524</v>
      </c>
      <c r="K2964" s="1" t="s">
        <v>22</v>
      </c>
      <c r="L2964" s="1" t="str">
        <f>HYPERLINK("https://files.afu.se/Downloads/Transcripts/0%20-%20Government/USA%20-%20NASA/2013 04 22 - NASA - Antares and The Future on This Week @ NASA_OEIQ73WfjP8 - transcript (automated).pdf","Transcript Link")</f>
        <v>Transcript Link</v>
      </c>
      <c r="M2964" s="2" t="str">
        <f>HYPERLINK("https://files.afu.se/Downloads/Transcripts/0%20-%20Government/USA%20-%20NASA/2013 04 22 - NASA - Antares and The Future on This Week @ NASA_OEIQ73WfjP8 - transcript (automated).pdf","Transcript Link")</f>
        <v>Transcript Link</v>
      </c>
    </row>
    <row r="2965" ht="210" spans="1:13">
      <c r="A2965" s="1" t="s">
        <v>13516</v>
      </c>
      <c r="B2965" s="1" t="s">
        <v>13</v>
      </c>
      <c r="C2965" s="4" t="s">
        <v>13525</v>
      </c>
      <c r="D2965" s="1" t="s">
        <v>13522</v>
      </c>
      <c r="E2965" s="1" t="s">
        <v>13523</v>
      </c>
      <c r="F2965" s="4" t="s">
        <v>17</v>
      </c>
      <c r="G2965" s="1" t="s">
        <v>18</v>
      </c>
      <c r="H2965" s="1" t="s">
        <v>19</v>
      </c>
      <c r="I2965" s="1" t="s">
        <v>20</v>
      </c>
      <c r="J2965" s="1" t="s">
        <v>13526</v>
      </c>
      <c r="K2965" s="1" t="s">
        <v>22</v>
      </c>
      <c r="L2965" s="1" t="str">
        <f>HYPERLINK("https://files.afu.se/Downloads/Transcripts/0%20-%20Government/USA%20-%20NASA/2013 04 22 - NASA - Antares and The Future on This Week @ NASA_gq5xtekptEo - transcript (automated).pdf","Transcript Link")</f>
        <v>Transcript Link</v>
      </c>
      <c r="M2965" s="2" t="str">
        <f>HYPERLINK("https://files.afu.se/Downloads/Transcripts/0%20-%20Government/USA%20-%20NASA/2013 04 22 - NASA - Antares and The Future on This Week @ NASA_gq5xtekptEo - transcript (automated).pdf","Transcript Link")</f>
        <v>Transcript Link</v>
      </c>
    </row>
    <row r="2966" ht="165" spans="1:13">
      <c r="A2966" s="1" t="s">
        <v>13516</v>
      </c>
      <c r="B2966" s="1" t="s">
        <v>13</v>
      </c>
      <c r="C2966" s="4" t="s">
        <v>13527</v>
      </c>
      <c r="D2966" s="1" t="s">
        <v>13528</v>
      </c>
      <c r="E2966" s="1" t="s">
        <v>13529</v>
      </c>
      <c r="F2966" s="4" t="s">
        <v>17</v>
      </c>
      <c r="G2966" s="1" t="s">
        <v>18</v>
      </c>
      <c r="H2966" s="1" t="s">
        <v>19</v>
      </c>
      <c r="I2966" s="1" t="s">
        <v>20</v>
      </c>
      <c r="J2966" s="1" t="s">
        <v>13530</v>
      </c>
      <c r="K2966" s="1" t="s">
        <v>22</v>
      </c>
      <c r="L2966" s="1" t="str">
        <f>HYPERLINK("https://files.afu.se/Downloads/Transcripts/0%20-%20Government/USA%20-%20NASA/2013 04 22 - NASA - Managers Recap Commercial Rocket's Successful Demo Flight_Mx2BG_5cSas - transcript (automated).pdf","Transcript Link")</f>
        <v>Transcript Link</v>
      </c>
      <c r="M2966" s="2" t="str">
        <f>HYPERLINK("https://files.afu.se/Downloads/Transcripts/0%20-%20Government/USA%20-%20NASA/2013 04 22 - NASA - Managers Recap Commercial Rocket's Successful Demo Flight_Mx2BG_5cSas - transcript (automated).pdf","Transcript Link")</f>
        <v>Transcript Link</v>
      </c>
    </row>
    <row r="2967" ht="195" spans="1:13">
      <c r="A2967" s="1" t="s">
        <v>13531</v>
      </c>
      <c r="B2967" s="1" t="s">
        <v>13</v>
      </c>
      <c r="C2967" s="4" t="s">
        <v>13532</v>
      </c>
      <c r="D2967" s="1" t="s">
        <v>13533</v>
      </c>
      <c r="E2967" s="1" t="s">
        <v>13534</v>
      </c>
      <c r="F2967" s="4" t="s">
        <v>17</v>
      </c>
      <c r="G2967" s="1" t="s">
        <v>18</v>
      </c>
      <c r="H2967" s="1" t="s">
        <v>19</v>
      </c>
      <c r="I2967" s="1" t="s">
        <v>20</v>
      </c>
      <c r="J2967" s="1" t="s">
        <v>13535</v>
      </c>
      <c r="K2967" s="1" t="s">
        <v>22</v>
      </c>
      <c r="L2967" s="1" t="str">
        <f>HYPERLINK("https://files.afu.se/Downloads/Transcripts/0%20-%20Government/USA%20-%20NASA/2013 04 21 - NASA - Successful Launch for Antares_V3L7crGudVU - transcript (automated).pdf","Transcript Link")</f>
        <v>Transcript Link</v>
      </c>
      <c r="M2967" s="2" t="str">
        <f>HYPERLINK("https://files.afu.se/Downloads/Transcripts/0%20-%20Government/USA%20-%20NASA/2013 04 21 - NASA - Successful Launch for Antares_V3L7crGudVU - transcript (automated).pdf","Transcript Link")</f>
        <v>Transcript Link</v>
      </c>
    </row>
    <row r="2968" ht="270" spans="1:13">
      <c r="A2968" s="1" t="s">
        <v>13536</v>
      </c>
      <c r="B2968" s="1" t="s">
        <v>13</v>
      </c>
      <c r="C2968" s="4" t="s">
        <v>13537</v>
      </c>
      <c r="D2968" s="1" t="s">
        <v>13538</v>
      </c>
      <c r="E2968" s="1" t="s">
        <v>13539</v>
      </c>
      <c r="F2968" s="4" t="s">
        <v>17</v>
      </c>
      <c r="G2968" s="1" t="s">
        <v>18</v>
      </c>
      <c r="H2968" s="1" t="s">
        <v>19</v>
      </c>
      <c r="I2968" s="1" t="s">
        <v>20</v>
      </c>
      <c r="J2968" s="1" t="s">
        <v>13540</v>
      </c>
      <c r="K2968" s="1" t="s">
        <v>22</v>
      </c>
      <c r="L2968" s="1" t="str">
        <f>HYPERLINK("https://files.afu.se/Downloads/Transcripts/0%20-%20Government/USA%20-%20NASA/2013 04 20 - NASA - Three New U.S. Astronauts Inducted into Famed Hall_DD_hxU3Iq7M - transcript (automated).pdf","Transcript Link")</f>
        <v>Transcript Link</v>
      </c>
      <c r="M2968" s="2" t="str">
        <f>HYPERLINK("https://files.afu.se/Downloads/Transcripts/0%20-%20Government/USA%20-%20NASA/2013 04 20 - NASA - Three New U.S. Astronauts Inducted into Famed Hall_DD_hxU3Iq7M - transcript (automated).pdf","Transcript Link")</f>
        <v>Transcript Link</v>
      </c>
    </row>
    <row r="2969" ht="195" spans="1:13">
      <c r="A2969" s="1" t="s">
        <v>13541</v>
      </c>
      <c r="B2969" s="1" t="s">
        <v>13</v>
      </c>
      <c r="C2969" s="4" t="s">
        <v>13542</v>
      </c>
      <c r="D2969" s="1" t="s">
        <v>13543</v>
      </c>
      <c r="E2969" s="1" t="s">
        <v>13544</v>
      </c>
      <c r="F2969" s="4" t="s">
        <v>17</v>
      </c>
      <c r="G2969" s="1" t="s">
        <v>18</v>
      </c>
      <c r="H2969" s="1" t="s">
        <v>19</v>
      </c>
      <c r="I2969" s="1" t="s">
        <v>20</v>
      </c>
      <c r="J2969" s="1" t="s">
        <v>13545</v>
      </c>
      <c r="K2969" s="1" t="s">
        <v>22</v>
      </c>
      <c r="L2969" s="1" t="str">
        <f>HYPERLINK("https://files.afu.se/Downloads/Transcripts/0%20-%20Government/USA%20-%20NASA/2013 04 19 - NASA - Antares Anticipating Launch on This Week @ NASA_fQEbRlFQM48 - transcript (automated).pdf","Transcript Link")</f>
        <v>Transcript Link</v>
      </c>
      <c r="M2969" s="2" t="str">
        <f>HYPERLINK("https://files.afu.se/Downloads/Transcripts/0%20-%20Government/USA%20-%20NASA/2013 04 19 - NASA - Antares Anticipating Launch on This Week @ NASA_fQEbRlFQM48 - transcript (automated).pdf","Transcript Link")</f>
        <v>Transcript Link</v>
      </c>
    </row>
    <row r="2970" ht="165" spans="1:13">
      <c r="A2970" s="1" t="s">
        <v>13541</v>
      </c>
      <c r="B2970" s="1" t="s">
        <v>13</v>
      </c>
      <c r="C2970" s="4" t="s">
        <v>13546</v>
      </c>
      <c r="D2970" s="1" t="s">
        <v>13547</v>
      </c>
      <c r="E2970" s="1" t="s">
        <v>13548</v>
      </c>
      <c r="F2970" s="4" t="s">
        <v>17</v>
      </c>
      <c r="G2970" s="1" t="s">
        <v>18</v>
      </c>
      <c r="H2970" s="1" t="s">
        <v>19</v>
      </c>
      <c r="I2970" s="1" t="s">
        <v>20</v>
      </c>
      <c r="J2970" s="1" t="s">
        <v>13549</v>
      </c>
      <c r="K2970" s="1" t="s">
        <v>22</v>
      </c>
      <c r="L2970" s="1" t="str">
        <f>HYPERLINK("https://files.afu.se/Downloads/Transcripts/0%20-%20Government/USA%20-%20NASA/2013 04 19 - NASA - ScienceCasts  Comet ISON Meteor Shower_xNZ103i6suQ - transcript (automated).pdf","Transcript Link")</f>
        <v>Transcript Link</v>
      </c>
      <c r="M2970" s="2" t="str">
        <f>HYPERLINK("https://files.afu.se/Downloads/Transcripts/0%20-%20Government/USA%20-%20NASA/2013 04 19 - NASA - ScienceCasts  Comet ISON Meteor Shower_xNZ103i6suQ - transcript (automated).pdf","Transcript Link")</f>
        <v>Transcript Link</v>
      </c>
    </row>
    <row r="2971" ht="195" spans="1:13">
      <c r="A2971" s="1" t="s">
        <v>13550</v>
      </c>
      <c r="B2971" s="1" t="s">
        <v>13</v>
      </c>
      <c r="C2971" s="4" t="s">
        <v>13551</v>
      </c>
      <c r="D2971" s="1" t="s">
        <v>13552</v>
      </c>
      <c r="E2971" s="1" t="s">
        <v>13553</v>
      </c>
      <c r="F2971" s="4" t="s">
        <v>17</v>
      </c>
      <c r="G2971" s="1" t="s">
        <v>18</v>
      </c>
      <c r="H2971" s="1" t="s">
        <v>19</v>
      </c>
      <c r="I2971" s="1" t="s">
        <v>20</v>
      </c>
      <c r="J2971" s="1" t="s">
        <v>13554</v>
      </c>
      <c r="K2971" s="1" t="s">
        <v>22</v>
      </c>
      <c r="L2971" s="1" t="str">
        <f>HYPERLINK("https://files.afu.se/Downloads/Transcripts/0%20-%20Government/USA%20-%20NASA/2013 04 18 - NASA - Kepler Makes Discoveries Inside the Habitable Zone_GQVlDqOchSA - transcript (automated).pdf","Transcript Link")</f>
        <v>Transcript Link</v>
      </c>
      <c r="M2971" s="2" t="str">
        <f>HYPERLINK("https://files.afu.se/Downloads/Transcripts/0%20-%20Government/USA%20-%20NASA/2013 04 18 - NASA - Kepler Makes Discoveries Inside the Habitable Zone_GQVlDqOchSA - transcript (automated).pdf","Transcript Link")</f>
        <v>Transcript Link</v>
      </c>
    </row>
    <row r="2972" ht="195" spans="1:13">
      <c r="A2972" s="1" t="s">
        <v>13550</v>
      </c>
      <c r="B2972" s="1" t="s">
        <v>13</v>
      </c>
      <c r="C2972" s="4" t="s">
        <v>13555</v>
      </c>
      <c r="D2972" s="1" t="s">
        <v>13556</v>
      </c>
      <c r="E2972" s="1" t="s">
        <v>13557</v>
      </c>
      <c r="F2972" s="4" t="s">
        <v>17</v>
      </c>
      <c r="G2972" s="1" t="s">
        <v>18</v>
      </c>
      <c r="H2972" s="1" t="s">
        <v>19</v>
      </c>
      <c r="I2972" s="1" t="s">
        <v>20</v>
      </c>
      <c r="J2972" s="1" t="s">
        <v>13558</v>
      </c>
      <c r="K2972" s="1" t="s">
        <v>22</v>
      </c>
      <c r="L2972" s="1" t="str">
        <f>HYPERLINK("https://files.afu.se/Downloads/Transcripts/0%20-%20Government/USA%20-%20NASA/2013 04 18 - NASA - Scientist Talks Earth and Space with Students_HSdsBjDHVeI - transcript (automated).pdf","Transcript Link")</f>
        <v>Transcript Link</v>
      </c>
      <c r="M2972" s="2" t="str">
        <f>HYPERLINK("https://files.afu.se/Downloads/Transcripts/0%20-%20Government/USA%20-%20NASA/2013 04 18 - NASA - Scientist Talks Earth and Space with Students_HSdsBjDHVeI - transcript (automated).pdf","Transcript Link")</f>
        <v>Transcript Link</v>
      </c>
    </row>
    <row r="2973" ht="240" spans="1:13">
      <c r="A2973" s="1" t="s">
        <v>13559</v>
      </c>
      <c r="B2973" s="1" t="s">
        <v>13</v>
      </c>
      <c r="C2973" s="4" t="s">
        <v>13560</v>
      </c>
      <c r="D2973" s="1" t="s">
        <v>13561</v>
      </c>
      <c r="E2973" s="1" t="s">
        <v>13562</v>
      </c>
      <c r="F2973" s="4" t="s">
        <v>17</v>
      </c>
      <c r="G2973" s="1" t="s">
        <v>18</v>
      </c>
      <c r="H2973" s="1" t="s">
        <v>19</v>
      </c>
      <c r="I2973" s="1" t="s">
        <v>20</v>
      </c>
      <c r="J2973" s="1" t="s">
        <v>13563</v>
      </c>
      <c r="K2973" s="1" t="s">
        <v>22</v>
      </c>
      <c r="L2973" s="1" t="str">
        <f>HYPERLINK("https://files.afu.se/Downloads/Transcripts/0%20-%20Government/USA%20-%20NASA/2013 04 17 - NASA - 2014 NASA Budget Briefed on This Week @ NASA_GxpN0sErp4g - transcript (automated).pdf","Transcript Link")</f>
        <v>Transcript Link</v>
      </c>
      <c r="M2973" s="2" t="str">
        <f>HYPERLINK("https://files.afu.se/Downloads/Transcripts/0%20-%20Government/USA%20-%20NASA/2013 04 17 - NASA - 2014 NASA Budget Briefed on This Week @ NASA_GxpN0sErp4g - transcript (automated).pdf","Transcript Link")</f>
        <v>Transcript Link</v>
      </c>
    </row>
    <row r="2974" ht="165" spans="1:13">
      <c r="A2974" s="1" t="s">
        <v>13559</v>
      </c>
      <c r="B2974" s="1" t="s">
        <v>13</v>
      </c>
      <c r="C2974" s="4" t="s">
        <v>13564</v>
      </c>
      <c r="D2974" s="1" t="s">
        <v>13565</v>
      </c>
      <c r="E2974" s="1" t="s">
        <v>13566</v>
      </c>
      <c r="F2974" s="4" t="s">
        <v>17</v>
      </c>
      <c r="G2974" s="1" t="s">
        <v>18</v>
      </c>
      <c r="H2974" s="1" t="s">
        <v>19</v>
      </c>
      <c r="I2974" s="1" t="s">
        <v>20</v>
      </c>
      <c r="J2974" s="1" t="s">
        <v>13567</v>
      </c>
      <c r="K2974" s="1" t="s">
        <v>22</v>
      </c>
      <c r="L2974" s="1" t="str">
        <f>HYPERLINK("https://files.afu.se/Downloads/Transcripts/0%20-%20Government/USA%20-%20NASA/2013 04 17 - NASA - Astro Trio on  Destination  Station  Discuss Mission with Students_LgVDQUnGwrc - transcript (automated).pdf","Transcript Link")</f>
        <v>Transcript Link</v>
      </c>
      <c r="M2974" s="2" t="str">
        <f>HYPERLINK("https://files.afu.se/Downloads/Transcripts/0%20-%20Government/USA%20-%20NASA/2013 04 17 - NASA - Astro Trio on  Destination  Station  Discuss Mission with Students_LgVDQUnGwrc - transcript (automated).pdf","Transcript Link")</f>
        <v>Transcript Link</v>
      </c>
    </row>
    <row r="2975" ht="165" spans="1:13">
      <c r="A2975" s="1" t="s">
        <v>13568</v>
      </c>
      <c r="B2975" s="1" t="s">
        <v>13</v>
      </c>
      <c r="C2975" s="4" t="s">
        <v>13569</v>
      </c>
      <c r="D2975" s="1" t="s">
        <v>13570</v>
      </c>
      <c r="E2975" s="1" t="s">
        <v>13571</v>
      </c>
      <c r="F2975" s="4" t="s">
        <v>17</v>
      </c>
      <c r="G2975" s="1" t="s">
        <v>18</v>
      </c>
      <c r="H2975" s="1" t="s">
        <v>19</v>
      </c>
      <c r="I2975" s="1" t="s">
        <v>20</v>
      </c>
      <c r="J2975" s="1" t="s">
        <v>13572</v>
      </c>
      <c r="K2975" s="1" t="s">
        <v>22</v>
      </c>
      <c r="L2975" s="1" t="str">
        <f>HYPERLINK("https://files.afu.se/Downloads/Transcripts/0%20-%20Government/USA%20-%20NASA/2013 04 16 - NASA - NASA Briefs Media on Antares Launch Status_2RXmxLGS-jA - transcript (automated).pdf","Transcript Link")</f>
        <v>Transcript Link</v>
      </c>
      <c r="M2975" s="2" t="str">
        <f>HYPERLINK("https://files.afu.se/Downloads/Transcripts/0%20-%20Government/USA%20-%20NASA/2013 04 16 - NASA - NASA Briefs Media on Antares Launch Status_2RXmxLGS-jA - transcript (automated).pdf","Transcript Link")</f>
        <v>Transcript Link</v>
      </c>
    </row>
    <row r="2976" ht="165" spans="1:13">
      <c r="A2976" s="1" t="s">
        <v>13568</v>
      </c>
      <c r="B2976" s="1" t="s">
        <v>13</v>
      </c>
      <c r="C2976" s="4" t="s">
        <v>13573</v>
      </c>
      <c r="D2976" s="1" t="s">
        <v>13574</v>
      </c>
      <c r="E2976" s="1" t="s">
        <v>13575</v>
      </c>
      <c r="F2976" s="4" t="s">
        <v>17</v>
      </c>
      <c r="G2976" s="1" t="s">
        <v>18</v>
      </c>
      <c r="H2976" s="1" t="s">
        <v>19</v>
      </c>
      <c r="I2976" s="1" t="s">
        <v>20</v>
      </c>
      <c r="J2976" s="1" t="s">
        <v>13576</v>
      </c>
      <c r="K2976" s="1" t="s">
        <v>22</v>
      </c>
      <c r="L2976" s="1" t="str">
        <f>HYPERLINK("https://files.afu.se/Downloads/Transcripts/0%20-%20Government/USA%20-%20NASA/2013 04 16 - NASA - Wallops in The Spotlight!_pHQFpYHmbOE - transcript (automated).pdf","Transcript Link")</f>
        <v>Transcript Link</v>
      </c>
      <c r="M2976" s="2" t="str">
        <f>HYPERLINK("https://files.afu.se/Downloads/Transcripts/0%20-%20Government/USA%20-%20NASA/2013 04 16 - NASA - Wallops in The Spotlight!_pHQFpYHmbOE - transcript (automated).pdf","Transcript Link")</f>
        <v>Transcript Link</v>
      </c>
    </row>
    <row r="2977" ht="165" spans="1:13">
      <c r="A2977" s="1" t="s">
        <v>13568</v>
      </c>
      <c r="B2977" s="1" t="s">
        <v>13</v>
      </c>
      <c r="C2977" s="4" t="s">
        <v>13577</v>
      </c>
      <c r="D2977" s="1" t="s">
        <v>13578</v>
      </c>
      <c r="E2977" s="1" t="s">
        <v>13579</v>
      </c>
      <c r="F2977" s="4" t="s">
        <v>17</v>
      </c>
      <c r="G2977" s="1" t="s">
        <v>18</v>
      </c>
      <c r="H2977" s="1" t="s">
        <v>19</v>
      </c>
      <c r="I2977" s="1" t="s">
        <v>20</v>
      </c>
      <c r="J2977" s="1" t="s">
        <v>13580</v>
      </c>
      <c r="K2977" s="1" t="s">
        <v>22</v>
      </c>
      <c r="L2977" s="1" t="str">
        <f>HYPERLINK("https://files.afu.se/Downloads/Transcripts/0%20-%20Government/USA%20-%20NASA/2013 04 16 - NASA - Station Commander Shares Science with Students_zUIa685ETgo - transcript (automated).pdf","Transcript Link")</f>
        <v>Transcript Link</v>
      </c>
      <c r="M2977" s="2" t="str">
        <f>HYPERLINK("https://files.afu.se/Downloads/Transcripts/0%20-%20Government/USA%20-%20NASA/2013 04 16 - NASA - Station Commander Shares Science with Students_zUIa685ETgo - transcript (automated).pdf","Transcript Link")</f>
        <v>Transcript Link</v>
      </c>
    </row>
    <row r="2978" ht="180" spans="1:13">
      <c r="A2978" s="1" t="s">
        <v>13568</v>
      </c>
      <c r="B2978" s="1" t="s">
        <v>13</v>
      </c>
      <c r="C2978" s="4" t="s">
        <v>13581</v>
      </c>
      <c r="D2978" s="1" t="s">
        <v>13582</v>
      </c>
      <c r="E2978" s="1" t="s">
        <v>13583</v>
      </c>
      <c r="F2978" s="4" t="s">
        <v>17</v>
      </c>
      <c r="G2978" s="1" t="s">
        <v>18</v>
      </c>
      <c r="H2978" s="1" t="s">
        <v>19</v>
      </c>
      <c r="I2978" s="1" t="s">
        <v>20</v>
      </c>
      <c r="J2978" s="1" t="s">
        <v>13584</v>
      </c>
      <c r="K2978" s="1" t="s">
        <v>22</v>
      </c>
      <c r="L2978" s="1" t="str">
        <f>HYPERLINK("https://files.afu.se/Downloads/Transcripts/0%20-%20Government/USA%20-%20NASA/2013 04 16 - NASA - Carol Tolbert -- Glenn Research Center_0CSDlf_EBeI - transcript (automated).pdf","Transcript Link")</f>
        <v>Transcript Link</v>
      </c>
      <c r="M2978" s="2" t="str">
        <f>HYPERLINK("https://files.afu.se/Downloads/Transcripts/0%20-%20Government/USA%20-%20NASA/2013 04 16 - NASA - Carol Tolbert -- Glenn Research Center_0CSDlf_EBeI - transcript (automated).pdf","Transcript Link")</f>
        <v>Transcript Link</v>
      </c>
    </row>
    <row r="2979" ht="225" spans="1:13">
      <c r="A2979" s="1" t="s">
        <v>13585</v>
      </c>
      <c r="B2979" s="1" t="s">
        <v>13</v>
      </c>
      <c r="C2979" s="4" t="s">
        <v>13586</v>
      </c>
      <c r="D2979" s="1" t="s">
        <v>13587</v>
      </c>
      <c r="E2979" s="1" t="s">
        <v>13588</v>
      </c>
      <c r="F2979" s="4" t="s">
        <v>17</v>
      </c>
      <c r="G2979" s="1" t="s">
        <v>18</v>
      </c>
      <c r="H2979" s="1" t="s">
        <v>19</v>
      </c>
      <c r="I2979" s="1" t="s">
        <v>20</v>
      </c>
      <c r="J2979" s="1" t="s">
        <v>13589</v>
      </c>
      <c r="K2979" s="1" t="s">
        <v>22</v>
      </c>
      <c r="L2979" s="1" t="str">
        <f>HYPERLINK("https://files.afu.se/Downloads/Transcripts/0%20-%20Government/USA%20-%20NASA/2013 04 15 - NASA - Media View Ongoing Orion Work at Kennedy_STzJ4WDk_tY - transcript (automated).pdf","Transcript Link")</f>
        <v>Transcript Link</v>
      </c>
      <c r="M2979" s="2" t="str">
        <f>HYPERLINK("https://files.afu.se/Downloads/Transcripts/0%20-%20Government/USA%20-%20NASA/2013 04 15 - NASA - Media View Ongoing Orion Work at Kennedy_STzJ4WDk_tY - transcript (automated).pdf","Transcript Link")</f>
        <v>Transcript Link</v>
      </c>
    </row>
    <row r="2980" ht="165" spans="1:13">
      <c r="A2980" s="1" t="s">
        <v>13585</v>
      </c>
      <c r="B2980" s="1" t="s">
        <v>13</v>
      </c>
      <c r="C2980" s="4" t="s">
        <v>13590</v>
      </c>
      <c r="D2980" s="1" t="s">
        <v>13591</v>
      </c>
      <c r="E2980" s="1" t="s">
        <v>13592</v>
      </c>
      <c r="F2980" s="4" t="s">
        <v>17</v>
      </c>
      <c r="G2980" s="1" t="s">
        <v>18</v>
      </c>
      <c r="H2980" s="1" t="s">
        <v>19</v>
      </c>
      <c r="I2980" s="1" t="s">
        <v>20</v>
      </c>
      <c r="J2980" s="1" t="s">
        <v>13593</v>
      </c>
      <c r="K2980" s="1" t="s">
        <v>22</v>
      </c>
      <c r="L2980" s="1" t="str">
        <f>HYPERLINK("https://files.afu.se/Downloads/Transcripts/0%20-%20Government/USA%20-%20NASA/2013 04 15 - NASA -  Waste Away  in Departed Space Station Freighter_ozE7cGXfiMc - transcript (automated).pdf","Transcript Link")</f>
        <v>Transcript Link</v>
      </c>
      <c r="M2980" s="2" t="str">
        <f>HYPERLINK("https://files.afu.se/Downloads/Transcripts/0%20-%20Government/USA%20-%20NASA/2013 04 15 - NASA -  Waste Away  in Departed Space Station Freighter_ozE7cGXfiMc - transcript (automated).pdf","Transcript Link")</f>
        <v>Transcript Link</v>
      </c>
    </row>
    <row r="2981" ht="165" spans="1:13">
      <c r="A2981" s="1" t="s">
        <v>13594</v>
      </c>
      <c r="B2981" s="1" t="s">
        <v>13</v>
      </c>
      <c r="C2981" s="4" t="s">
        <v>13595</v>
      </c>
      <c r="D2981" s="1" t="s">
        <v>13596</v>
      </c>
      <c r="E2981" s="1" t="s">
        <v>13597</v>
      </c>
      <c r="F2981" s="4" t="s">
        <v>17</v>
      </c>
      <c r="G2981" s="1" t="s">
        <v>18</v>
      </c>
      <c r="H2981" s="1" t="s">
        <v>19</v>
      </c>
      <c r="I2981" s="1" t="s">
        <v>20</v>
      </c>
      <c r="J2981" s="1" t="s">
        <v>13598</v>
      </c>
      <c r="K2981" s="1" t="s">
        <v>22</v>
      </c>
      <c r="L2981" s="1" t="str">
        <f>HYPERLINK("https://files.afu.se/Downloads/Transcripts/0%20-%20Government/USA%20-%20NASA/2013 04 12 - NASA - ScienceCasts  A Whiff of Dark Matter on the ISS_A2ufhBlHMt8 - transcript (automated).pdf","Transcript Link")</f>
        <v>Transcript Link</v>
      </c>
      <c r="M2981" s="2" t="str">
        <f>HYPERLINK("https://files.afu.se/Downloads/Transcripts/0%20-%20Government/USA%20-%20NASA/2013 04 12 - NASA - ScienceCasts  A Whiff of Dark Matter on the ISS_A2ufhBlHMt8 - transcript (automated).pdf","Transcript Link")</f>
        <v>Transcript Link</v>
      </c>
    </row>
    <row r="2982" ht="165" spans="1:13">
      <c r="A2982" s="1" t="s">
        <v>13594</v>
      </c>
      <c r="B2982" s="1" t="s">
        <v>13</v>
      </c>
      <c r="C2982" s="4" t="s">
        <v>13599</v>
      </c>
      <c r="D2982" s="1" t="s">
        <v>13600</v>
      </c>
      <c r="E2982" s="1" t="s">
        <v>13601</v>
      </c>
      <c r="F2982" s="4" t="s">
        <v>17</v>
      </c>
      <c r="G2982" s="1" t="s">
        <v>18</v>
      </c>
      <c r="H2982" s="1" t="s">
        <v>19</v>
      </c>
      <c r="I2982" s="1" t="s">
        <v>20</v>
      </c>
      <c r="J2982" s="1" t="s">
        <v>13602</v>
      </c>
      <c r="K2982" s="1" t="s">
        <v>22</v>
      </c>
      <c r="L2982" s="1" t="str">
        <f>HYPERLINK("https://files.afu.se/Downloads/Transcripts/0%20-%20Government/USA%20-%20NASA/2013 04 12 - NASA - Cherry Blossoms and Partnerships in Space discussed at NASA Social_ntdFUFkis3k - transcript (automated).pdf","Transcript Link")</f>
        <v>Transcript Link</v>
      </c>
      <c r="M2982" s="2" t="str">
        <f>HYPERLINK("https://files.afu.se/Downloads/Transcripts/0%20-%20Government/USA%20-%20NASA/2013 04 12 - NASA - Cherry Blossoms and Partnerships in Space discussed at NASA Social_ntdFUFkis3k - transcript (automated).pdf","Transcript Link")</f>
        <v>Transcript Link</v>
      </c>
    </row>
    <row r="2983" ht="165" spans="1:13">
      <c r="A2983" s="1" t="s">
        <v>13603</v>
      </c>
      <c r="B2983" s="1" t="s">
        <v>13</v>
      </c>
      <c r="C2983" s="4" t="s">
        <v>13604</v>
      </c>
      <c r="D2983" s="1" t="s">
        <v>13605</v>
      </c>
      <c r="E2983" s="1" t="s">
        <v>13606</v>
      </c>
      <c r="F2983" s="4" t="s">
        <v>17</v>
      </c>
      <c r="G2983" s="1" t="s">
        <v>18</v>
      </c>
      <c r="H2983" s="1" t="s">
        <v>19</v>
      </c>
      <c r="I2983" s="1" t="s">
        <v>20</v>
      </c>
      <c r="J2983" s="1" t="s">
        <v>13607</v>
      </c>
      <c r="K2983" s="1" t="s">
        <v>22</v>
      </c>
      <c r="L2983" s="1" t="str">
        <f>HYPERLINK("https://files.afu.se/Downloads/Transcripts/0%20-%20Government/USA%20-%20NASA/2013 04 10 - NASA - NASA's Next Budget Advances US Leadership in Space and Science_iXxfmuX13cw - transcript (automated).pdf","Transcript Link")</f>
        <v>Transcript Link</v>
      </c>
      <c r="M2983" s="2" t="str">
        <f>HYPERLINK("https://files.afu.se/Downloads/Transcripts/0%20-%20Government/USA%20-%20NASA/2013 04 10 - NASA - NASA's Next Budget Advances US Leadership in Space and Science_iXxfmuX13cw - transcript (automated).pdf","Transcript Link")</f>
        <v>Transcript Link</v>
      </c>
    </row>
    <row r="2984" ht="165" spans="1:13">
      <c r="A2984" s="1" t="s">
        <v>13603</v>
      </c>
      <c r="B2984" s="1" t="s">
        <v>13</v>
      </c>
      <c r="C2984" s="4" t="s">
        <v>13608</v>
      </c>
      <c r="D2984" s="1" t="s">
        <v>13609</v>
      </c>
      <c r="E2984" s="1" t="s">
        <v>13610</v>
      </c>
      <c r="F2984" s="4" t="s">
        <v>17</v>
      </c>
      <c r="G2984" s="1" t="s">
        <v>18</v>
      </c>
      <c r="H2984" s="1" t="s">
        <v>19</v>
      </c>
      <c r="I2984" s="1" t="s">
        <v>20</v>
      </c>
      <c r="J2984" s="1" t="s">
        <v>13611</v>
      </c>
      <c r="K2984" s="1" t="s">
        <v>22</v>
      </c>
      <c r="L2984" s="1" t="str">
        <f>HYPERLINK("https://files.afu.se/Downloads/Transcripts/0%20-%20Government/USA%20-%20NASA/2013 04 10 - NASA - NASA Announces Asteroid Identification, Capture and Sampling Initiative_ejIXRFzXgsg - transcript (automated).pdf","Transcript Link")</f>
        <v>Transcript Link</v>
      </c>
      <c r="M2984" s="2" t="str">
        <f>HYPERLINK("https://files.afu.se/Downloads/Transcripts/0%20-%20Government/USA%20-%20NASA/2013 04 10 - NASA - NASA Announces Asteroid Identification, Capture and Sampling Initiative_ejIXRFzXgsg - transcript (automated).pdf","Transcript Link")</f>
        <v>Transcript Link</v>
      </c>
    </row>
    <row r="2985" ht="165" spans="1:13">
      <c r="A2985" s="1" t="s">
        <v>13612</v>
      </c>
      <c r="B2985" s="1" t="s">
        <v>13</v>
      </c>
      <c r="C2985" s="4" t="s">
        <v>13613</v>
      </c>
      <c r="D2985" s="1" t="s">
        <v>13614</v>
      </c>
      <c r="E2985" s="1" t="s">
        <v>13615</v>
      </c>
      <c r="F2985" s="4" t="s">
        <v>17</v>
      </c>
      <c r="G2985" s="1" t="s">
        <v>18</v>
      </c>
      <c r="H2985" s="1" t="s">
        <v>19</v>
      </c>
      <c r="I2985" s="1" t="s">
        <v>20</v>
      </c>
      <c r="J2985" s="1" t="s">
        <v>13616</v>
      </c>
      <c r="K2985" s="1" t="s">
        <v>22</v>
      </c>
      <c r="L2985" s="1" t="str">
        <f>HYPERLINK("https://files.afu.se/Downloads/Transcripts/0%20-%20Government/USA%20-%20NASA/2013 04 09 - NASA - Commander Takes a Time Out to Talk with Canadian Students_RZ01EyQDtfA - transcript (automated).pdf","Transcript Link")</f>
        <v>Transcript Link</v>
      </c>
      <c r="M2985" s="2" t="str">
        <f>HYPERLINK("https://files.afu.se/Downloads/Transcripts/0%20-%20Government/USA%20-%20NASA/2013 04 09 - NASA - Commander Takes a Time Out to Talk with Canadian Students_RZ01EyQDtfA - transcript (automated).pdf","Transcript Link")</f>
        <v>Transcript Link</v>
      </c>
    </row>
    <row r="2986" ht="165" spans="1:13">
      <c r="A2986" s="1" t="s">
        <v>13612</v>
      </c>
      <c r="B2986" s="1" t="s">
        <v>13</v>
      </c>
      <c r="C2986" s="4" t="s">
        <v>13617</v>
      </c>
      <c r="D2986" s="1" t="s">
        <v>13618</v>
      </c>
      <c r="E2986" s="1" t="s">
        <v>13619</v>
      </c>
      <c r="F2986" s="4" t="s">
        <v>17</v>
      </c>
      <c r="G2986" s="1" t="s">
        <v>18</v>
      </c>
      <c r="H2986" s="1" t="s">
        <v>19</v>
      </c>
      <c r="I2986" s="1" t="s">
        <v>20</v>
      </c>
      <c r="J2986" s="1" t="s">
        <v>13620</v>
      </c>
      <c r="K2986" s="1" t="s">
        <v>22</v>
      </c>
      <c r="L2986" s="1" t="str">
        <f>HYPERLINK("https://files.afu.se/Downloads/Transcripts/0%20-%20Government/USA%20-%20NASA/2013 04 09 - NASA - NASA Celebrates a Month of Earth Days_nQvVYb5MTT0 - transcript (automated).pdf","Transcript Link")</f>
        <v>Transcript Link</v>
      </c>
      <c r="M2986" s="2" t="str">
        <f>HYPERLINK("https://files.afu.se/Downloads/Transcripts/0%20-%20Government/USA%20-%20NASA/2013 04 09 - NASA - NASA Celebrates a Month of Earth Days_nQvVYb5MTT0 - transcript (automated).pdf","Transcript Link")</f>
        <v>Transcript Link</v>
      </c>
    </row>
    <row r="2987" ht="165" spans="1:13">
      <c r="A2987" s="1" t="s">
        <v>13612</v>
      </c>
      <c r="B2987" s="1" t="s">
        <v>13</v>
      </c>
      <c r="C2987" s="4" t="s">
        <v>13621</v>
      </c>
      <c r="D2987" s="1" t="s">
        <v>13622</v>
      </c>
      <c r="E2987" s="1" t="s">
        <v>13623</v>
      </c>
      <c r="F2987" s="4" t="s">
        <v>17</v>
      </c>
      <c r="G2987" s="1" t="s">
        <v>18</v>
      </c>
      <c r="H2987" s="1" t="s">
        <v>19</v>
      </c>
      <c r="I2987" s="1" t="s">
        <v>20</v>
      </c>
      <c r="J2987" s="1" t="s">
        <v>13624</v>
      </c>
      <c r="K2987" s="1" t="s">
        <v>22</v>
      </c>
      <c r="L2987" s="1" t="str">
        <f>HYPERLINK("https://files.afu.se/Downloads/Transcripts/0%20-%20Government/USA%20-%20NASA/2013 04 09 - NASA - NASA Celebrates Earth Month 2013  NASA Science Eyes_Y0Q0Hene1LY - transcript (automated).pdf","Transcript Link")</f>
        <v>Transcript Link</v>
      </c>
      <c r="M2987" s="2" t="str">
        <f>HYPERLINK("https://files.afu.se/Downloads/Transcripts/0%20-%20Government/USA%20-%20NASA/2013 04 09 - NASA - NASA Celebrates Earth Month 2013  NASA Science Eyes_Y0Q0Hene1LY - transcript (automated).pdf","Transcript Link")</f>
        <v>Transcript Link</v>
      </c>
    </row>
    <row r="2988" ht="165" spans="1:13">
      <c r="A2988" s="1" t="s">
        <v>13612</v>
      </c>
      <c r="B2988" s="1" t="s">
        <v>13</v>
      </c>
      <c r="C2988" s="4" t="s">
        <v>13625</v>
      </c>
      <c r="D2988" s="1" t="s">
        <v>13626</v>
      </c>
      <c r="E2988" s="1" t="s">
        <v>13627</v>
      </c>
      <c r="F2988" s="4" t="s">
        <v>17</v>
      </c>
      <c r="G2988" s="1" t="s">
        <v>18</v>
      </c>
      <c r="H2988" s="1" t="s">
        <v>19</v>
      </c>
      <c r="I2988" s="1" t="s">
        <v>20</v>
      </c>
      <c r="J2988" s="1" t="s">
        <v>13628</v>
      </c>
      <c r="K2988" s="1" t="s">
        <v>22</v>
      </c>
      <c r="L2988" s="1" t="str">
        <f>HYPERLINK("https://files.afu.se/Downloads/Transcripts/0%20-%20Government/USA%20-%20NASA/2013 04 09 - NASA - NASA Celebrates Earth Month 2013  The View from Orbit_X2c8Ozis-mo - transcript (automated).pdf","Transcript Link")</f>
        <v>Transcript Link</v>
      </c>
      <c r="M2988" s="2" t="str">
        <f>HYPERLINK("https://files.afu.se/Downloads/Transcripts/0%20-%20Government/USA%20-%20NASA/2013 04 09 - NASA - NASA Celebrates Earth Month 2013  The View from Orbit_X2c8Ozis-mo - transcript (automated).pdf","Transcript Link")</f>
        <v>Transcript Link</v>
      </c>
    </row>
    <row r="2989" ht="165" spans="1:13">
      <c r="A2989" s="1" t="s">
        <v>13629</v>
      </c>
      <c r="B2989" s="1" t="s">
        <v>13</v>
      </c>
      <c r="C2989" s="4" t="s">
        <v>13630</v>
      </c>
      <c r="D2989" s="1" t="s">
        <v>13631</v>
      </c>
      <c r="E2989" s="1" t="s">
        <v>13632</v>
      </c>
      <c r="F2989" s="4" t="s">
        <v>17</v>
      </c>
      <c r="G2989" s="1" t="s">
        <v>18</v>
      </c>
      <c r="H2989" s="1" t="s">
        <v>19</v>
      </c>
      <c r="I2989" s="1" t="s">
        <v>20</v>
      </c>
      <c r="J2989" s="1" t="s">
        <v>13633</v>
      </c>
      <c r="K2989" s="1" t="s">
        <v>22</v>
      </c>
      <c r="L2989" s="1" t="str">
        <f>HYPERLINK("https://files.afu.se/Downloads/Transcripts/0%20-%20Government/USA%20-%20NASA/2013 04 08 - NASA - Station Astros Share Space with Students_RigHK2GAr3I - transcript (automated).pdf","Transcript Link")</f>
        <v>Transcript Link</v>
      </c>
      <c r="M2989" s="2" t="str">
        <f>HYPERLINK("https://files.afu.se/Downloads/Transcripts/0%20-%20Government/USA%20-%20NASA/2013 04 08 - NASA - Station Astros Share Space with Students_RigHK2GAr3I - transcript (automated).pdf","Transcript Link")</f>
        <v>Transcript Link</v>
      </c>
    </row>
    <row r="2990" ht="165" spans="1:13">
      <c r="A2990" s="1" t="s">
        <v>13629</v>
      </c>
      <c r="B2990" s="1" t="s">
        <v>13</v>
      </c>
      <c r="C2990" s="4" t="s">
        <v>13634</v>
      </c>
      <c r="D2990" s="1" t="s">
        <v>13635</v>
      </c>
      <c r="E2990" s="1" t="s">
        <v>13636</v>
      </c>
      <c r="F2990" s="4" t="s">
        <v>17</v>
      </c>
      <c r="G2990" s="1" t="s">
        <v>18</v>
      </c>
      <c r="H2990" s="1" t="s">
        <v>19</v>
      </c>
      <c r="I2990" s="1" t="s">
        <v>20</v>
      </c>
      <c r="J2990" s="1" t="s">
        <v>13637</v>
      </c>
      <c r="K2990" s="1" t="s">
        <v>22</v>
      </c>
      <c r="L2990" s="1" t="str">
        <f>HYPERLINK("https://files.afu.se/Downloads/Transcripts/0%20-%20Government/USA%20-%20NASA/2013 04 08 - NASA - Commercial Rocket Rolled at Wallops on This Week @ NASA_9LgcdcV7jeA - transcript (automated).pdf","Transcript Link")</f>
        <v>Transcript Link</v>
      </c>
      <c r="M2990" s="2" t="str">
        <f>HYPERLINK("https://files.afu.se/Downloads/Transcripts/0%20-%20Government/USA%20-%20NASA/2013 04 08 - NASA - Commercial Rocket Rolled at Wallops on This Week @ NASA_9LgcdcV7jeA - transcript (automated).pdf","Transcript Link")</f>
        <v>Transcript Link</v>
      </c>
    </row>
    <row r="2991" ht="165" spans="1:13">
      <c r="A2991" s="1" t="s">
        <v>13638</v>
      </c>
      <c r="B2991" s="1" t="s">
        <v>13</v>
      </c>
      <c r="C2991" s="4" t="s">
        <v>13639</v>
      </c>
      <c r="D2991" s="1" t="s">
        <v>13640</v>
      </c>
      <c r="E2991" s="1" t="s">
        <v>13641</v>
      </c>
      <c r="F2991" s="4" t="s">
        <v>17</v>
      </c>
      <c r="G2991" s="1" t="s">
        <v>18</v>
      </c>
      <c r="H2991" s="1" t="s">
        <v>19</v>
      </c>
      <c r="I2991" s="1" t="s">
        <v>20</v>
      </c>
      <c r="J2991" s="1" t="s">
        <v>13642</v>
      </c>
      <c r="K2991" s="1" t="s">
        <v>22</v>
      </c>
      <c r="L2991" s="1" t="str">
        <f>HYPERLINK("https://files.afu.se/Downloads/Transcripts/0%20-%20Government/USA%20-%20NASA/2013 04 06 - NASA - Commercial Rocket Makes Trek to Launchpad_lJSn2hxzbnU - transcript (automated).pdf","Transcript Link")</f>
        <v>Transcript Link</v>
      </c>
      <c r="M2991" s="2" t="str">
        <f>HYPERLINK("https://files.afu.se/Downloads/Transcripts/0%20-%20Government/USA%20-%20NASA/2013 04 06 - NASA - Commercial Rocket Makes Trek to Launchpad_lJSn2hxzbnU - transcript (automated).pdf","Transcript Link")</f>
        <v>Transcript Link</v>
      </c>
    </row>
    <row r="2992" ht="165" spans="1:13">
      <c r="A2992" s="1" t="s">
        <v>13643</v>
      </c>
      <c r="B2992" s="1" t="s">
        <v>13</v>
      </c>
      <c r="C2992" s="4" t="s">
        <v>13644</v>
      </c>
      <c r="D2992" s="1" t="s">
        <v>13645</v>
      </c>
      <c r="E2992" s="1" t="s">
        <v>13646</v>
      </c>
      <c r="F2992" s="4" t="s">
        <v>17</v>
      </c>
      <c r="G2992" s="1" t="s">
        <v>18</v>
      </c>
      <c r="H2992" s="1" t="s">
        <v>19</v>
      </c>
      <c r="I2992" s="1" t="s">
        <v>20</v>
      </c>
      <c r="J2992" s="1" t="s">
        <v>13647</v>
      </c>
      <c r="K2992" s="1" t="s">
        <v>22</v>
      </c>
      <c r="L2992" s="1" t="str">
        <f>HYPERLINK("https://files.afu.se/Downloads/Transcripts/0%20-%20Government/USA%20-%20NASA/2013 04 05 - NASA - First Light for AMS on This Week @ NASA..._mD8mxlkYiGI - transcript (automated).pdf","Transcript Link")</f>
        <v>Transcript Link</v>
      </c>
      <c r="M2992" s="2" t="str">
        <f>HYPERLINK("https://files.afu.se/Downloads/Transcripts/0%20-%20Government/USA%20-%20NASA/2013 04 05 - NASA - First Light for AMS on This Week @ NASA..._mD8mxlkYiGI - transcript (automated).pdf","Transcript Link")</f>
        <v>Transcript Link</v>
      </c>
    </row>
    <row r="2993" ht="165" spans="1:13">
      <c r="A2993" s="1" t="s">
        <v>13648</v>
      </c>
      <c r="B2993" s="1" t="s">
        <v>13</v>
      </c>
      <c r="C2993" s="4" t="s">
        <v>13649</v>
      </c>
      <c r="D2993" s="1" t="s">
        <v>13650</v>
      </c>
      <c r="E2993" s="1" t="s">
        <v>13651</v>
      </c>
      <c r="F2993" s="4" t="s">
        <v>17</v>
      </c>
      <c r="G2993" s="1" t="s">
        <v>18</v>
      </c>
      <c r="H2993" s="1" t="s">
        <v>19</v>
      </c>
      <c r="I2993" s="1" t="s">
        <v>20</v>
      </c>
      <c r="J2993" s="1" t="s">
        <v>13652</v>
      </c>
      <c r="K2993" s="1" t="s">
        <v>22</v>
      </c>
      <c r="L2993" s="1" t="str">
        <f>HYPERLINK("https://files.afu.se/Downloads/Transcripts/0%20-%20Government/USA%20-%20NASA/2013 04 04 - NASA - NASA Engineer Shares Software Smarts_k0j3IDXRaSg - transcript (automated).pdf","Transcript Link")</f>
        <v>Transcript Link</v>
      </c>
      <c r="M2993" s="2" t="str">
        <f>HYPERLINK("https://files.afu.se/Downloads/Transcripts/0%20-%20Government/USA%20-%20NASA/2013 04 04 - NASA - NASA Engineer Shares Software Smarts_k0j3IDXRaSg - transcript (automated).pdf","Transcript Link")</f>
        <v>Transcript Link</v>
      </c>
    </row>
    <row r="2994" ht="165" spans="1:13">
      <c r="A2994" s="1" t="s">
        <v>13648</v>
      </c>
      <c r="B2994" s="1" t="s">
        <v>13</v>
      </c>
      <c r="C2994" s="4" t="s">
        <v>13653</v>
      </c>
      <c r="D2994" s="1" t="s">
        <v>13654</v>
      </c>
      <c r="E2994" s="1" t="s">
        <v>13655</v>
      </c>
      <c r="F2994" s="4" t="s">
        <v>17</v>
      </c>
      <c r="G2994" s="1" t="s">
        <v>18</v>
      </c>
      <c r="H2994" s="1" t="s">
        <v>19</v>
      </c>
      <c r="I2994" s="1" t="s">
        <v>20</v>
      </c>
      <c r="J2994" s="1" t="s">
        <v>13656</v>
      </c>
      <c r="K2994" s="1" t="s">
        <v>22</v>
      </c>
      <c r="L2994" s="1" t="str">
        <f>HYPERLINK("https://files.afu.se/Downloads/Transcripts/0%20-%20Government/USA%20-%20NASA/2013 04 04 - NASA - Canadian Students Hear from ISS Commander_8qhJDSw1odE - transcript (automated).pdf","Transcript Link")</f>
        <v>Transcript Link</v>
      </c>
      <c r="M2994" s="2" t="str">
        <f>HYPERLINK("https://files.afu.se/Downloads/Transcripts/0%20-%20Government/USA%20-%20NASA/2013 04 04 - NASA - Canadian Students Hear from ISS Commander_8qhJDSw1odE - transcript (automated).pdf","Transcript Link")</f>
        <v>Transcript Link</v>
      </c>
    </row>
    <row r="2995" ht="165" spans="1:13">
      <c r="A2995" s="1" t="s">
        <v>13648</v>
      </c>
      <c r="B2995" s="1" t="s">
        <v>13</v>
      </c>
      <c r="C2995" s="4" t="s">
        <v>13657</v>
      </c>
      <c r="D2995" s="1" t="s">
        <v>13658</v>
      </c>
      <c r="E2995" s="1" t="s">
        <v>13659</v>
      </c>
      <c r="F2995" s="4" t="s">
        <v>17</v>
      </c>
      <c r="G2995" s="1" t="s">
        <v>18</v>
      </c>
      <c r="H2995" s="1" t="s">
        <v>19</v>
      </c>
      <c r="I2995" s="1" t="s">
        <v>20</v>
      </c>
      <c r="J2995" s="1" t="s">
        <v>13660</v>
      </c>
      <c r="K2995" s="1" t="s">
        <v>22</v>
      </c>
      <c r="L2995" s="1" t="str">
        <f>HYPERLINK("https://files.afu.se/Downloads/Transcripts/0%20-%20Government/USA%20-%20NASA/2013 04 04 - NASA - Space Station Instrument Finds Excess Antimatter_WcfEX-MZH8s - transcript (automated).pdf","Transcript Link")</f>
        <v>Transcript Link</v>
      </c>
      <c r="M2995" s="2" t="str">
        <f>HYPERLINK("https://files.afu.se/Downloads/Transcripts/0%20-%20Government/USA%20-%20NASA/2013 04 04 - NASA - Space Station Instrument Finds Excess Antimatter_WcfEX-MZH8s - transcript (automated).pdf","Transcript Link")</f>
        <v>Transcript Link</v>
      </c>
    </row>
    <row r="2996" ht="210" spans="1:13">
      <c r="A2996" s="1" t="s">
        <v>13661</v>
      </c>
      <c r="B2996" s="1" t="s">
        <v>13</v>
      </c>
      <c r="C2996" s="4" t="s">
        <v>13662</v>
      </c>
      <c r="D2996" s="1" t="s">
        <v>13663</v>
      </c>
      <c r="E2996" s="1" t="s">
        <v>13664</v>
      </c>
      <c r="F2996" s="4" t="s">
        <v>17</v>
      </c>
      <c r="G2996" s="1" t="s">
        <v>18</v>
      </c>
      <c r="H2996" s="1" t="s">
        <v>19</v>
      </c>
      <c r="I2996" s="1" t="s">
        <v>20</v>
      </c>
      <c r="J2996" s="1" t="s">
        <v>13665</v>
      </c>
      <c r="K2996" s="1" t="s">
        <v>22</v>
      </c>
      <c r="L2996" s="1" t="str">
        <f>HYPERLINK("https://files.afu.se/Downloads/Transcripts/0%20-%20Government/USA%20-%20NASA/2013 04 03 - NASA - Maxine Mason -- NASA Shared Services Center_1k5DOOR9zTg - transcript (automated).pdf","Transcript Link")</f>
        <v>Transcript Link</v>
      </c>
      <c r="M2996" s="2" t="str">
        <f>HYPERLINK("https://files.afu.se/Downloads/Transcripts/0%20-%20Government/USA%20-%20NASA/2013 04 03 - NASA - Maxine Mason -- NASA Shared Services Center_1k5DOOR9zTg - transcript (automated).pdf","Transcript Link")</f>
        <v>Transcript Link</v>
      </c>
    </row>
    <row r="2997" ht="165" spans="1:13">
      <c r="A2997" s="1" t="s">
        <v>13666</v>
      </c>
      <c r="B2997" s="1" t="s">
        <v>13</v>
      </c>
      <c r="C2997" s="4" t="s">
        <v>13667</v>
      </c>
      <c r="D2997" s="1" t="s">
        <v>13668</v>
      </c>
      <c r="E2997" s="1" t="s">
        <v>13669</v>
      </c>
      <c r="F2997" s="4" t="s">
        <v>17</v>
      </c>
      <c r="G2997" s="1" t="s">
        <v>18</v>
      </c>
      <c r="H2997" s="1" t="s">
        <v>19</v>
      </c>
      <c r="I2997" s="1" t="s">
        <v>20</v>
      </c>
      <c r="J2997" s="1" t="s">
        <v>13670</v>
      </c>
      <c r="K2997" s="1" t="s">
        <v>22</v>
      </c>
      <c r="L2997" s="1" t="str">
        <f>HYPERLINK("https://files.afu.se/Downloads/Transcripts/0%20-%20Government/USA%20-%20NASA/2013 04 01 - NASA - Cassidy Chats with Fellow Mainers_gUNDmFQohO4 - transcript (automated).pdf","Transcript Link")</f>
        <v>Transcript Link</v>
      </c>
      <c r="M2997" s="2" t="str">
        <f>HYPERLINK("https://files.afu.se/Downloads/Transcripts/0%20-%20Government/USA%20-%20NASA/2013 04 01 - NASA - Cassidy Chats with Fellow Mainers_gUNDmFQohO4 - transcript (automated).pdf","Transcript Link")</f>
        <v>Transcript Link</v>
      </c>
    </row>
    <row r="2998" ht="165" spans="1:13">
      <c r="A2998" s="1" t="s">
        <v>13671</v>
      </c>
      <c r="B2998" s="1" t="s">
        <v>13</v>
      </c>
      <c r="C2998" s="4" t="s">
        <v>13672</v>
      </c>
      <c r="D2998" s="1" t="s">
        <v>13673</v>
      </c>
      <c r="E2998" s="1" t="s">
        <v>13674</v>
      </c>
      <c r="F2998" s="4" t="s">
        <v>17</v>
      </c>
      <c r="G2998" s="1" t="s">
        <v>18</v>
      </c>
      <c r="H2998" s="1" t="s">
        <v>19</v>
      </c>
      <c r="I2998" s="1" t="s">
        <v>20</v>
      </c>
      <c r="J2998" s="1" t="s">
        <v>13675</v>
      </c>
      <c r="K2998" s="1" t="s">
        <v>22</v>
      </c>
      <c r="L2998" s="1" t="str">
        <f>HYPERLINK("https://files.afu.se/Downloads/Transcripts/0%20-%20Government/USA%20-%20NASA/2013 03 29 - NASA - All Aboard for Cassidy and Crewmates on This Week @NASA_bFxzaxf8SZk - transcript (automated).pdf","Transcript Link")</f>
        <v>Transcript Link</v>
      </c>
      <c r="M2998" s="2" t="str">
        <f>HYPERLINK("https://files.afu.se/Downloads/Transcripts/0%20-%20Government/USA%20-%20NASA/2013 03 29 - NASA - All Aboard for Cassidy and Crewmates on This Week @NASA_bFxzaxf8SZk - transcript (automated).pdf","Transcript Link")</f>
        <v>Transcript Link</v>
      </c>
    </row>
    <row r="2999" ht="165" spans="1:13">
      <c r="A2999" s="1" t="s">
        <v>13671</v>
      </c>
      <c r="B2999" s="1" t="s">
        <v>13</v>
      </c>
      <c r="C2999" s="4" t="s">
        <v>13676</v>
      </c>
      <c r="D2999" s="1" t="s">
        <v>13677</v>
      </c>
      <c r="E2999" s="1" t="s">
        <v>13678</v>
      </c>
      <c r="F2999" s="4" t="s">
        <v>17</v>
      </c>
      <c r="G2999" s="1" t="s">
        <v>18</v>
      </c>
      <c r="H2999" s="1" t="s">
        <v>19</v>
      </c>
      <c r="I2999" s="1" t="s">
        <v>20</v>
      </c>
      <c r="J2999" s="1" t="s">
        <v>13679</v>
      </c>
      <c r="K2999" s="1" t="s">
        <v>22</v>
      </c>
      <c r="L2999" s="1" t="str">
        <f>HYPERLINK("https://files.afu.se/Downloads/Transcripts/0%20-%20Government/USA%20-%20NASA/2013 03 29 - NASA - ScienceCasts  Don't Let This Happen to Your Planet_2H18S3JoMOA - transcript (automated).pdf","Transcript Link")</f>
        <v>Transcript Link</v>
      </c>
      <c r="M2999" s="2" t="str">
        <f>HYPERLINK("https://files.afu.se/Downloads/Transcripts/0%20-%20Government/USA%20-%20NASA/2013 03 29 - NASA - ScienceCasts  Don't Let This Happen to Your Planet_2H18S3JoMOA - transcript (automated).pdf","Transcript Link")</f>
        <v>Transcript Link</v>
      </c>
    </row>
    <row r="3000" ht="165" spans="1:13">
      <c r="A3000" s="1" t="s">
        <v>13671</v>
      </c>
      <c r="B3000" s="1" t="s">
        <v>13</v>
      </c>
      <c r="C3000" s="4" t="s">
        <v>13680</v>
      </c>
      <c r="D3000" s="1" t="s">
        <v>13681</v>
      </c>
      <c r="E3000" s="1" t="s">
        <v>13682</v>
      </c>
      <c r="F3000" s="4" t="s">
        <v>17</v>
      </c>
      <c r="G3000" s="1" t="s">
        <v>18</v>
      </c>
      <c r="H3000" s="1" t="s">
        <v>19</v>
      </c>
      <c r="I3000" s="1" t="s">
        <v>20</v>
      </c>
      <c r="J3000" s="1" t="s">
        <v>13683</v>
      </c>
      <c r="K3000" s="1" t="s">
        <v>22</v>
      </c>
      <c r="L3000" s="1" t="str">
        <f>HYPERLINK("https://files.afu.se/Downloads/Transcripts/0%20-%20Government/USA%20-%20NASA/2013 03 29 - NASA - Franzeska Houtas -- Dryden Flight Research Center_r5US4SAViaU - transcript (automated).pdf","Transcript Link")</f>
        <v>Transcript Link</v>
      </c>
      <c r="M3000" s="2" t="str">
        <f>HYPERLINK("https://files.afu.se/Downloads/Transcripts/0%20-%20Government/USA%20-%20NASA/2013 03 29 - NASA - Franzeska Houtas -- Dryden Flight Research Center_r5US4SAViaU - transcript (automated).pdf","Transcript Link")</f>
        <v>Transcript Link</v>
      </c>
    </row>
    <row r="3001" ht="165" spans="1:13">
      <c r="A3001" s="1" t="s">
        <v>13671</v>
      </c>
      <c r="B3001" s="1" t="s">
        <v>13</v>
      </c>
      <c r="C3001" s="4" t="s">
        <v>13684</v>
      </c>
      <c r="D3001" s="1" t="s">
        <v>13685</v>
      </c>
      <c r="E3001" s="1" t="s">
        <v>13686</v>
      </c>
      <c r="F3001" s="4" t="s">
        <v>17</v>
      </c>
      <c r="G3001" s="1" t="s">
        <v>18</v>
      </c>
      <c r="H3001" s="1" t="s">
        <v>19</v>
      </c>
      <c r="I3001" s="1" t="s">
        <v>20</v>
      </c>
      <c r="J3001" s="1" t="s">
        <v>13687</v>
      </c>
      <c r="K3001" s="1" t="s">
        <v>22</v>
      </c>
      <c r="L3001" s="1" t="str">
        <f>HYPERLINK("https://files.afu.se/Downloads/Transcripts/0%20-%20Government/USA%20-%20NASA/2013 03 29 - NASA - Lynn Carter -- Goddard Space Flight Center_8zxoFJPPDvI - transcript (automated).pdf","Transcript Link")</f>
        <v>Transcript Link</v>
      </c>
      <c r="M3001" s="2" t="str">
        <f>HYPERLINK("https://files.afu.se/Downloads/Transcripts/0%20-%20Government/USA%20-%20NASA/2013 03 29 - NASA - Lynn Carter -- Goddard Space Flight Center_8zxoFJPPDvI - transcript (automated).pdf","Transcript Link")</f>
        <v>Transcript Link</v>
      </c>
    </row>
    <row r="3002" ht="165" spans="1:13">
      <c r="A3002" s="1" t="s">
        <v>13671</v>
      </c>
      <c r="B3002" s="1" t="s">
        <v>13</v>
      </c>
      <c r="C3002" s="4" t="s">
        <v>13688</v>
      </c>
      <c r="D3002" s="1" t="s">
        <v>13689</v>
      </c>
      <c r="E3002" s="1" t="s">
        <v>13690</v>
      </c>
      <c r="F3002" s="4" t="s">
        <v>17</v>
      </c>
      <c r="G3002" s="1" t="s">
        <v>18</v>
      </c>
      <c r="H3002" s="1" t="s">
        <v>19</v>
      </c>
      <c r="I3002" s="1" t="s">
        <v>20</v>
      </c>
      <c r="J3002" s="1" t="s">
        <v>13691</v>
      </c>
      <c r="K3002" s="1" t="s">
        <v>22</v>
      </c>
      <c r="L3002" s="1" t="str">
        <f>HYPERLINK("https://files.afu.se/Downloads/Transcripts/0%20-%20Government/USA%20-%20NASA/2013 03 29 - NASA - New Space Travelers Get Warm Welcome_kAPNk4DQ09o - transcript (automated).pdf","Transcript Link")</f>
        <v>Transcript Link</v>
      </c>
      <c r="M3002" s="2" t="str">
        <f>HYPERLINK("https://files.afu.se/Downloads/Transcripts/0%20-%20Government/USA%20-%20NASA/2013 03 29 - NASA - New Space Travelers Get Warm Welcome_kAPNk4DQ09o - transcript (automated).pdf","Transcript Link")</f>
        <v>Transcript Link</v>
      </c>
    </row>
    <row r="3003" ht="165" spans="1:13">
      <c r="A3003" s="1" t="s">
        <v>13671</v>
      </c>
      <c r="B3003" s="1" t="s">
        <v>13</v>
      </c>
      <c r="C3003" s="4" t="s">
        <v>13692</v>
      </c>
      <c r="D3003" s="1" t="s">
        <v>13693</v>
      </c>
      <c r="F3003" s="4" t="s">
        <v>17</v>
      </c>
      <c r="G3003" s="1" t="s">
        <v>18</v>
      </c>
      <c r="H3003" s="1" t="s">
        <v>19</v>
      </c>
      <c r="I3003" s="1" t="s">
        <v>20</v>
      </c>
      <c r="J3003" s="1" t="s">
        <v>13694</v>
      </c>
      <c r="K3003" s="1" t="s">
        <v>22</v>
      </c>
      <c r="L3003" s="1" t="str">
        <f>HYPERLINK("https://files.afu.se/Downloads/Transcripts/0%20-%20Government/USA%20-%20NASA/2013 03 29 - NASA - Spacecraft Docks to ISS_9sGP2XS5r6k - transcript (automated).pdf","Transcript Link")</f>
        <v>Transcript Link</v>
      </c>
      <c r="M3003" s="2" t="str">
        <f>HYPERLINK("https://files.afu.se/Downloads/Transcripts/0%20-%20Government/USA%20-%20NASA/2013 03 29 - NASA - Spacecraft Docks to ISS_9sGP2XS5r6k - transcript (automated).pdf","Transcript Link")</f>
        <v>Transcript Link</v>
      </c>
    </row>
    <row r="3004" ht="165" spans="1:13">
      <c r="A3004" s="1" t="s">
        <v>13671</v>
      </c>
      <c r="B3004" s="1" t="s">
        <v>13</v>
      </c>
      <c r="C3004" s="4" t="s">
        <v>13695</v>
      </c>
      <c r="D3004" s="1" t="s">
        <v>13696</v>
      </c>
      <c r="E3004" s="1" t="s">
        <v>13697</v>
      </c>
      <c r="F3004" s="4" t="s">
        <v>17</v>
      </c>
      <c r="G3004" s="1" t="s">
        <v>18</v>
      </c>
      <c r="H3004" s="1" t="s">
        <v>19</v>
      </c>
      <c r="I3004" s="1" t="s">
        <v>20</v>
      </c>
      <c r="J3004" s="1" t="s">
        <v>13698</v>
      </c>
      <c r="K3004" s="1" t="s">
        <v>22</v>
      </c>
      <c r="L3004" s="1" t="str">
        <f>HYPERLINK("https://files.afu.se/Downloads/Transcripts/0%20-%20Government/USA%20-%20NASA/2013 03 29 - NASA - Expedition 35 36 Launch Activities Highlights_CPUmI1WO-R8 - transcript (automated).pdf","Transcript Link")</f>
        <v>Transcript Link</v>
      </c>
      <c r="M3004" s="2" t="str">
        <f>HYPERLINK("https://files.afu.se/Downloads/Transcripts/0%20-%20Government/USA%20-%20NASA/2013 03 29 - NASA - Expedition 35 36 Launch Activities Highlights_CPUmI1WO-R8 - transcript (automated).pdf","Transcript Link")</f>
        <v>Transcript Link</v>
      </c>
    </row>
    <row r="3005" ht="165" spans="1:13">
      <c r="A3005" s="1" t="s">
        <v>13699</v>
      </c>
      <c r="B3005" s="1" t="s">
        <v>13</v>
      </c>
      <c r="C3005" s="4" t="s">
        <v>13700</v>
      </c>
      <c r="D3005" s="1" t="s">
        <v>13701</v>
      </c>
      <c r="E3005" s="1" t="s">
        <v>13702</v>
      </c>
      <c r="F3005" s="4" t="s">
        <v>17</v>
      </c>
      <c r="G3005" s="1" t="s">
        <v>18</v>
      </c>
      <c r="H3005" s="1" t="s">
        <v>19</v>
      </c>
      <c r="I3005" s="1" t="s">
        <v>20</v>
      </c>
      <c r="J3005" s="1" t="s">
        <v>13703</v>
      </c>
      <c r="K3005" s="1" t="s">
        <v>22</v>
      </c>
      <c r="L3005" s="1" t="str">
        <f>HYPERLINK("https://files.afu.se/Downloads/Transcripts/0%20-%20Government/USA%20-%20NASA/2013 03 28 - NASA - SpaceX Dragon, NASA Science Cargo Back On Dry Land_LC4ZkycbivQ - transcript (automated).pdf","Transcript Link")</f>
        <v>Transcript Link</v>
      </c>
      <c r="M3005" s="2" t="str">
        <f>HYPERLINK("https://files.afu.se/Downloads/Transcripts/0%20-%20Government/USA%20-%20NASA/2013 03 28 - NASA - SpaceX Dragon, NASA Science Cargo Back On Dry Land_LC4ZkycbivQ - transcript (automated).pdf","Transcript Link")</f>
        <v>Transcript Link</v>
      </c>
    </row>
    <row r="3006" ht="165" spans="1:13">
      <c r="A3006" s="1" t="s">
        <v>13699</v>
      </c>
      <c r="B3006" s="1" t="s">
        <v>13</v>
      </c>
      <c r="C3006" s="4" t="s">
        <v>13704</v>
      </c>
      <c r="D3006" s="1" t="s">
        <v>13705</v>
      </c>
      <c r="E3006" s="1" t="s">
        <v>13706</v>
      </c>
      <c r="F3006" s="4" t="s">
        <v>17</v>
      </c>
      <c r="G3006" s="1" t="s">
        <v>18</v>
      </c>
      <c r="H3006" s="1" t="s">
        <v>19</v>
      </c>
      <c r="I3006" s="1" t="s">
        <v>20</v>
      </c>
      <c r="J3006" s="1" t="s">
        <v>13707</v>
      </c>
      <c r="K3006" s="1" t="s">
        <v>22</v>
      </c>
      <c r="L3006" s="1" t="str">
        <f>HYPERLINK("https://files.afu.se/Downloads/Transcripts/0%20-%20Government/USA%20-%20NASA/2013 03 28 - NASA - Soyuz Launches to Space Station_0rO7EF5IOEY - transcript (automated).pdf","Transcript Link")</f>
        <v>Transcript Link</v>
      </c>
      <c r="M3006" s="2" t="str">
        <f>HYPERLINK("https://files.afu.se/Downloads/Transcripts/0%20-%20Government/USA%20-%20NASA/2013 03 28 - NASA - Soyuz Launches to Space Station_0rO7EF5IOEY - transcript (automated).pdf","Transcript Link")</f>
        <v>Transcript Link</v>
      </c>
    </row>
    <row r="3007" ht="165" spans="1:13">
      <c r="A3007" s="1" t="s">
        <v>13708</v>
      </c>
      <c r="B3007" s="1" t="s">
        <v>13</v>
      </c>
      <c r="C3007" s="4" t="s">
        <v>13709</v>
      </c>
      <c r="D3007" s="1" t="s">
        <v>13710</v>
      </c>
      <c r="E3007" s="1" t="s">
        <v>13711</v>
      </c>
      <c r="F3007" s="4" t="s">
        <v>17</v>
      </c>
      <c r="G3007" s="1" t="s">
        <v>18</v>
      </c>
      <c r="H3007" s="1" t="s">
        <v>19</v>
      </c>
      <c r="I3007" s="1" t="s">
        <v>20</v>
      </c>
      <c r="J3007" s="1" t="s">
        <v>13712</v>
      </c>
      <c r="K3007" s="1" t="s">
        <v>22</v>
      </c>
      <c r="L3007" s="1" t="str">
        <f>HYPERLINK("https://files.afu.se/Downloads/Transcripts/0%20-%20Government/USA%20-%20NASA/2013 03 27 - NASA - Cassidy &amp; Crewmates Cleared for Space Mission_E6V7ajkFDfg - transcript (automated).pdf","Transcript Link")</f>
        <v>Transcript Link</v>
      </c>
      <c r="M3007" s="2" t="str">
        <f>HYPERLINK("https://files.afu.se/Downloads/Transcripts/0%20-%20Government/USA%20-%20NASA/2013 03 27 - NASA - Cassidy &amp; Crewmates Cleared for Space Mission_E6V7ajkFDfg - transcript (automated).pdf","Transcript Link")</f>
        <v>Transcript Link</v>
      </c>
    </row>
    <row r="3008" ht="165" spans="1:13">
      <c r="A3008" s="1" t="s">
        <v>13708</v>
      </c>
      <c r="B3008" s="1" t="s">
        <v>13</v>
      </c>
      <c r="C3008" s="4" t="s">
        <v>13713</v>
      </c>
      <c r="D3008" s="1" t="s">
        <v>13714</v>
      </c>
      <c r="E3008" s="1" t="s">
        <v>13715</v>
      </c>
      <c r="F3008" s="4" t="s">
        <v>17</v>
      </c>
      <c r="G3008" s="1" t="s">
        <v>18</v>
      </c>
      <c r="H3008" s="1" t="s">
        <v>19</v>
      </c>
      <c r="I3008" s="1" t="s">
        <v>20</v>
      </c>
      <c r="J3008" s="1" t="s">
        <v>13716</v>
      </c>
      <c r="K3008" s="1" t="s">
        <v>22</v>
      </c>
      <c r="L3008" s="1" t="str">
        <f>HYPERLINK("https://files.afu.se/Downloads/Transcripts/0%20-%20Government/USA%20-%20NASA/2013 03 27 - NASA - ScienceCasts  Collision Course  A Comet Heads for Mars_1RzBsKUXvlY - transcript (automated).pdf","Transcript Link")</f>
        <v>Transcript Link</v>
      </c>
      <c r="M3008" s="2" t="str">
        <f>HYPERLINK("https://files.afu.se/Downloads/Transcripts/0%20-%20Government/USA%20-%20NASA/2013 03 27 - NASA - ScienceCasts  Collision Course  A Comet Heads for Mars_1RzBsKUXvlY - transcript (automated).pdf","Transcript Link")</f>
        <v>Transcript Link</v>
      </c>
    </row>
    <row r="3009" ht="165" spans="1:13">
      <c r="A3009" s="1" t="s">
        <v>13717</v>
      </c>
      <c r="B3009" s="1" t="s">
        <v>13</v>
      </c>
      <c r="C3009" s="4" t="s">
        <v>13718</v>
      </c>
      <c r="D3009" s="1" t="s">
        <v>13719</v>
      </c>
      <c r="E3009" s="1" t="s">
        <v>13720</v>
      </c>
      <c r="F3009" s="4" t="s">
        <v>17</v>
      </c>
      <c r="G3009" s="1" t="s">
        <v>18</v>
      </c>
      <c r="H3009" s="1" t="s">
        <v>19</v>
      </c>
      <c r="I3009" s="1" t="s">
        <v>20</v>
      </c>
      <c r="J3009" s="1" t="s">
        <v>13721</v>
      </c>
      <c r="K3009" s="1" t="s">
        <v>22</v>
      </c>
      <c r="L3009" s="1" t="str">
        <f>HYPERLINK("https://files.afu.se/Downloads/Transcripts/0%20-%20Government/USA%20-%20NASA/2013 03 26 - NASA - Hadfield Speaks with Radio Canada_SEwuQUMDSNg - transcript (automated).pdf","Transcript Link")</f>
        <v>Transcript Link</v>
      </c>
      <c r="M3009" s="2" t="str">
        <f>HYPERLINK("https://files.afu.se/Downloads/Transcripts/0%20-%20Government/USA%20-%20NASA/2013 03 26 - NASA - Hadfield Speaks with Radio Canada_SEwuQUMDSNg - transcript (automated).pdf","Transcript Link")</f>
        <v>Transcript Link</v>
      </c>
    </row>
    <row r="3010" ht="225" spans="1:13">
      <c r="A3010" s="1" t="s">
        <v>13717</v>
      </c>
      <c r="B3010" s="1" t="s">
        <v>13</v>
      </c>
      <c r="C3010" s="4" t="s">
        <v>13722</v>
      </c>
      <c r="D3010" s="1" t="s">
        <v>13723</v>
      </c>
      <c r="E3010" s="1" t="s">
        <v>13724</v>
      </c>
      <c r="F3010" s="4" t="s">
        <v>17</v>
      </c>
      <c r="G3010" s="1" t="s">
        <v>18</v>
      </c>
      <c r="H3010" s="1" t="s">
        <v>19</v>
      </c>
      <c r="I3010" s="1" t="s">
        <v>20</v>
      </c>
      <c r="J3010" s="1" t="s">
        <v>13725</v>
      </c>
      <c r="K3010" s="1" t="s">
        <v>22</v>
      </c>
      <c r="L3010" s="1" t="str">
        <f>HYPERLINK("https://files.afu.se/Downloads/Transcripts/0%20-%20Government/USA%20-%20NASA/2013 03 26 - NASA - Soyuz and Rocket Moved to Launch Pad_N_A9LKXBxPI - transcript (automated).pdf","Transcript Link")</f>
        <v>Transcript Link</v>
      </c>
      <c r="M3010" s="2" t="str">
        <f>HYPERLINK("https://files.afu.se/Downloads/Transcripts/0%20-%20Government/USA%20-%20NASA/2013 03 26 - NASA - Soyuz and Rocket Moved to Launch Pad_N_A9LKXBxPI - transcript (automated).pdf","Transcript Link")</f>
        <v>Transcript Link</v>
      </c>
    </row>
    <row r="3011" ht="180" spans="1:13">
      <c r="A3011" s="1" t="s">
        <v>13717</v>
      </c>
      <c r="B3011" s="1" t="s">
        <v>13</v>
      </c>
      <c r="C3011" s="4" t="s">
        <v>13726</v>
      </c>
      <c r="D3011" s="1" t="s">
        <v>13727</v>
      </c>
      <c r="E3011" s="1" t="s">
        <v>13728</v>
      </c>
      <c r="F3011" s="4" t="s">
        <v>17</v>
      </c>
      <c r="G3011" s="1" t="s">
        <v>18</v>
      </c>
      <c r="H3011" s="1" t="s">
        <v>19</v>
      </c>
      <c r="I3011" s="1" t="s">
        <v>20</v>
      </c>
      <c r="J3011" s="1" t="s">
        <v>13729</v>
      </c>
      <c r="K3011" s="1" t="s">
        <v>22</v>
      </c>
      <c r="L3011" s="1" t="str">
        <f>HYPERLINK("https://files.afu.se/Downloads/Transcripts/0%20-%20Government/USA%20-%20NASA/2013 03 26 - NASA - SpaceX Dragon Makes Return to Earth_t84Ih8bJo6s - transcript (automated).pdf","Transcript Link")</f>
        <v>Transcript Link</v>
      </c>
      <c r="M3011" s="2" t="str">
        <f>HYPERLINK("https://files.afu.se/Downloads/Transcripts/0%20-%20Government/USA%20-%20NASA/2013 03 26 - NASA - SpaceX Dragon Makes Return to Earth_t84Ih8bJo6s - transcript (automated).pdf","Transcript Link")</f>
        <v>Transcript Link</v>
      </c>
    </row>
    <row r="3012" ht="195" spans="1:13">
      <c r="A3012" s="1" t="s">
        <v>13730</v>
      </c>
      <c r="B3012" s="1" t="s">
        <v>13</v>
      </c>
      <c r="C3012" s="4" t="s">
        <v>13731</v>
      </c>
      <c r="D3012" s="1" t="s">
        <v>13732</v>
      </c>
      <c r="E3012" s="1" t="s">
        <v>13733</v>
      </c>
      <c r="F3012" s="4" t="s">
        <v>17</v>
      </c>
      <c r="G3012" s="1" t="s">
        <v>18</v>
      </c>
      <c r="H3012" s="1" t="s">
        <v>19</v>
      </c>
      <c r="I3012" s="1" t="s">
        <v>20</v>
      </c>
      <c r="J3012" s="1" t="s">
        <v>13734</v>
      </c>
      <c r="K3012" s="1" t="s">
        <v>22</v>
      </c>
      <c r="L3012" s="1" t="str">
        <f>HYPERLINK("https://files.afu.se/Downloads/Transcripts/0%20-%20Government/USA%20-%20NASA/2013 03 25 - NASA - Cassidy's Launch Preps Continue in Kazakhstan_ujBZGoxmsQg - transcript (automated).pdf","Transcript Link")</f>
        <v>Transcript Link</v>
      </c>
      <c r="M3012" s="2" t="str">
        <f>HYPERLINK("https://files.afu.se/Downloads/Transcripts/0%20-%20Government/USA%20-%20NASA/2013 03 25 - NASA - Cassidy's Launch Preps Continue in Kazakhstan_ujBZGoxmsQg - transcript (automated).pdf","Transcript Link")</f>
        <v>Transcript Link</v>
      </c>
    </row>
    <row r="3013" ht="255" spans="1:13">
      <c r="A3013" s="1" t="s">
        <v>13730</v>
      </c>
      <c r="B3013" s="1" t="s">
        <v>13</v>
      </c>
      <c r="C3013" s="4" t="s">
        <v>13735</v>
      </c>
      <c r="D3013" s="1" t="s">
        <v>13736</v>
      </c>
      <c r="E3013" s="1" t="s">
        <v>13737</v>
      </c>
      <c r="F3013" s="4" t="s">
        <v>17</v>
      </c>
      <c r="G3013" s="1" t="s">
        <v>18</v>
      </c>
      <c r="H3013" s="1" t="s">
        <v>19</v>
      </c>
      <c r="I3013" s="1" t="s">
        <v>20</v>
      </c>
      <c r="J3013" s="1" t="s">
        <v>13738</v>
      </c>
      <c r="K3013" s="1" t="s">
        <v>22</v>
      </c>
      <c r="L3013" s="1" t="str">
        <f>HYPERLINK("https://files.afu.se/Downloads/Transcripts/0%20-%20Government/USA%20-%20NASA/2013 03 25 - NASA - Michele Beisler -- Stennis Space Center_A4pG5lI7qKk - transcript (automated).pdf","Transcript Link")</f>
        <v>Transcript Link</v>
      </c>
      <c r="M3013" s="2" t="str">
        <f>HYPERLINK("https://files.afu.se/Downloads/Transcripts/0%20-%20Government/USA%20-%20NASA/2013 03 25 - NASA - Michele Beisler -- Stennis Space Center_A4pG5lI7qKk - transcript (automated).pdf","Transcript Link")</f>
        <v>Transcript Link</v>
      </c>
    </row>
    <row r="3014" ht="165" spans="1:13">
      <c r="A3014" s="1" t="s">
        <v>13739</v>
      </c>
      <c r="B3014" s="1" t="s">
        <v>13</v>
      </c>
      <c r="C3014" s="4" t="s">
        <v>13740</v>
      </c>
      <c r="D3014" s="1" t="s">
        <v>13741</v>
      </c>
      <c r="E3014" s="1" t="s">
        <v>13742</v>
      </c>
      <c r="F3014" s="4" t="s">
        <v>17</v>
      </c>
      <c r="G3014" s="1" t="s">
        <v>18</v>
      </c>
      <c r="H3014" s="1" t="s">
        <v>19</v>
      </c>
      <c r="I3014" s="1" t="s">
        <v>20</v>
      </c>
      <c r="J3014" s="1" t="s">
        <v>13743</v>
      </c>
      <c r="K3014" s="1" t="s">
        <v>22</v>
      </c>
      <c r="L3014" s="1" t="str">
        <f>HYPERLINK("https://files.afu.se/Downloads/Transcripts/0%20-%20Government/USA%20-%20NASA/2013 03 22 - NASA - Cassidy and Crew Ready for Launch on This Week @NASA_ZsvSsxe89G8 - transcript (automated).pdf","Transcript Link")</f>
        <v>Transcript Link</v>
      </c>
      <c r="M3014" s="2" t="str">
        <f>HYPERLINK("https://files.afu.se/Downloads/Transcripts/0%20-%20Government/USA%20-%20NASA/2013 03 22 - NASA - Cassidy and Crew Ready for Launch on This Week @NASA_ZsvSsxe89G8 - transcript (automated).pdf","Transcript Link")</f>
        <v>Transcript Link</v>
      </c>
    </row>
    <row r="3015" ht="165" spans="1:13">
      <c r="A3015" s="1" t="s">
        <v>13739</v>
      </c>
      <c r="B3015" s="1" t="s">
        <v>13</v>
      </c>
      <c r="C3015" s="4" t="s">
        <v>13744</v>
      </c>
      <c r="D3015" s="1" t="s">
        <v>13745</v>
      </c>
      <c r="E3015" s="1" t="s">
        <v>13746</v>
      </c>
      <c r="F3015" s="4" t="s">
        <v>17</v>
      </c>
      <c r="G3015" s="1" t="s">
        <v>18</v>
      </c>
      <c r="H3015" s="1" t="s">
        <v>19</v>
      </c>
      <c r="I3015" s="1" t="s">
        <v>20</v>
      </c>
      <c r="J3015" s="1" t="s">
        <v>13747</v>
      </c>
      <c r="K3015" s="1" t="s">
        <v>22</v>
      </c>
      <c r="L3015" s="1" t="str">
        <f>HYPERLINK("https://files.afu.se/Downloads/Transcripts/0%20-%20Government/USA%20-%20NASA/2013 03 22 - NASA - Kathryn Flanagan -- Space Telescope Science Institute_V1_PG32JaNs - transcript (automated).pdf","Transcript Link")</f>
        <v>Transcript Link</v>
      </c>
      <c r="M3015" s="2" t="str">
        <f>HYPERLINK("https://files.afu.se/Downloads/Transcripts/0%20-%20Government/USA%20-%20NASA/2013 03 22 - NASA - Kathryn Flanagan -- Space Telescope Science Institute_V1_PG32JaNs - transcript (automated).pdf","Transcript Link")</f>
        <v>Transcript Link</v>
      </c>
    </row>
    <row r="3016" ht="225" spans="1:13">
      <c r="A3016" s="1" t="s">
        <v>13739</v>
      </c>
      <c r="B3016" s="1" t="s">
        <v>13</v>
      </c>
      <c r="C3016" s="4" t="s">
        <v>13748</v>
      </c>
      <c r="D3016" s="1" t="s">
        <v>13749</v>
      </c>
      <c r="E3016" s="1" t="s">
        <v>13750</v>
      </c>
      <c r="F3016" s="4" t="s">
        <v>17</v>
      </c>
      <c r="G3016" s="1" t="s">
        <v>18</v>
      </c>
      <c r="H3016" s="1" t="s">
        <v>19</v>
      </c>
      <c r="I3016" s="1" t="s">
        <v>20</v>
      </c>
      <c r="J3016" s="1" t="s">
        <v>13751</v>
      </c>
      <c r="K3016" s="1" t="s">
        <v>22</v>
      </c>
      <c r="L3016" s="1" t="str">
        <f>HYPERLINK("https://files.afu.se/Downloads/Transcripts/0%20-%20Government/USA%20-%20NASA/2013 03 22 - NASA - Barbara Janoiko -- Johnson Space Center_cE8TX5GQvMI - transcript (automated).pdf","Transcript Link")</f>
        <v>Transcript Link</v>
      </c>
      <c r="M3016" s="2" t="str">
        <f>HYPERLINK("https://files.afu.se/Downloads/Transcripts/0%20-%20Government/USA%20-%20NASA/2013 03 22 - NASA - Barbara Janoiko -- Johnson Space Center_cE8TX5GQvMI - transcript (automated).pdf","Transcript Link")</f>
        <v>Transcript Link</v>
      </c>
    </row>
    <row r="3017" ht="210" spans="1:13">
      <c r="A3017" s="1" t="s">
        <v>13752</v>
      </c>
      <c r="B3017" s="1" t="s">
        <v>13</v>
      </c>
      <c r="C3017" s="4" t="s">
        <v>13753</v>
      </c>
      <c r="D3017" s="1" t="s">
        <v>13754</v>
      </c>
      <c r="E3017" s="1" t="s">
        <v>13755</v>
      </c>
      <c r="F3017" s="4" t="s">
        <v>17</v>
      </c>
      <c r="G3017" s="1" t="s">
        <v>18</v>
      </c>
      <c r="H3017" s="1" t="s">
        <v>19</v>
      </c>
      <c r="I3017" s="1" t="s">
        <v>20</v>
      </c>
      <c r="J3017" s="1" t="s">
        <v>13756</v>
      </c>
      <c r="K3017" s="1" t="s">
        <v>22</v>
      </c>
      <c r="L3017" s="1" t="str">
        <f>HYPERLINK("https://files.afu.se/Downloads/Transcripts/0%20-%20Government/USA%20-%20NASA/2013 03 21 - NASA - Next Space Travelers Prepare for Launch_yR9p8rkMTLE - transcript (automated).pdf","Transcript Link")</f>
        <v>Transcript Link</v>
      </c>
      <c r="M3017" s="2" t="str">
        <f>HYPERLINK("https://files.afu.se/Downloads/Transcripts/0%20-%20Government/USA%20-%20NASA/2013 03 21 - NASA - Next Space Travelers Prepare for Launch_yR9p8rkMTLE - transcript (automated).pdf","Transcript Link")</f>
        <v>Transcript Link</v>
      </c>
    </row>
    <row r="3018" ht="165" spans="1:13">
      <c r="A3018" s="1" t="s">
        <v>13752</v>
      </c>
      <c r="B3018" s="1" t="s">
        <v>13</v>
      </c>
      <c r="C3018" s="4" t="s">
        <v>13757</v>
      </c>
      <c r="D3018" s="1" t="s">
        <v>13758</v>
      </c>
      <c r="E3018" s="1" t="s">
        <v>13759</v>
      </c>
      <c r="F3018" s="4" t="s">
        <v>17</v>
      </c>
      <c r="G3018" s="1" t="s">
        <v>18</v>
      </c>
      <c r="H3018" s="1" t="s">
        <v>19</v>
      </c>
      <c r="I3018" s="1" t="s">
        <v>20</v>
      </c>
      <c r="J3018" s="1" t="s">
        <v>13760</v>
      </c>
      <c r="K3018" s="1" t="s">
        <v>22</v>
      </c>
      <c r="L3018" s="1" t="str">
        <f>HYPERLINK("https://files.afu.se/Downloads/Transcripts/0%20-%20Government/USA%20-%20NASA/2013 03 21 - NASA - Texas Students Tune Into Mission Control_NztVmrkr95c - transcript (automated).pdf","Transcript Link")</f>
        <v>Transcript Link</v>
      </c>
      <c r="M3018" s="2" t="str">
        <f>HYPERLINK("https://files.afu.se/Downloads/Transcripts/0%20-%20Government/USA%20-%20NASA/2013 03 21 - NASA - Texas Students Tune Into Mission Control_NztVmrkr95c - transcript (automated).pdf","Transcript Link")</f>
        <v>Transcript Link</v>
      </c>
    </row>
    <row r="3019" ht="165" spans="1:13">
      <c r="A3019" s="1" t="s">
        <v>13761</v>
      </c>
      <c r="B3019" s="1" t="s">
        <v>13</v>
      </c>
      <c r="C3019" s="4" t="s">
        <v>13762</v>
      </c>
      <c r="D3019" s="1" t="s">
        <v>13763</v>
      </c>
      <c r="E3019" s="1" t="s">
        <v>13764</v>
      </c>
      <c r="F3019" s="4" t="s">
        <v>17</v>
      </c>
      <c r="G3019" s="1" t="s">
        <v>18</v>
      </c>
      <c r="H3019" s="1" t="s">
        <v>19</v>
      </c>
      <c r="I3019" s="1" t="s">
        <v>20</v>
      </c>
      <c r="J3019" s="1" t="s">
        <v>13765</v>
      </c>
      <c r="K3019" s="1" t="s">
        <v>22</v>
      </c>
      <c r="L3019" s="1" t="str">
        <f>HYPERLINK("https://files.afu.se/Downloads/Transcripts/0%20-%20Government/USA%20-%20NASA/2013 03 19 - NASA - Soon-to-Be Flyers Speak About Space Station Mission_84ZOskT5wQQ - transcript (automated).pdf","Transcript Link")</f>
        <v>Transcript Link</v>
      </c>
      <c r="M3019" s="2" t="str">
        <f>HYPERLINK("https://files.afu.se/Downloads/Transcripts/0%20-%20Government/USA%20-%20NASA/2013 03 19 - NASA - Soon-to-Be Flyers Speak About Space Station Mission_84ZOskT5wQQ - transcript (automated).pdf","Transcript Link")</f>
        <v>Transcript Link</v>
      </c>
    </row>
    <row r="3020" ht="165" spans="1:13">
      <c r="A3020" s="1" t="s">
        <v>13761</v>
      </c>
      <c r="B3020" s="1" t="s">
        <v>13</v>
      </c>
      <c r="C3020" s="4" t="s">
        <v>13766</v>
      </c>
      <c r="D3020" s="1" t="s">
        <v>13767</v>
      </c>
      <c r="E3020" s="1" t="s">
        <v>13768</v>
      </c>
      <c r="F3020" s="4" t="s">
        <v>17</v>
      </c>
      <c r="G3020" s="1" t="s">
        <v>18</v>
      </c>
      <c r="H3020" s="1" t="s">
        <v>19</v>
      </c>
      <c r="I3020" s="1" t="s">
        <v>20</v>
      </c>
      <c r="J3020" s="1" t="s">
        <v>13769</v>
      </c>
      <c r="K3020" s="1" t="s">
        <v>22</v>
      </c>
      <c r="L3020" s="1" t="str">
        <f>HYPERLINK("https://files.afu.se/Downloads/Transcripts/0%20-%20Government/USA%20-%20NASA/2013 03 19 - NASA - New Crew Trains for Space Station Stay_2K2-iDOd85o - transcript (automated).pdf","Transcript Link")</f>
        <v>Transcript Link</v>
      </c>
      <c r="M3020" s="2" t="str">
        <f>HYPERLINK("https://files.afu.se/Downloads/Transcripts/0%20-%20Government/USA%20-%20NASA/2013 03 19 - NASA - New Crew Trains for Space Station Stay_2K2-iDOd85o - transcript (automated).pdf","Transcript Link")</f>
        <v>Transcript Link</v>
      </c>
    </row>
    <row r="3021" ht="165" spans="1:13">
      <c r="A3021" s="1" t="s">
        <v>13770</v>
      </c>
      <c r="B3021" s="1" t="s">
        <v>13</v>
      </c>
      <c r="C3021" s="4" t="s">
        <v>13771</v>
      </c>
      <c r="D3021" s="1" t="s">
        <v>13772</v>
      </c>
      <c r="E3021" s="1" t="s">
        <v>13773</v>
      </c>
      <c r="F3021" s="4" t="s">
        <v>17</v>
      </c>
      <c r="G3021" s="1" t="s">
        <v>18</v>
      </c>
      <c r="H3021" s="1" t="s">
        <v>19</v>
      </c>
      <c r="I3021" s="1" t="s">
        <v>20</v>
      </c>
      <c r="J3021" s="1" t="s">
        <v>13774</v>
      </c>
      <c r="K3021" s="1" t="s">
        <v>22</v>
      </c>
      <c r="L3021" s="1" t="str">
        <f>HYPERLINK("https://files.afu.se/Downloads/Transcripts/0%20-%20Government/USA%20-%20NASA/2013 03 18 - NASA - Marshburn's Space Mash-up with 30 Seconds to Mars_WzJLohMCw1g - transcript (automated).pdf","Transcript Link")</f>
        <v>Transcript Link</v>
      </c>
      <c r="M3021" s="2" t="str">
        <f>HYPERLINK("https://files.afu.se/Downloads/Transcripts/0%20-%20Government/USA%20-%20NASA/2013 03 18 - NASA - Marshburn's Space Mash-up with 30 Seconds to Mars_WzJLohMCw1g - transcript (automated).pdf","Transcript Link")</f>
        <v>Transcript Link</v>
      </c>
    </row>
    <row r="3022" ht="165" spans="1:13">
      <c r="A3022" s="1" t="s">
        <v>13770</v>
      </c>
      <c r="B3022" s="1" t="s">
        <v>13</v>
      </c>
      <c r="C3022" s="4" t="s">
        <v>13775</v>
      </c>
      <c r="D3022" s="1" t="s">
        <v>13776</v>
      </c>
      <c r="E3022" s="1" t="s">
        <v>13777</v>
      </c>
      <c r="F3022" s="4" t="s">
        <v>17</v>
      </c>
      <c r="G3022" s="1" t="s">
        <v>18</v>
      </c>
      <c r="H3022" s="1" t="s">
        <v>19</v>
      </c>
      <c r="I3022" s="1" t="s">
        <v>20</v>
      </c>
      <c r="J3022" s="1" t="s">
        <v>13778</v>
      </c>
      <c r="K3022" s="1" t="s">
        <v>22</v>
      </c>
      <c r="L3022" s="1" t="str">
        <f>HYPERLINK("https://files.afu.se/Downloads/Transcripts/0%20-%20Government/USA%20-%20NASA/2013 03 18 - NASA - Canadian Media Chat with Hadfield_CdCaCnbB7io - transcript (automated).pdf","Transcript Link")</f>
        <v>Transcript Link</v>
      </c>
      <c r="M3022" s="2" t="str">
        <f>HYPERLINK("https://files.afu.se/Downloads/Transcripts/0%20-%20Government/USA%20-%20NASA/2013 03 18 - NASA - Canadian Media Chat with Hadfield_CdCaCnbB7io - transcript (automated).pdf","Transcript Link")</f>
        <v>Transcript Link</v>
      </c>
    </row>
    <row r="3023" ht="165" spans="1:13">
      <c r="A3023" s="1" t="s">
        <v>13770</v>
      </c>
      <c r="B3023" s="1" t="s">
        <v>13</v>
      </c>
      <c r="C3023" s="4" t="s">
        <v>13779</v>
      </c>
      <c r="D3023" s="1" t="s">
        <v>13780</v>
      </c>
      <c r="E3023" s="1" t="s">
        <v>13781</v>
      </c>
      <c r="F3023" s="4" t="s">
        <v>17</v>
      </c>
      <c r="G3023" s="1" t="s">
        <v>18</v>
      </c>
      <c r="H3023" s="1" t="s">
        <v>19</v>
      </c>
      <c r="I3023" s="1" t="s">
        <v>20</v>
      </c>
      <c r="J3023" s="1" t="s">
        <v>13782</v>
      </c>
      <c r="K3023" s="1" t="s">
        <v>22</v>
      </c>
      <c r="L3023" s="1" t="str">
        <f>HYPERLINK("https://files.afu.se/Downloads/Transcripts/0%20-%20Government/USA%20-%20NASA/2013 03 18 - NASA - Ford Flies Home on This Week @NASA_enthWllmoYI - transcript (automated).pdf","Transcript Link")</f>
        <v>Transcript Link</v>
      </c>
      <c r="M3023" s="2" t="str">
        <f>HYPERLINK("https://files.afu.se/Downloads/Transcripts/0%20-%20Government/USA%20-%20NASA/2013 03 18 - NASA - Ford Flies Home on This Week @NASA_enthWllmoYI - transcript (automated).pdf","Transcript Link")</f>
        <v>Transcript Link</v>
      </c>
    </row>
    <row r="3024" ht="225" spans="1:13">
      <c r="A3024" s="1" t="s">
        <v>13770</v>
      </c>
      <c r="B3024" s="1" t="s">
        <v>13</v>
      </c>
      <c r="C3024" s="4" t="s">
        <v>13783</v>
      </c>
      <c r="D3024" s="1" t="s">
        <v>13784</v>
      </c>
      <c r="E3024" s="1" t="s">
        <v>13785</v>
      </c>
      <c r="F3024" s="4" t="s">
        <v>17</v>
      </c>
      <c r="G3024" s="1" t="s">
        <v>18</v>
      </c>
      <c r="H3024" s="1" t="s">
        <v>19</v>
      </c>
      <c r="I3024" s="1" t="s">
        <v>20</v>
      </c>
      <c r="J3024" s="1" t="s">
        <v>13786</v>
      </c>
      <c r="K3024" s="1" t="s">
        <v>22</v>
      </c>
      <c r="L3024" s="1" t="str">
        <f>HYPERLINK("https://files.afu.se/Downloads/Transcripts/0%20-%20Government/USA%20-%20NASA/2013 03 18 - NASA - Next Crew in Space Leaves for Launch Site_yn7fEAoZx2c - transcript (automated).pdf","Transcript Link")</f>
        <v>Transcript Link</v>
      </c>
      <c r="M3024" s="2" t="str">
        <f>HYPERLINK("https://files.afu.se/Downloads/Transcripts/0%20-%20Government/USA%20-%20NASA/2013 03 18 - NASA - Next Crew in Space Leaves for Launch Site_yn7fEAoZx2c - transcript (automated).pdf","Transcript Link")</f>
        <v>Transcript Link</v>
      </c>
    </row>
    <row r="3025" ht="165" spans="1:13">
      <c r="A3025" s="1" t="s">
        <v>13770</v>
      </c>
      <c r="B3025" s="1" t="s">
        <v>13</v>
      </c>
      <c r="C3025" s="4" t="s">
        <v>13787</v>
      </c>
      <c r="D3025" s="1" t="s">
        <v>13788</v>
      </c>
      <c r="E3025" s="1" t="s">
        <v>13789</v>
      </c>
      <c r="F3025" s="4" t="s">
        <v>17</v>
      </c>
      <c r="G3025" s="1" t="s">
        <v>18</v>
      </c>
      <c r="H3025" s="1" t="s">
        <v>19</v>
      </c>
      <c r="I3025" s="1" t="s">
        <v>20</v>
      </c>
      <c r="J3025" s="1" t="s">
        <v>13790</v>
      </c>
      <c r="K3025" s="1" t="s">
        <v>22</v>
      </c>
      <c r="L3025" s="1" t="str">
        <f>HYPERLINK("https://files.afu.se/Downloads/Transcripts/0%20-%20Government/USA%20-%20NASA/2013 03 18 - NASA - Mars Once Habitable on This Week @NASA_xpvQzb-6agg - transcript (automated).pdf","Transcript Link")</f>
        <v>Transcript Link</v>
      </c>
      <c r="M3025" s="2" t="str">
        <f>HYPERLINK("https://files.afu.se/Downloads/Transcripts/0%20-%20Government/USA%20-%20NASA/2013 03 18 - NASA - Mars Once Habitable on This Week @NASA_xpvQzb-6agg - transcript (automated).pdf","Transcript Link")</f>
        <v>Transcript Link</v>
      </c>
    </row>
    <row r="3026" ht="165" spans="1:13">
      <c r="A3026" s="1" t="s">
        <v>13791</v>
      </c>
      <c r="B3026" s="1" t="s">
        <v>13</v>
      </c>
      <c r="C3026" s="4" t="s">
        <v>13792</v>
      </c>
      <c r="D3026" s="1" t="s">
        <v>13793</v>
      </c>
      <c r="F3026" s="4" t="s">
        <v>17</v>
      </c>
      <c r="G3026" s="1" t="s">
        <v>18</v>
      </c>
      <c r="H3026" s="1" t="s">
        <v>19</v>
      </c>
      <c r="I3026" s="1" t="s">
        <v>20</v>
      </c>
      <c r="J3026" s="1" t="s">
        <v>13794</v>
      </c>
      <c r="K3026" s="1" t="s">
        <v>22</v>
      </c>
      <c r="L3026" s="1" t="str">
        <f>HYPERLINK("https://files.afu.se/Downloads/Transcripts/0%20-%20Government/USA%20-%20NASA/2013 03 16 - NASA - Exp 34 Crew Welcomed In Kazakhstan_PCCgQARwIxQ - transcript (automated).pdf","Transcript Link")</f>
        <v>Transcript Link</v>
      </c>
      <c r="M3026" s="2" t="str">
        <f>HYPERLINK("https://files.afu.se/Downloads/Transcripts/0%20-%20Government/USA%20-%20NASA/2013 03 16 - NASA - Exp 34 Crew Welcomed In Kazakhstan_PCCgQARwIxQ - transcript (automated).pdf","Transcript Link")</f>
        <v>Transcript Link</v>
      </c>
    </row>
    <row r="3027" ht="165" spans="1:13">
      <c r="A3027" s="1" t="s">
        <v>13791</v>
      </c>
      <c r="B3027" s="1" t="s">
        <v>13</v>
      </c>
      <c r="C3027" s="4" t="s">
        <v>13795</v>
      </c>
      <c r="D3027" s="1" t="s">
        <v>13796</v>
      </c>
      <c r="E3027" s="1" t="s">
        <v>13797</v>
      </c>
      <c r="F3027" s="4" t="s">
        <v>17</v>
      </c>
      <c r="G3027" s="1" t="s">
        <v>18</v>
      </c>
      <c r="H3027" s="1" t="s">
        <v>19</v>
      </c>
      <c r="I3027" s="1" t="s">
        <v>20</v>
      </c>
      <c r="J3027" s="1" t="s">
        <v>13798</v>
      </c>
      <c r="K3027" s="1" t="s">
        <v>22</v>
      </c>
      <c r="L3027" s="1" t="str">
        <f>HYPERLINK("https://files.afu.se/Downloads/Transcripts/0%20-%20Government/USA%20-%20NASA/2013 03 16 - NASA - Ford, Crew Mates Return Safely to Earth_K3RZGLV5YJQ - transcript (automated).pdf","Transcript Link")</f>
        <v>Transcript Link</v>
      </c>
      <c r="M3027" s="2" t="str">
        <f>HYPERLINK("https://files.afu.se/Downloads/Transcripts/0%20-%20Government/USA%20-%20NASA/2013 03 16 - NASA - Ford, Crew Mates Return Safely to Earth_K3RZGLV5YJQ - transcript (automated).pdf","Transcript Link")</f>
        <v>Transcript Link</v>
      </c>
    </row>
    <row r="3028" ht="165" spans="1:13">
      <c r="A3028" s="1" t="s">
        <v>13791</v>
      </c>
      <c r="B3028" s="1" t="s">
        <v>13</v>
      </c>
      <c r="C3028" s="4" t="s">
        <v>13799</v>
      </c>
      <c r="D3028" s="1" t="s">
        <v>8973</v>
      </c>
      <c r="E3028" s="1" t="s">
        <v>13800</v>
      </c>
      <c r="F3028" s="4" t="s">
        <v>17</v>
      </c>
      <c r="G3028" s="1" t="s">
        <v>18</v>
      </c>
      <c r="H3028" s="1" t="s">
        <v>19</v>
      </c>
      <c r="I3028" s="1" t="s">
        <v>20</v>
      </c>
      <c r="J3028" s="1" t="s">
        <v>13801</v>
      </c>
      <c r="K3028" s="1" t="s">
        <v>22</v>
      </c>
      <c r="L3028" s="1" t="str">
        <f>HYPERLINK("https://files.afu.se/Downloads/Transcripts/0%20-%20Government/USA%20-%20NASA/2013 03 16 - NASA - Soyuz Undocks from ISS_qKA4NtqsuOk - transcript (automated).pdf","Transcript Link")</f>
        <v>Transcript Link</v>
      </c>
      <c r="M3028" s="2" t="str">
        <f>HYPERLINK("https://files.afu.se/Downloads/Transcripts/0%20-%20Government/USA%20-%20NASA/2013 03 16 - NASA - Soyuz Undocks from ISS_qKA4NtqsuOk - transcript (automated).pdf","Transcript Link")</f>
        <v>Transcript Link</v>
      </c>
    </row>
    <row r="3029" ht="165" spans="1:13">
      <c r="A3029" s="1" t="s">
        <v>13802</v>
      </c>
      <c r="B3029" s="1" t="s">
        <v>13</v>
      </c>
      <c r="C3029" s="4" t="s">
        <v>13803</v>
      </c>
      <c r="D3029" s="1" t="s">
        <v>13804</v>
      </c>
      <c r="E3029" s="1" t="s">
        <v>13805</v>
      </c>
      <c r="F3029" s="4" t="s">
        <v>17</v>
      </c>
      <c r="G3029" s="1" t="s">
        <v>18</v>
      </c>
      <c r="H3029" s="1" t="s">
        <v>19</v>
      </c>
      <c r="I3029" s="1" t="s">
        <v>20</v>
      </c>
      <c r="J3029" s="1" t="s">
        <v>13806</v>
      </c>
      <c r="K3029" s="1" t="s">
        <v>22</v>
      </c>
      <c r="L3029" s="1" t="str">
        <f>HYPERLINK("https://files.afu.se/Downloads/Transcripts/0%20-%20Government/USA%20-%20NASA/2013 03 15 - NASA - Expedition 34 Bids Farewell to ISS_XHrt3ZxzOyo - transcript (automated).pdf","Transcript Link")</f>
        <v>Transcript Link</v>
      </c>
      <c r="M3029" s="2" t="str">
        <f>HYPERLINK("https://files.afu.se/Downloads/Transcripts/0%20-%20Government/USA%20-%20NASA/2013 03 15 - NASA - Expedition 34 Bids Farewell to ISS_XHrt3ZxzOyo - transcript (automated).pdf","Transcript Link")</f>
        <v>Transcript Link</v>
      </c>
    </row>
    <row r="3030" ht="285" spans="1:13">
      <c r="A3030" s="1" t="s">
        <v>13802</v>
      </c>
      <c r="B3030" s="1" t="s">
        <v>13</v>
      </c>
      <c r="C3030" s="4" t="s">
        <v>13807</v>
      </c>
      <c r="D3030" s="1" t="s">
        <v>13808</v>
      </c>
      <c r="E3030" s="1" t="s">
        <v>12006</v>
      </c>
      <c r="F3030" s="4" t="s">
        <v>17</v>
      </c>
      <c r="G3030" s="1" t="s">
        <v>18</v>
      </c>
      <c r="H3030" s="1" t="s">
        <v>19</v>
      </c>
      <c r="I3030" s="1" t="s">
        <v>20</v>
      </c>
      <c r="J3030" s="1" t="s">
        <v>13809</v>
      </c>
      <c r="K3030" s="1" t="s">
        <v>22</v>
      </c>
      <c r="L3030" s="1" t="str">
        <f>HYPERLINK("https://files.afu.se/Downloads/Transcripts/0%20-%20Government/USA%20-%20NASA/2013 03 15 - NASA - NASA Mars Curiosity Rover Report -- March 15, 2013_65Xr4AdAY2A - transcript (automated).pdf","Transcript Link")</f>
        <v>Transcript Link</v>
      </c>
      <c r="M3030" s="2" t="str">
        <f>HYPERLINK("https://files.afu.se/Downloads/Transcripts/0%20-%20Government/USA%20-%20NASA/2013 03 15 - NASA - NASA Mars Curiosity Rover Report -- March 15, 2013_65Xr4AdAY2A - transcript (automated).pdf","Transcript Link")</f>
        <v>Transcript Link</v>
      </c>
    </row>
    <row r="3031" ht="165" spans="1:13">
      <c r="A3031" s="1" t="s">
        <v>13802</v>
      </c>
      <c r="B3031" s="1" t="s">
        <v>13</v>
      </c>
      <c r="C3031" s="4" t="s">
        <v>13810</v>
      </c>
      <c r="D3031" s="1" t="s">
        <v>13811</v>
      </c>
      <c r="E3031" s="1" t="s">
        <v>13812</v>
      </c>
      <c r="F3031" s="4" t="s">
        <v>17</v>
      </c>
      <c r="G3031" s="1" t="s">
        <v>18</v>
      </c>
      <c r="H3031" s="1" t="s">
        <v>19</v>
      </c>
      <c r="I3031" s="1" t="s">
        <v>20</v>
      </c>
      <c r="J3031" s="1" t="s">
        <v>13813</v>
      </c>
      <c r="K3031" s="1" t="s">
        <v>22</v>
      </c>
      <c r="L3031" s="1" t="str">
        <f>HYPERLINK("https://files.afu.se/Downloads/Transcripts/0%20-%20Government/USA%20-%20NASA/2013 03 15 - NASA - Lori Hicks -- Kennedy Space Center_ywsmDCc9UxI - transcript (automated).pdf","Transcript Link")</f>
        <v>Transcript Link</v>
      </c>
      <c r="M3031" s="2" t="str">
        <f>HYPERLINK("https://files.afu.se/Downloads/Transcripts/0%20-%20Government/USA%20-%20NASA/2013 03 15 - NASA - Lori Hicks -- Kennedy Space Center_ywsmDCc9UxI - transcript (automated).pdf","Transcript Link")</f>
        <v>Transcript Link</v>
      </c>
    </row>
    <row r="3032" ht="180" spans="1:13">
      <c r="A3032" s="1" t="s">
        <v>13802</v>
      </c>
      <c r="B3032" s="1" t="s">
        <v>13</v>
      </c>
      <c r="C3032" s="4" t="s">
        <v>13814</v>
      </c>
      <c r="D3032" s="1" t="s">
        <v>13815</v>
      </c>
      <c r="E3032" s="1" t="s">
        <v>13816</v>
      </c>
      <c r="F3032" s="4" t="s">
        <v>17</v>
      </c>
      <c r="G3032" s="1" t="s">
        <v>18</v>
      </c>
      <c r="H3032" s="1" t="s">
        <v>19</v>
      </c>
      <c r="I3032" s="1" t="s">
        <v>20</v>
      </c>
      <c r="J3032" s="1" t="s">
        <v>13817</v>
      </c>
      <c r="K3032" s="1" t="s">
        <v>22</v>
      </c>
      <c r="L3032" s="1" t="str">
        <f>HYPERLINK("https://files.afu.se/Downloads/Transcripts/0%20-%20Government/USA%20-%20NASA/2013 03 15 - NASA - Canada's Prime Minister Congratulates Hadfield on History-Making Command__4ZvM0Cd9UE - transcript (automated).pdf","Transcript Link")</f>
        <v>Transcript Link</v>
      </c>
      <c r="M3032" s="2" t="str">
        <f>HYPERLINK("https://files.afu.se/Downloads/Transcripts/0%20-%20Government/USA%20-%20NASA/2013 03 15 - NASA - Canada's Prime Minister Congratulates Hadfield on History-Making Command__4ZvM0Cd9UE - transcript (automated).pdf","Transcript Link")</f>
        <v>Transcript Link</v>
      </c>
    </row>
    <row r="3033" ht="165" spans="1:13">
      <c r="A3033" s="1" t="s">
        <v>13802</v>
      </c>
      <c r="B3033" s="1" t="s">
        <v>13</v>
      </c>
      <c r="C3033" s="4" t="s">
        <v>13818</v>
      </c>
      <c r="D3033" s="1" t="s">
        <v>13819</v>
      </c>
      <c r="E3033" s="1" t="s">
        <v>13820</v>
      </c>
      <c r="F3033" s="4" t="s">
        <v>17</v>
      </c>
      <c r="G3033" s="1" t="s">
        <v>18</v>
      </c>
      <c r="H3033" s="1" t="s">
        <v>19</v>
      </c>
      <c r="I3033" s="1" t="s">
        <v>20</v>
      </c>
      <c r="J3033" s="1" t="s">
        <v>13821</v>
      </c>
      <c r="K3033" s="1" t="s">
        <v>22</v>
      </c>
      <c r="L3033" s="1" t="str">
        <f>HYPERLINK("https://files.afu.se/Downloads/Transcripts/0%20-%20Government/USA%20-%20NASA/2013 03 15 - NASA - ScienceCasts  Sunset Comet_6doDMbpi6zU - transcript (automated).pdf","Transcript Link")</f>
        <v>Transcript Link</v>
      </c>
      <c r="M3033" s="2" t="str">
        <f>HYPERLINK("https://files.afu.se/Downloads/Transcripts/0%20-%20Government/USA%20-%20NASA/2013 03 15 - NASA - ScienceCasts  Sunset Comet_6doDMbpi6zU - transcript (automated).pdf","Transcript Link")</f>
        <v>Transcript Link</v>
      </c>
    </row>
    <row r="3034" ht="195" spans="1:13">
      <c r="A3034" s="1" t="s">
        <v>13822</v>
      </c>
      <c r="B3034" s="1" t="s">
        <v>13</v>
      </c>
      <c r="C3034" s="4" t="s">
        <v>13823</v>
      </c>
      <c r="D3034" s="1" t="s">
        <v>13824</v>
      </c>
      <c r="E3034" s="1" t="s">
        <v>13825</v>
      </c>
      <c r="F3034" s="4" t="s">
        <v>17</v>
      </c>
      <c r="G3034" s="1" t="s">
        <v>18</v>
      </c>
      <c r="H3034" s="1" t="s">
        <v>19</v>
      </c>
      <c r="I3034" s="1" t="s">
        <v>20</v>
      </c>
      <c r="J3034" s="1" t="s">
        <v>13826</v>
      </c>
      <c r="K3034" s="1" t="s">
        <v>22</v>
      </c>
      <c r="L3034" s="1" t="str">
        <f>HYPERLINK("https://files.afu.se/Downloads/Transcripts/0%20-%20Government/USA%20-%20NASA/2013 03 13 - NASA - Ford Hands Over ISS Command to Hadfield_dWX9awdzYjw - transcript (automated).pdf","Transcript Link")</f>
        <v>Transcript Link</v>
      </c>
      <c r="M3034" s="2" t="str">
        <f>HYPERLINK("https://files.afu.se/Downloads/Transcripts/0%20-%20Government/USA%20-%20NASA/2013 03 13 - NASA - Ford Hands Over ISS Command to Hadfield_dWX9awdzYjw - transcript (automated).pdf","Transcript Link")</f>
        <v>Transcript Link</v>
      </c>
    </row>
    <row r="3035" ht="165" spans="1:13">
      <c r="A3035" s="1" t="s">
        <v>13827</v>
      </c>
      <c r="B3035" s="1" t="s">
        <v>13</v>
      </c>
      <c r="C3035" s="4" t="s">
        <v>13828</v>
      </c>
      <c r="D3035" s="1" t="s">
        <v>13829</v>
      </c>
      <c r="E3035" s="1" t="s">
        <v>13830</v>
      </c>
      <c r="F3035" s="4" t="s">
        <v>17</v>
      </c>
      <c r="G3035" s="1" t="s">
        <v>18</v>
      </c>
      <c r="H3035" s="1" t="s">
        <v>19</v>
      </c>
      <c r="I3035" s="1" t="s">
        <v>20</v>
      </c>
      <c r="J3035" s="1" t="s">
        <v>13831</v>
      </c>
      <c r="K3035" s="1" t="s">
        <v>22</v>
      </c>
      <c r="L3035" s="1" t="str">
        <f>HYPERLINK("https://files.afu.se/Downloads/Transcripts/0%20-%20Government/USA%20-%20NASA/2013 03 12 - NASA - Curiosity's Mars Rock Drilling Discussed_fvCfOVGHWCc - transcript (automated).pdf","Transcript Link")</f>
        <v>Transcript Link</v>
      </c>
      <c r="M3035" s="2" t="str">
        <f>HYPERLINK("https://files.afu.se/Downloads/Transcripts/0%20-%20Government/USA%20-%20NASA/2013 03 12 - NASA - Curiosity's Mars Rock Drilling Discussed_fvCfOVGHWCc - transcript (automated).pdf","Transcript Link")</f>
        <v>Transcript Link</v>
      </c>
    </row>
    <row r="3036" ht="180" spans="1:13">
      <c r="A3036" s="1" t="s">
        <v>13827</v>
      </c>
      <c r="B3036" s="1" t="s">
        <v>13</v>
      </c>
      <c r="C3036" s="4" t="s">
        <v>13832</v>
      </c>
      <c r="D3036" s="1" t="s">
        <v>13833</v>
      </c>
      <c r="E3036" s="1" t="s">
        <v>13834</v>
      </c>
      <c r="F3036" s="4" t="s">
        <v>17</v>
      </c>
      <c r="G3036" s="1" t="s">
        <v>18</v>
      </c>
      <c r="H3036" s="1" t="s">
        <v>19</v>
      </c>
      <c r="I3036" s="1" t="s">
        <v>20</v>
      </c>
      <c r="J3036" s="1" t="s">
        <v>13835</v>
      </c>
      <c r="K3036" s="1" t="s">
        <v>22</v>
      </c>
      <c r="L3036" s="1" t="str">
        <f>HYPERLINK("https://files.afu.se/Downloads/Transcripts/0%20-%20Government/USA%20-%20NASA/2013 03 12 - NASA - ISS Trio in CNN's  Newsroom _Hd4_9oK4h8c - transcript (automated).pdf","Transcript Link")</f>
        <v>Transcript Link</v>
      </c>
      <c r="M3036" s="2" t="str">
        <f>HYPERLINK("https://files.afu.se/Downloads/Transcripts/0%20-%20Government/USA%20-%20NASA/2013 03 12 - NASA - ISS Trio in CNN's  Newsroom _Hd4_9oK4h8c - transcript (automated).pdf","Transcript Link")</f>
        <v>Transcript Link</v>
      </c>
    </row>
    <row r="3037" ht="165" spans="1:13">
      <c r="A3037" s="1" t="s">
        <v>13836</v>
      </c>
      <c r="B3037" s="1" t="s">
        <v>13</v>
      </c>
      <c r="C3037" s="4" t="s">
        <v>13837</v>
      </c>
      <c r="D3037" s="1" t="s">
        <v>13838</v>
      </c>
      <c r="E3037" s="1" t="s">
        <v>13839</v>
      </c>
      <c r="F3037" s="4" t="s">
        <v>17</v>
      </c>
      <c r="G3037" s="1" t="s">
        <v>18</v>
      </c>
      <c r="H3037" s="1" t="s">
        <v>19</v>
      </c>
      <c r="I3037" s="1" t="s">
        <v>20</v>
      </c>
      <c r="J3037" s="1" t="s">
        <v>13840</v>
      </c>
      <c r="K3037" s="1" t="s">
        <v>22</v>
      </c>
      <c r="L3037" s="1" t="str">
        <f>HYPERLINK("https://files.afu.se/Downloads/Transcripts/0%20-%20Government/USA%20-%20NASA/2013 03 11 - NASA - Alberta Students Hear from Hadfield_gPAxf0an-hM - transcript (automated).pdf","Transcript Link")</f>
        <v>Transcript Link</v>
      </c>
      <c r="M3037" s="2" t="str">
        <f>HYPERLINK("https://files.afu.se/Downloads/Transcripts/0%20-%20Government/USA%20-%20NASA/2013 03 11 - NASA - Alberta Students Hear from Hadfield_gPAxf0an-hM - transcript (automated).pdf","Transcript Link")</f>
        <v>Transcript Link</v>
      </c>
    </row>
    <row r="3038" ht="165" spans="1:13">
      <c r="A3038" s="1" t="s">
        <v>13836</v>
      </c>
      <c r="B3038" s="1" t="s">
        <v>13</v>
      </c>
      <c r="C3038" s="4" t="s">
        <v>13841</v>
      </c>
      <c r="D3038" s="1" t="s">
        <v>13842</v>
      </c>
      <c r="E3038" s="1" t="s">
        <v>13843</v>
      </c>
      <c r="F3038" s="4" t="s">
        <v>17</v>
      </c>
      <c r="G3038" s="1" t="s">
        <v>18</v>
      </c>
      <c r="H3038" s="1" t="s">
        <v>19</v>
      </c>
      <c r="I3038" s="1" t="s">
        <v>20</v>
      </c>
      <c r="J3038" s="1" t="s">
        <v>13844</v>
      </c>
      <c r="K3038" s="1" t="s">
        <v>22</v>
      </c>
      <c r="L3038" s="1" t="str">
        <f>HYPERLINK("https://files.afu.se/Downloads/Transcripts/0%20-%20Government/USA%20-%20NASA/2013 03 11 - NASA - NASA Launches Exploration Design Challenge_5qBDq4baYSo - transcript (automated).pdf","Transcript Link")</f>
        <v>Transcript Link</v>
      </c>
      <c r="M3038" s="2" t="str">
        <f>HYPERLINK("https://files.afu.se/Downloads/Transcripts/0%20-%20Government/USA%20-%20NASA/2013 03 11 - NASA - NASA Launches Exploration Design Challenge_5qBDq4baYSo - transcript (automated).pdf","Transcript Link")</f>
        <v>Transcript Link</v>
      </c>
    </row>
    <row r="3039" ht="165" spans="1:13">
      <c r="A3039" s="1" t="s">
        <v>13845</v>
      </c>
      <c r="B3039" s="1" t="s">
        <v>13</v>
      </c>
      <c r="C3039" s="4" t="s">
        <v>13846</v>
      </c>
      <c r="D3039" s="1" t="s">
        <v>13847</v>
      </c>
      <c r="E3039" s="1" t="s">
        <v>13848</v>
      </c>
      <c r="F3039" s="4" t="s">
        <v>17</v>
      </c>
      <c r="G3039" s="1" t="s">
        <v>18</v>
      </c>
      <c r="H3039" s="1" t="s">
        <v>19</v>
      </c>
      <c r="I3039" s="1" t="s">
        <v>20</v>
      </c>
      <c r="J3039" s="1" t="s">
        <v>13849</v>
      </c>
      <c r="K3039" s="1" t="s">
        <v>22</v>
      </c>
      <c r="L3039" s="1" t="str">
        <f>HYPERLINK("https://files.afu.se/Downloads/Transcripts/0%20-%20Government/USA%20-%20NASA/2013 03 08 - NASA - Next Space Men Ready for Launch on This Week @NASA_tTi2I3byJ9A - transcript (automated).pdf","Transcript Link")</f>
        <v>Transcript Link</v>
      </c>
      <c r="M3039" s="2" t="str">
        <f>HYPERLINK("https://files.afu.se/Downloads/Transcripts/0%20-%20Government/USA%20-%20NASA/2013 03 08 - NASA - Next Space Men Ready for Launch on This Week @NASA_tTi2I3byJ9A - transcript (automated).pdf","Transcript Link")</f>
        <v>Transcript Link</v>
      </c>
    </row>
    <row r="3040" ht="195" spans="1:13">
      <c r="A3040" s="1" t="s">
        <v>13845</v>
      </c>
      <c r="B3040" s="1" t="s">
        <v>13</v>
      </c>
      <c r="C3040" s="4" t="s">
        <v>13850</v>
      </c>
      <c r="D3040" s="1" t="s">
        <v>13851</v>
      </c>
      <c r="E3040" s="1" t="s">
        <v>13852</v>
      </c>
      <c r="F3040" s="4" t="s">
        <v>17</v>
      </c>
      <c r="G3040" s="1" t="s">
        <v>18</v>
      </c>
      <c r="H3040" s="1" t="s">
        <v>19</v>
      </c>
      <c r="I3040" s="1" t="s">
        <v>20</v>
      </c>
      <c r="J3040" s="1" t="s">
        <v>13853</v>
      </c>
      <c r="K3040" s="1" t="s">
        <v>22</v>
      </c>
      <c r="L3040" s="1" t="str">
        <f>HYPERLINK("https://files.afu.se/Downloads/Transcripts/0%20-%20Government/USA%20-%20NASA/2013 03 08 - NASA - Linda Posey -- Marshall Space Flight Center_ziv-9WkoxBY - transcript (automated).pdf","Transcript Link")</f>
        <v>Transcript Link</v>
      </c>
      <c r="M3040" s="2" t="str">
        <f>HYPERLINK("https://files.afu.se/Downloads/Transcripts/0%20-%20Government/USA%20-%20NASA/2013 03 08 - NASA - Linda Posey -- Marshall Space Flight Center_ziv-9WkoxBY - transcript (automated).pdf","Transcript Link")</f>
        <v>Transcript Link</v>
      </c>
    </row>
    <row r="3041" ht="165" spans="1:13">
      <c r="A3041" s="1" t="s">
        <v>13845</v>
      </c>
      <c r="B3041" s="1" t="s">
        <v>13</v>
      </c>
      <c r="C3041" s="4" t="s">
        <v>13854</v>
      </c>
      <c r="D3041" s="1" t="s">
        <v>13855</v>
      </c>
      <c r="E3041" s="1" t="s">
        <v>13856</v>
      </c>
      <c r="F3041" s="4" t="s">
        <v>17</v>
      </c>
      <c r="G3041" s="1" t="s">
        <v>18</v>
      </c>
      <c r="H3041" s="1" t="s">
        <v>19</v>
      </c>
      <c r="I3041" s="1" t="s">
        <v>20</v>
      </c>
      <c r="J3041" s="1" t="s">
        <v>13857</v>
      </c>
      <c r="K3041" s="1" t="s">
        <v>22</v>
      </c>
      <c r="L3041" s="1" t="str">
        <f>HYPERLINK("https://files.afu.se/Downloads/Transcripts/0%20-%20Government/USA%20-%20NASA/2013 03 08 - NASA - Erisa Hines -- Jet Propulsion Laboratory_3T9FOf60krM - transcript (automated).pdf","Transcript Link")</f>
        <v>Transcript Link</v>
      </c>
      <c r="M3041" s="2" t="str">
        <f>HYPERLINK("https://files.afu.se/Downloads/Transcripts/0%20-%20Government/USA%20-%20NASA/2013 03 08 - NASA - Erisa Hines -- Jet Propulsion Laboratory_3T9FOf60krM - transcript (automated).pdf","Transcript Link")</f>
        <v>Transcript Link</v>
      </c>
    </row>
    <row r="3042" ht="225" spans="1:13">
      <c r="A3042" s="1" t="s">
        <v>13858</v>
      </c>
      <c r="B3042" s="1" t="s">
        <v>13</v>
      </c>
      <c r="C3042" s="4" t="s">
        <v>13859</v>
      </c>
      <c r="D3042" s="1" t="s">
        <v>13860</v>
      </c>
      <c r="E3042" s="1" t="s">
        <v>13861</v>
      </c>
      <c r="F3042" s="4" t="s">
        <v>17</v>
      </c>
      <c r="G3042" s="1" t="s">
        <v>18</v>
      </c>
      <c r="H3042" s="1" t="s">
        <v>19</v>
      </c>
      <c r="I3042" s="1" t="s">
        <v>20</v>
      </c>
      <c r="J3042" s="1" t="s">
        <v>13862</v>
      </c>
      <c r="K3042" s="1" t="s">
        <v>22</v>
      </c>
      <c r="L3042" s="1" t="str">
        <f>HYPERLINK("https://files.afu.se/Downloads/Transcripts/0%20-%20Government/USA%20-%20NASA/2013 03 07 - NASA - Next Space Station Crew Meets Media, Pays Homage_Gkq7DumRLUs - transcript (automated).pdf","Transcript Link")</f>
        <v>Transcript Link</v>
      </c>
      <c r="M3042" s="2" t="str">
        <f>HYPERLINK("https://files.afu.se/Downloads/Transcripts/0%20-%20Government/USA%20-%20NASA/2013 03 07 - NASA - Next Space Station Crew Meets Media, Pays Homage_Gkq7DumRLUs - transcript (automated).pdf","Transcript Link")</f>
        <v>Transcript Link</v>
      </c>
    </row>
    <row r="3043" ht="165" spans="1:13">
      <c r="A3043" s="1" t="s">
        <v>13858</v>
      </c>
      <c r="B3043" s="1" t="s">
        <v>13</v>
      </c>
      <c r="C3043" s="4" t="s">
        <v>13863</v>
      </c>
      <c r="D3043" s="1" t="s">
        <v>13864</v>
      </c>
      <c r="E3043" s="1" t="s">
        <v>13865</v>
      </c>
      <c r="F3043" s="4" t="s">
        <v>17</v>
      </c>
      <c r="G3043" s="1" t="s">
        <v>18</v>
      </c>
      <c r="H3043" s="1" t="s">
        <v>19</v>
      </c>
      <c r="I3043" s="1" t="s">
        <v>20</v>
      </c>
      <c r="J3043" s="1" t="s">
        <v>13866</v>
      </c>
      <c r="K3043" s="1" t="s">
        <v>22</v>
      </c>
      <c r="L3043" s="1" t="str">
        <f>HYPERLINK("https://files.afu.se/Downloads/Transcripts/0%20-%20Government/USA%20-%20NASA/2013 03 07 - NASA - ScienceCasts  Stormy Space Weather_vhQA5SUnyU0 - transcript (automated).pdf","Transcript Link")</f>
        <v>Transcript Link</v>
      </c>
      <c r="M3043" s="2" t="str">
        <f>HYPERLINK("https://files.afu.se/Downloads/Transcripts/0%20-%20Government/USA%20-%20NASA/2013 03 07 - NASA - ScienceCasts  Stormy Space Weather_vhQA5SUnyU0 - transcript (automated).pdf","Transcript Link")</f>
        <v>Transcript Link</v>
      </c>
    </row>
    <row r="3044" ht="165" spans="1:13">
      <c r="A3044" s="1" t="s">
        <v>13858</v>
      </c>
      <c r="B3044" s="1" t="s">
        <v>13</v>
      </c>
      <c r="C3044" s="4" t="s">
        <v>13867</v>
      </c>
      <c r="D3044" s="1" t="s">
        <v>13868</v>
      </c>
      <c r="E3044" s="1" t="s">
        <v>13869</v>
      </c>
      <c r="F3044" s="4" t="s">
        <v>17</v>
      </c>
      <c r="G3044" s="1" t="s">
        <v>18</v>
      </c>
      <c r="H3044" s="1" t="s">
        <v>19</v>
      </c>
      <c r="I3044" s="1" t="s">
        <v>20</v>
      </c>
      <c r="J3044" s="1" t="s">
        <v>13870</v>
      </c>
      <c r="K3044" s="1" t="s">
        <v>22</v>
      </c>
      <c r="L3044" s="1" t="str">
        <f>HYPERLINK("https://files.afu.se/Downloads/Transcripts/0%20-%20Government/USA%20-%20NASA/2013 03 07 - NASA - DLN Highlights ISS_ffvH85Lm8dM - transcript (automated).pdf","Transcript Link")</f>
        <v>Transcript Link</v>
      </c>
      <c r="M3044" s="2" t="str">
        <f>HYPERLINK("https://files.afu.se/Downloads/Transcripts/0%20-%20Government/USA%20-%20NASA/2013 03 07 - NASA - DLN Highlights ISS_ffvH85Lm8dM - transcript (automated).pdf","Transcript Link")</f>
        <v>Transcript Link</v>
      </c>
    </row>
    <row r="3045" ht="165" spans="1:13">
      <c r="A3045" s="1" t="s">
        <v>13871</v>
      </c>
      <c r="B3045" s="1" t="s">
        <v>13</v>
      </c>
      <c r="C3045" s="4" t="s">
        <v>13872</v>
      </c>
      <c r="D3045" s="1" t="s">
        <v>13873</v>
      </c>
      <c r="E3045" s="1" t="s">
        <v>13874</v>
      </c>
      <c r="F3045" s="4" t="s">
        <v>17</v>
      </c>
      <c r="G3045" s="1" t="s">
        <v>18</v>
      </c>
      <c r="H3045" s="1" t="s">
        <v>19</v>
      </c>
      <c r="I3045" s="1" t="s">
        <v>20</v>
      </c>
      <c r="J3045" s="1" t="s">
        <v>13875</v>
      </c>
      <c r="K3045" s="1" t="s">
        <v>22</v>
      </c>
      <c r="L3045" s="1" t="str">
        <f>HYPERLINK("https://files.afu.se/Downloads/Transcripts/0%20-%20Government/USA%20-%20NASA/2013 03 05 - NASA - California Students Query ISS Crew_0Y9E-rVu1eo - transcript (automated).pdf","Transcript Link")</f>
        <v>Transcript Link</v>
      </c>
      <c r="M3045" s="2" t="str">
        <f>HYPERLINK("https://files.afu.se/Downloads/Transcripts/0%20-%20Government/USA%20-%20NASA/2013 03 05 - NASA - California Students Query ISS Crew_0Y9E-rVu1eo - transcript (automated).pdf","Transcript Link")</f>
        <v>Transcript Link</v>
      </c>
    </row>
    <row r="3046" ht="180" spans="1:13">
      <c r="A3046" s="1" t="s">
        <v>13871</v>
      </c>
      <c r="B3046" s="1" t="s">
        <v>13</v>
      </c>
      <c r="C3046" s="4" t="s">
        <v>13876</v>
      </c>
      <c r="D3046" s="1" t="s">
        <v>13877</v>
      </c>
      <c r="E3046" s="1" t="s">
        <v>13878</v>
      </c>
      <c r="F3046" s="4" t="s">
        <v>17</v>
      </c>
      <c r="G3046" s="1" t="s">
        <v>18</v>
      </c>
      <c r="H3046" s="1" t="s">
        <v>19</v>
      </c>
      <c r="I3046" s="1" t="s">
        <v>20</v>
      </c>
      <c r="J3046" s="1" t="s">
        <v>13879</v>
      </c>
      <c r="K3046" s="1" t="s">
        <v>22</v>
      </c>
      <c r="L3046" s="1" t="str">
        <f>HYPERLINK("https://files.afu.se/Downloads/Transcripts/0%20-%20Government/USA%20-%20NASA/2013 03 05 - NASA - Next Men Into Space Undergo Final Training__A8pdUb07Ns - transcript (automated).pdf","Transcript Link")</f>
        <v>Transcript Link</v>
      </c>
      <c r="M3046" s="2" t="str">
        <f>HYPERLINK("https://files.afu.se/Downloads/Transcripts/0%20-%20Government/USA%20-%20NASA/2013 03 05 - NASA - Next Men Into Space Undergo Final Training__A8pdUb07Ns - transcript (automated).pdf","Transcript Link")</f>
        <v>Transcript Link</v>
      </c>
    </row>
    <row r="3047" ht="165" spans="1:13">
      <c r="A3047" s="1" t="s">
        <v>13880</v>
      </c>
      <c r="B3047" s="1" t="s">
        <v>13</v>
      </c>
      <c r="C3047" s="4" t="s">
        <v>13881</v>
      </c>
      <c r="D3047" s="1" t="s">
        <v>13882</v>
      </c>
      <c r="E3047" s="1" t="s">
        <v>13883</v>
      </c>
      <c r="F3047" s="4" t="s">
        <v>17</v>
      </c>
      <c r="G3047" s="1" t="s">
        <v>18</v>
      </c>
      <c r="H3047" s="1" t="s">
        <v>19</v>
      </c>
      <c r="I3047" s="1" t="s">
        <v>20</v>
      </c>
      <c r="J3047" s="1" t="s">
        <v>13884</v>
      </c>
      <c r="K3047" s="1" t="s">
        <v>22</v>
      </c>
      <c r="L3047" s="1" t="str">
        <f>HYPERLINK("https://files.afu.se/Downloads/Transcripts/0%20-%20Government/USA%20-%20NASA/2013 03 04 - NASA - Dragon Flies to ISS on This Week @NASA_MQUCUU0QHas - transcript (automated).pdf","Transcript Link")</f>
        <v>Transcript Link</v>
      </c>
      <c r="M3047" s="2" t="str">
        <f>HYPERLINK("https://files.afu.se/Downloads/Transcripts/0%20-%20Government/USA%20-%20NASA/2013 03 04 - NASA - Dragon Flies to ISS on This Week @NASA_MQUCUU0QHas - transcript (automated).pdf","Transcript Link")</f>
        <v>Transcript Link</v>
      </c>
    </row>
    <row r="3048" ht="315" spans="1:13">
      <c r="A3048" s="1" t="s">
        <v>13885</v>
      </c>
      <c r="B3048" s="1" t="s">
        <v>13</v>
      </c>
      <c r="C3048" s="4" t="s">
        <v>13886</v>
      </c>
      <c r="D3048" s="1" t="s">
        <v>13887</v>
      </c>
      <c r="E3048" s="1" t="s">
        <v>13888</v>
      </c>
      <c r="F3048" s="4" t="s">
        <v>17</v>
      </c>
      <c r="G3048" s="1" t="s">
        <v>18</v>
      </c>
      <c r="H3048" s="1" t="s">
        <v>19</v>
      </c>
      <c r="I3048" s="1" t="s">
        <v>20</v>
      </c>
      <c r="J3048" s="1" t="s">
        <v>13889</v>
      </c>
      <c r="K3048" s="1" t="s">
        <v>22</v>
      </c>
      <c r="L3048" s="1" t="str">
        <f>HYPERLINK("https://files.afu.se/Downloads/Transcripts/0%20-%20Government/USA%20-%20NASA/2013 03 03 - NASA - SpaceX Dragon Carrying NASA Cargo Arrives at International Space Station_WMGxUPshOco - transcript (automated).pdf","Transcript Link")</f>
        <v>Transcript Link</v>
      </c>
      <c r="M3048" s="2" t="str">
        <f>HYPERLINK("https://files.afu.se/Downloads/Transcripts/0%20-%20Government/USA%20-%20NASA/2013 03 03 - NASA - SpaceX Dragon Carrying NASA Cargo Arrives at International Space Station_WMGxUPshOco - transcript (automated).pdf","Transcript Link")</f>
        <v>Transcript Link</v>
      </c>
    </row>
    <row r="3049" ht="165" spans="1:13">
      <c r="A3049" s="1" t="s">
        <v>13890</v>
      </c>
      <c r="B3049" s="1" t="s">
        <v>13</v>
      </c>
      <c r="C3049" s="4" t="s">
        <v>13891</v>
      </c>
      <c r="D3049" s="1" t="s">
        <v>13892</v>
      </c>
      <c r="E3049" s="1" t="s">
        <v>13893</v>
      </c>
      <c r="F3049" s="4" t="s">
        <v>17</v>
      </c>
      <c r="G3049" s="1" t="s">
        <v>18</v>
      </c>
      <c r="H3049" s="1" t="s">
        <v>19</v>
      </c>
      <c r="I3049" s="1" t="s">
        <v>20</v>
      </c>
      <c r="J3049" s="1" t="s">
        <v>13894</v>
      </c>
      <c r="K3049" s="1" t="s">
        <v>22</v>
      </c>
      <c r="L3049" s="1" t="str">
        <f>HYPERLINK("https://files.afu.se/Downloads/Transcripts/0%20-%20Government/USA%20-%20NASA/2013 03 01 - NASA - Orion, SLS and Station Science on This Week @NASA_dw1FMSRN0KA - transcript (automated).pdf","Transcript Link")</f>
        <v>Transcript Link</v>
      </c>
      <c r="M3049" s="2" t="str">
        <f>HYPERLINK("https://files.afu.se/Downloads/Transcripts/0%20-%20Government/USA%20-%20NASA/2013 03 01 - NASA - Orion, SLS and Station Science on This Week @NASA_dw1FMSRN0KA - transcript (automated).pdf","Transcript Link")</f>
        <v>Transcript Link</v>
      </c>
    </row>
    <row r="3050" ht="165" spans="1:13">
      <c r="A3050" s="1" t="s">
        <v>13890</v>
      </c>
      <c r="B3050" s="1" t="s">
        <v>13</v>
      </c>
      <c r="C3050" s="4" t="s">
        <v>13895</v>
      </c>
      <c r="D3050" s="1" t="s">
        <v>13896</v>
      </c>
      <c r="E3050" s="1" t="s">
        <v>13897</v>
      </c>
      <c r="F3050" s="4" t="s">
        <v>17</v>
      </c>
      <c r="G3050" s="1" t="s">
        <v>18</v>
      </c>
      <c r="H3050" s="1" t="s">
        <v>19</v>
      </c>
      <c r="I3050" s="1" t="s">
        <v>20</v>
      </c>
      <c r="J3050" s="1" t="s">
        <v>13898</v>
      </c>
      <c r="K3050" s="1" t="s">
        <v>22</v>
      </c>
      <c r="L3050" s="1" t="str">
        <f>HYPERLINK("https://files.afu.se/Downloads/Transcripts/0%20-%20Government/USA%20-%20NASA/2013 03 01 - NASA - ScienceCasts  Solar Max Double Peaked_rizSKd0ByTQ - transcript (automated).pdf","Transcript Link")</f>
        <v>Transcript Link</v>
      </c>
      <c r="M3050" s="2" t="str">
        <f>HYPERLINK("https://files.afu.se/Downloads/Transcripts/0%20-%20Government/USA%20-%20NASA/2013 03 01 - NASA - ScienceCasts  Solar Max Double Peaked_rizSKd0ByTQ - transcript (automated).pdf","Transcript Link")</f>
        <v>Transcript Link</v>
      </c>
    </row>
    <row r="3051" ht="165" spans="1:13">
      <c r="A3051" s="1" t="s">
        <v>13890</v>
      </c>
      <c r="B3051" s="1" t="s">
        <v>13</v>
      </c>
      <c r="C3051" s="4" t="s">
        <v>13899</v>
      </c>
      <c r="D3051" s="1" t="s">
        <v>13900</v>
      </c>
      <c r="E3051" s="1" t="s">
        <v>13901</v>
      </c>
      <c r="F3051" s="4" t="s">
        <v>17</v>
      </c>
      <c r="G3051" s="1" t="s">
        <v>18</v>
      </c>
      <c r="H3051" s="1" t="s">
        <v>19</v>
      </c>
      <c r="I3051" s="1" t="s">
        <v>20</v>
      </c>
      <c r="J3051" s="1" t="s">
        <v>13902</v>
      </c>
      <c r="K3051" s="1" t="s">
        <v>22</v>
      </c>
      <c r="L3051" s="1" t="str">
        <f>HYPERLINK("https://files.afu.se/Downloads/Transcripts/0%20-%20Government/USA%20-%20NASA/2013 03 01 - NASA - SpaceX Dragon 2 Launches for ISS_XRByKL88elI - transcript (automated).pdf","Transcript Link")</f>
        <v>Transcript Link</v>
      </c>
      <c r="M3051" s="2" t="str">
        <f>HYPERLINK("https://files.afu.se/Downloads/Transcripts/0%20-%20Government/USA%20-%20NASA/2013 03 01 - NASA - SpaceX Dragon 2 Launches for ISS_XRByKL88elI - transcript (automated).pdf","Transcript Link")</f>
        <v>Transcript Link</v>
      </c>
    </row>
    <row r="3052" ht="165" spans="1:13">
      <c r="A3052" s="1" t="s">
        <v>13890</v>
      </c>
      <c r="B3052" s="1" t="s">
        <v>13</v>
      </c>
      <c r="C3052" s="4" t="s">
        <v>13903</v>
      </c>
      <c r="D3052" s="1" t="s">
        <v>13904</v>
      </c>
      <c r="E3052" s="1" t="s">
        <v>13905</v>
      </c>
      <c r="F3052" s="4" t="s">
        <v>17</v>
      </c>
      <c r="G3052" s="1" t="s">
        <v>18</v>
      </c>
      <c r="H3052" s="1" t="s">
        <v>19</v>
      </c>
      <c r="I3052" s="1" t="s">
        <v>20</v>
      </c>
      <c r="J3052" s="1" t="s">
        <v>13906</v>
      </c>
      <c r="K3052" s="1" t="s">
        <v>22</v>
      </c>
      <c r="L3052" s="1" t="str">
        <f>HYPERLINK("https://files.afu.se/Downloads/Transcripts/0%20-%20Government/USA%20-%20NASA/2013 03 01 - NASA - Station Science Takes Kennedy Space Center Stage_qffK7NBrXdE - transcript (automated).pdf","Transcript Link")</f>
        <v>Transcript Link</v>
      </c>
      <c r="M3052" s="2" t="str">
        <f>HYPERLINK("https://files.afu.se/Downloads/Transcripts/0%20-%20Government/USA%20-%20NASA/2013 03 01 - NASA - Station Science Takes Kennedy Space Center Stage_qffK7NBrXdE - transcript (automated).pdf","Transcript Link")</f>
        <v>Transcript Link</v>
      </c>
    </row>
    <row r="3053" ht="165" spans="1:13">
      <c r="A3053" s="1" t="s">
        <v>13890</v>
      </c>
      <c r="B3053" s="1" t="s">
        <v>13</v>
      </c>
      <c r="C3053" s="4" t="s">
        <v>13907</v>
      </c>
      <c r="D3053" s="1" t="s">
        <v>13908</v>
      </c>
      <c r="E3053" s="1" t="s">
        <v>13909</v>
      </c>
      <c r="F3053" s="4" t="s">
        <v>17</v>
      </c>
      <c r="G3053" s="1" t="s">
        <v>18</v>
      </c>
      <c r="H3053" s="1" t="s">
        <v>19</v>
      </c>
      <c r="I3053" s="1" t="s">
        <v>20</v>
      </c>
      <c r="J3053" s="1" t="s">
        <v>13910</v>
      </c>
      <c r="K3053" s="1" t="s">
        <v>22</v>
      </c>
      <c r="L3053" s="1" t="str">
        <f>HYPERLINK("https://files.afu.se/Downloads/Transcripts/0%20-%20Government/USA%20-%20NASA/2013 03 01 - NASA - NASA's Van Allen Probes Discover Third Belt Around Earth_dux2ofFHs90 - transcript (automated).pdf","Transcript Link")</f>
        <v>Transcript Link</v>
      </c>
      <c r="M3053" s="2" t="str">
        <f>HYPERLINK("https://files.afu.se/Downloads/Transcripts/0%20-%20Government/USA%20-%20NASA/2013 03 01 - NASA - NASA's Van Allen Probes Discover Third Belt Around Earth_dux2ofFHs90 - transcript (automated).pdf","Transcript Link")</f>
        <v>Transcript Link</v>
      </c>
    </row>
    <row r="3054" ht="165" spans="1:13">
      <c r="A3054" s="1" t="s">
        <v>13911</v>
      </c>
      <c r="B3054" s="1" t="s">
        <v>13</v>
      </c>
      <c r="C3054" s="4" t="s">
        <v>13912</v>
      </c>
      <c r="D3054" s="1" t="s">
        <v>13913</v>
      </c>
      <c r="E3054" s="1" t="s">
        <v>13914</v>
      </c>
      <c r="F3054" s="4" t="s">
        <v>17</v>
      </c>
      <c r="G3054" s="1" t="s">
        <v>18</v>
      </c>
      <c r="H3054" s="1" t="s">
        <v>19</v>
      </c>
      <c r="I3054" s="1" t="s">
        <v>20</v>
      </c>
      <c r="J3054" s="1" t="s">
        <v>13915</v>
      </c>
      <c r="K3054" s="1" t="s">
        <v>22</v>
      </c>
      <c r="L3054" s="1" t="str">
        <f>HYPERLINK("https://files.afu.se/Downloads/Transcripts/0%20-%20Government/USA%20-%20NASA/2013 02 28 - NASA - Dragon 2 Launch Nears_boOBNJybczs - transcript (automated).pdf","Transcript Link")</f>
        <v>Transcript Link</v>
      </c>
      <c r="M3054" s="2" t="str">
        <f>HYPERLINK("https://files.afu.se/Downloads/Transcripts/0%20-%20Government/USA%20-%20NASA/2013 02 28 - NASA - Dragon 2 Launch Nears_boOBNJybczs - transcript (automated).pdf","Transcript Link")</f>
        <v>Transcript Link</v>
      </c>
    </row>
    <row r="3055" ht="270" spans="1:13">
      <c r="A3055" s="1" t="s">
        <v>13911</v>
      </c>
      <c r="B3055" s="1" t="s">
        <v>13</v>
      </c>
      <c r="C3055" s="4" t="s">
        <v>13916</v>
      </c>
      <c r="D3055" s="1" t="s">
        <v>13917</v>
      </c>
      <c r="E3055" s="1" t="s">
        <v>13918</v>
      </c>
      <c r="F3055" s="4" t="s">
        <v>17</v>
      </c>
      <c r="G3055" s="1" t="s">
        <v>18</v>
      </c>
      <c r="H3055" s="1" t="s">
        <v>19</v>
      </c>
      <c r="I3055" s="1" t="s">
        <v>20</v>
      </c>
      <c r="J3055" s="1" t="s">
        <v>13919</v>
      </c>
      <c r="K3055" s="1" t="s">
        <v>22</v>
      </c>
      <c r="L3055" s="1" t="str">
        <f>HYPERLINK("https://files.afu.se/Downloads/Transcripts/0%20-%20Government/USA%20-%20NASA/2013 02 28 - NASA - Freddie Douglas III -- Stennis Space Center_pkKrBzss9bM - transcript (automated).pdf","Transcript Link")</f>
        <v>Transcript Link</v>
      </c>
      <c r="M3055" s="2" t="str">
        <f>HYPERLINK("https://files.afu.se/Downloads/Transcripts/0%20-%20Government/USA%20-%20NASA/2013 02 28 - NASA - Freddie Douglas III -- Stennis Space Center_pkKrBzss9bM - transcript (automated).pdf","Transcript Link")</f>
        <v>Transcript Link</v>
      </c>
    </row>
    <row r="3056" ht="270" spans="1:13">
      <c r="A3056" s="1" t="s">
        <v>13911</v>
      </c>
      <c r="B3056" s="1" t="s">
        <v>13</v>
      </c>
      <c r="C3056" s="4" t="s">
        <v>13920</v>
      </c>
      <c r="D3056" s="1" t="s">
        <v>13921</v>
      </c>
      <c r="E3056" s="1" t="s">
        <v>13922</v>
      </c>
      <c r="F3056" s="4" t="s">
        <v>17</v>
      </c>
      <c r="G3056" s="1" t="s">
        <v>18</v>
      </c>
      <c r="H3056" s="1" t="s">
        <v>19</v>
      </c>
      <c r="I3056" s="1" t="s">
        <v>20</v>
      </c>
      <c r="J3056" s="1" t="s">
        <v>13923</v>
      </c>
      <c r="K3056" s="1" t="s">
        <v>22</v>
      </c>
      <c r="L3056" s="1" t="str">
        <f>HYPERLINK("https://files.afu.se/Downloads/Transcripts/0%20-%20Government/USA%20-%20NASA/2013 02 28 - NASA - Monica Allison Ceruti -- Stennis Space Center_o0xpbWJRUs4 - transcript (automated).pdf","Transcript Link")</f>
        <v>Transcript Link</v>
      </c>
      <c r="M3056" s="2" t="str">
        <f>HYPERLINK("https://files.afu.se/Downloads/Transcripts/0%20-%20Government/USA%20-%20NASA/2013 02 28 - NASA - Monica Allison Ceruti -- Stennis Space Center_o0xpbWJRUs4 - transcript (automated).pdf","Transcript Link")</f>
        <v>Transcript Link</v>
      </c>
    </row>
    <row r="3057" ht="165" spans="1:13">
      <c r="A3057" s="1" t="s">
        <v>13911</v>
      </c>
      <c r="B3057" s="1" t="s">
        <v>13</v>
      </c>
      <c r="C3057" s="4" t="s">
        <v>13924</v>
      </c>
      <c r="D3057" s="1" t="s">
        <v>13925</v>
      </c>
      <c r="E3057" s="1" t="s">
        <v>13926</v>
      </c>
      <c r="F3057" s="4" t="s">
        <v>17</v>
      </c>
      <c r="G3057" s="1" t="s">
        <v>18</v>
      </c>
      <c r="H3057" s="1" t="s">
        <v>19</v>
      </c>
      <c r="I3057" s="1" t="s">
        <v>20</v>
      </c>
      <c r="J3057" s="1" t="s">
        <v>13927</v>
      </c>
      <c r="K3057" s="1" t="s">
        <v>22</v>
      </c>
      <c r="L3057" s="1" t="str">
        <f>HYPERLINK("https://files.afu.se/Downloads/Transcripts/0%20-%20Government/USA%20-%20NASA/2013 02 28 - NASA - Phoenix Students Plug Into NASA's DLN_8-YA77ojW4k - transcript (automated).pdf","Transcript Link")</f>
        <v>Transcript Link</v>
      </c>
      <c r="M3057" s="2" t="str">
        <f>HYPERLINK("https://files.afu.se/Downloads/Transcripts/0%20-%20Government/USA%20-%20NASA/2013 02 28 - NASA - Phoenix Students Plug Into NASA's DLN_8-YA77ojW4k - transcript (automated).pdf","Transcript Link")</f>
        <v>Transcript Link</v>
      </c>
    </row>
    <row r="3058" ht="165" spans="1:13">
      <c r="A3058" s="1" t="s">
        <v>13911</v>
      </c>
      <c r="B3058" s="1" t="s">
        <v>13</v>
      </c>
      <c r="C3058" s="4" t="s">
        <v>13928</v>
      </c>
      <c r="D3058" s="1" t="s">
        <v>13929</v>
      </c>
      <c r="E3058" s="1" t="s">
        <v>13930</v>
      </c>
      <c r="F3058" s="4" t="s">
        <v>17</v>
      </c>
      <c r="G3058" s="1" t="s">
        <v>18</v>
      </c>
      <c r="H3058" s="1" t="s">
        <v>19</v>
      </c>
      <c r="I3058" s="1" t="s">
        <v>20</v>
      </c>
      <c r="J3058" s="1" t="s">
        <v>13931</v>
      </c>
      <c r="K3058" s="1" t="s">
        <v>22</v>
      </c>
      <c r="L3058" s="1" t="str">
        <f>HYPERLINK("https://files.afu.se/Downloads/Transcripts/0%20-%20Government/USA%20-%20NASA/2013 02 28 - NASA - Canadians Converse About Life in Space_usRYa_dpPFU - transcript (automated).pdf","Transcript Link")</f>
        <v>Transcript Link</v>
      </c>
      <c r="M3058" s="2" t="str">
        <f>HYPERLINK("https://files.afu.se/Downloads/Transcripts/0%20-%20Government/USA%20-%20NASA/2013 02 28 - NASA - Canadians Converse About Life in Space_usRYa_dpPFU - transcript (automated).pdf","Transcript Link")</f>
        <v>Transcript Link</v>
      </c>
    </row>
    <row r="3059" ht="165" spans="1:13">
      <c r="A3059" s="1" t="s">
        <v>13932</v>
      </c>
      <c r="B3059" s="1" t="s">
        <v>13</v>
      </c>
      <c r="C3059" s="4" t="s">
        <v>13933</v>
      </c>
      <c r="D3059" s="1" t="s">
        <v>13934</v>
      </c>
      <c r="E3059" s="1" t="s">
        <v>13935</v>
      </c>
      <c r="F3059" s="4" t="s">
        <v>17</v>
      </c>
      <c r="G3059" s="1" t="s">
        <v>18</v>
      </c>
      <c r="H3059" s="1" t="s">
        <v>19</v>
      </c>
      <c r="I3059" s="1" t="s">
        <v>20</v>
      </c>
      <c r="J3059" s="1" t="s">
        <v>13936</v>
      </c>
      <c r="K3059" s="1" t="s">
        <v>22</v>
      </c>
      <c r="L3059" s="1" t="str">
        <f>HYPERLINK("https://files.afu.se/Downloads/Transcripts/0%20-%20Government/USA%20-%20NASA/2013 02 27 - NASA - Plans Progressing for Human Deep Space Exploration_xNkjkDrdSOw - transcript (automated).pdf","Transcript Link")</f>
        <v>Transcript Link</v>
      </c>
      <c r="M3059" s="2" t="str">
        <f>HYPERLINK("https://files.afu.se/Downloads/Transcripts/0%20-%20Government/USA%20-%20NASA/2013 02 27 - NASA - Plans Progressing for Human Deep Space Exploration_xNkjkDrdSOw - transcript (automated).pdf","Transcript Link")</f>
        <v>Transcript Link</v>
      </c>
    </row>
    <row r="3060" ht="165" spans="1:13">
      <c r="A3060" s="1" t="s">
        <v>13937</v>
      </c>
      <c r="B3060" s="1" t="s">
        <v>13</v>
      </c>
      <c r="C3060" s="4" t="s">
        <v>13938</v>
      </c>
      <c r="D3060" s="1" t="s">
        <v>13939</v>
      </c>
      <c r="E3060" s="1" t="s">
        <v>13940</v>
      </c>
      <c r="F3060" s="4" t="s">
        <v>17</v>
      </c>
      <c r="G3060" s="1" t="s">
        <v>18</v>
      </c>
      <c r="H3060" s="1" t="s">
        <v>19</v>
      </c>
      <c r="I3060" s="1" t="s">
        <v>20</v>
      </c>
      <c r="J3060" s="1" t="s">
        <v>13941</v>
      </c>
      <c r="K3060" s="1" t="s">
        <v>22</v>
      </c>
      <c r="L3060" s="1" t="str">
        <f>HYPERLINK("https://files.afu.se/Downloads/Transcripts/0%20-%20Government/USA%20-%20NASA/2013 02 26 - NASA - Space Duo Chats with Arizona Art Students_aeuNiE8TD8w - transcript (automated).pdf","Transcript Link")</f>
        <v>Transcript Link</v>
      </c>
      <c r="M3060" s="2" t="str">
        <f>HYPERLINK("https://files.afu.se/Downloads/Transcripts/0%20-%20Government/USA%20-%20NASA/2013 02 26 - NASA - Space Duo Chats with Arizona Art Students_aeuNiE8TD8w - transcript (automated).pdf","Transcript Link")</f>
        <v>Transcript Link</v>
      </c>
    </row>
    <row r="3061" ht="165" spans="1:13">
      <c r="A3061" s="1" t="s">
        <v>13937</v>
      </c>
      <c r="B3061" s="1" t="s">
        <v>13</v>
      </c>
      <c r="C3061" s="4" t="s">
        <v>13942</v>
      </c>
      <c r="D3061" s="1" t="s">
        <v>13943</v>
      </c>
      <c r="E3061" s="1" t="s">
        <v>13944</v>
      </c>
      <c r="F3061" s="4" t="s">
        <v>17</v>
      </c>
      <c r="G3061" s="1" t="s">
        <v>18</v>
      </c>
      <c r="H3061" s="1" t="s">
        <v>19</v>
      </c>
      <c r="I3061" s="1" t="s">
        <v>20</v>
      </c>
      <c r="J3061" s="1" t="s">
        <v>13945</v>
      </c>
      <c r="K3061" s="1" t="s">
        <v>22</v>
      </c>
      <c r="L3061" s="1" t="str">
        <f>HYPERLINK("https://files.afu.se/Downloads/Transcripts/0%20-%20Government/USA%20-%20NASA/2013 02 26 - NASA - ScienceCasts  What Exploded Over Russia _grEeiWxlCKk - transcript (automated).pdf","Transcript Link")</f>
        <v>Transcript Link</v>
      </c>
      <c r="M3061" s="2" t="str">
        <f>HYPERLINK("https://files.afu.se/Downloads/Transcripts/0%20-%20Government/USA%20-%20NASA/2013 02 26 - NASA - ScienceCasts  What Exploded Over Russia _grEeiWxlCKk - transcript (automated).pdf","Transcript Link")</f>
        <v>Transcript Link</v>
      </c>
    </row>
    <row r="3062" ht="180" spans="1:13">
      <c r="A3062" s="1" t="s">
        <v>13946</v>
      </c>
      <c r="B3062" s="1" t="s">
        <v>13</v>
      </c>
      <c r="C3062" s="4" t="s">
        <v>13947</v>
      </c>
      <c r="D3062" s="1" t="s">
        <v>13948</v>
      </c>
      <c r="E3062" s="1" t="s">
        <v>13949</v>
      </c>
      <c r="F3062" s="4" t="s">
        <v>17</v>
      </c>
      <c r="G3062" s="1" t="s">
        <v>18</v>
      </c>
      <c r="H3062" s="1" t="s">
        <v>19</v>
      </c>
      <c r="I3062" s="1" t="s">
        <v>20</v>
      </c>
      <c r="J3062" s="1" t="s">
        <v>13950</v>
      </c>
      <c r="K3062" s="1" t="s">
        <v>22</v>
      </c>
      <c r="L3062" s="1" t="str">
        <f>HYPERLINK("https://files.afu.se/Downloads/Transcripts/0%20-%20Government/USA%20-%20NASA/2013 02 25 - NASA - Successful Rocket Test on This Week @NASA_r-N35tZOnAE - transcript (automated).pdf","Transcript Link")</f>
        <v>Transcript Link</v>
      </c>
      <c r="M3062" s="2" t="str">
        <f>HYPERLINK("https://files.afu.se/Downloads/Transcripts/0%20-%20Government/USA%20-%20NASA/2013 02 25 - NASA - Successful Rocket Test on This Week @NASA_r-N35tZOnAE - transcript (automated).pdf","Transcript Link")</f>
        <v>Transcript Link</v>
      </c>
    </row>
    <row r="3063" ht="195" spans="1:13">
      <c r="A3063" s="1" t="s">
        <v>13946</v>
      </c>
      <c r="B3063" s="1" t="s">
        <v>13</v>
      </c>
      <c r="C3063" s="4" t="s">
        <v>13951</v>
      </c>
      <c r="D3063" s="1" t="s">
        <v>13952</v>
      </c>
      <c r="E3063" s="1" t="s">
        <v>13953</v>
      </c>
      <c r="F3063" s="4" t="s">
        <v>17</v>
      </c>
      <c r="G3063" s="1" t="s">
        <v>18</v>
      </c>
      <c r="H3063" s="1" t="s">
        <v>19</v>
      </c>
      <c r="I3063" s="1" t="s">
        <v>20</v>
      </c>
      <c r="J3063" s="1" t="s">
        <v>13954</v>
      </c>
      <c r="K3063" s="1" t="s">
        <v>22</v>
      </c>
      <c r="L3063" s="1" t="str">
        <f>HYPERLINK("https://files.afu.se/Downloads/Transcripts/0%20-%20Government/USA%20-%20NASA/2013 02 25 - NASA - Terry Edmonds -- NASA Headquarters_Rc4Xs6ho9JM - transcript (automated).pdf","Transcript Link")</f>
        <v>Transcript Link</v>
      </c>
      <c r="M3063" s="2" t="str">
        <f>HYPERLINK("https://files.afu.se/Downloads/Transcripts/0%20-%20Government/USA%20-%20NASA/2013 02 25 - NASA - Terry Edmonds -- NASA Headquarters_Rc4Xs6ho9JM - transcript (automated).pdf","Transcript Link")</f>
        <v>Transcript Link</v>
      </c>
    </row>
    <row r="3064" ht="255" spans="1:13">
      <c r="A3064" s="1" t="s">
        <v>13946</v>
      </c>
      <c r="B3064" s="1" t="s">
        <v>13</v>
      </c>
      <c r="C3064" s="4" t="s">
        <v>13955</v>
      </c>
      <c r="D3064" s="1" t="s">
        <v>13956</v>
      </c>
      <c r="E3064" s="1" t="s">
        <v>13957</v>
      </c>
      <c r="F3064" s="4" t="s">
        <v>17</v>
      </c>
      <c r="G3064" s="1" t="s">
        <v>18</v>
      </c>
      <c r="H3064" s="1" t="s">
        <v>19</v>
      </c>
      <c r="I3064" s="1" t="s">
        <v>20</v>
      </c>
      <c r="J3064" s="1" t="s">
        <v>13958</v>
      </c>
      <c r="K3064" s="1" t="s">
        <v>22</v>
      </c>
      <c r="L3064" s="1" t="str">
        <f>HYPERLINK("https://files.afu.se/Downloads/Transcripts/0%20-%20Government/USA%20-%20NASA/2013 02 25 - NASA - Todd Arnold -- Kennedy Space Center._ciOsFEj7yNI - transcript (automated).pdf","Transcript Link")</f>
        <v>Transcript Link</v>
      </c>
      <c r="M3064" s="2" t="str">
        <f>HYPERLINK("https://files.afu.se/Downloads/Transcripts/0%20-%20Government/USA%20-%20NASA/2013 02 25 - NASA - Todd Arnold -- Kennedy Space Center._ciOsFEj7yNI - transcript (automated).pdf","Transcript Link")</f>
        <v>Transcript Link</v>
      </c>
    </row>
    <row r="3065" ht="165" spans="1:13">
      <c r="A3065" s="1" t="s">
        <v>13946</v>
      </c>
      <c r="B3065" s="1" t="s">
        <v>13</v>
      </c>
      <c r="C3065" s="4" t="s">
        <v>13959</v>
      </c>
      <c r="D3065" s="1" t="s">
        <v>13960</v>
      </c>
      <c r="E3065" s="1" t="s">
        <v>13961</v>
      </c>
      <c r="F3065" s="4" t="s">
        <v>17</v>
      </c>
      <c r="G3065" s="1" t="s">
        <v>18</v>
      </c>
      <c r="H3065" s="1" t="s">
        <v>19</v>
      </c>
      <c r="I3065" s="1" t="s">
        <v>20</v>
      </c>
      <c r="J3065" s="1" t="s">
        <v>13962</v>
      </c>
      <c r="K3065" s="1" t="s">
        <v>22</v>
      </c>
      <c r="L3065" s="1" t="str">
        <f>HYPERLINK("https://files.afu.se/Downloads/Transcripts/0%20-%20Government/USA%20-%20NASA/2013 02 25 - NASA - Fransua Thomas -- Glenn Research Center_9IbmpGC9cSk - transcript (automated).pdf","Transcript Link")</f>
        <v>Transcript Link</v>
      </c>
      <c r="M3065" s="2" t="str">
        <f>HYPERLINK("https://files.afu.se/Downloads/Transcripts/0%20-%20Government/USA%20-%20NASA/2013 02 25 - NASA - Fransua Thomas -- Glenn Research Center_9IbmpGC9cSk - transcript (automated).pdf","Transcript Link")</f>
        <v>Transcript Link</v>
      </c>
    </row>
    <row r="3066" ht="165" spans="1:13">
      <c r="A3066" s="1" t="s">
        <v>13946</v>
      </c>
      <c r="B3066" s="1" t="s">
        <v>13</v>
      </c>
      <c r="C3066" s="4" t="s">
        <v>13963</v>
      </c>
      <c r="D3066" s="1" t="s">
        <v>13964</v>
      </c>
      <c r="E3066" s="1" t="s">
        <v>13965</v>
      </c>
      <c r="F3066" s="4" t="s">
        <v>17</v>
      </c>
      <c r="G3066" s="1" t="s">
        <v>18</v>
      </c>
      <c r="H3066" s="1" t="s">
        <v>19</v>
      </c>
      <c r="I3066" s="1" t="s">
        <v>20</v>
      </c>
      <c r="J3066" s="1" t="s">
        <v>13966</v>
      </c>
      <c r="K3066" s="1" t="s">
        <v>22</v>
      </c>
      <c r="L3066" s="1" t="str">
        <f>HYPERLINK("https://files.afu.se/Downloads/Transcripts/0%20-%20Government/USA%20-%20NASA/2013 02 25 - NASA - Faruq Sabur -- Johnson Space Center_axJ1dpjGVbQ - transcript (automated).pdf","Transcript Link")</f>
        <v>Transcript Link</v>
      </c>
      <c r="M3066" s="2" t="str">
        <f>HYPERLINK("https://files.afu.se/Downloads/Transcripts/0%20-%20Government/USA%20-%20NASA/2013 02 25 - NASA - Faruq Sabur -- Johnson Space Center_axJ1dpjGVbQ - transcript (automated).pdf","Transcript Link")</f>
        <v>Transcript Link</v>
      </c>
    </row>
    <row r="3067" ht="240" spans="1:13">
      <c r="A3067" s="1" t="s">
        <v>13946</v>
      </c>
      <c r="B3067" s="1" t="s">
        <v>13</v>
      </c>
      <c r="C3067" s="4" t="s">
        <v>13967</v>
      </c>
      <c r="D3067" s="1" t="s">
        <v>13968</v>
      </c>
      <c r="E3067" s="1" t="s">
        <v>13969</v>
      </c>
      <c r="F3067" s="4" t="s">
        <v>17</v>
      </c>
      <c r="G3067" s="1" t="s">
        <v>18</v>
      </c>
      <c r="H3067" s="1" t="s">
        <v>19</v>
      </c>
      <c r="I3067" s="1" t="s">
        <v>20</v>
      </c>
      <c r="J3067" s="1" t="s">
        <v>13970</v>
      </c>
      <c r="K3067" s="1" t="s">
        <v>22</v>
      </c>
      <c r="L3067" s="1" t="str">
        <f>HYPERLINK("https://files.afu.se/Downloads/Transcripts/0%20-%20Government/USA%20-%20NASA/2013 02 25 - NASA - NASA Commercial Partner Orbital Sciences Successfully Conducts Engine Test_fUPNKoCROVQ - transcript (automated).pdf","Transcript Link")</f>
        <v>Transcript Link</v>
      </c>
      <c r="M3067" s="2" t="str">
        <f>HYPERLINK("https://files.afu.se/Downloads/Transcripts/0%20-%20Government/USA%20-%20NASA/2013 02 25 - NASA - NASA Commercial Partner Orbital Sciences Successfully Conducts Engine Test_fUPNKoCROVQ - transcript (automated).pdf","Transcript Link")</f>
        <v>Transcript Link</v>
      </c>
    </row>
    <row r="3068" ht="285" spans="1:13">
      <c r="A3068" s="1" t="s">
        <v>13971</v>
      </c>
      <c r="B3068" s="1" t="s">
        <v>13</v>
      </c>
      <c r="C3068" s="4" t="s">
        <v>13972</v>
      </c>
      <c r="D3068" s="1" t="s">
        <v>13973</v>
      </c>
      <c r="E3068" s="1" t="s">
        <v>12006</v>
      </c>
      <c r="F3068" s="4" t="s">
        <v>17</v>
      </c>
      <c r="G3068" s="1" t="s">
        <v>18</v>
      </c>
      <c r="H3068" s="1" t="s">
        <v>19</v>
      </c>
      <c r="I3068" s="1" t="s">
        <v>20</v>
      </c>
      <c r="J3068" s="1" t="s">
        <v>13974</v>
      </c>
      <c r="K3068" s="1" t="s">
        <v>22</v>
      </c>
      <c r="L3068" s="1" t="str">
        <f>HYPERLINK("https://files.afu.se/Downloads/Transcripts/0%20-%20Government/USA%20-%20NASA/2013 02 23 - NASA - NASA's Mars Curiosity Rover Report - February 21, 2013_UGy-2G__ccg - transcript (automated).pdf","Transcript Link")</f>
        <v>Transcript Link</v>
      </c>
      <c r="M3068" s="2" t="str">
        <f>HYPERLINK("https://files.afu.se/Downloads/Transcripts/0%20-%20Government/USA%20-%20NASA/2013 02 23 - NASA - NASA's Mars Curiosity Rover Report - February 21, 2013_UGy-2G__ccg - transcript (automated).pdf","Transcript Link")</f>
        <v>Transcript Link</v>
      </c>
    </row>
    <row r="3069" ht="165" spans="1:13">
      <c r="A3069" s="1" t="s">
        <v>13975</v>
      </c>
      <c r="B3069" s="1" t="s">
        <v>13</v>
      </c>
      <c r="C3069" s="4" t="s">
        <v>13976</v>
      </c>
      <c r="D3069" s="1" t="s">
        <v>13977</v>
      </c>
      <c r="E3069" s="1" t="s">
        <v>13978</v>
      </c>
      <c r="F3069" s="4" t="s">
        <v>17</v>
      </c>
      <c r="G3069" s="1" t="s">
        <v>18</v>
      </c>
      <c r="H3069" s="1" t="s">
        <v>19</v>
      </c>
      <c r="I3069" s="1" t="s">
        <v>20</v>
      </c>
      <c r="J3069" s="1" t="s">
        <v>13979</v>
      </c>
      <c r="K3069" s="1" t="s">
        <v>22</v>
      </c>
      <c r="L3069" s="1" t="str">
        <f>HYPERLINK("https://files.afu.se/Downloads/Transcripts/0%20-%20Government/USA%20-%20NASA/2013 02 22 - NASA - Ready the Dragon on This Week @NASA_pFne0sTeJjk - transcript (automated).pdf","Transcript Link")</f>
        <v>Transcript Link</v>
      </c>
      <c r="M3069" s="2" t="str">
        <f>HYPERLINK("https://files.afu.se/Downloads/Transcripts/0%20-%20Government/USA%20-%20NASA/2013 02 22 - NASA - Ready the Dragon on This Week @NASA_pFne0sTeJjk - transcript (automated).pdf","Transcript Link")</f>
        <v>Transcript Link</v>
      </c>
    </row>
    <row r="3070" ht="225" spans="1:13">
      <c r="A3070" s="1" t="s">
        <v>13975</v>
      </c>
      <c r="B3070" s="1" t="s">
        <v>13</v>
      </c>
      <c r="C3070" s="4" t="s">
        <v>13980</v>
      </c>
      <c r="D3070" s="1" t="s">
        <v>13981</v>
      </c>
      <c r="E3070" s="1" t="s">
        <v>13982</v>
      </c>
      <c r="F3070" s="4" t="s">
        <v>17</v>
      </c>
      <c r="G3070" s="1" t="s">
        <v>18</v>
      </c>
      <c r="H3070" s="1" t="s">
        <v>19</v>
      </c>
      <c r="I3070" s="1" t="s">
        <v>20</v>
      </c>
      <c r="J3070" s="1" t="s">
        <v>13983</v>
      </c>
      <c r="K3070" s="1" t="s">
        <v>22</v>
      </c>
      <c r="L3070" s="1" t="str">
        <f>HYPERLINK("https://files.afu.se/Downloads/Transcripts/0%20-%20Government/USA%20-%20NASA/2013 02 22 - NASA - Space Station Hosts First Hangout_Epdz2ySd3hE - transcript (automated).pdf","Transcript Link")</f>
        <v>Transcript Link</v>
      </c>
      <c r="M3070" s="2" t="str">
        <f>HYPERLINK("https://files.afu.se/Downloads/Transcripts/0%20-%20Government/USA%20-%20NASA/2013 02 22 - NASA - Space Station Hosts First Hangout_Epdz2ySd3hE - transcript (automated).pdf","Transcript Link")</f>
        <v>Transcript Link</v>
      </c>
    </row>
    <row r="3071" ht="165" spans="1:13">
      <c r="A3071" s="1" t="s">
        <v>13984</v>
      </c>
      <c r="B3071" s="1" t="s">
        <v>13</v>
      </c>
      <c r="C3071" s="4" t="s">
        <v>13985</v>
      </c>
      <c r="D3071" s="1" t="s">
        <v>13986</v>
      </c>
      <c r="E3071" s="1" t="s">
        <v>13987</v>
      </c>
      <c r="F3071" s="4" t="s">
        <v>17</v>
      </c>
      <c r="G3071" s="1" t="s">
        <v>18</v>
      </c>
      <c r="H3071" s="1" t="s">
        <v>19</v>
      </c>
      <c r="I3071" s="1" t="s">
        <v>20</v>
      </c>
      <c r="J3071" s="1" t="s">
        <v>13988</v>
      </c>
      <c r="K3071" s="1" t="s">
        <v>22</v>
      </c>
      <c r="L3071" s="1" t="str">
        <f>HYPERLINK("https://files.afu.se/Downloads/Transcripts/0%20-%20Government/USA%20-%20NASA/2013 02 21 - NASA - Arizona Students Hook Up with Houston_stCOdAc1e24 - transcript (automated).pdf","Transcript Link")</f>
        <v>Transcript Link</v>
      </c>
      <c r="M3071" s="2" t="str">
        <f>HYPERLINK("https://files.afu.se/Downloads/Transcripts/0%20-%20Government/USA%20-%20NASA/2013 02 21 - NASA - Arizona Students Hook Up with Houston_stCOdAc1e24 - transcript (automated).pdf","Transcript Link")</f>
        <v>Transcript Link</v>
      </c>
    </row>
    <row r="3072" ht="165" spans="1:13">
      <c r="A3072" s="1" t="s">
        <v>13984</v>
      </c>
      <c r="B3072" s="1" t="s">
        <v>13</v>
      </c>
      <c r="C3072" s="4" t="s">
        <v>13989</v>
      </c>
      <c r="D3072" s="1" t="s">
        <v>13990</v>
      </c>
      <c r="E3072" s="1" t="s">
        <v>13991</v>
      </c>
      <c r="F3072" s="4" t="s">
        <v>17</v>
      </c>
      <c r="G3072" s="1" t="s">
        <v>18</v>
      </c>
      <c r="H3072" s="1" t="s">
        <v>19</v>
      </c>
      <c r="I3072" s="1" t="s">
        <v>20</v>
      </c>
      <c r="J3072" s="1" t="s">
        <v>13992</v>
      </c>
      <c r="K3072" s="1" t="s">
        <v>22</v>
      </c>
      <c r="L3072" s="1" t="str">
        <f>HYPERLINK("https://files.afu.se/Downloads/Transcripts/0%20-%20Government/USA%20-%20NASA/2013 02 21 - NASA - Bon Jour, Canada! from Space Station's Hadfield_5PhlMmPjCco - transcript (automated).pdf","Transcript Link")</f>
        <v>Transcript Link</v>
      </c>
      <c r="M3072" s="2" t="str">
        <f>HYPERLINK("https://files.afu.se/Downloads/Transcripts/0%20-%20Government/USA%20-%20NASA/2013 02 21 - NASA - Bon Jour, Canada! from Space Station's Hadfield_5PhlMmPjCco - transcript (automated).pdf","Transcript Link")</f>
        <v>Transcript Link</v>
      </c>
    </row>
    <row r="3073" ht="180" spans="1:13">
      <c r="A3073" s="1" t="s">
        <v>13984</v>
      </c>
      <c r="B3073" s="1" t="s">
        <v>13</v>
      </c>
      <c r="C3073" s="4" t="s">
        <v>13993</v>
      </c>
      <c r="D3073" s="1" t="s">
        <v>13994</v>
      </c>
      <c r="E3073" s="1" t="s">
        <v>13995</v>
      </c>
      <c r="F3073" s="4" t="s">
        <v>17</v>
      </c>
      <c r="G3073" s="1" t="s">
        <v>18</v>
      </c>
      <c r="H3073" s="1" t="s">
        <v>19</v>
      </c>
      <c r="I3073" s="1" t="s">
        <v>20</v>
      </c>
      <c r="J3073" s="1" t="s">
        <v>13996</v>
      </c>
      <c r="K3073" s="1" t="s">
        <v>22</v>
      </c>
      <c r="L3073" s="1" t="str">
        <f>HYPERLINK("https://files.afu.se/Downloads/Transcripts/0%20-%20Government/USA%20-%20NASA/2013 02 21 - NASA - So... Peter Gabriel Wows Space Station Crew_srPs_l8lx-4 - transcript (automated).pdf","Transcript Link")</f>
        <v>Transcript Link</v>
      </c>
      <c r="M3073" s="2" t="str">
        <f>HYPERLINK("https://files.afu.se/Downloads/Transcripts/0%20-%20Government/USA%20-%20NASA/2013 02 21 - NASA - So... Peter Gabriel Wows Space Station Crew_srPs_l8lx-4 - transcript (automated).pdf","Transcript Link")</f>
        <v>Transcript Link</v>
      </c>
    </row>
    <row r="3074" ht="165" spans="1:13">
      <c r="A3074" s="1" t="s">
        <v>13997</v>
      </c>
      <c r="B3074" s="1" t="s">
        <v>13</v>
      </c>
      <c r="C3074" s="4" t="s">
        <v>13998</v>
      </c>
      <c r="D3074" s="1" t="s">
        <v>13999</v>
      </c>
      <c r="E3074" s="1" t="s">
        <v>14000</v>
      </c>
      <c r="F3074" s="4" t="s">
        <v>17</v>
      </c>
      <c r="G3074" s="1" t="s">
        <v>18</v>
      </c>
      <c r="H3074" s="1" t="s">
        <v>19</v>
      </c>
      <c r="I3074" s="1" t="s">
        <v>20</v>
      </c>
      <c r="J3074" s="1" t="s">
        <v>14001</v>
      </c>
      <c r="K3074" s="1" t="s">
        <v>22</v>
      </c>
      <c r="L3074" s="1" t="str">
        <f>HYPERLINK("https://files.afu.se/Downloads/Transcripts/0%20-%20Government/USA%20-%20NASA/2013 02 20 - NASA - Space Station Science Goes Social_cT70DZIIvyU - transcript (automated).pdf","Transcript Link")</f>
        <v>Transcript Link</v>
      </c>
      <c r="M3074" s="2" t="str">
        <f>HYPERLINK("https://files.afu.se/Downloads/Transcripts/0%20-%20Government/USA%20-%20NASA/2013 02 20 - NASA - Space Station Science Goes Social_cT70DZIIvyU - transcript (automated).pdf","Transcript Link")</f>
        <v>Transcript Link</v>
      </c>
    </row>
    <row r="3075" ht="360" spans="1:13">
      <c r="A3075" s="1" t="s">
        <v>14002</v>
      </c>
      <c r="B3075" s="1" t="s">
        <v>13</v>
      </c>
      <c r="C3075" s="4" t="s">
        <v>14003</v>
      </c>
      <c r="D3075" s="1" t="s">
        <v>14004</v>
      </c>
      <c r="E3075" s="1" t="s">
        <v>14005</v>
      </c>
      <c r="F3075" s="4" t="s">
        <v>17</v>
      </c>
      <c r="G3075" s="1" t="s">
        <v>18</v>
      </c>
      <c r="H3075" s="1" t="s">
        <v>19</v>
      </c>
      <c r="I3075" s="1" t="s">
        <v>20</v>
      </c>
      <c r="J3075" s="1" t="s">
        <v>14006</v>
      </c>
      <c r="K3075" s="1" t="s">
        <v>22</v>
      </c>
      <c r="L3075" s="1" t="str">
        <f>HYPERLINK("https://files.afu.se/Downloads/Transcripts/0%20-%20Government/USA%20-%20NASA/2013 02 19 - NASA - Maikeyza Brown-- Dryden Flight Research Center_LeRKRgUudlY - transcript (automated).pdf","Transcript Link")</f>
        <v>Transcript Link</v>
      </c>
      <c r="M3075" s="2" t="str">
        <f>HYPERLINK("https://files.afu.se/Downloads/Transcripts/0%20-%20Government/USA%20-%20NASA/2013 02 19 - NASA - Maikeyza Brown-- Dryden Flight Research Center_LeRKRgUudlY - transcript (automated).pdf","Transcript Link")</f>
        <v>Transcript Link</v>
      </c>
    </row>
    <row r="3076" ht="315" spans="1:13">
      <c r="A3076" s="1" t="s">
        <v>14002</v>
      </c>
      <c r="B3076" s="1" t="s">
        <v>13</v>
      </c>
      <c r="C3076" s="4" t="s">
        <v>14007</v>
      </c>
      <c r="D3076" s="1" t="s">
        <v>14008</v>
      </c>
      <c r="E3076" s="1" t="s">
        <v>14009</v>
      </c>
      <c r="F3076" s="4" t="s">
        <v>17</v>
      </c>
      <c r="G3076" s="1" t="s">
        <v>18</v>
      </c>
      <c r="H3076" s="1" t="s">
        <v>19</v>
      </c>
      <c r="I3076" s="1" t="s">
        <v>20</v>
      </c>
      <c r="J3076" s="1" t="s">
        <v>14010</v>
      </c>
      <c r="K3076" s="1" t="s">
        <v>22</v>
      </c>
      <c r="L3076" s="1" t="str">
        <f>HYPERLINK("https://files.afu.se/Downloads/Transcripts/0%20-%20Government/USA%20-%20NASA/2013 02 19 - NASA - Camille Wardrop Alleyne -- Johnson Space Center_teAraTjKLWs - transcript (automated).pdf","Transcript Link")</f>
        <v>Transcript Link</v>
      </c>
      <c r="M3076" s="2" t="str">
        <f>HYPERLINK("https://files.afu.se/Downloads/Transcripts/0%20-%20Government/USA%20-%20NASA/2013 02 19 - NASA - Camille Wardrop Alleyne -- Johnson Space Center_teAraTjKLWs - transcript (automated).pdf","Transcript Link")</f>
        <v>Transcript Link</v>
      </c>
    </row>
    <row r="3077" ht="165" spans="1:13">
      <c r="A3077" s="1" t="s">
        <v>14011</v>
      </c>
      <c r="B3077" s="1" t="s">
        <v>13</v>
      </c>
      <c r="C3077" s="4" t="s">
        <v>14012</v>
      </c>
      <c r="D3077" s="1" t="s">
        <v>14013</v>
      </c>
      <c r="E3077" s="1" t="s">
        <v>14014</v>
      </c>
      <c r="F3077" s="4" t="s">
        <v>17</v>
      </c>
      <c r="G3077" s="1" t="s">
        <v>18</v>
      </c>
      <c r="H3077" s="1" t="s">
        <v>19</v>
      </c>
      <c r="I3077" s="1" t="s">
        <v>20</v>
      </c>
      <c r="J3077" s="1" t="s">
        <v>14015</v>
      </c>
      <c r="K3077" s="1" t="s">
        <v>22</v>
      </c>
      <c r="L3077" s="1" t="str">
        <f>HYPERLINK("https://files.afu.se/Downloads/Transcripts/0%20-%20Government/USA%20-%20NASA/2013 02 15 - NASA - Asteroid 2012 DA14 Flies by Earth Safely_HBWBui3B_MQ - transcript (automated).pdf","Transcript Link")</f>
        <v>Transcript Link</v>
      </c>
      <c r="M3077" s="2" t="str">
        <f>HYPERLINK("https://files.afu.se/Downloads/Transcripts/0%20-%20Government/USA%20-%20NASA/2013 02 15 - NASA - Asteroid 2012 DA14 Flies by Earth Safely_HBWBui3B_MQ - transcript (automated).pdf","Transcript Link")</f>
        <v>Transcript Link</v>
      </c>
    </row>
    <row r="3078" ht="165" spans="1:13">
      <c r="A3078" s="1" t="s">
        <v>14011</v>
      </c>
      <c r="B3078" s="1" t="s">
        <v>13</v>
      </c>
      <c r="C3078" s="4" t="s">
        <v>14016</v>
      </c>
      <c r="D3078" s="1" t="s">
        <v>14017</v>
      </c>
      <c r="E3078" s="1" t="s">
        <v>14018</v>
      </c>
      <c r="F3078" s="4" t="s">
        <v>17</v>
      </c>
      <c r="G3078" s="1" t="s">
        <v>18</v>
      </c>
      <c r="H3078" s="1" t="s">
        <v>19</v>
      </c>
      <c r="I3078" s="1" t="s">
        <v>20</v>
      </c>
      <c r="J3078" s="1" t="s">
        <v>14019</v>
      </c>
      <c r="K3078" s="1" t="s">
        <v>22</v>
      </c>
      <c r="L3078" s="1" t="str">
        <f>HYPERLINK("https://files.afu.se/Downloads/Transcripts/0%20-%20Government/USA%20-%20NASA/2013 02 15 - NASA - Bye-Bye, Flyby on This Week @NASA_eyFAGnhnsM0 - transcript (automated).pdf","Transcript Link")</f>
        <v>Transcript Link</v>
      </c>
      <c r="M3078" s="2" t="str">
        <f>HYPERLINK("https://files.afu.se/Downloads/Transcripts/0%20-%20Government/USA%20-%20NASA/2013 02 15 - NASA - Bye-Bye, Flyby on This Week @NASA_eyFAGnhnsM0 - transcript (automated).pdf","Transcript Link")</f>
        <v>Transcript Link</v>
      </c>
    </row>
    <row r="3079" ht="165" spans="1:13">
      <c r="A3079" s="1" t="s">
        <v>14011</v>
      </c>
      <c r="B3079" s="1" t="s">
        <v>13</v>
      </c>
      <c r="C3079" s="4" t="s">
        <v>14020</v>
      </c>
      <c r="D3079" s="1" t="s">
        <v>14021</v>
      </c>
      <c r="E3079" s="1" t="s">
        <v>14022</v>
      </c>
      <c r="F3079" s="4" t="s">
        <v>17</v>
      </c>
      <c r="G3079" s="1" t="s">
        <v>18</v>
      </c>
      <c r="H3079" s="1" t="s">
        <v>19</v>
      </c>
      <c r="I3079" s="1" t="s">
        <v>20</v>
      </c>
      <c r="J3079" s="1" t="s">
        <v>14023</v>
      </c>
      <c r="K3079" s="1" t="s">
        <v>22</v>
      </c>
      <c r="L3079" s="1" t="str">
        <f>HYPERLINK("https://files.afu.se/Downloads/Transcripts/0%20-%20Government/USA%20-%20NASA/2013 02 15 - NASA - Canadian Collegians Consult with Chris_Jqa-clI1evQ - transcript (automated).pdf","Transcript Link")</f>
        <v>Transcript Link</v>
      </c>
      <c r="M3079" s="2" t="str">
        <f>HYPERLINK("https://files.afu.se/Downloads/Transcripts/0%20-%20Government/USA%20-%20NASA/2013 02 15 - NASA - Canadian Collegians Consult with Chris_Jqa-clI1evQ - transcript (automated).pdf","Transcript Link")</f>
        <v>Transcript Link</v>
      </c>
    </row>
    <row r="3080" ht="165" spans="1:13">
      <c r="A3080" s="1" t="s">
        <v>14024</v>
      </c>
      <c r="B3080" s="1" t="s">
        <v>13</v>
      </c>
      <c r="C3080" s="4" t="s">
        <v>14025</v>
      </c>
      <c r="D3080" s="1" t="s">
        <v>14026</v>
      </c>
      <c r="E3080" s="1" t="s">
        <v>14027</v>
      </c>
      <c r="F3080" s="4" t="s">
        <v>17</v>
      </c>
      <c r="G3080" s="1" t="s">
        <v>18</v>
      </c>
      <c r="H3080" s="1" t="s">
        <v>19</v>
      </c>
      <c r="I3080" s="1" t="s">
        <v>20</v>
      </c>
      <c r="J3080" s="1" t="s">
        <v>14028</v>
      </c>
      <c r="K3080" s="1" t="s">
        <v>22</v>
      </c>
      <c r="L3080" s="1" t="str">
        <f>HYPERLINK("https://files.afu.se/Downloads/Transcripts/0%20-%20Government/USA%20-%20NASA/2013 02 14 - NASA - Asteroid 2012 DA14 To Whiz Past Earth Safely_pVspDvwMytM - transcript (automated).pdf","Transcript Link")</f>
        <v>Transcript Link</v>
      </c>
      <c r="M3080" s="2" t="str">
        <f>HYPERLINK("https://files.afu.se/Downloads/Transcripts/0%20-%20Government/USA%20-%20NASA/2013 02 14 - NASA - Asteroid 2012 DA14 To Whiz Past Earth Safely_pVspDvwMytM - transcript (automated).pdf","Transcript Link")</f>
        <v>Transcript Link</v>
      </c>
    </row>
    <row r="3081" ht="165" spans="1:13">
      <c r="A3081" s="1" t="s">
        <v>14024</v>
      </c>
      <c r="B3081" s="1" t="s">
        <v>13</v>
      </c>
      <c r="C3081" s="4" t="s">
        <v>14029</v>
      </c>
      <c r="D3081" s="1" t="s">
        <v>14030</v>
      </c>
      <c r="E3081" s="1" t="s">
        <v>14031</v>
      </c>
      <c r="F3081" s="4" t="s">
        <v>17</v>
      </c>
      <c r="G3081" s="1" t="s">
        <v>18</v>
      </c>
      <c r="H3081" s="1" t="s">
        <v>19</v>
      </c>
      <c r="I3081" s="1" t="s">
        <v>20</v>
      </c>
      <c r="J3081" s="1" t="s">
        <v>14032</v>
      </c>
      <c r="K3081" s="1" t="s">
        <v>22</v>
      </c>
      <c r="L3081" s="1" t="str">
        <f>HYPERLINK("https://files.afu.se/Downloads/Transcripts/0%20-%20Government/USA%20-%20NASA/2013 02 14 - NASA - Space Station Captivates Students_Ap6j9ez3A18 - transcript (automated).pdf","Transcript Link")</f>
        <v>Transcript Link</v>
      </c>
      <c r="M3081" s="2" t="str">
        <f>HYPERLINK("https://files.afu.se/Downloads/Transcripts/0%20-%20Government/USA%20-%20NASA/2013 02 14 - NASA - Space Station Captivates Students_Ap6j9ez3A18 - transcript (automated).pdf","Transcript Link")</f>
        <v>Transcript Link</v>
      </c>
    </row>
    <row r="3082" ht="165" spans="1:13">
      <c r="A3082" s="1" t="s">
        <v>14033</v>
      </c>
      <c r="B3082" s="1" t="s">
        <v>13</v>
      </c>
      <c r="C3082" s="4" t="s">
        <v>14034</v>
      </c>
      <c r="D3082" s="1" t="s">
        <v>14035</v>
      </c>
      <c r="E3082" s="1" t="s">
        <v>14036</v>
      </c>
      <c r="F3082" s="4" t="s">
        <v>17</v>
      </c>
      <c r="G3082" s="1" t="s">
        <v>18</v>
      </c>
      <c r="H3082" s="1" t="s">
        <v>19</v>
      </c>
      <c r="I3082" s="1" t="s">
        <v>20</v>
      </c>
      <c r="J3082" s="1" t="s">
        <v>14037</v>
      </c>
      <c r="K3082" s="1" t="s">
        <v>22</v>
      </c>
      <c r="L3082" s="1" t="str">
        <f>HYPERLINK("https://files.afu.se/Downloads/Transcripts/0%20-%20Government/USA%20-%20NASA/2013 02 13 - NASA -  NASA Spinoff  Here!_uqkESB7w82E - transcript (automated).pdf","Transcript Link")</f>
        <v>Transcript Link</v>
      </c>
      <c r="M3082" s="2" t="str">
        <f>HYPERLINK("https://files.afu.se/Downloads/Transcripts/0%20-%20Government/USA%20-%20NASA/2013 02 13 - NASA -  NASA Spinoff  Here!_uqkESB7w82E - transcript (automated).pdf","Transcript Link")</f>
        <v>Transcript Link</v>
      </c>
    </row>
    <row r="3083" ht="165" spans="1:13">
      <c r="A3083" s="1" t="s">
        <v>14038</v>
      </c>
      <c r="B3083" s="1" t="s">
        <v>13</v>
      </c>
      <c r="C3083" s="4" t="s">
        <v>14039</v>
      </c>
      <c r="D3083" s="1" t="s">
        <v>14040</v>
      </c>
      <c r="E3083" s="1" t="s">
        <v>14041</v>
      </c>
      <c r="F3083" s="4" t="s">
        <v>17</v>
      </c>
      <c r="G3083" s="1" t="s">
        <v>18</v>
      </c>
      <c r="H3083" s="1" t="s">
        <v>19</v>
      </c>
      <c r="I3083" s="1" t="s">
        <v>20</v>
      </c>
      <c r="J3083" s="1" t="s">
        <v>14042</v>
      </c>
      <c r="K3083" s="1" t="s">
        <v>22</v>
      </c>
      <c r="L3083" s="1" t="str">
        <f>HYPERLINK("https://files.afu.se/Downloads/Transcripts/0%20-%20Government/USA%20-%20NASA/2013 02 12 - NASA - NASA Astros on ISS Talk with  Down  Home Media_HIARFZseD6Y - transcript (automated).pdf","Transcript Link")</f>
        <v>Transcript Link</v>
      </c>
      <c r="M3083" s="2" t="str">
        <f>HYPERLINK("https://files.afu.se/Downloads/Transcripts/0%20-%20Government/USA%20-%20NASA/2013 02 12 - NASA - NASA Astros on ISS Talk with  Down  Home Media_HIARFZseD6Y - transcript (automated).pdf","Transcript Link")</f>
        <v>Transcript Link</v>
      </c>
    </row>
    <row r="3084" ht="165" spans="1:13">
      <c r="A3084" s="1" t="s">
        <v>14038</v>
      </c>
      <c r="B3084" s="1" t="s">
        <v>13</v>
      </c>
      <c r="C3084" s="4" t="s">
        <v>14043</v>
      </c>
      <c r="D3084" s="1" t="s">
        <v>14044</v>
      </c>
      <c r="E3084" s="1" t="s">
        <v>14045</v>
      </c>
      <c r="F3084" s="4" t="s">
        <v>17</v>
      </c>
      <c r="G3084" s="1" t="s">
        <v>18</v>
      </c>
      <c r="H3084" s="1" t="s">
        <v>19</v>
      </c>
      <c r="I3084" s="1" t="s">
        <v>20</v>
      </c>
      <c r="J3084" s="1" t="s">
        <v>14046</v>
      </c>
      <c r="K3084" s="1" t="s">
        <v>22</v>
      </c>
      <c r="L3084" s="1" t="str">
        <f>HYPERLINK("https://files.afu.se/Downloads/Transcripts/0%20-%20Government/USA%20-%20NASA/2013 02 12 - NASA - Re-Supply Ship Docks with Space Station_G9tjdkp-vZs - transcript (automated).pdf","Transcript Link")</f>
        <v>Transcript Link</v>
      </c>
      <c r="M3084" s="2" t="str">
        <f>HYPERLINK("https://files.afu.se/Downloads/Transcripts/0%20-%20Government/USA%20-%20NASA/2013 02 12 - NASA - Re-Supply Ship Docks with Space Station_G9tjdkp-vZs - transcript (automated).pdf","Transcript Link")</f>
        <v>Transcript Link</v>
      </c>
    </row>
    <row r="3085" ht="165" spans="1:13">
      <c r="A3085" s="1" t="s">
        <v>14047</v>
      </c>
      <c r="B3085" s="1" t="s">
        <v>13</v>
      </c>
      <c r="C3085" s="4" t="s">
        <v>14048</v>
      </c>
      <c r="D3085" s="1" t="s">
        <v>14049</v>
      </c>
      <c r="E3085" s="1" t="s">
        <v>14050</v>
      </c>
      <c r="F3085" s="4" t="s">
        <v>17</v>
      </c>
      <c r="G3085" s="1" t="s">
        <v>18</v>
      </c>
      <c r="H3085" s="1" t="s">
        <v>19</v>
      </c>
      <c r="I3085" s="1" t="s">
        <v>20</v>
      </c>
      <c r="J3085" s="1" t="s">
        <v>14051</v>
      </c>
      <c r="K3085" s="1" t="s">
        <v>22</v>
      </c>
      <c r="L3085" s="1" t="str">
        <f>HYPERLINK("https://files.afu.se/Downloads/Transcripts/0%20-%20Government/USA%20-%20NASA/2013 02 11 - NASA - Landsat Launched on This Week @NASA_bFZ7sKI4XoE - transcript (automated).pdf","Transcript Link")</f>
        <v>Transcript Link</v>
      </c>
      <c r="M3085" s="2" t="str">
        <f>HYPERLINK("https://files.afu.se/Downloads/Transcripts/0%20-%20Government/USA%20-%20NASA/2013 02 11 - NASA - Landsat Launched on This Week @NASA_bFZ7sKI4XoE - transcript (automated).pdf","Transcript Link")</f>
        <v>Transcript Link</v>
      </c>
    </row>
    <row r="3086" ht="165" spans="1:13">
      <c r="A3086" s="1" t="s">
        <v>14047</v>
      </c>
      <c r="B3086" s="1" t="s">
        <v>13</v>
      </c>
      <c r="C3086" s="4" t="s">
        <v>14052</v>
      </c>
      <c r="D3086" s="1" t="s">
        <v>14053</v>
      </c>
      <c r="E3086" s="1" t="s">
        <v>14054</v>
      </c>
      <c r="F3086" s="4" t="s">
        <v>17</v>
      </c>
      <c r="G3086" s="1" t="s">
        <v>18</v>
      </c>
      <c r="H3086" s="1" t="s">
        <v>19</v>
      </c>
      <c r="I3086" s="1" t="s">
        <v>20</v>
      </c>
      <c r="J3086" s="1" t="s">
        <v>14055</v>
      </c>
      <c r="K3086" s="1" t="s">
        <v>22</v>
      </c>
      <c r="L3086" s="1" t="str">
        <f>HYPERLINK("https://files.afu.se/Downloads/Transcripts/0%20-%20Government/USA%20-%20NASA/2013 02 11 - NASA - Media Briefed on Successful Landsat Launch_tMsefyiCT3g - transcript (automated).pdf","Transcript Link")</f>
        <v>Transcript Link</v>
      </c>
      <c r="M3086" s="2" t="str">
        <f>HYPERLINK("https://files.afu.se/Downloads/Transcripts/0%20-%20Government/USA%20-%20NASA/2013 02 11 - NASA - Media Briefed on Successful Landsat Launch_tMsefyiCT3g - transcript (automated).pdf","Transcript Link")</f>
        <v>Transcript Link</v>
      </c>
    </row>
    <row r="3087" ht="165" spans="1:13">
      <c r="A3087" s="1" t="s">
        <v>14047</v>
      </c>
      <c r="B3087" s="1" t="s">
        <v>13</v>
      </c>
      <c r="C3087" s="4" t="s">
        <v>14056</v>
      </c>
      <c r="D3087" s="1" t="s">
        <v>14057</v>
      </c>
      <c r="E3087" s="1" t="s">
        <v>14058</v>
      </c>
      <c r="F3087" s="4" t="s">
        <v>17</v>
      </c>
      <c r="G3087" s="1" t="s">
        <v>18</v>
      </c>
      <c r="H3087" s="1" t="s">
        <v>19</v>
      </c>
      <c r="I3087" s="1" t="s">
        <v>20</v>
      </c>
      <c r="J3087" s="1" t="s">
        <v>14059</v>
      </c>
      <c r="K3087" s="1" t="s">
        <v>22</v>
      </c>
      <c r="L3087" s="1" t="str">
        <f>HYPERLINK("https://files.afu.se/Downloads/Transcripts/0%20-%20Government/USA%20-%20NASA/2013 02 11 - NASA - NASA Launches New Earth-Observing Satellite_Oo85GbjNjlw - transcript (automated).pdf","Transcript Link")</f>
        <v>Transcript Link</v>
      </c>
      <c r="M3087" s="2" t="str">
        <f>HYPERLINK("https://files.afu.se/Downloads/Transcripts/0%20-%20Government/USA%20-%20NASA/2013 02 11 - NASA - NASA Launches New Earth-Observing Satellite_Oo85GbjNjlw - transcript (automated).pdf","Transcript Link")</f>
        <v>Transcript Link</v>
      </c>
    </row>
    <row r="3088" ht="300" spans="1:13">
      <c r="A3088" s="1" t="s">
        <v>14047</v>
      </c>
      <c r="B3088" s="1" t="s">
        <v>13</v>
      </c>
      <c r="C3088" s="4" t="s">
        <v>14060</v>
      </c>
      <c r="D3088" s="1" t="s">
        <v>14061</v>
      </c>
      <c r="E3088" s="1" t="s">
        <v>14062</v>
      </c>
      <c r="F3088" s="4" t="s">
        <v>17</v>
      </c>
      <c r="G3088" s="1" t="s">
        <v>18</v>
      </c>
      <c r="H3088" s="1" t="s">
        <v>19</v>
      </c>
      <c r="I3088" s="1" t="s">
        <v>20</v>
      </c>
      <c r="J3088" s="1" t="s">
        <v>14063</v>
      </c>
      <c r="K3088" s="1" t="s">
        <v>22</v>
      </c>
      <c r="L3088" s="1" t="str">
        <f>HYPERLINK("https://files.afu.se/Downloads/Transcripts/0%20-%20Government/USA%20-%20NASA/2013 02 11 - NASA - Lola Fatoyinbo-Agueh -- Goddard Space Flight Center_637YTNlZskY - transcript (automated).pdf","Transcript Link")</f>
        <v>Transcript Link</v>
      </c>
      <c r="M3088" s="2" t="str">
        <f>HYPERLINK("https://files.afu.se/Downloads/Transcripts/0%20-%20Government/USA%20-%20NASA/2013 02 11 - NASA - Lola Fatoyinbo-Agueh -- Goddard Space Flight Center_637YTNlZskY - transcript (automated).pdf","Transcript Link")</f>
        <v>Transcript Link</v>
      </c>
    </row>
    <row r="3089" ht="165" spans="1:13">
      <c r="A3089" s="1" t="s">
        <v>14047</v>
      </c>
      <c r="B3089" s="1" t="s">
        <v>13</v>
      </c>
      <c r="C3089" s="4" t="s">
        <v>14064</v>
      </c>
      <c r="D3089" s="1" t="s">
        <v>14065</v>
      </c>
      <c r="E3089" s="1" t="s">
        <v>14066</v>
      </c>
      <c r="F3089" s="4" t="s">
        <v>17</v>
      </c>
      <c r="G3089" s="1" t="s">
        <v>18</v>
      </c>
      <c r="H3089" s="1" t="s">
        <v>19</v>
      </c>
      <c r="I3089" s="1" t="s">
        <v>20</v>
      </c>
      <c r="J3089" s="1" t="s">
        <v>14067</v>
      </c>
      <c r="K3089" s="1" t="s">
        <v>22</v>
      </c>
      <c r="L3089" s="1" t="str">
        <f>HYPERLINK("https://files.afu.se/Downloads/Transcripts/0%20-%20Government/USA%20-%20NASA/2013 02 11 - NASA - Sorita Wherry -- Marshall Space Flight Center_kWLUmUko5FM - transcript (automated).pdf","Transcript Link")</f>
        <v>Transcript Link</v>
      </c>
      <c r="M3089" s="2" t="str">
        <f>HYPERLINK("https://files.afu.se/Downloads/Transcripts/0%20-%20Government/USA%20-%20NASA/2013 02 11 - NASA - Sorita Wherry -- Marshall Space Flight Center_kWLUmUko5FM - transcript (automated).pdf","Transcript Link")</f>
        <v>Transcript Link</v>
      </c>
    </row>
    <row r="3090" ht="165" spans="1:13">
      <c r="A3090" s="1" t="s">
        <v>14047</v>
      </c>
      <c r="B3090" s="1" t="s">
        <v>13</v>
      </c>
      <c r="C3090" s="4" t="s">
        <v>14068</v>
      </c>
      <c r="D3090" s="1" t="s">
        <v>14069</v>
      </c>
      <c r="E3090" s="1" t="s">
        <v>14070</v>
      </c>
      <c r="F3090" s="4" t="s">
        <v>17</v>
      </c>
      <c r="G3090" s="1" t="s">
        <v>18</v>
      </c>
      <c r="H3090" s="1" t="s">
        <v>19</v>
      </c>
      <c r="I3090" s="1" t="s">
        <v>20</v>
      </c>
      <c r="J3090" s="1" t="s">
        <v>14071</v>
      </c>
      <c r="K3090" s="1" t="s">
        <v>22</v>
      </c>
      <c r="L3090" s="1" t="str">
        <f>HYPERLINK("https://files.afu.se/Downloads/Transcripts/0%20-%20Government/USA%20-%20NASA/2013 02 11 - NASA - Cargo Ship Launches to ISS_CL2sWaRv3no - transcript (automated).pdf","Transcript Link")</f>
        <v>Transcript Link</v>
      </c>
      <c r="M3090" s="2" t="str">
        <f>HYPERLINK("https://files.afu.se/Downloads/Transcripts/0%20-%20Government/USA%20-%20NASA/2013 02 11 - NASA - Cargo Ship Launches to ISS_CL2sWaRv3no - transcript (automated).pdf","Transcript Link")</f>
        <v>Transcript Link</v>
      </c>
    </row>
    <row r="3091" ht="165" spans="1:13">
      <c r="A3091" s="1" t="s">
        <v>14072</v>
      </c>
      <c r="B3091" s="1" t="s">
        <v>13</v>
      </c>
      <c r="C3091" s="4" t="s">
        <v>14073</v>
      </c>
      <c r="D3091" s="1" t="s">
        <v>14074</v>
      </c>
      <c r="E3091" s="1" t="s">
        <v>14075</v>
      </c>
      <c r="F3091" s="4" t="s">
        <v>17</v>
      </c>
      <c r="G3091" s="1" t="s">
        <v>18</v>
      </c>
      <c r="H3091" s="1" t="s">
        <v>19</v>
      </c>
      <c r="I3091" s="1" t="s">
        <v>20</v>
      </c>
      <c r="J3091" s="1" t="s">
        <v>14076</v>
      </c>
      <c r="K3091" s="1" t="s">
        <v>22</v>
      </c>
      <c r="L3091" s="1" t="str">
        <f>HYPERLINK("https://files.afu.se/Downloads/Transcripts/0%20-%20Government/USA%20-%20NASA/2013 02 10 - NASA - Landsat Launch a NASA Social Occasion_2Ks677VRSWA - transcript (automated).pdf","Transcript Link")</f>
        <v>Transcript Link</v>
      </c>
      <c r="M3091" s="2" t="str">
        <f>HYPERLINK("https://files.afu.se/Downloads/Transcripts/0%20-%20Government/USA%20-%20NASA/2013 02 10 - NASA - Landsat Launch a NASA Social Occasion_2Ks677VRSWA - transcript (automated).pdf","Transcript Link")</f>
        <v>Transcript Link</v>
      </c>
    </row>
    <row r="3092" ht="165" spans="1:13">
      <c r="A3092" s="1" t="s">
        <v>14077</v>
      </c>
      <c r="B3092" s="1" t="s">
        <v>13</v>
      </c>
      <c r="C3092" s="4" t="s">
        <v>14078</v>
      </c>
      <c r="D3092" s="1" t="s">
        <v>14079</v>
      </c>
      <c r="E3092" s="1" t="s">
        <v>14080</v>
      </c>
      <c r="F3092" s="4" t="s">
        <v>17</v>
      </c>
      <c r="G3092" s="1" t="s">
        <v>18</v>
      </c>
      <c r="H3092" s="1" t="s">
        <v>19</v>
      </c>
      <c r="I3092" s="1" t="s">
        <v>20</v>
      </c>
      <c r="J3092" s="1" t="s">
        <v>14081</v>
      </c>
      <c r="K3092" s="1" t="s">
        <v>22</v>
      </c>
      <c r="L3092" s="1" t="str">
        <f>HYPERLINK("https://files.afu.se/Downloads/Transcripts/0%20-%20Government/USA%20-%20NASA/2013 02 09 - NASA - Russian Cargo Ship Departs ISS_751UAtAEBeM - transcript (automated).pdf","Transcript Link")</f>
        <v>Transcript Link</v>
      </c>
      <c r="M3092" s="2" t="str">
        <f>HYPERLINK("https://files.afu.se/Downloads/Transcripts/0%20-%20Government/USA%20-%20NASA/2013 02 09 - NASA - Russian Cargo Ship Departs ISS_751UAtAEBeM - transcript (automated).pdf","Transcript Link")</f>
        <v>Transcript Link</v>
      </c>
    </row>
    <row r="3093" ht="255" spans="1:13">
      <c r="A3093" s="1" t="s">
        <v>14082</v>
      </c>
      <c r="B3093" s="1" t="s">
        <v>13</v>
      </c>
      <c r="C3093" s="4" t="s">
        <v>14083</v>
      </c>
      <c r="D3093" s="1" t="s">
        <v>14084</v>
      </c>
      <c r="E3093" s="1" t="s">
        <v>14085</v>
      </c>
      <c r="F3093" s="4" t="s">
        <v>17</v>
      </c>
      <c r="G3093" s="1" t="s">
        <v>18</v>
      </c>
      <c r="H3093" s="1" t="s">
        <v>19</v>
      </c>
      <c r="I3093" s="1" t="s">
        <v>20</v>
      </c>
      <c r="J3093" s="1" t="s">
        <v>14086</v>
      </c>
      <c r="K3093" s="1" t="s">
        <v>22</v>
      </c>
      <c r="L3093" s="1" t="str">
        <f>HYPERLINK("https://files.afu.se/Downloads/Transcripts/0%20-%20Government/USA%20-%20NASA/2013 02 08 - NASA - Clayton Turner -- Langley Research Center_e0ZyD9iVDDA - transcript (automated).pdf","Transcript Link")</f>
        <v>Transcript Link</v>
      </c>
      <c r="M3093" s="2" t="str">
        <f>HYPERLINK("https://files.afu.se/Downloads/Transcripts/0%20-%20Government/USA%20-%20NASA/2013 02 08 - NASA - Clayton Turner -- Langley Research Center_e0ZyD9iVDDA - transcript (automated).pdf","Transcript Link")</f>
        <v>Transcript Link</v>
      </c>
    </row>
    <row r="3094" ht="195" spans="1:13">
      <c r="A3094" s="1" t="s">
        <v>14082</v>
      </c>
      <c r="B3094" s="1" t="s">
        <v>13</v>
      </c>
      <c r="C3094" s="4" t="s">
        <v>14087</v>
      </c>
      <c r="D3094" s="1" t="s">
        <v>14088</v>
      </c>
      <c r="E3094" s="1" t="s">
        <v>14089</v>
      </c>
      <c r="F3094" s="4" t="s">
        <v>17</v>
      </c>
      <c r="G3094" s="1" t="s">
        <v>18</v>
      </c>
      <c r="H3094" s="1" t="s">
        <v>19</v>
      </c>
      <c r="I3094" s="1" t="s">
        <v>20</v>
      </c>
      <c r="J3094" s="1" t="s">
        <v>14090</v>
      </c>
      <c r="K3094" s="1" t="s">
        <v>22</v>
      </c>
      <c r="L3094" s="1" t="str">
        <f>HYPERLINK("https://files.afu.se/Downloads/Transcripts/0%20-%20Government/USA%20-%20NASA/2013 02 08 - NASA - Deirdre Terry -- Jet Propulsion Laboratory_eFYUTKyzyIc - transcript (automated).pdf","Transcript Link")</f>
        <v>Transcript Link</v>
      </c>
      <c r="M3094" s="2" t="str">
        <f>HYPERLINK("https://files.afu.se/Downloads/Transcripts/0%20-%20Government/USA%20-%20NASA/2013 02 08 - NASA - Deirdre Terry -- Jet Propulsion Laboratory_eFYUTKyzyIc - transcript (automated).pdf","Transcript Link")</f>
        <v>Transcript Link</v>
      </c>
    </row>
    <row r="3095" ht="165" spans="1:13">
      <c r="A3095" s="1" t="s">
        <v>14082</v>
      </c>
      <c r="B3095" s="1" t="s">
        <v>13</v>
      </c>
      <c r="C3095" s="4" t="s">
        <v>14091</v>
      </c>
      <c r="D3095" s="1" t="s">
        <v>14092</v>
      </c>
      <c r="E3095" s="1" t="s">
        <v>14093</v>
      </c>
      <c r="F3095" s="4" t="s">
        <v>17</v>
      </c>
      <c r="G3095" s="1" t="s">
        <v>18</v>
      </c>
      <c r="H3095" s="1" t="s">
        <v>19</v>
      </c>
      <c r="I3095" s="1" t="s">
        <v>20</v>
      </c>
      <c r="J3095" s="1" t="s">
        <v>14094</v>
      </c>
      <c r="K3095" s="1" t="s">
        <v>22</v>
      </c>
      <c r="L3095" s="1" t="str">
        <f>HYPERLINK("https://files.afu.se/Downloads/Transcripts/0%20-%20Government/USA%20-%20NASA/2013 02 08 - NASA - Global Observations to Continue with New NASA Satellite_kJabvxnnBd8 - transcript (automated).pdf","Transcript Link")</f>
        <v>Transcript Link</v>
      </c>
      <c r="M3095" s="2" t="str">
        <f>HYPERLINK("https://files.afu.se/Downloads/Transcripts/0%20-%20Government/USA%20-%20NASA/2013 02 08 - NASA - Global Observations to Continue with New NASA Satellite_kJabvxnnBd8 - transcript (automated).pdf","Transcript Link")</f>
        <v>Transcript Link</v>
      </c>
    </row>
    <row r="3096" ht="165" spans="1:13">
      <c r="A3096" s="1" t="s">
        <v>14082</v>
      </c>
      <c r="B3096" s="1" t="s">
        <v>13</v>
      </c>
      <c r="C3096" s="4" t="s">
        <v>14095</v>
      </c>
      <c r="D3096" s="1" t="s">
        <v>14096</v>
      </c>
      <c r="E3096" s="1" t="s">
        <v>14097</v>
      </c>
      <c r="F3096" s="4" t="s">
        <v>17</v>
      </c>
      <c r="G3096" s="1" t="s">
        <v>18</v>
      </c>
      <c r="H3096" s="1" t="s">
        <v>19</v>
      </c>
      <c r="I3096" s="1" t="s">
        <v>20</v>
      </c>
      <c r="J3096" s="1" t="s">
        <v>14098</v>
      </c>
      <c r="K3096" s="1" t="s">
        <v>22</v>
      </c>
      <c r="L3096" s="1" t="str">
        <f>HYPERLINK("https://files.afu.se/Downloads/Transcripts/0%20-%20Government/USA%20-%20NASA/2013 02 08 - NASA - Countdown to Launch on This Week @NASA__hnVq8_DXvE - transcript (automated).pdf","Transcript Link")</f>
        <v>Transcript Link</v>
      </c>
      <c r="M3096" s="2" t="str">
        <f>HYPERLINK("https://files.afu.se/Downloads/Transcripts/0%20-%20Government/USA%20-%20NASA/2013 02 08 - NASA - Countdown to Launch on This Week @NASA__hnVq8_DXvE - transcript (automated).pdf","Transcript Link")</f>
        <v>Transcript Link</v>
      </c>
    </row>
    <row r="3097" ht="165" spans="1:13">
      <c r="A3097" s="1" t="s">
        <v>14082</v>
      </c>
      <c r="B3097" s="1" t="s">
        <v>13</v>
      </c>
      <c r="C3097" s="4" t="s">
        <v>14099</v>
      </c>
      <c r="D3097" s="1" t="s">
        <v>14100</v>
      </c>
      <c r="E3097" s="1" t="s">
        <v>14101</v>
      </c>
      <c r="F3097" s="4" t="s">
        <v>17</v>
      </c>
      <c r="G3097" s="1" t="s">
        <v>18</v>
      </c>
      <c r="H3097" s="1" t="s">
        <v>19</v>
      </c>
      <c r="I3097" s="1" t="s">
        <v>20</v>
      </c>
      <c r="J3097" s="1" t="s">
        <v>14102</v>
      </c>
      <c r="K3097" s="1" t="s">
        <v>22</v>
      </c>
      <c r="L3097" s="1" t="str">
        <f>HYPERLINK("https://files.afu.se/Downloads/Transcripts/0%20-%20Government/USA%20-%20NASA/2013 02 08 - NASA - New Landsat Satellite Set for Launch_M3DyFchi-cg - transcript (automated).pdf","Transcript Link")</f>
        <v>Transcript Link</v>
      </c>
      <c r="M3097" s="2" t="str">
        <f>HYPERLINK("https://files.afu.se/Downloads/Transcripts/0%20-%20Government/USA%20-%20NASA/2013 02 08 - NASA - New Landsat Satellite Set for Launch_M3DyFchi-cg - transcript (automated).pdf","Transcript Link")</f>
        <v>Transcript Link</v>
      </c>
    </row>
    <row r="3098" ht="165" spans="1:13">
      <c r="A3098" s="1" t="s">
        <v>14082</v>
      </c>
      <c r="B3098" s="1" t="s">
        <v>13</v>
      </c>
      <c r="C3098" s="4" t="s">
        <v>14103</v>
      </c>
      <c r="D3098" s="1" t="s">
        <v>14104</v>
      </c>
      <c r="E3098" s="1" t="s">
        <v>14105</v>
      </c>
      <c r="F3098" s="4" t="s">
        <v>17</v>
      </c>
      <c r="G3098" s="1" t="s">
        <v>18</v>
      </c>
      <c r="H3098" s="1" t="s">
        <v>19</v>
      </c>
      <c r="I3098" s="1" t="s">
        <v>20</v>
      </c>
      <c r="J3098" s="1" t="s">
        <v>14106</v>
      </c>
      <c r="K3098" s="1" t="s">
        <v>22</v>
      </c>
      <c r="L3098" s="1" t="str">
        <f>HYPERLINK("https://files.afu.se/Downloads/Transcripts/0%20-%20Government/USA%20-%20NASA/2013 02 08 - NASA - ScienceCasts  Pink Planet at Sunset_H8wBOdo2tQc - transcript (automated).pdf","Transcript Link")</f>
        <v>Transcript Link</v>
      </c>
      <c r="M3098" s="2" t="str">
        <f>HYPERLINK("https://files.afu.se/Downloads/Transcripts/0%20-%20Government/USA%20-%20NASA/2013 02 08 - NASA - ScienceCasts  Pink Planet at Sunset_H8wBOdo2tQc - transcript (automated).pdf","Transcript Link")</f>
        <v>Transcript Link</v>
      </c>
    </row>
    <row r="3099" ht="180" spans="1:13">
      <c r="A3099" s="1" t="s">
        <v>14082</v>
      </c>
      <c r="B3099" s="1" t="s">
        <v>13</v>
      </c>
      <c r="C3099" s="4" t="s">
        <v>14107</v>
      </c>
      <c r="D3099" s="1" t="s">
        <v>14108</v>
      </c>
      <c r="E3099" s="1" t="s">
        <v>14109</v>
      </c>
      <c r="F3099" s="4" t="s">
        <v>17</v>
      </c>
      <c r="G3099" s="1" t="s">
        <v>18</v>
      </c>
      <c r="H3099" s="1" t="s">
        <v>19</v>
      </c>
      <c r="I3099" s="1" t="s">
        <v>20</v>
      </c>
      <c r="J3099" s="1" t="s">
        <v>14110</v>
      </c>
      <c r="K3099" s="1" t="s">
        <v>22</v>
      </c>
      <c r="L3099" s="1" t="str">
        <f>HYPERLINK("https://files.afu.se/Downloads/Transcripts/0%20-%20Government/USA%20-%20NASA/2013 02 08 - NASA - Hoosier Legislators  Meet  with Ford_sUgdO29pwHQ - transcript (automated).pdf","Transcript Link")</f>
        <v>Transcript Link</v>
      </c>
      <c r="M3099" s="2" t="str">
        <f>HYPERLINK("https://files.afu.se/Downloads/Transcripts/0%20-%20Government/USA%20-%20NASA/2013 02 08 - NASA - Hoosier Legislators  Meet  with Ford_sUgdO29pwHQ - transcript (automated).pdf","Transcript Link")</f>
        <v>Transcript Link</v>
      </c>
    </row>
    <row r="3100" ht="165" spans="1:13">
      <c r="A3100" s="1" t="s">
        <v>14111</v>
      </c>
      <c r="B3100" s="1" t="s">
        <v>13</v>
      </c>
      <c r="C3100" s="4" t="s">
        <v>14112</v>
      </c>
      <c r="D3100" s="1" t="s">
        <v>14113</v>
      </c>
      <c r="E3100" s="1" t="s">
        <v>14114</v>
      </c>
      <c r="F3100" s="4" t="s">
        <v>17</v>
      </c>
      <c r="G3100" s="1" t="s">
        <v>18</v>
      </c>
      <c r="H3100" s="1" t="s">
        <v>19</v>
      </c>
      <c r="I3100" s="1" t="s">
        <v>20</v>
      </c>
      <c r="J3100" s="1" t="s">
        <v>14115</v>
      </c>
      <c r="K3100" s="1" t="s">
        <v>22</v>
      </c>
      <c r="L3100" s="1" t="str">
        <f>HYPERLINK("https://files.afu.se/Downloads/Transcripts/0%20-%20Government/USA%20-%20NASA/2013 02 07 - NASA - Captain Kirk Chats Up Countryman on Station_f1ro4zkw-LA - transcript (automated).pdf","Transcript Link")</f>
        <v>Transcript Link</v>
      </c>
      <c r="M3100" s="2" t="str">
        <f>HYPERLINK("https://files.afu.se/Downloads/Transcripts/0%20-%20Government/USA%20-%20NASA/2013 02 07 - NASA - Captain Kirk Chats Up Countryman on Station_f1ro4zkw-LA - transcript (automated).pdf","Transcript Link")</f>
        <v>Transcript Link</v>
      </c>
    </row>
    <row r="3101" ht="165" spans="1:13">
      <c r="A3101" s="1" t="s">
        <v>14111</v>
      </c>
      <c r="B3101" s="1" t="s">
        <v>13</v>
      </c>
      <c r="C3101" s="4" t="s">
        <v>14116</v>
      </c>
      <c r="D3101" s="1" t="s">
        <v>14117</v>
      </c>
      <c r="E3101" s="1" t="s">
        <v>14118</v>
      </c>
      <c r="F3101" s="4" t="s">
        <v>17</v>
      </c>
      <c r="G3101" s="1" t="s">
        <v>18</v>
      </c>
      <c r="H3101" s="1" t="s">
        <v>19</v>
      </c>
      <c r="I3101" s="1" t="s">
        <v>20</v>
      </c>
      <c r="J3101" s="1" t="s">
        <v>14119</v>
      </c>
      <c r="K3101" s="1" t="s">
        <v>22</v>
      </c>
      <c r="L3101" s="1" t="str">
        <f>HYPERLINK("https://files.afu.se/Downloads/Transcripts/0%20-%20Government/USA%20-%20NASA/2013 02 07 - NASA - OSIRIS-REX Video File_tiyjGjScWDc - transcript (automated).pdf","Transcript Link")</f>
        <v>Transcript Link</v>
      </c>
      <c r="M3101" s="2" t="str">
        <f>HYPERLINK("https://files.afu.se/Downloads/Transcripts/0%20-%20Government/USA%20-%20NASA/2013 02 07 - NASA - OSIRIS-REX Video File_tiyjGjScWDc - transcript (automated).pdf","Transcript Link")</f>
        <v>Transcript Link</v>
      </c>
    </row>
    <row r="3102" ht="255" spans="1:13">
      <c r="A3102" s="1" t="s">
        <v>14111</v>
      </c>
      <c r="B3102" s="1" t="s">
        <v>13</v>
      </c>
      <c r="C3102" s="4" t="s">
        <v>14120</v>
      </c>
      <c r="D3102" s="1" t="s">
        <v>14121</v>
      </c>
      <c r="E3102" s="1" t="s">
        <v>14122</v>
      </c>
      <c r="F3102" s="4" t="s">
        <v>17</v>
      </c>
      <c r="G3102" s="1" t="s">
        <v>18</v>
      </c>
      <c r="H3102" s="1" t="s">
        <v>19</v>
      </c>
      <c r="I3102" s="1" t="s">
        <v>20</v>
      </c>
      <c r="J3102" s="1" t="s">
        <v>14123</v>
      </c>
      <c r="K3102" s="1" t="s">
        <v>22</v>
      </c>
      <c r="L3102" s="1" t="str">
        <f>HYPERLINK("https://files.afu.se/Downloads/Transcripts/0%20-%20Government/USA%20-%20NASA/2013 02 07 - NASA - Asteroid 2012 DA14 to Whiz Past Earth Safely_t4YvGQfrMKo - transcript (automated).pdf","Transcript Link")</f>
        <v>Transcript Link</v>
      </c>
      <c r="M3102" s="2" t="str">
        <f>HYPERLINK("https://files.afu.se/Downloads/Transcripts/0%20-%20Government/USA%20-%20NASA/2013 02 07 - NASA - Asteroid 2012 DA14 to Whiz Past Earth Safely_t4YvGQfrMKo - transcript (automated).pdf","Transcript Link")</f>
        <v>Transcript Link</v>
      </c>
    </row>
    <row r="3103" ht="165" spans="1:13">
      <c r="A3103" s="1" t="s">
        <v>14124</v>
      </c>
      <c r="B3103" s="1" t="s">
        <v>13</v>
      </c>
      <c r="C3103" s="4" t="s">
        <v>14125</v>
      </c>
      <c r="D3103" s="1" t="s">
        <v>14126</v>
      </c>
      <c r="E3103" s="1" t="s">
        <v>14127</v>
      </c>
      <c r="F3103" s="4" t="s">
        <v>17</v>
      </c>
      <c r="G3103" s="1" t="s">
        <v>18</v>
      </c>
      <c r="H3103" s="1" t="s">
        <v>19</v>
      </c>
      <c r="I3103" s="1" t="s">
        <v>20</v>
      </c>
      <c r="J3103" s="1" t="s">
        <v>14128</v>
      </c>
      <c r="K3103" s="1" t="s">
        <v>22</v>
      </c>
      <c r="L3103" s="1" t="str">
        <f>HYPERLINK("https://files.afu.se/Downloads/Transcripts/0%20-%20Government/USA%20-%20NASA/2013 02 06 - NASA - DLN Connects Mission Control with Georgia Students_Pw49znaIiPg - transcript (automated).pdf","Transcript Link")</f>
        <v>Transcript Link</v>
      </c>
      <c r="M3103" s="2" t="str">
        <f>HYPERLINK("https://files.afu.se/Downloads/Transcripts/0%20-%20Government/USA%20-%20NASA/2013 02 06 - NASA - DLN Connects Mission Control with Georgia Students_Pw49znaIiPg - transcript (automated).pdf","Transcript Link")</f>
        <v>Transcript Link</v>
      </c>
    </row>
    <row r="3104" ht="165" spans="1:13">
      <c r="A3104" s="1" t="s">
        <v>14129</v>
      </c>
      <c r="B3104" s="1" t="s">
        <v>13</v>
      </c>
      <c r="C3104" s="4" t="s">
        <v>14130</v>
      </c>
      <c r="D3104" s="1" t="s">
        <v>14131</v>
      </c>
      <c r="E3104" s="1" t="s">
        <v>14132</v>
      </c>
      <c r="F3104" s="4" t="s">
        <v>17</v>
      </c>
      <c r="G3104" s="1" t="s">
        <v>18</v>
      </c>
      <c r="H3104" s="1" t="s">
        <v>19</v>
      </c>
      <c r="I3104" s="1" t="s">
        <v>20</v>
      </c>
      <c r="J3104" s="1" t="s">
        <v>14133</v>
      </c>
      <c r="K3104" s="1" t="s">
        <v>22</v>
      </c>
      <c r="L3104" s="1" t="str">
        <f>HYPERLINK("https://files.afu.se/Downloads/Transcripts/0%20-%20Government/USA%20-%20NASA/2013 02 05 - NASA - Marshburn Meets Fellow Tar Heels_cIqSY82HHos - transcript (automated).pdf","Transcript Link")</f>
        <v>Transcript Link</v>
      </c>
      <c r="M3104" s="2" t="str">
        <f>HYPERLINK("https://files.afu.se/Downloads/Transcripts/0%20-%20Government/USA%20-%20NASA/2013 02 05 - NASA - Marshburn Meets Fellow Tar Heels_cIqSY82HHos - transcript (automated).pdf","Transcript Link")</f>
        <v>Transcript Link</v>
      </c>
    </row>
    <row r="3105" ht="165" spans="1:13">
      <c r="A3105" s="1" t="s">
        <v>14129</v>
      </c>
      <c r="B3105" s="1" t="s">
        <v>13</v>
      </c>
      <c r="C3105" s="4" t="s">
        <v>14134</v>
      </c>
      <c r="D3105" s="1" t="s">
        <v>14135</v>
      </c>
      <c r="E3105" s="1" t="s">
        <v>14136</v>
      </c>
      <c r="F3105" s="4" t="s">
        <v>17</v>
      </c>
      <c r="G3105" s="1" t="s">
        <v>18</v>
      </c>
      <c r="H3105" s="1" t="s">
        <v>19</v>
      </c>
      <c r="I3105" s="1" t="s">
        <v>20</v>
      </c>
      <c r="J3105" s="1" t="s">
        <v>14137</v>
      </c>
      <c r="K3105" s="1" t="s">
        <v>22</v>
      </c>
      <c r="L3105" s="1" t="str">
        <f>HYPERLINK("https://files.afu.se/Downloads/Transcripts/0%20-%20Government/USA%20-%20NASA/2013 02 05 - NASA - Day of Remembrance on This Week @NASA_O8e1JPphXc0 - transcript (automated).pdf","Transcript Link")</f>
        <v>Transcript Link</v>
      </c>
      <c r="M3105" s="2" t="str">
        <f>HYPERLINK("https://files.afu.se/Downloads/Transcripts/0%20-%20Government/USA%20-%20NASA/2013 02 05 - NASA - Day of Remembrance on This Week @NASA_O8e1JPphXc0 - transcript (automated).pdf","Transcript Link")</f>
        <v>Transcript Link</v>
      </c>
    </row>
    <row r="3106" ht="165" spans="1:13">
      <c r="A3106" s="1" t="s">
        <v>14129</v>
      </c>
      <c r="B3106" s="1" t="s">
        <v>13</v>
      </c>
      <c r="C3106" s="4" t="s">
        <v>14138</v>
      </c>
      <c r="D3106" s="1" t="s">
        <v>14139</v>
      </c>
      <c r="E3106" s="1" t="s">
        <v>14140</v>
      </c>
      <c r="F3106" s="4" t="s">
        <v>17</v>
      </c>
      <c r="G3106" s="1" t="s">
        <v>18</v>
      </c>
      <c r="H3106" s="1" t="s">
        <v>19</v>
      </c>
      <c r="I3106" s="1" t="s">
        <v>20</v>
      </c>
      <c r="J3106" s="1" t="s">
        <v>14141</v>
      </c>
      <c r="K3106" s="1" t="s">
        <v>22</v>
      </c>
      <c r="L3106" s="1" t="str">
        <f>HYPERLINK("https://files.afu.se/Downloads/Transcripts/0%20-%20Government/USA%20-%20NASA/2013 02 05 - NASA - Science Uncut   Arctic on the Edge  _CO-piXii00A - transcript (automated).pdf","Transcript Link")</f>
        <v>Transcript Link</v>
      </c>
      <c r="M3106" s="2" t="str">
        <f>HYPERLINK("https://files.afu.se/Downloads/Transcripts/0%20-%20Government/USA%20-%20NASA/2013 02 05 - NASA - Science Uncut   Arctic on the Edge  _CO-piXii00A - transcript (automated).pdf","Transcript Link")</f>
        <v>Transcript Link</v>
      </c>
    </row>
    <row r="3107" ht="165" spans="1:13">
      <c r="A3107" s="1" t="s">
        <v>14142</v>
      </c>
      <c r="B3107" s="1" t="s">
        <v>13</v>
      </c>
      <c r="C3107" s="4" t="s">
        <v>14143</v>
      </c>
      <c r="D3107" s="1" t="s">
        <v>14135</v>
      </c>
      <c r="E3107" s="1" t="s">
        <v>14136</v>
      </c>
      <c r="F3107" s="4" t="s">
        <v>17</v>
      </c>
      <c r="G3107" s="1" t="s">
        <v>18</v>
      </c>
      <c r="H3107" s="1" t="s">
        <v>19</v>
      </c>
      <c r="I3107" s="1" t="s">
        <v>20</v>
      </c>
      <c r="J3107" s="1" t="s">
        <v>14144</v>
      </c>
      <c r="K3107" s="1" t="s">
        <v>22</v>
      </c>
      <c r="L3107" s="1" t="str">
        <f>HYPERLINK("https://files.afu.se/Downloads/Transcripts/0%20-%20Government/USA%20-%20NASA/2013 02 01 - NASA - Day of Remembrance on This Week @NASA_mUs3nfsTWAE - transcript (automated).pdf","Transcript Link")</f>
        <v>Transcript Link</v>
      </c>
      <c r="M3107" s="2" t="str">
        <f>HYPERLINK("https://files.afu.se/Downloads/Transcripts/0%20-%20Government/USA%20-%20NASA/2013 02 01 - NASA - Day of Remembrance on This Week @NASA_mUs3nfsTWAE - transcript (automated).pdf","Transcript Link")</f>
        <v>Transcript Link</v>
      </c>
    </row>
    <row r="3108" ht="165" spans="1:13">
      <c r="A3108" s="1" t="s">
        <v>14142</v>
      </c>
      <c r="B3108" s="1" t="s">
        <v>13</v>
      </c>
      <c r="C3108" s="4" t="s">
        <v>14145</v>
      </c>
      <c r="D3108" s="1" t="s">
        <v>14146</v>
      </c>
      <c r="E3108" s="1" t="s">
        <v>14147</v>
      </c>
      <c r="F3108" s="4" t="s">
        <v>17</v>
      </c>
      <c r="G3108" s="1" t="s">
        <v>18</v>
      </c>
      <c r="H3108" s="1" t="s">
        <v>19</v>
      </c>
      <c r="I3108" s="1" t="s">
        <v>20</v>
      </c>
      <c r="J3108" s="1" t="s">
        <v>14148</v>
      </c>
      <c r="K3108" s="1" t="s">
        <v>22</v>
      </c>
      <c r="L3108" s="1" t="str">
        <f>HYPERLINK("https://files.afu.se/Downloads/Transcripts/0%20-%20Government/USA%20-%20NASA/2013 02 01 - NASA - ScienceCasts  A Naked-Eye Comet in March 2013_rwMc_7cFtU8 - transcript (automated).pdf","Transcript Link")</f>
        <v>Transcript Link</v>
      </c>
      <c r="M3108" s="2" t="str">
        <f>HYPERLINK("https://files.afu.se/Downloads/Transcripts/0%20-%20Government/USA%20-%20NASA/2013 02 01 - NASA - ScienceCasts  A Naked-Eye Comet in March 2013_rwMc_7cFtU8 - transcript (automated).pdf","Transcript Link")</f>
        <v>Transcript Link</v>
      </c>
    </row>
    <row r="3109" ht="165" spans="1:13">
      <c r="A3109" s="1" t="s">
        <v>14142</v>
      </c>
      <c r="B3109" s="1" t="s">
        <v>13</v>
      </c>
      <c r="C3109" s="4" t="s">
        <v>14149</v>
      </c>
      <c r="D3109" s="1" t="s">
        <v>14150</v>
      </c>
      <c r="E3109" s="1" t="s">
        <v>14151</v>
      </c>
      <c r="F3109" s="4" t="s">
        <v>17</v>
      </c>
      <c r="G3109" s="1" t="s">
        <v>18</v>
      </c>
      <c r="H3109" s="1" t="s">
        <v>19</v>
      </c>
      <c r="I3109" s="1" t="s">
        <v>20</v>
      </c>
      <c r="J3109" s="1" t="s">
        <v>14152</v>
      </c>
      <c r="K3109" s="1" t="s">
        <v>22</v>
      </c>
      <c r="L3109" s="1" t="str">
        <f>HYPERLINK("https://files.afu.se/Downloads/Transcripts/0%20-%20Government/USA%20-%20NASA/2013 02 01 - NASA - Fallen NASA Astronauts Remembered at Space Mirror Memorial_zZUKApJIysM - transcript (automated).pdf","Transcript Link")</f>
        <v>Transcript Link</v>
      </c>
      <c r="M3109" s="2" t="str">
        <f>HYPERLINK("https://files.afu.se/Downloads/Transcripts/0%20-%20Government/USA%20-%20NASA/2013 02 01 - NASA - Fallen NASA Astronauts Remembered at Space Mirror Memorial_zZUKApJIysM - transcript (automated).pdf","Transcript Link")</f>
        <v>Transcript Link</v>
      </c>
    </row>
    <row r="3110" ht="165" spans="1:13">
      <c r="A3110" s="1" t="s">
        <v>14153</v>
      </c>
      <c r="B3110" s="1" t="s">
        <v>13</v>
      </c>
      <c r="C3110" s="4" t="s">
        <v>14154</v>
      </c>
      <c r="D3110" s="1" t="s">
        <v>14155</v>
      </c>
      <c r="E3110" s="1" t="s">
        <v>14156</v>
      </c>
      <c r="F3110" s="4" t="s">
        <v>17</v>
      </c>
      <c r="G3110" s="1" t="s">
        <v>18</v>
      </c>
      <c r="H3110" s="1" t="s">
        <v>19</v>
      </c>
      <c r="I3110" s="1" t="s">
        <v>20</v>
      </c>
      <c r="J3110" s="1" t="s">
        <v>14157</v>
      </c>
      <c r="K3110" s="1" t="s">
        <v>22</v>
      </c>
      <c r="L3110" s="1" t="str">
        <f>HYPERLINK("https://files.afu.se/Downloads/Transcripts/0%20-%20Government/USA%20-%20NASA/2013 01 31 - NASA - A More Capable Comm Satellite Launched on This Week @ NASA_y3cO_eOQCAA - transcript (automated).pdf","Transcript Link")</f>
        <v>Transcript Link</v>
      </c>
      <c r="M3110" s="2" t="str">
        <f>HYPERLINK("https://files.afu.se/Downloads/Transcripts/0%20-%20Government/USA%20-%20NASA/2013 01 31 - NASA - A More Capable Comm Satellite Launched on This Week @ NASA_y3cO_eOQCAA - transcript (automated).pdf","Transcript Link")</f>
        <v>Transcript Link</v>
      </c>
    </row>
    <row r="3111" ht="195" spans="1:13">
      <c r="A3111" s="1" t="s">
        <v>14153</v>
      </c>
      <c r="B3111" s="1" t="s">
        <v>13</v>
      </c>
      <c r="C3111" s="4" t="s">
        <v>14158</v>
      </c>
      <c r="D3111" s="1" t="s">
        <v>14159</v>
      </c>
      <c r="E3111" s="1" t="s">
        <v>14160</v>
      </c>
      <c r="F3111" s="4" t="s">
        <v>17</v>
      </c>
      <c r="G3111" s="1" t="s">
        <v>18</v>
      </c>
      <c r="H3111" s="1" t="s">
        <v>19</v>
      </c>
      <c r="I3111" s="1" t="s">
        <v>20</v>
      </c>
      <c r="J3111" s="1" t="s">
        <v>14161</v>
      </c>
      <c r="K3111" s="1" t="s">
        <v>22</v>
      </c>
      <c r="L3111" s="1" t="str">
        <f>HYPERLINK("https://files.afu.se/Downloads/Transcripts/0%20-%20Government/USA%20-%20NASA/2013 01 31 - NASA - New NASA Communications Satellite Launches from Florida_MM16W6w_GX8 - transcript (automated).pdf","Transcript Link")</f>
        <v>Transcript Link</v>
      </c>
      <c r="M3111" s="2" t="str">
        <f>HYPERLINK("https://files.afu.se/Downloads/Transcripts/0%20-%20Government/USA%20-%20NASA/2013 01 31 - NASA - New NASA Communications Satellite Launches from Florida_MM16W6w_GX8 - transcript (automated).pdf","Transcript Link")</f>
        <v>Transcript Link</v>
      </c>
    </row>
    <row r="3112" ht="165" spans="1:13">
      <c r="A3112" s="1" t="s">
        <v>14162</v>
      </c>
      <c r="B3112" s="1" t="s">
        <v>13</v>
      </c>
      <c r="C3112" s="4" t="s">
        <v>14163</v>
      </c>
      <c r="D3112" s="1" t="s">
        <v>14164</v>
      </c>
      <c r="E3112" s="1" t="s">
        <v>14165</v>
      </c>
      <c r="F3112" s="4" t="s">
        <v>17</v>
      </c>
      <c r="G3112" s="1" t="s">
        <v>18</v>
      </c>
      <c r="H3112" s="1" t="s">
        <v>19</v>
      </c>
      <c r="I3112" s="1" t="s">
        <v>20</v>
      </c>
      <c r="J3112" s="1" t="s">
        <v>14166</v>
      </c>
      <c r="K3112" s="1" t="s">
        <v>22</v>
      </c>
      <c r="L3112" s="1" t="str">
        <f>HYPERLINK("https://files.afu.se/Downloads/Transcripts/0%20-%20Government/USA%20-%20NASA/2013 01 30 - NASA - Space Station's Hadfield Connects with Canadian Students_7Qw0ykbOt6I - transcript (automated).pdf","Transcript Link")</f>
        <v>Transcript Link</v>
      </c>
      <c r="M3112" s="2" t="str">
        <f>HYPERLINK("https://files.afu.se/Downloads/Transcripts/0%20-%20Government/USA%20-%20NASA/2013 01 30 - NASA - Space Station's Hadfield Connects with Canadian Students_7Qw0ykbOt6I - transcript (automated).pdf","Transcript Link")</f>
        <v>Transcript Link</v>
      </c>
    </row>
    <row r="3113" ht="165" spans="1:13">
      <c r="A3113" s="1" t="s">
        <v>14167</v>
      </c>
      <c r="B3113" s="1" t="s">
        <v>13</v>
      </c>
      <c r="C3113" s="4" t="s">
        <v>14168</v>
      </c>
      <c r="D3113" s="1" t="s">
        <v>14169</v>
      </c>
      <c r="E3113" s="1" t="s">
        <v>14170</v>
      </c>
      <c r="F3113" s="4" t="s">
        <v>17</v>
      </c>
      <c r="G3113" s="1" t="s">
        <v>18</v>
      </c>
      <c r="H3113" s="1" t="s">
        <v>19</v>
      </c>
      <c r="I3113" s="1" t="s">
        <v>20</v>
      </c>
      <c r="J3113" s="1" t="s">
        <v>14171</v>
      </c>
      <c r="K3113" s="1" t="s">
        <v>22</v>
      </c>
      <c r="L3113" s="1" t="str">
        <f>HYPERLINK("https://files.afu.se/Downloads/Transcripts/0%20-%20Government/USA%20-%20NASA/2013 01 29 - NASA -  TDRS-K Time  for Tweeps_DSeYC90k2eo - transcript (automated).pdf","Transcript Link")</f>
        <v>Transcript Link</v>
      </c>
      <c r="M3113" s="2" t="str">
        <f>HYPERLINK("https://files.afu.se/Downloads/Transcripts/0%20-%20Government/USA%20-%20NASA/2013 01 29 - NASA -  TDRS-K Time  for Tweeps_DSeYC90k2eo - transcript (automated).pdf","Transcript Link")</f>
        <v>Transcript Link</v>
      </c>
    </row>
    <row r="3114" ht="165" spans="1:13">
      <c r="A3114" s="1" t="s">
        <v>14172</v>
      </c>
      <c r="B3114" s="1" t="s">
        <v>13</v>
      </c>
      <c r="C3114" s="4" t="s">
        <v>14173</v>
      </c>
      <c r="D3114" s="1" t="s">
        <v>8100</v>
      </c>
      <c r="F3114" s="4" t="s">
        <v>17</v>
      </c>
      <c r="G3114" s="1" t="s">
        <v>18</v>
      </c>
      <c r="H3114" s="1" t="s">
        <v>19</v>
      </c>
      <c r="I3114" s="1" t="s">
        <v>20</v>
      </c>
      <c r="J3114" s="1" t="s">
        <v>14174</v>
      </c>
      <c r="K3114" s="1" t="s">
        <v>22</v>
      </c>
      <c r="L3114" s="1" t="str">
        <f>HYPERLINK("https://files.afu.se/Downloads/Transcripts/0%20-%20Government/USA%20-%20NASA/2013 01 28 - NASA - NASA Day of Remembrance_kzPkRz9Eqow - transcript (automated).pdf","Transcript Link")</f>
        <v>Transcript Link</v>
      </c>
      <c r="M3114" s="2" t="str">
        <f>HYPERLINK("https://files.afu.se/Downloads/Transcripts/0%20-%20Government/USA%20-%20NASA/2013 01 28 - NASA - NASA Day of Remembrance_kzPkRz9Eqow - transcript (automated).pdf","Transcript Link")</f>
        <v>Transcript Link</v>
      </c>
    </row>
    <row r="3115" ht="165" spans="1:13">
      <c r="A3115" s="1" t="s">
        <v>14172</v>
      </c>
      <c r="B3115" s="1" t="s">
        <v>13</v>
      </c>
      <c r="C3115" s="4" t="s">
        <v>14175</v>
      </c>
      <c r="D3115" s="1" t="s">
        <v>14176</v>
      </c>
      <c r="E3115" s="1" t="s">
        <v>14177</v>
      </c>
      <c r="F3115" s="4" t="s">
        <v>17</v>
      </c>
      <c r="G3115" s="1" t="s">
        <v>18</v>
      </c>
      <c r="H3115" s="1" t="s">
        <v>19</v>
      </c>
      <c r="I3115" s="1" t="s">
        <v>20</v>
      </c>
      <c r="J3115" s="1" t="s">
        <v>14178</v>
      </c>
      <c r="K3115" s="1" t="s">
        <v>22</v>
      </c>
      <c r="L3115" s="1" t="str">
        <f>HYPERLINK("https://files.afu.se/Downloads/Transcripts/0%20-%20Government/USA%20-%20NASA/2013 01 28 - NASA - New Comm Satellite Launch Nears_p2DbVFfrah0 - transcript (automated).pdf","Transcript Link")</f>
        <v>Transcript Link</v>
      </c>
      <c r="M3115" s="2" t="str">
        <f>HYPERLINK("https://files.afu.se/Downloads/Transcripts/0%20-%20Government/USA%20-%20NASA/2013 01 28 - NASA - New Comm Satellite Launch Nears_p2DbVFfrah0 - transcript (automated).pdf","Transcript Link")</f>
        <v>Transcript Link</v>
      </c>
    </row>
    <row r="3116" ht="165" spans="1:13">
      <c r="A3116" s="1" t="s">
        <v>14172</v>
      </c>
      <c r="B3116" s="1" t="s">
        <v>13</v>
      </c>
      <c r="C3116" s="4" t="s">
        <v>14179</v>
      </c>
      <c r="D3116" s="1" t="s">
        <v>14180</v>
      </c>
      <c r="E3116" s="1" t="s">
        <v>14181</v>
      </c>
      <c r="F3116" s="4" t="s">
        <v>17</v>
      </c>
      <c r="G3116" s="1" t="s">
        <v>18</v>
      </c>
      <c r="H3116" s="1" t="s">
        <v>19</v>
      </c>
      <c r="I3116" s="1" t="s">
        <v>20</v>
      </c>
      <c r="J3116" s="1" t="s">
        <v>14182</v>
      </c>
      <c r="K3116" s="1" t="s">
        <v>22</v>
      </c>
      <c r="L3116" s="1" t="str">
        <f>HYPERLINK("https://files.afu.se/Downloads/Transcripts/0%20-%20Government/USA%20-%20NASA/2013 01 28 - NASA - ScienceCast  Record-Setting Asteroid Flyby_rtesZxRlqOE - transcript (automated).pdf","Transcript Link")</f>
        <v>Transcript Link</v>
      </c>
      <c r="M3116" s="2" t="str">
        <f>HYPERLINK("https://files.afu.se/Downloads/Transcripts/0%20-%20Government/USA%20-%20NASA/2013 01 28 - NASA - ScienceCast  Record-Setting Asteroid Flyby_rtesZxRlqOE - transcript (automated).pdf","Transcript Link")</f>
        <v>Transcript Link</v>
      </c>
    </row>
    <row r="3117" ht="165" spans="1:13">
      <c r="A3117" s="1" t="s">
        <v>14183</v>
      </c>
      <c r="B3117" s="1" t="s">
        <v>13</v>
      </c>
      <c r="C3117" s="4" t="s">
        <v>14184</v>
      </c>
      <c r="D3117" s="1" t="s">
        <v>14185</v>
      </c>
      <c r="E3117" s="1" t="s">
        <v>14186</v>
      </c>
      <c r="F3117" s="4" t="s">
        <v>17</v>
      </c>
      <c r="G3117" s="1" t="s">
        <v>18</v>
      </c>
      <c r="H3117" s="1" t="s">
        <v>19</v>
      </c>
      <c r="I3117" s="1" t="s">
        <v>20</v>
      </c>
      <c r="J3117" s="1" t="s">
        <v>14187</v>
      </c>
      <c r="K3117" s="1" t="s">
        <v>22</v>
      </c>
      <c r="L3117" s="1" t="str">
        <f>HYPERLINK("https://files.afu.se/Downloads/Transcripts/0%20-%20Government/USA%20-%20NASA/2013 01 25 - NASA - Satellite Launch Nears on This Week @NASA_QsgXMoxHrkg - transcript (automated).pdf","Transcript Link")</f>
        <v>Transcript Link</v>
      </c>
      <c r="M3117" s="2" t="str">
        <f>HYPERLINK("https://files.afu.se/Downloads/Transcripts/0%20-%20Government/USA%20-%20NASA/2013 01 25 - NASA - Satellite Launch Nears on This Week @NASA_QsgXMoxHrkg - transcript (automated).pdf","Transcript Link")</f>
        <v>Transcript Link</v>
      </c>
    </row>
    <row r="3118" ht="165" spans="1:13">
      <c r="A3118" s="1" t="s">
        <v>14183</v>
      </c>
      <c r="B3118" s="1" t="s">
        <v>13</v>
      </c>
      <c r="C3118" s="4" t="s">
        <v>14188</v>
      </c>
      <c r="D3118" s="1" t="s">
        <v>14189</v>
      </c>
      <c r="E3118" s="1" t="s">
        <v>14190</v>
      </c>
      <c r="F3118" s="4" t="s">
        <v>17</v>
      </c>
      <c r="G3118" s="1" t="s">
        <v>18</v>
      </c>
      <c r="H3118" s="1" t="s">
        <v>19</v>
      </c>
      <c r="I3118" s="1" t="s">
        <v>20</v>
      </c>
      <c r="J3118" s="1" t="s">
        <v>14191</v>
      </c>
      <c r="K3118" s="1" t="s">
        <v>22</v>
      </c>
      <c r="L3118" s="1" t="str">
        <f>HYPERLINK("https://files.afu.se/Downloads/Transcripts/0%20-%20Government/USA%20-%20NASA/2013 01 25 - NASA - Ford and Marshburn  Meet  Iowa Students_b7b4m722QEU - transcript (automated).pdf","Transcript Link")</f>
        <v>Transcript Link</v>
      </c>
      <c r="M3118" s="2" t="str">
        <f>HYPERLINK("https://files.afu.se/Downloads/Transcripts/0%20-%20Government/USA%20-%20NASA/2013 01 25 - NASA - Ford and Marshburn  Meet  Iowa Students_b7b4m722QEU - transcript (automated).pdf","Transcript Link")</f>
        <v>Transcript Link</v>
      </c>
    </row>
    <row r="3119" ht="165" spans="1:13">
      <c r="A3119" s="1" t="s">
        <v>14183</v>
      </c>
      <c r="B3119" s="1" t="s">
        <v>13</v>
      </c>
      <c r="C3119" s="4" t="s">
        <v>14192</v>
      </c>
      <c r="D3119" s="1" t="s">
        <v>14193</v>
      </c>
      <c r="E3119" s="1" t="s">
        <v>14194</v>
      </c>
      <c r="F3119" s="4" t="s">
        <v>17</v>
      </c>
      <c r="G3119" s="1" t="s">
        <v>18</v>
      </c>
      <c r="H3119" s="1" t="s">
        <v>19</v>
      </c>
      <c r="I3119" s="1" t="s">
        <v>20</v>
      </c>
      <c r="J3119" s="1" t="s">
        <v>14195</v>
      </c>
      <c r="K3119" s="1" t="s">
        <v>22</v>
      </c>
      <c r="L3119" s="1" t="str">
        <f>HYPERLINK("https://files.afu.se/Downloads/Transcripts/0%20-%20Government/USA%20-%20NASA/2013 01 25 - NASA - NASA  Reaching for New Heights_HsA_BsH0QxM - transcript (automated).pdf","Transcript Link")</f>
        <v>Transcript Link</v>
      </c>
      <c r="M3119" s="2" t="str">
        <f>HYPERLINK("https://files.afu.se/Downloads/Transcripts/0%20-%20Government/USA%20-%20NASA/2013 01 25 - NASA - NASA  Reaching for New Heights_HsA_BsH0QxM - transcript (automated).pdf","Transcript Link")</f>
        <v>Transcript Link</v>
      </c>
    </row>
    <row r="3120" ht="165" spans="1:13">
      <c r="A3120" s="1" t="s">
        <v>14196</v>
      </c>
      <c r="B3120" s="1" t="s">
        <v>13</v>
      </c>
      <c r="C3120" s="4" t="s">
        <v>14197</v>
      </c>
      <c r="D3120" s="1" t="s">
        <v>14198</v>
      </c>
      <c r="E3120" s="1" t="s">
        <v>14199</v>
      </c>
      <c r="F3120" s="4" t="s">
        <v>17</v>
      </c>
      <c r="G3120" s="1" t="s">
        <v>18</v>
      </c>
      <c r="H3120" s="1" t="s">
        <v>19</v>
      </c>
      <c r="I3120" s="1" t="s">
        <v>20</v>
      </c>
      <c r="J3120" s="1" t="s">
        <v>14200</v>
      </c>
      <c r="K3120" s="1" t="s">
        <v>22</v>
      </c>
      <c r="L3120" s="1" t="str">
        <f>HYPERLINK("https://files.afu.se/Downloads/Transcripts/0%20-%20Government/USA%20-%20NASA/2013 01 24 - NASA - Georgia Students on NASA's DLN_Fuh3voptpek - transcript (automated).pdf","Transcript Link")</f>
        <v>Transcript Link</v>
      </c>
      <c r="M3120" s="2" t="str">
        <f>HYPERLINK("https://files.afu.se/Downloads/Transcripts/0%20-%20Government/USA%20-%20NASA/2013 01 24 - NASA - Georgia Students on NASA's DLN_Fuh3voptpek - transcript (automated).pdf","Transcript Link")</f>
        <v>Transcript Link</v>
      </c>
    </row>
    <row r="3121" ht="165" spans="1:13">
      <c r="A3121" s="1" t="s">
        <v>14196</v>
      </c>
      <c r="B3121" s="1" t="s">
        <v>13</v>
      </c>
      <c r="C3121" s="4" t="s">
        <v>14201</v>
      </c>
      <c r="D3121" s="1" t="s">
        <v>14202</v>
      </c>
      <c r="E3121" s="1" t="s">
        <v>14203</v>
      </c>
      <c r="F3121" s="4" t="s">
        <v>17</v>
      </c>
      <c r="G3121" s="1" t="s">
        <v>18</v>
      </c>
      <c r="H3121" s="1" t="s">
        <v>19</v>
      </c>
      <c r="I3121" s="1" t="s">
        <v>20</v>
      </c>
      <c r="J3121" s="1" t="s">
        <v>14204</v>
      </c>
      <c r="K3121" s="1" t="s">
        <v>22</v>
      </c>
      <c r="L3121" s="1" t="str">
        <f>HYPERLINK("https://files.afu.se/Downloads/Transcripts/0%20-%20Government/USA%20-%20NASA/2013 01 24 - NASA - Hadfield Queried by CBC_I8tHGlWwAEM - transcript (automated).pdf","Transcript Link")</f>
        <v>Transcript Link</v>
      </c>
      <c r="M3121" s="2" t="str">
        <f>HYPERLINK("https://files.afu.se/Downloads/Transcripts/0%20-%20Government/USA%20-%20NASA/2013 01 24 - NASA - Hadfield Queried by CBC_I8tHGlWwAEM - transcript (automated).pdf","Transcript Link")</f>
        <v>Transcript Link</v>
      </c>
    </row>
    <row r="3122" ht="165" spans="1:13">
      <c r="A3122" s="1" t="s">
        <v>14205</v>
      </c>
      <c r="B3122" s="1" t="s">
        <v>13</v>
      </c>
      <c r="C3122" s="4" t="s">
        <v>14206</v>
      </c>
      <c r="D3122" s="1" t="s">
        <v>14207</v>
      </c>
      <c r="E3122" s="1" t="s">
        <v>14208</v>
      </c>
      <c r="F3122" s="4" t="s">
        <v>17</v>
      </c>
      <c r="G3122" s="1" t="s">
        <v>18</v>
      </c>
      <c r="H3122" s="1" t="s">
        <v>19</v>
      </c>
      <c r="I3122" s="1" t="s">
        <v>20</v>
      </c>
      <c r="J3122" s="1" t="s">
        <v>14209</v>
      </c>
      <c r="K3122" s="1" t="s">
        <v>22</v>
      </c>
      <c r="L3122" s="1" t="str">
        <f>HYPERLINK("https://files.afu.se/Downloads/Transcripts/0%20-%20Government/USA%20-%20NASA/2013 01 23 - NASA - Dr. King Honored at NASA Headquarters_QmykVTgyAE0 - transcript (automated).pdf","Transcript Link")</f>
        <v>Transcript Link</v>
      </c>
      <c r="M3122" s="2" t="str">
        <f>HYPERLINK("https://files.afu.se/Downloads/Transcripts/0%20-%20Government/USA%20-%20NASA/2013 01 23 - NASA - Dr. King Honored at NASA Headquarters_QmykVTgyAE0 - transcript (automated).pdf","Transcript Link")</f>
        <v>Transcript Link</v>
      </c>
    </row>
    <row r="3123" ht="165" spans="1:13">
      <c r="A3123" s="1" t="s">
        <v>14210</v>
      </c>
      <c r="B3123" s="1" t="s">
        <v>13</v>
      </c>
      <c r="C3123" s="4" t="s">
        <v>14211</v>
      </c>
      <c r="D3123" s="1" t="s">
        <v>14212</v>
      </c>
      <c r="E3123" s="1" t="s">
        <v>14213</v>
      </c>
      <c r="F3123" s="4" t="s">
        <v>17</v>
      </c>
      <c r="G3123" s="1" t="s">
        <v>18</v>
      </c>
      <c r="H3123" s="1" t="s">
        <v>19</v>
      </c>
      <c r="I3123" s="1" t="s">
        <v>20</v>
      </c>
      <c r="J3123" s="1" t="s">
        <v>14214</v>
      </c>
      <c r="K3123" s="1" t="s">
        <v>22</v>
      </c>
      <c r="L3123" s="1" t="str">
        <f>HYPERLINK("https://files.afu.se/Downloads/Transcripts/0%20-%20Government/USA%20-%20NASA/2013 01 22 - NASA - Orion and Curiosity Models on This Week @NASA_1rSSw7ajlz8 - transcript (automated).pdf","Transcript Link")</f>
        <v>Transcript Link</v>
      </c>
      <c r="M3123" s="2" t="str">
        <f>HYPERLINK("https://files.afu.se/Downloads/Transcripts/0%20-%20Government/USA%20-%20NASA/2013 01 22 - NASA - Orion and Curiosity Models on This Week @NASA_1rSSw7ajlz8 - transcript (automated).pdf","Transcript Link")</f>
        <v>Transcript Link</v>
      </c>
    </row>
    <row r="3124" ht="165" spans="1:13">
      <c r="A3124" s="1" t="s">
        <v>14210</v>
      </c>
      <c r="B3124" s="1" t="s">
        <v>13</v>
      </c>
      <c r="C3124" s="4" t="s">
        <v>14215</v>
      </c>
      <c r="D3124" s="1" t="s">
        <v>14216</v>
      </c>
      <c r="E3124" s="1" t="s">
        <v>14217</v>
      </c>
      <c r="F3124" s="4" t="s">
        <v>17</v>
      </c>
      <c r="G3124" s="1" t="s">
        <v>18</v>
      </c>
      <c r="H3124" s="1" t="s">
        <v>19</v>
      </c>
      <c r="I3124" s="1" t="s">
        <v>20</v>
      </c>
      <c r="J3124" s="1" t="s">
        <v>14218</v>
      </c>
      <c r="K3124" s="1" t="s">
        <v>22</v>
      </c>
      <c r="L3124" s="1" t="str">
        <f>HYPERLINK("https://files.afu.se/Downloads/Transcripts/0%20-%20Government/USA%20-%20NASA/2013 01 22 - NASA - NASA's Floats in Presidential Inaugural Parade_6v-XEO6h_LE - transcript (automated).pdf","Transcript Link")</f>
        <v>Transcript Link</v>
      </c>
      <c r="M3124" s="2" t="str">
        <f>HYPERLINK("https://files.afu.se/Downloads/Transcripts/0%20-%20Government/USA%20-%20NASA/2013 01 22 - NASA - NASA's Floats in Presidential Inaugural Parade_6v-XEO6h_LE - transcript (automated).pdf","Transcript Link")</f>
        <v>Transcript Link</v>
      </c>
    </row>
    <row r="3125" ht="165" spans="1:13">
      <c r="A3125" s="1" t="s">
        <v>14219</v>
      </c>
      <c r="B3125" s="1" t="s">
        <v>13</v>
      </c>
      <c r="C3125" s="4" t="s">
        <v>14220</v>
      </c>
      <c r="D3125" s="1" t="s">
        <v>14221</v>
      </c>
      <c r="F3125" s="4" t="s">
        <v>17</v>
      </c>
      <c r="G3125" s="1" t="s">
        <v>18</v>
      </c>
      <c r="H3125" s="1" t="s">
        <v>19</v>
      </c>
      <c r="I3125" s="1" t="s">
        <v>20</v>
      </c>
      <c r="J3125" s="1" t="s">
        <v>14222</v>
      </c>
      <c r="K3125" s="1" t="s">
        <v>22</v>
      </c>
      <c r="L3125" s="1" t="str">
        <f>HYPERLINK("https://files.afu.se/Downloads/Transcripts/0%20-%20Government/USA%20-%20NASA/2013 01 21 - NASA - NASA Chosen The Best Place to Work in Federal Government_tbmX3X5Anv0 - transcript (automated).pdf","Transcript Link")</f>
        <v>Transcript Link</v>
      </c>
      <c r="M3125" s="2" t="str">
        <f>HYPERLINK("https://files.afu.se/Downloads/Transcripts/0%20-%20Government/USA%20-%20NASA/2013 01 21 - NASA - NASA Chosen The Best Place to Work in Federal Government_tbmX3X5Anv0 - transcript (automated).pdf","Transcript Link")</f>
        <v>Transcript Link</v>
      </c>
    </row>
    <row r="3126" ht="165" spans="1:13">
      <c r="A3126" s="1" t="s">
        <v>14223</v>
      </c>
      <c r="B3126" s="1" t="s">
        <v>13</v>
      </c>
      <c r="C3126" s="4" t="s">
        <v>14224</v>
      </c>
      <c r="D3126" s="1" t="s">
        <v>14225</v>
      </c>
      <c r="E3126" s="1" t="s">
        <v>14226</v>
      </c>
      <c r="F3126" s="4" t="s">
        <v>17</v>
      </c>
      <c r="G3126" s="1" t="s">
        <v>18</v>
      </c>
      <c r="H3126" s="1" t="s">
        <v>19</v>
      </c>
      <c r="I3126" s="1" t="s">
        <v>20</v>
      </c>
      <c r="J3126" s="1" t="s">
        <v>14227</v>
      </c>
      <c r="K3126" s="1" t="s">
        <v>22</v>
      </c>
      <c r="L3126" s="1" t="str">
        <f>HYPERLINK("https://files.afu.se/Downloads/Transcripts/0%20-%20Government/USA%20-%20NASA/2013 01 20 - NASA - NASA Star Party Helps Celebrate Inauguration_ui6ernRFxOg - transcript (automated).pdf","Transcript Link")</f>
        <v>Transcript Link</v>
      </c>
      <c r="M3126" s="2" t="str">
        <f>HYPERLINK("https://files.afu.se/Downloads/Transcripts/0%20-%20Government/USA%20-%20NASA/2013 01 20 - NASA - NASA Star Party Helps Celebrate Inauguration_ui6ernRFxOg - transcript (automated).pdf","Transcript Link")</f>
        <v>Transcript Link</v>
      </c>
    </row>
    <row r="3127" ht="165" spans="1:13">
      <c r="A3127" s="1" t="s">
        <v>14228</v>
      </c>
      <c r="B3127" s="1" t="s">
        <v>13</v>
      </c>
      <c r="C3127" s="4" t="s">
        <v>14229</v>
      </c>
      <c r="D3127" s="1" t="s">
        <v>14230</v>
      </c>
      <c r="E3127" s="1" t="s">
        <v>14231</v>
      </c>
      <c r="F3127" s="4" t="s">
        <v>17</v>
      </c>
      <c r="G3127" s="1" t="s">
        <v>18</v>
      </c>
      <c r="H3127" s="1" t="s">
        <v>19</v>
      </c>
      <c r="I3127" s="1" t="s">
        <v>20</v>
      </c>
      <c r="J3127" s="1" t="s">
        <v>14232</v>
      </c>
      <c r="K3127" s="1" t="s">
        <v>22</v>
      </c>
      <c r="L3127" s="1" t="str">
        <f>HYPERLINK("https://files.afu.se/Downloads/Transcripts/0%20-%20Government/USA%20-%20NASA/2013 01 19 - NASA - NASA Preps for Inaugural Parade_6o7s-fVykfs - transcript (automated).pdf","Transcript Link")</f>
        <v>Transcript Link</v>
      </c>
      <c r="M3127" s="2" t="str">
        <f>HYPERLINK("https://files.afu.se/Downloads/Transcripts/0%20-%20Government/USA%20-%20NASA/2013 01 19 - NASA - NASA Preps for Inaugural Parade_6o7s-fVykfs - transcript (automated).pdf","Transcript Link")</f>
        <v>Transcript Link</v>
      </c>
    </row>
    <row r="3128" ht="165" spans="1:13">
      <c r="A3128" s="1" t="s">
        <v>14228</v>
      </c>
      <c r="B3128" s="1" t="s">
        <v>13</v>
      </c>
      <c r="C3128" s="4" t="s">
        <v>14233</v>
      </c>
      <c r="D3128" s="1" t="s">
        <v>14234</v>
      </c>
      <c r="E3128" s="1" t="s">
        <v>14235</v>
      </c>
      <c r="F3128" s="4" t="s">
        <v>17</v>
      </c>
      <c r="G3128" s="1" t="s">
        <v>18</v>
      </c>
      <c r="H3128" s="1" t="s">
        <v>19</v>
      </c>
      <c r="I3128" s="1" t="s">
        <v>20</v>
      </c>
      <c r="J3128" s="1" t="s">
        <v>14236</v>
      </c>
      <c r="K3128" s="1" t="s">
        <v>22</v>
      </c>
      <c r="L3128" s="1" t="str">
        <f>HYPERLINK("https://files.afu.se/Downloads/Transcripts/0%20-%20Government/USA%20-%20NASA/2013 01 19 - NASA - NASA on National Mall for National Day of Service_7I0pUE0GQn0 - transcript (automated).pdf","Transcript Link")</f>
        <v>Transcript Link</v>
      </c>
      <c r="M3128" s="2" t="str">
        <f>HYPERLINK("https://files.afu.se/Downloads/Transcripts/0%20-%20Government/USA%20-%20NASA/2013 01 19 - NASA - NASA on National Mall for National Day of Service_7I0pUE0GQn0 - transcript (automated).pdf","Transcript Link")</f>
        <v>Transcript Link</v>
      </c>
    </row>
    <row r="3129" ht="165" spans="1:13">
      <c r="A3129" s="1" t="s">
        <v>14228</v>
      </c>
      <c r="B3129" s="1" t="s">
        <v>13</v>
      </c>
      <c r="C3129" s="4" t="s">
        <v>14237</v>
      </c>
      <c r="D3129" s="1" t="s">
        <v>14238</v>
      </c>
      <c r="E3129" s="1" t="s">
        <v>14239</v>
      </c>
      <c r="F3129" s="4" t="s">
        <v>17</v>
      </c>
      <c r="G3129" s="1" t="s">
        <v>18</v>
      </c>
      <c r="H3129" s="1" t="s">
        <v>19</v>
      </c>
      <c r="I3129" s="1" t="s">
        <v>20</v>
      </c>
      <c r="J3129" s="1" t="s">
        <v>14240</v>
      </c>
      <c r="K3129" s="1" t="s">
        <v>22</v>
      </c>
      <c r="L3129" s="1" t="str">
        <f>HYPERLINK("https://files.afu.se/Downloads/Transcripts/0%20-%20Government/USA%20-%20NASA/2013 01 19 - NASA - NASA Open House Highlights Mars Exploration_tPqHSSTyZsU - transcript (automated).pdf","Transcript Link")</f>
        <v>Transcript Link</v>
      </c>
      <c r="M3129" s="2" t="str">
        <f>HYPERLINK("https://files.afu.se/Downloads/Transcripts/0%20-%20Government/USA%20-%20NASA/2013 01 19 - NASA - NASA Open House Highlights Mars Exploration_tPqHSSTyZsU - transcript (automated).pdf","Transcript Link")</f>
        <v>Transcript Link</v>
      </c>
    </row>
    <row r="3130" ht="165" spans="1:13">
      <c r="A3130" s="1" t="s">
        <v>14241</v>
      </c>
      <c r="B3130" s="1" t="s">
        <v>13</v>
      </c>
      <c r="C3130" s="4" t="s">
        <v>14242</v>
      </c>
      <c r="D3130" s="1" t="s">
        <v>14243</v>
      </c>
      <c r="E3130" s="1" t="s">
        <v>14244</v>
      </c>
      <c r="F3130" s="4" t="s">
        <v>17</v>
      </c>
      <c r="G3130" s="1" t="s">
        <v>18</v>
      </c>
      <c r="H3130" s="1" t="s">
        <v>19</v>
      </c>
      <c r="I3130" s="1" t="s">
        <v>20</v>
      </c>
      <c r="J3130" s="1" t="s">
        <v>14245</v>
      </c>
      <c r="K3130" s="1" t="s">
        <v>22</v>
      </c>
      <c r="L3130" s="1" t="str">
        <f>HYPERLINK("https://files.afu.se/Downloads/Transcripts/0%20-%20Government/USA%20-%20NASA/2013 01 18 - NASA - NASA Helps Kick Off Inaugural Weekend with Morning Open House_CeAbS4RYOYI - transcript (automated).pdf","Transcript Link")</f>
        <v>Transcript Link</v>
      </c>
      <c r="M3130" s="2" t="str">
        <f>HYPERLINK("https://files.afu.se/Downloads/Transcripts/0%20-%20Government/USA%20-%20NASA/2013 01 18 - NASA - NASA Helps Kick Off Inaugural Weekend with Morning Open House_CeAbS4RYOYI - transcript (automated).pdf","Transcript Link")</f>
        <v>Transcript Link</v>
      </c>
    </row>
    <row r="3131" ht="165" spans="1:13">
      <c r="A3131" s="1" t="s">
        <v>14241</v>
      </c>
      <c r="B3131" s="1" t="s">
        <v>13</v>
      </c>
      <c r="C3131" s="4" t="s">
        <v>14246</v>
      </c>
      <c r="D3131" s="1" t="s">
        <v>14247</v>
      </c>
      <c r="E3131" s="1" t="s">
        <v>14248</v>
      </c>
      <c r="F3131" s="4" t="s">
        <v>17</v>
      </c>
      <c r="G3131" s="1" t="s">
        <v>18</v>
      </c>
      <c r="H3131" s="1" t="s">
        <v>19</v>
      </c>
      <c r="I3131" s="1" t="s">
        <v>20</v>
      </c>
      <c r="J3131" s="1" t="s">
        <v>14249</v>
      </c>
      <c r="K3131" s="1" t="s">
        <v>22</v>
      </c>
      <c r="L3131" s="1" t="str">
        <f>HYPERLINK("https://files.afu.se/Downloads/Transcripts/0%20-%20Government/USA%20-%20NASA/2013 01 18 - NASA - Inauguration Weekend on This Week @NASA_QNbQDVdybq4 - transcript (automated).pdf","Transcript Link")</f>
        <v>Transcript Link</v>
      </c>
      <c r="M3131" s="2" t="str">
        <f>HYPERLINK("https://files.afu.se/Downloads/Transcripts/0%20-%20Government/USA%20-%20NASA/2013 01 18 - NASA - Inauguration Weekend on This Week @NASA_QNbQDVdybq4 - transcript (automated).pdf","Transcript Link")</f>
        <v>Transcript Link</v>
      </c>
    </row>
    <row r="3132" ht="285" spans="1:13">
      <c r="A3132" s="1" t="s">
        <v>14241</v>
      </c>
      <c r="B3132" s="1" t="s">
        <v>13</v>
      </c>
      <c r="C3132" s="4" t="s">
        <v>14250</v>
      </c>
      <c r="D3132" s="1" t="s">
        <v>14251</v>
      </c>
      <c r="E3132" s="1" t="s">
        <v>12006</v>
      </c>
      <c r="F3132" s="4" t="s">
        <v>17</v>
      </c>
      <c r="G3132" s="1" t="s">
        <v>18</v>
      </c>
      <c r="H3132" s="1" t="s">
        <v>19</v>
      </c>
      <c r="I3132" s="1" t="s">
        <v>20</v>
      </c>
      <c r="J3132" s="1" t="s">
        <v>14252</v>
      </c>
      <c r="K3132" s="1" t="s">
        <v>22</v>
      </c>
      <c r="L3132" s="1" t="str">
        <f>HYPERLINK("https://files.afu.se/Downloads/Transcripts/0%20-%20Government/USA%20-%20NASA/2013 01 18 - NASA - NASA's Mars Curiosity Rover Report - January 18, 2013_z4vB44Rdq48 - transcript (automated).pdf","Transcript Link")</f>
        <v>Transcript Link</v>
      </c>
      <c r="M3132" s="2" t="str">
        <f>HYPERLINK("https://files.afu.se/Downloads/Transcripts/0%20-%20Government/USA%20-%20NASA/2013 01 18 - NASA - NASA's Mars Curiosity Rover Report - January 18, 2013_z4vB44Rdq48 - transcript (automated).pdf","Transcript Link")</f>
        <v>Transcript Link</v>
      </c>
    </row>
    <row r="3133" ht="165" spans="1:13">
      <c r="A3133" s="1" t="s">
        <v>14241</v>
      </c>
      <c r="B3133" s="1" t="s">
        <v>13</v>
      </c>
      <c r="C3133" s="4" t="s">
        <v>14253</v>
      </c>
      <c r="D3133" s="1" t="s">
        <v>14254</v>
      </c>
      <c r="E3133" s="1" t="s">
        <v>14255</v>
      </c>
      <c r="F3133" s="4" t="s">
        <v>17</v>
      </c>
      <c r="G3133" s="1" t="s">
        <v>18</v>
      </c>
      <c r="H3133" s="1" t="s">
        <v>19</v>
      </c>
      <c r="I3133" s="1" t="s">
        <v>20</v>
      </c>
      <c r="J3133" s="1" t="s">
        <v>14256</v>
      </c>
      <c r="K3133" s="1" t="s">
        <v>22</v>
      </c>
      <c r="L3133" s="1" t="str">
        <f>HYPERLINK("https://files.afu.se/Downloads/Transcripts/0%20-%20Government/USA%20-%20NASA/2013 01 18 - NASA - ScienceCasts  Comet of the Century_aKSXNeqxPQE - transcript (automated).pdf","Transcript Link")</f>
        <v>Transcript Link</v>
      </c>
      <c r="M3133" s="2" t="str">
        <f>HYPERLINK("https://files.afu.se/Downloads/Transcripts/0%20-%20Government/USA%20-%20NASA/2013 01 18 - NASA - ScienceCasts  Comet of the Century_aKSXNeqxPQE - transcript (automated).pdf","Transcript Link")</f>
        <v>Transcript Link</v>
      </c>
    </row>
    <row r="3134" ht="165" spans="1:13">
      <c r="A3134" s="1" t="s">
        <v>14257</v>
      </c>
      <c r="B3134" s="1" t="s">
        <v>13</v>
      </c>
      <c r="C3134" s="4" t="s">
        <v>14258</v>
      </c>
      <c r="D3134" s="1" t="s">
        <v>14259</v>
      </c>
      <c r="E3134" s="1" t="s">
        <v>14260</v>
      </c>
      <c r="F3134" s="4" t="s">
        <v>17</v>
      </c>
      <c r="G3134" s="1" t="s">
        <v>18</v>
      </c>
      <c r="H3134" s="1" t="s">
        <v>19</v>
      </c>
      <c r="I3134" s="1" t="s">
        <v>20</v>
      </c>
      <c r="J3134" s="1" t="s">
        <v>14261</v>
      </c>
      <c r="K3134" s="1" t="s">
        <v>22</v>
      </c>
      <c r="L3134" s="1" t="str">
        <f>HYPERLINK("https://files.afu.se/Downloads/Transcripts/0%20-%20Government/USA%20-%20NASA/2013 01 17 - NASA - Next ISS Missions Previewed by Crew Members_yf3OxLxKyyA - transcript (automated).pdf","Transcript Link")</f>
        <v>Transcript Link</v>
      </c>
      <c r="M3134" s="2" t="str">
        <f>HYPERLINK("https://files.afu.se/Downloads/Transcripts/0%20-%20Government/USA%20-%20NASA/2013 01 17 - NASA - Next ISS Missions Previewed by Crew Members_yf3OxLxKyyA - transcript (automated).pdf","Transcript Link")</f>
        <v>Transcript Link</v>
      </c>
    </row>
    <row r="3135" ht="165" spans="1:13">
      <c r="A3135" s="1" t="s">
        <v>14257</v>
      </c>
      <c r="B3135" s="1" t="s">
        <v>13</v>
      </c>
      <c r="C3135" s="4" t="s">
        <v>14262</v>
      </c>
      <c r="D3135" s="1" t="s">
        <v>14263</v>
      </c>
      <c r="E3135" s="1" t="s">
        <v>14264</v>
      </c>
      <c r="F3135" s="4" t="s">
        <v>17</v>
      </c>
      <c r="G3135" s="1" t="s">
        <v>18</v>
      </c>
      <c r="H3135" s="1" t="s">
        <v>19</v>
      </c>
      <c r="I3135" s="1" t="s">
        <v>20</v>
      </c>
      <c r="J3135" s="1" t="s">
        <v>14265</v>
      </c>
      <c r="K3135" s="1" t="s">
        <v>22</v>
      </c>
      <c r="L3135" s="1" t="str">
        <f>HYPERLINK("https://files.afu.se/Downloads/Transcripts/0%20-%20Government/USA%20-%20NASA/2013 01 17 - NASA - ISS to Experience Heavy Traffic on Next Missions_0DM750sNj8g - transcript (automated).pdf","Transcript Link")</f>
        <v>Transcript Link</v>
      </c>
      <c r="M3135" s="2" t="str">
        <f>HYPERLINK("https://files.afu.se/Downloads/Transcripts/0%20-%20Government/USA%20-%20NASA/2013 01 17 - NASA - ISS to Experience Heavy Traffic on Next Missions_0DM750sNj8g - transcript (automated).pdf","Transcript Link")</f>
        <v>Transcript Link</v>
      </c>
    </row>
    <row r="3136" ht="165" spans="1:13">
      <c r="A3136" s="1" t="s">
        <v>14257</v>
      </c>
      <c r="B3136" s="1" t="s">
        <v>13</v>
      </c>
      <c r="C3136" s="4" t="s">
        <v>14266</v>
      </c>
      <c r="D3136" s="1" t="s">
        <v>14267</v>
      </c>
      <c r="E3136" s="1" t="s">
        <v>14268</v>
      </c>
      <c r="F3136" s="4" t="s">
        <v>17</v>
      </c>
      <c r="G3136" s="1" t="s">
        <v>18</v>
      </c>
      <c r="H3136" s="1" t="s">
        <v>19</v>
      </c>
      <c r="I3136" s="1" t="s">
        <v>20</v>
      </c>
      <c r="J3136" s="1" t="s">
        <v>14269</v>
      </c>
      <c r="K3136" s="1" t="s">
        <v>22</v>
      </c>
      <c r="L3136" s="1" t="str">
        <f>HYPERLINK("https://files.afu.se/Downloads/Transcripts/0%20-%20Government/USA%20-%20NASA/2013 01 17 - NASA - Hadfield Chats with Hadfield School Students Back Home_F_G7KyJG57Q - transcript (automated).pdf","Transcript Link")</f>
        <v>Transcript Link</v>
      </c>
      <c r="M3136" s="2" t="str">
        <f>HYPERLINK("https://files.afu.se/Downloads/Transcripts/0%20-%20Government/USA%20-%20NASA/2013 01 17 - NASA - Hadfield Chats with Hadfield School Students Back Home_F_G7KyJG57Q - transcript (automated).pdf","Transcript Link")</f>
        <v>Transcript Link</v>
      </c>
    </row>
    <row r="3137" ht="255" spans="1:13">
      <c r="A3137" s="1" t="s">
        <v>14270</v>
      </c>
      <c r="B3137" s="1" t="s">
        <v>13</v>
      </c>
      <c r="C3137" s="4" t="s">
        <v>14271</v>
      </c>
      <c r="D3137" s="1" t="s">
        <v>14272</v>
      </c>
      <c r="E3137" s="1" t="s">
        <v>14273</v>
      </c>
      <c r="F3137" s="4" t="s">
        <v>17</v>
      </c>
      <c r="G3137" s="1" t="s">
        <v>18</v>
      </c>
      <c r="H3137" s="1" t="s">
        <v>19</v>
      </c>
      <c r="I3137" s="1" t="s">
        <v>20</v>
      </c>
      <c r="J3137" s="1" t="s">
        <v>14274</v>
      </c>
      <c r="K3137" s="1" t="s">
        <v>22</v>
      </c>
      <c r="L3137" s="1" t="str">
        <f>HYPERLINK("https://files.afu.se/Downloads/Transcripts/0%20-%20Government/USA%20-%20NASA/2013 01 16 - NASA - NASA to Test Expandable Habitat on ISS_mU8H9CcziL0 - transcript (automated).pdf","Transcript Link")</f>
        <v>Transcript Link</v>
      </c>
      <c r="M3137" s="2" t="str">
        <f>HYPERLINK("https://files.afu.se/Downloads/Transcripts/0%20-%20Government/USA%20-%20NASA/2013 01 16 - NASA - NASA to Test Expandable Habitat on ISS_mU8H9CcziL0 - transcript (automated).pdf","Transcript Link")</f>
        <v>Transcript Link</v>
      </c>
    </row>
    <row r="3138" ht="210" spans="1:13">
      <c r="A3138" s="1" t="s">
        <v>14270</v>
      </c>
      <c r="B3138" s="1" t="s">
        <v>13</v>
      </c>
      <c r="C3138" s="4" t="s">
        <v>14275</v>
      </c>
      <c r="D3138" s="1" t="s">
        <v>14276</v>
      </c>
      <c r="E3138" s="1" t="s">
        <v>14277</v>
      </c>
      <c r="F3138" s="4" t="s">
        <v>17</v>
      </c>
      <c r="G3138" s="1" t="s">
        <v>18</v>
      </c>
      <c r="H3138" s="1" t="s">
        <v>19</v>
      </c>
      <c r="I3138" s="1" t="s">
        <v>20</v>
      </c>
      <c r="J3138" s="1" t="s">
        <v>14278</v>
      </c>
      <c r="K3138" s="1" t="s">
        <v>22</v>
      </c>
      <c r="L3138" s="1" t="str">
        <f>HYPERLINK("https://files.afu.se/Downloads/Transcripts/0%20-%20Government/USA%20-%20NASA/2013 01 16 - NASA - NASA Signs Agreement for European-Provided Orion Service Module_XgKovUIQ1Eo - transcript (automated).pdf","Transcript Link")</f>
        <v>Transcript Link</v>
      </c>
      <c r="M3138" s="2" t="str">
        <f>HYPERLINK("https://files.afu.se/Downloads/Transcripts/0%20-%20Government/USA%20-%20NASA/2013 01 16 - NASA - NASA Signs Agreement for European-Provided Orion Service Module_XgKovUIQ1Eo - transcript (automated).pdf","Transcript Link")</f>
        <v>Transcript Link</v>
      </c>
    </row>
    <row r="3139" ht="180" spans="1:13">
      <c r="A3139" s="1" t="s">
        <v>14270</v>
      </c>
      <c r="B3139" s="1" t="s">
        <v>13</v>
      </c>
      <c r="C3139" s="4" t="s">
        <v>14279</v>
      </c>
      <c r="D3139" s="1" t="s">
        <v>14280</v>
      </c>
      <c r="E3139" s="1" t="s">
        <v>14281</v>
      </c>
      <c r="F3139" s="4" t="s">
        <v>17</v>
      </c>
      <c r="G3139" s="1" t="s">
        <v>18</v>
      </c>
      <c r="H3139" s="1" t="s">
        <v>19</v>
      </c>
      <c r="I3139" s="1" t="s">
        <v>20</v>
      </c>
      <c r="J3139" s="1" t="s">
        <v>14282</v>
      </c>
      <c r="K3139" s="1" t="s">
        <v>22</v>
      </c>
      <c r="L3139" s="1" t="str">
        <f>HYPERLINK("https://files.afu.se/Downloads/Transcripts/0%20-%20Government/USA%20-%20NASA/2013 01 16 - NASA - NASA, ESA Agree on New Orion Service Module_canmpG_uSow - transcript (automated).pdf","Transcript Link")</f>
        <v>Transcript Link</v>
      </c>
      <c r="M3139" s="2" t="str">
        <f>HYPERLINK("https://files.afu.se/Downloads/Transcripts/0%20-%20Government/USA%20-%20NASA/2013 01 16 - NASA - NASA, ESA Agree on New Orion Service Module_canmpG_uSow - transcript (automated).pdf","Transcript Link")</f>
        <v>Transcript Link</v>
      </c>
    </row>
    <row r="3140" ht="165" spans="1:13">
      <c r="A3140" s="1" t="s">
        <v>14283</v>
      </c>
      <c r="B3140" s="1" t="s">
        <v>13</v>
      </c>
      <c r="C3140" s="4" t="s">
        <v>14284</v>
      </c>
      <c r="D3140" s="1" t="s">
        <v>14285</v>
      </c>
      <c r="E3140" s="1" t="s">
        <v>14286</v>
      </c>
      <c r="F3140" s="4" t="s">
        <v>17</v>
      </c>
      <c r="G3140" s="1" t="s">
        <v>18</v>
      </c>
      <c r="H3140" s="1" t="s">
        <v>19</v>
      </c>
      <c r="I3140" s="1" t="s">
        <v>20</v>
      </c>
      <c r="J3140" s="1" t="s">
        <v>14287</v>
      </c>
      <c r="K3140" s="1" t="s">
        <v>22</v>
      </c>
      <c r="L3140" s="1" t="str">
        <f>HYPERLINK("https://files.afu.se/Downloads/Transcripts/0%20-%20Government/USA%20-%20NASA/2013 01 15 - NASA - Refueling Satellites with Robots!_VD0tU2-D448 - transcript (automated).pdf","Transcript Link")</f>
        <v>Transcript Link</v>
      </c>
      <c r="M3140" s="2" t="str">
        <f>HYPERLINK("https://files.afu.se/Downloads/Transcripts/0%20-%20Government/USA%20-%20NASA/2013 01 15 - NASA - Refueling Satellites with Robots!_VD0tU2-D448 - transcript (automated).pdf","Transcript Link")</f>
        <v>Transcript Link</v>
      </c>
    </row>
    <row r="3141" ht="165" spans="1:13">
      <c r="A3141" s="1" t="s">
        <v>14288</v>
      </c>
      <c r="B3141" s="1" t="s">
        <v>13</v>
      </c>
      <c r="C3141" s="4" t="s">
        <v>14289</v>
      </c>
      <c r="D3141" s="1" t="s">
        <v>14290</v>
      </c>
      <c r="E3141" s="1" t="s">
        <v>14291</v>
      </c>
      <c r="F3141" s="4" t="s">
        <v>17</v>
      </c>
      <c r="G3141" s="1" t="s">
        <v>18</v>
      </c>
      <c r="H3141" s="1" t="s">
        <v>19</v>
      </c>
      <c r="I3141" s="1" t="s">
        <v>20</v>
      </c>
      <c r="J3141" s="1" t="s">
        <v>14292</v>
      </c>
      <c r="K3141" s="1" t="s">
        <v>22</v>
      </c>
      <c r="L3141" s="1" t="str">
        <f>HYPERLINK("https://files.afu.se/Downloads/Transcripts/0%20-%20Government/USA%20-%20NASA/2013 01 11 - NASA - Commercial Crew Progresses on This Week @NASA_ErzROQYSf_0 - transcript (automated).pdf","Transcript Link")</f>
        <v>Transcript Link</v>
      </c>
      <c r="M3141" s="2" t="str">
        <f>HYPERLINK("https://files.afu.se/Downloads/Transcripts/0%20-%20Government/USA%20-%20NASA/2013 01 11 - NASA - Commercial Crew Progresses on This Week @NASA_ErzROQYSf_0 - transcript (automated).pdf","Transcript Link")</f>
        <v>Transcript Link</v>
      </c>
    </row>
    <row r="3142" ht="165" spans="1:13">
      <c r="A3142" s="1" t="s">
        <v>14288</v>
      </c>
      <c r="B3142" s="1" t="s">
        <v>13</v>
      </c>
      <c r="C3142" s="4" t="s">
        <v>14293</v>
      </c>
      <c r="D3142" s="1" t="s">
        <v>14294</v>
      </c>
      <c r="E3142" s="1" t="s">
        <v>14295</v>
      </c>
      <c r="F3142" s="4" t="s">
        <v>17</v>
      </c>
      <c r="G3142" s="1" t="s">
        <v>18</v>
      </c>
      <c r="H3142" s="1" t="s">
        <v>19</v>
      </c>
      <c r="I3142" s="1" t="s">
        <v>20</v>
      </c>
      <c r="J3142" s="1" t="s">
        <v>14296</v>
      </c>
      <c r="K3142" s="1" t="s">
        <v>22</v>
      </c>
      <c r="L3142" s="1" t="str">
        <f>HYPERLINK("https://files.afu.se/Downloads/Transcripts/0%20-%20Government/USA%20-%20NASA/2013 01 11 - NASA - Bluegrass State Students Chat with Space Station Astronaut_6-vwlAmrhp0 - transcript (automated).pdf","Transcript Link")</f>
        <v>Transcript Link</v>
      </c>
      <c r="M3142" s="2" t="str">
        <f>HYPERLINK("https://files.afu.se/Downloads/Transcripts/0%20-%20Government/USA%20-%20NASA/2013 01 11 - NASA - Bluegrass State Students Chat with Space Station Astronaut_6-vwlAmrhp0 - transcript (automated).pdf","Transcript Link")</f>
        <v>Transcript Link</v>
      </c>
    </row>
    <row r="3143" ht="285" spans="1:13">
      <c r="A3143" s="1" t="s">
        <v>14288</v>
      </c>
      <c r="B3143" s="1" t="s">
        <v>13</v>
      </c>
      <c r="C3143" s="4" t="s">
        <v>14297</v>
      </c>
      <c r="D3143" s="1" t="s">
        <v>14298</v>
      </c>
      <c r="E3143" s="1" t="s">
        <v>14299</v>
      </c>
      <c r="F3143" s="4" t="s">
        <v>17</v>
      </c>
      <c r="G3143" s="1" t="s">
        <v>18</v>
      </c>
      <c r="H3143" s="1" t="s">
        <v>19</v>
      </c>
      <c r="I3143" s="1" t="s">
        <v>20</v>
      </c>
      <c r="J3143" s="1" t="s">
        <v>14300</v>
      </c>
      <c r="K3143" s="1" t="s">
        <v>22</v>
      </c>
      <c r="L3143" s="1" t="str">
        <f>HYPERLINK("https://files.afu.se/Downloads/Transcripts/0%20-%20Government/USA%20-%20NASA/2013 01 11 - NASA - NASA's Mars Curiosity Rover Report - January 10, 2013_oDWb6VdC_s8 - transcript (automated).pdf","Transcript Link")</f>
        <v>Transcript Link</v>
      </c>
      <c r="M3143" s="2" t="str">
        <f>HYPERLINK("https://files.afu.se/Downloads/Transcripts/0%20-%20Government/USA%20-%20NASA/2013 01 11 - NASA - NASA's Mars Curiosity Rover Report - January 10, 2013_oDWb6VdC_s8 - transcript (automated).pdf","Transcript Link")</f>
        <v>Transcript Link</v>
      </c>
    </row>
    <row r="3144" ht="165" spans="1:13">
      <c r="A3144" s="1" t="s">
        <v>14301</v>
      </c>
      <c r="B3144" s="1" t="s">
        <v>13</v>
      </c>
      <c r="C3144" s="4" t="s">
        <v>14302</v>
      </c>
      <c r="D3144" s="1" t="s">
        <v>14303</v>
      </c>
      <c r="E3144" s="1" t="s">
        <v>14304</v>
      </c>
      <c r="F3144" s="4" t="s">
        <v>17</v>
      </c>
      <c r="G3144" s="1" t="s">
        <v>18</v>
      </c>
      <c r="H3144" s="1" t="s">
        <v>19</v>
      </c>
      <c r="I3144" s="1" t="s">
        <v>20</v>
      </c>
      <c r="J3144" s="1" t="s">
        <v>14305</v>
      </c>
      <c r="K3144" s="1" t="s">
        <v>22</v>
      </c>
      <c r="L3144" s="1" t="str">
        <f>HYPERLINK("https://files.afu.se/Downloads/Transcripts/0%20-%20Government/USA%20-%20NASA/2013 01 10 - NASA - New Satellite to Maintain Landsat Capabilities_inxyaiIYEnQ - transcript (automated).pdf","Transcript Link")</f>
        <v>Transcript Link</v>
      </c>
      <c r="M3144" s="2" t="str">
        <f>HYPERLINK("https://files.afu.se/Downloads/Transcripts/0%20-%20Government/USA%20-%20NASA/2013 01 10 - NASA - New Satellite to Maintain Landsat Capabilities_inxyaiIYEnQ - transcript (automated).pdf","Transcript Link")</f>
        <v>Transcript Link</v>
      </c>
    </row>
    <row r="3145" ht="165" spans="1:13">
      <c r="A3145" s="1" t="s">
        <v>14301</v>
      </c>
      <c r="B3145" s="1" t="s">
        <v>13</v>
      </c>
      <c r="C3145" s="4" t="s">
        <v>14306</v>
      </c>
      <c r="D3145" s="1" t="s">
        <v>14307</v>
      </c>
      <c r="E3145" s="1" t="s">
        <v>14308</v>
      </c>
      <c r="F3145" s="4" t="s">
        <v>17</v>
      </c>
      <c r="G3145" s="1" t="s">
        <v>18</v>
      </c>
      <c r="H3145" s="1" t="s">
        <v>19</v>
      </c>
      <c r="I3145" s="1" t="s">
        <v>20</v>
      </c>
      <c r="J3145" s="1" t="s">
        <v>14309</v>
      </c>
      <c r="K3145" s="1" t="s">
        <v>22</v>
      </c>
      <c r="L3145" s="1" t="str">
        <f>HYPERLINK("https://files.afu.se/Downloads/Transcripts/0%20-%20Government/USA%20-%20NASA/2013 01 10 - NASA - Canada's Hadfield Queried from Quebec_absjEiqicw4 - transcript (automated).pdf","Transcript Link")</f>
        <v>Transcript Link</v>
      </c>
      <c r="M3145" s="2" t="str">
        <f>HYPERLINK("https://files.afu.se/Downloads/Transcripts/0%20-%20Government/USA%20-%20NASA/2013 01 10 - NASA - Canada's Hadfield Queried from Quebec_absjEiqicw4 - transcript (automated).pdf","Transcript Link")</f>
        <v>Transcript Link</v>
      </c>
    </row>
    <row r="3146" ht="165" spans="1:13">
      <c r="A3146" s="1" t="s">
        <v>14310</v>
      </c>
      <c r="B3146" s="1" t="s">
        <v>13</v>
      </c>
      <c r="C3146" s="4" t="s">
        <v>14311</v>
      </c>
      <c r="D3146" s="1" t="s">
        <v>14312</v>
      </c>
      <c r="E3146" s="1" t="s">
        <v>14313</v>
      </c>
      <c r="F3146" s="4" t="s">
        <v>17</v>
      </c>
      <c r="G3146" s="1" t="s">
        <v>18</v>
      </c>
      <c r="H3146" s="1" t="s">
        <v>19</v>
      </c>
      <c r="I3146" s="1" t="s">
        <v>20</v>
      </c>
      <c r="J3146" s="1" t="s">
        <v>14314</v>
      </c>
      <c r="K3146" s="1" t="s">
        <v>22</v>
      </c>
      <c r="L3146" s="1" t="str">
        <f>HYPERLINK("https://files.afu.se/Downloads/Transcripts/0%20-%20Government/USA%20-%20NASA/2013 01 09 - NASA - Commercial Crew Progress Status Update_IvVdD6qqROM - transcript (automated).pdf","Transcript Link")</f>
        <v>Transcript Link</v>
      </c>
      <c r="M3146" s="2" t="str">
        <f>HYPERLINK("https://files.afu.se/Downloads/Transcripts/0%20-%20Government/USA%20-%20NASA/2013 01 09 - NASA - Commercial Crew Progress Status Update_IvVdD6qqROM - transcript (automated).pdf","Transcript Link")</f>
        <v>Transcript Link</v>
      </c>
    </row>
    <row r="3147" ht="165" spans="1:13">
      <c r="A3147" s="1" t="s">
        <v>14310</v>
      </c>
      <c r="B3147" s="1" t="s">
        <v>13</v>
      </c>
      <c r="C3147" s="4" t="s">
        <v>14315</v>
      </c>
      <c r="D3147" s="1" t="s">
        <v>14316</v>
      </c>
      <c r="E3147" s="1" t="s">
        <v>14317</v>
      </c>
      <c r="F3147" s="4" t="s">
        <v>17</v>
      </c>
      <c r="G3147" s="1" t="s">
        <v>18</v>
      </c>
      <c r="H3147" s="1" t="s">
        <v>19</v>
      </c>
      <c r="I3147" s="1" t="s">
        <v>20</v>
      </c>
      <c r="J3147" s="1" t="s">
        <v>14318</v>
      </c>
      <c r="K3147" s="1" t="s">
        <v>22</v>
      </c>
      <c r="L3147" s="1" t="str">
        <f>HYPERLINK("https://files.afu.se/Downloads/Transcripts/0%20-%20Government/USA%20-%20NASA/2013 01 09 - NASA - ISS Scientist Explains Import of Research_MF7JLvoYYmE - transcript (automated).pdf","Transcript Link")</f>
        <v>Transcript Link</v>
      </c>
      <c r="M3147" s="2" t="str">
        <f>HYPERLINK("https://files.afu.se/Downloads/Transcripts/0%20-%20Government/USA%20-%20NASA/2013 01 09 - NASA - ISS Scientist Explains Import of Research_MF7JLvoYYmE - transcript (automated).pdf","Transcript Link")</f>
        <v>Transcript Link</v>
      </c>
    </row>
    <row r="3148" ht="165" spans="1:13">
      <c r="A3148" s="1" t="s">
        <v>14319</v>
      </c>
      <c r="B3148" s="1" t="s">
        <v>13</v>
      </c>
      <c r="C3148" s="4" t="s">
        <v>14320</v>
      </c>
      <c r="D3148" s="1" t="s">
        <v>14321</v>
      </c>
      <c r="E3148" s="1" t="s">
        <v>14322</v>
      </c>
      <c r="F3148" s="4" t="s">
        <v>17</v>
      </c>
      <c r="G3148" s="1" t="s">
        <v>18</v>
      </c>
      <c r="H3148" s="1" t="s">
        <v>19</v>
      </c>
      <c r="I3148" s="1" t="s">
        <v>20</v>
      </c>
      <c r="J3148" s="1" t="s">
        <v>14323</v>
      </c>
      <c r="K3148" s="1" t="s">
        <v>22</v>
      </c>
      <c r="L3148" s="1" t="str">
        <f>HYPERLINK("https://files.afu.se/Downloads/Transcripts/0%20-%20Government/USA%20-%20NASA/2013 01 08 - NASA - Notre Dame Football Gets Shout Out from Space_dvLSYBaSE3c - transcript (automated).pdf","Transcript Link")</f>
        <v>Transcript Link</v>
      </c>
      <c r="M3148" s="2" t="str">
        <f>HYPERLINK("https://files.afu.se/Downloads/Transcripts/0%20-%20Government/USA%20-%20NASA/2013 01 08 - NASA - Notre Dame Football Gets Shout Out from Space_dvLSYBaSE3c - transcript (automated).pdf","Transcript Link")</f>
        <v>Transcript Link</v>
      </c>
    </row>
    <row r="3149" ht="165" spans="1:13">
      <c r="A3149" s="1" t="s">
        <v>14324</v>
      </c>
      <c r="B3149" s="1" t="s">
        <v>13</v>
      </c>
      <c r="C3149" s="4" t="s">
        <v>14325</v>
      </c>
      <c r="D3149" s="1" t="s">
        <v>14326</v>
      </c>
      <c r="E3149" s="1" t="s">
        <v>14327</v>
      </c>
      <c r="F3149" s="4" t="s">
        <v>17</v>
      </c>
      <c r="G3149" s="1" t="s">
        <v>18</v>
      </c>
      <c r="H3149" s="1" t="s">
        <v>19</v>
      </c>
      <c r="I3149" s="1" t="s">
        <v>20</v>
      </c>
      <c r="J3149" s="1" t="s">
        <v>14328</v>
      </c>
      <c r="K3149" s="1" t="s">
        <v>22</v>
      </c>
      <c r="L3149" s="1" t="str">
        <f>HYPERLINK("https://files.afu.se/Downloads/Transcripts/0%20-%20Government/USA%20-%20NASA/2013 01 07 - NASA - Rocket's Core Gets Rave Review on This Week @NASA_LS2_FKKApRA - transcript (automated).pdf","Transcript Link")</f>
        <v>Transcript Link</v>
      </c>
      <c r="M3149" s="2" t="str">
        <f>HYPERLINK("https://files.afu.se/Downloads/Transcripts/0%20-%20Government/USA%20-%20NASA/2013 01 07 - NASA - Rocket's Core Gets Rave Review on This Week @NASA_LS2_FKKApRA - transcript (automated).pdf","Transcript Link")</f>
        <v>Transcript Link</v>
      </c>
    </row>
    <row r="3150" ht="165" spans="1:13">
      <c r="A3150" s="1" t="s">
        <v>14324</v>
      </c>
      <c r="B3150" s="1" t="s">
        <v>13</v>
      </c>
      <c r="C3150" s="4" t="s">
        <v>14329</v>
      </c>
      <c r="D3150" s="1" t="s">
        <v>14330</v>
      </c>
      <c r="E3150" s="1" t="s">
        <v>14331</v>
      </c>
      <c r="F3150" s="4" t="s">
        <v>17</v>
      </c>
      <c r="G3150" s="1" t="s">
        <v>18</v>
      </c>
      <c r="H3150" s="1" t="s">
        <v>19</v>
      </c>
      <c r="I3150" s="1" t="s">
        <v>20</v>
      </c>
      <c r="J3150" s="1" t="s">
        <v>14332</v>
      </c>
      <c r="K3150" s="1" t="s">
        <v>22</v>
      </c>
      <c r="L3150" s="1" t="str">
        <f>HYPERLINK("https://files.afu.se/Downloads/Transcripts/0%20-%20Government/USA%20-%20NASA/2013 01 07 - NASA - ScienceCasts  Dark Lightning_OBOolkHVG_Q - transcript (automated).pdf","Transcript Link")</f>
        <v>Transcript Link</v>
      </c>
      <c r="M3150" s="2" t="str">
        <f>HYPERLINK("https://files.afu.se/Downloads/Transcripts/0%20-%20Government/USA%20-%20NASA/2013 01 07 - NASA - ScienceCasts  Dark Lightning_OBOolkHVG_Q - transcript (automated).pdf","Transcript Link")</f>
        <v>Transcript Link</v>
      </c>
    </row>
    <row r="3151" ht="165" spans="1:13">
      <c r="A3151" s="1" t="s">
        <v>14333</v>
      </c>
      <c r="B3151" s="1" t="s">
        <v>13</v>
      </c>
      <c r="C3151" s="4" t="s">
        <v>14334</v>
      </c>
      <c r="D3151" s="1" t="s">
        <v>14335</v>
      </c>
      <c r="E3151" s="1" t="s">
        <v>14336</v>
      </c>
      <c r="F3151" s="4" t="s">
        <v>17</v>
      </c>
      <c r="G3151" s="1" t="s">
        <v>18</v>
      </c>
      <c r="H3151" s="1" t="s">
        <v>19</v>
      </c>
      <c r="I3151" s="1" t="s">
        <v>20</v>
      </c>
      <c r="J3151" s="1" t="s">
        <v>14337</v>
      </c>
      <c r="K3151" s="1" t="s">
        <v>22</v>
      </c>
      <c r="L3151" s="1" t="str">
        <f>HYPERLINK("https://files.afu.se/Downloads/Transcripts/0%20-%20Government/USA%20-%20NASA/2013 01 05 - NASA - 2013 FIRST Kicks Off_k7_zsTvZjFg - transcript (automated).pdf","Transcript Link")</f>
        <v>Transcript Link</v>
      </c>
      <c r="M3151" s="2" t="str">
        <f>HYPERLINK("https://files.afu.se/Downloads/Transcripts/0%20-%20Government/USA%20-%20NASA/2013 01 05 - NASA - 2013 FIRST Kicks Off_k7_zsTvZjFg - transcript (automated).pdf","Transcript Link")</f>
        <v>Transcript Link</v>
      </c>
    </row>
    <row r="3152" ht="165" spans="1:13">
      <c r="A3152" s="1" t="s">
        <v>14338</v>
      </c>
      <c r="B3152" s="1" t="s">
        <v>13</v>
      </c>
      <c r="C3152" s="4" t="s">
        <v>14339</v>
      </c>
      <c r="D3152" s="1" t="s">
        <v>14340</v>
      </c>
      <c r="E3152" s="1" t="s">
        <v>14341</v>
      </c>
      <c r="F3152" s="4" t="s">
        <v>17</v>
      </c>
      <c r="G3152" s="1" t="s">
        <v>18</v>
      </c>
      <c r="H3152" s="1" t="s">
        <v>19</v>
      </c>
      <c r="I3152" s="1" t="s">
        <v>20</v>
      </c>
      <c r="J3152" s="1" t="s">
        <v>14342</v>
      </c>
      <c r="K3152" s="1" t="s">
        <v>22</v>
      </c>
      <c r="L3152" s="1" t="str">
        <f>HYPERLINK("https://files.afu.se/Downloads/Transcripts/0%20-%20Government/USA%20-%20NASA/2013 01 02 - NASA - Marshburn Talks with Tar Heel Media_qUfkJyU4PaM - transcript (automated).pdf","Transcript Link")</f>
        <v>Transcript Link</v>
      </c>
      <c r="M3152" s="2" t="str">
        <f>HYPERLINK("https://files.afu.se/Downloads/Transcripts/0%20-%20Government/USA%20-%20NASA/2013 01 02 - NASA - Marshburn Talks with Tar Heel Media_qUfkJyU4PaM - transcript (automated).pdf","Transcript Link")</f>
        <v>Transcript Link</v>
      </c>
    </row>
    <row r="3153" ht="165" spans="1:13">
      <c r="A3153" s="1" t="s">
        <v>14343</v>
      </c>
      <c r="B3153" s="1" t="s">
        <v>13</v>
      </c>
      <c r="C3153" s="4" t="s">
        <v>14344</v>
      </c>
      <c r="D3153" s="1" t="s">
        <v>10365</v>
      </c>
      <c r="F3153" s="4" t="s">
        <v>17</v>
      </c>
      <c r="G3153" s="1" t="s">
        <v>18</v>
      </c>
      <c r="H3153" s="1" t="s">
        <v>19</v>
      </c>
      <c r="I3153" s="1" t="s">
        <v>20</v>
      </c>
      <c r="J3153" s="1" t="s">
        <v>14345</v>
      </c>
      <c r="K3153" s="1" t="s">
        <v>22</v>
      </c>
      <c r="L3153" s="1" t="str">
        <f>HYPERLINK("https://files.afu.se/Downloads/Transcripts/0%20-%20Government/USA%20-%20NASA/2012 12 31 - NASA - Happy New Year from NASA Television_T_2CS-ov1dU - transcript (automated).pdf","Transcript Link")</f>
        <v>Transcript Link</v>
      </c>
      <c r="M3153" s="2" t="str">
        <f>HYPERLINK("https://files.afu.se/Downloads/Transcripts/0%20-%20Government/USA%20-%20NASA/2012 12 31 - NASA - Happy New Year from NASA Television_T_2CS-ov1dU - transcript (automated).pdf","Transcript Link")</f>
        <v>Transcript Link</v>
      </c>
    </row>
    <row r="3154" ht="165" spans="1:13">
      <c r="A3154" s="1" t="s">
        <v>14346</v>
      </c>
      <c r="B3154" s="1" t="s">
        <v>13</v>
      </c>
      <c r="C3154" s="4" t="s">
        <v>14347</v>
      </c>
      <c r="D3154" s="1" t="s">
        <v>14348</v>
      </c>
      <c r="E3154" s="1" t="s">
        <v>14349</v>
      </c>
      <c r="F3154" s="4" t="s">
        <v>17</v>
      </c>
      <c r="G3154" s="1" t="s">
        <v>18</v>
      </c>
      <c r="H3154" s="1" t="s">
        <v>19</v>
      </c>
      <c r="I3154" s="1" t="s">
        <v>20</v>
      </c>
      <c r="J3154" s="1" t="s">
        <v>14350</v>
      </c>
      <c r="K3154" s="1" t="s">
        <v>22</v>
      </c>
      <c r="L3154" s="1" t="str">
        <f>HYPERLINK("https://files.afu.se/Downloads/Transcripts/0%20-%20Government/USA%20-%20NASA/2012 12 28 - NASA - Jesco von Puttkamer  1933-2012_vE55WCIf88o - transcript (automated).pdf","Transcript Link")</f>
        <v>Transcript Link</v>
      </c>
      <c r="M3154" s="2" t="str">
        <f>HYPERLINK("https://files.afu.se/Downloads/Transcripts/0%20-%20Government/USA%20-%20NASA/2012 12 28 - NASA - Jesco von Puttkamer  1933-2012_vE55WCIf88o - transcript (automated).pdf","Transcript Link")</f>
        <v>Transcript Link</v>
      </c>
    </row>
    <row r="3155" ht="165" spans="1:13">
      <c r="A3155" s="1" t="s">
        <v>14351</v>
      </c>
      <c r="B3155" s="1" t="s">
        <v>13</v>
      </c>
      <c r="C3155" s="4" t="s">
        <v>14352</v>
      </c>
      <c r="D3155" s="1" t="s">
        <v>14353</v>
      </c>
      <c r="E3155" s="1" t="s">
        <v>14354</v>
      </c>
      <c r="F3155" s="4" t="s">
        <v>17</v>
      </c>
      <c r="G3155" s="1" t="s">
        <v>18</v>
      </c>
      <c r="H3155" s="1" t="s">
        <v>19</v>
      </c>
      <c r="I3155" s="1" t="s">
        <v>20</v>
      </c>
      <c r="J3155" s="1" t="s">
        <v>14355</v>
      </c>
      <c r="K3155" s="1" t="s">
        <v>22</v>
      </c>
      <c r="L3155" s="1" t="str">
        <f>HYPERLINK("https://files.afu.se/Downloads/Transcripts/0%20-%20Government/USA%20-%20NASA/2012 12 27 - NASA - Stephen Colbert,  for This Year @NASA!_3LVm85hUBRs - transcript (automated).pdf","Transcript Link")</f>
        <v>Transcript Link</v>
      </c>
      <c r="M3155" s="2" t="str">
        <f>HYPERLINK("https://files.afu.se/Downloads/Transcripts/0%20-%20Government/USA%20-%20NASA/2012 12 27 - NASA - Stephen Colbert,  for This Year @NASA!_3LVm85hUBRs - transcript (automated).pdf","Transcript Link")</f>
        <v>Transcript Link</v>
      </c>
    </row>
    <row r="3156" ht="165" spans="1:13">
      <c r="A3156" s="1" t="s">
        <v>14356</v>
      </c>
      <c r="B3156" s="1" t="s">
        <v>13</v>
      </c>
      <c r="C3156" s="4" t="s">
        <v>14357</v>
      </c>
      <c r="D3156" s="1" t="s">
        <v>14358</v>
      </c>
      <c r="E3156" s="1" t="s">
        <v>14359</v>
      </c>
      <c r="F3156" s="4" t="s">
        <v>17</v>
      </c>
      <c r="G3156" s="1" t="s">
        <v>18</v>
      </c>
      <c r="H3156" s="1" t="s">
        <v>19</v>
      </c>
      <c r="I3156" s="1" t="s">
        <v>20</v>
      </c>
      <c r="J3156" s="1" t="s">
        <v>14360</v>
      </c>
      <c r="K3156" s="1" t="s">
        <v>22</v>
      </c>
      <c r="L3156" s="1" t="str">
        <f>HYPERLINK("https://files.afu.se/Downloads/Transcripts/0%20-%20Government/USA%20-%20NASA/2012 12 26 - NASA - Ford Fighting for Irish Football From Space!_wdseM-A0YPU - transcript (automated).pdf","Transcript Link")</f>
        <v>Transcript Link</v>
      </c>
      <c r="M3156" s="2" t="str">
        <f>HYPERLINK("https://files.afu.se/Downloads/Transcripts/0%20-%20Government/USA%20-%20NASA/2012 12 26 - NASA - Ford Fighting for Irish Football From Space!_wdseM-A0YPU - transcript (automated).pdf","Transcript Link")</f>
        <v>Transcript Link</v>
      </c>
    </row>
    <row r="3157" ht="165" spans="1:13">
      <c r="A3157" s="1" t="s">
        <v>14356</v>
      </c>
      <c r="B3157" s="1" t="s">
        <v>13</v>
      </c>
      <c r="C3157" s="4" t="s">
        <v>14361</v>
      </c>
      <c r="D3157" s="1" t="s">
        <v>14362</v>
      </c>
      <c r="E3157" s="1" t="s">
        <v>14363</v>
      </c>
      <c r="F3157" s="4" t="s">
        <v>17</v>
      </c>
      <c r="G3157" s="1" t="s">
        <v>18</v>
      </c>
      <c r="H3157" s="1" t="s">
        <v>19</v>
      </c>
      <c r="I3157" s="1" t="s">
        <v>20</v>
      </c>
      <c r="J3157" s="1" t="s">
        <v>14364</v>
      </c>
      <c r="K3157" s="1" t="s">
        <v>22</v>
      </c>
      <c r="L3157" s="1" t="str">
        <f>HYPERLINK("https://files.afu.se/Downloads/Transcripts/0%20-%20Government/USA%20-%20NASA/2012 12 26 - NASA - NASA's Mars Curiosity Rover Report %2318 -- December 21, 2012_CgRLm2srV1E - transcript (automated).pdf","Transcript Link")</f>
        <v>Transcript Link</v>
      </c>
      <c r="M3157" s="2" t="str">
        <f>HYPERLINK("https://files.afu.se/Downloads/Transcripts/0%20-%20Government/USA%20-%20NASA/2012 12 26 - NASA - NASA's Mars Curiosity Rover Report %2318 -- December 21, 2012_CgRLm2srV1E - transcript (automated).pdf","Transcript Link")</f>
        <v>Transcript Link</v>
      </c>
    </row>
    <row r="3158" ht="165" spans="1:13">
      <c r="A3158" s="1" t="s">
        <v>14365</v>
      </c>
      <c r="B3158" s="1" t="s">
        <v>13</v>
      </c>
      <c r="C3158" s="4" t="s">
        <v>14366</v>
      </c>
      <c r="D3158" s="1" t="s">
        <v>14367</v>
      </c>
      <c r="E3158" s="1" t="s">
        <v>14368</v>
      </c>
      <c r="F3158" s="4" t="s">
        <v>17</v>
      </c>
      <c r="G3158" s="1" t="s">
        <v>18</v>
      </c>
      <c r="H3158" s="1" t="s">
        <v>19</v>
      </c>
      <c r="I3158" s="1" t="s">
        <v>20</v>
      </c>
      <c r="J3158" s="1" t="s">
        <v>14369</v>
      </c>
      <c r="K3158" s="1" t="s">
        <v>22</v>
      </c>
      <c r="L3158" s="1" t="str">
        <f>HYPERLINK("https://files.afu.se/Downloads/Transcripts/0%20-%20Government/USA%20-%20NASA/2012 12 21 - NASA - Further Up Yonder  A Message from ISS to All Humankind_AmS20epgSOY - transcript (automated).pdf","Transcript Link")</f>
        <v>Transcript Link</v>
      </c>
      <c r="M3158" s="2" t="str">
        <f>HYPERLINK("https://files.afu.se/Downloads/Transcripts/0%20-%20Government/USA%20-%20NASA/2012 12 21 - NASA - Further Up Yonder  A Message from ISS to All Humankind_AmS20epgSOY - transcript (automated).pdf","Transcript Link")</f>
        <v>Transcript Link</v>
      </c>
    </row>
    <row r="3159" ht="165" spans="1:13">
      <c r="A3159" s="1" t="s">
        <v>14365</v>
      </c>
      <c r="B3159" s="1" t="s">
        <v>13</v>
      </c>
      <c r="C3159" s="4" t="s">
        <v>14370</v>
      </c>
      <c r="D3159" s="1" t="s">
        <v>14371</v>
      </c>
      <c r="E3159" s="1" t="s">
        <v>14372</v>
      </c>
      <c r="F3159" s="4" t="s">
        <v>17</v>
      </c>
      <c r="G3159" s="1" t="s">
        <v>18</v>
      </c>
      <c r="H3159" s="1" t="s">
        <v>19</v>
      </c>
      <c r="I3159" s="1" t="s">
        <v>20</v>
      </c>
      <c r="J3159" s="1" t="s">
        <v>14373</v>
      </c>
      <c r="K3159" s="1" t="s">
        <v>22</v>
      </c>
      <c r="L3159" s="1" t="str">
        <f>HYPERLINK("https://files.afu.se/Downloads/Transcripts/0%20-%20Government/USA%20-%20NASA/2012 12 21 - NASA - Happy Holidays, NASA TV Style!_P45vaEgck_w - transcript (automated).pdf","Transcript Link")</f>
        <v>Transcript Link</v>
      </c>
      <c r="M3159" s="2" t="str">
        <f>HYPERLINK("https://files.afu.se/Downloads/Transcripts/0%20-%20Government/USA%20-%20NASA/2012 12 21 - NASA - Happy Holidays, NASA TV Style!_P45vaEgck_w - transcript (automated).pdf","Transcript Link")</f>
        <v>Transcript Link</v>
      </c>
    </row>
    <row r="3160" ht="165" spans="1:13">
      <c r="A3160" s="1" t="s">
        <v>14365</v>
      </c>
      <c r="B3160" s="1" t="s">
        <v>13</v>
      </c>
      <c r="C3160" s="4" t="s">
        <v>14374</v>
      </c>
      <c r="D3160" s="1" t="s">
        <v>14375</v>
      </c>
      <c r="E3160" s="1" t="s">
        <v>14376</v>
      </c>
      <c r="F3160" s="4" t="s">
        <v>17</v>
      </c>
      <c r="G3160" s="1" t="s">
        <v>18</v>
      </c>
      <c r="H3160" s="1" t="s">
        <v>19</v>
      </c>
      <c r="I3160" s="1" t="s">
        <v>20</v>
      </c>
      <c r="J3160" s="1" t="s">
        <v>14377</v>
      </c>
      <c r="K3160" s="1" t="s">
        <v>22</v>
      </c>
      <c r="L3160" s="1" t="str">
        <f>HYPERLINK("https://files.afu.se/Downloads/Transcripts/0%20-%20Government/USA%20-%20NASA/2012 12 21 - NASA - ScienceCasts  Christmas Sky Show_Ffh1LMBLJd4 - transcript (automated).pdf","Transcript Link")</f>
        <v>Transcript Link</v>
      </c>
      <c r="M3160" s="2" t="str">
        <f>HYPERLINK("https://files.afu.se/Downloads/Transcripts/0%20-%20Government/USA%20-%20NASA/2012 12 21 - NASA - ScienceCasts  Christmas Sky Show_Ffh1LMBLJd4 - transcript (automated).pdf","Transcript Link")</f>
        <v>Transcript Link</v>
      </c>
    </row>
    <row r="3161" ht="165" spans="1:13">
      <c r="A3161" s="1" t="s">
        <v>14365</v>
      </c>
      <c r="B3161" s="1" t="s">
        <v>13</v>
      </c>
      <c r="C3161" s="4" t="s">
        <v>14378</v>
      </c>
      <c r="D3161" s="1" t="s">
        <v>14379</v>
      </c>
      <c r="E3161" s="1" t="s">
        <v>14380</v>
      </c>
      <c r="F3161" s="4" t="s">
        <v>17</v>
      </c>
      <c r="G3161" s="1" t="s">
        <v>18</v>
      </c>
      <c r="H3161" s="1" t="s">
        <v>19</v>
      </c>
      <c r="I3161" s="1" t="s">
        <v>20</v>
      </c>
      <c r="J3161" s="1" t="s">
        <v>14381</v>
      </c>
      <c r="K3161" s="1" t="s">
        <v>22</v>
      </c>
      <c r="L3161" s="1" t="str">
        <f>HYPERLINK("https://files.afu.se/Downloads/Transcripts/0%20-%20Government/USA%20-%20NASA/2012 12 21 - NASA - New Crew Arrives at Station__YkeI9VXta4 - transcript (automated).pdf","Transcript Link")</f>
        <v>Transcript Link</v>
      </c>
      <c r="M3161" s="2" t="str">
        <f>HYPERLINK("https://files.afu.se/Downloads/Transcripts/0%20-%20Government/USA%20-%20NASA/2012 12 21 - NASA - New Crew Arrives at Station__YkeI9VXta4 - transcript (automated).pdf","Transcript Link")</f>
        <v>Transcript Link</v>
      </c>
    </row>
    <row r="3162" ht="165" spans="1:13">
      <c r="A3162" s="1" t="s">
        <v>14382</v>
      </c>
      <c r="B3162" s="1" t="s">
        <v>13</v>
      </c>
      <c r="C3162" s="4" t="s">
        <v>14383</v>
      </c>
      <c r="D3162" s="1" t="s">
        <v>14384</v>
      </c>
      <c r="E3162" s="1" t="s">
        <v>14385</v>
      </c>
      <c r="F3162" s="4" t="s">
        <v>17</v>
      </c>
      <c r="G3162" s="1" t="s">
        <v>18</v>
      </c>
      <c r="H3162" s="1" t="s">
        <v>19</v>
      </c>
      <c r="I3162" s="1" t="s">
        <v>20</v>
      </c>
      <c r="J3162" s="1" t="s">
        <v>14386</v>
      </c>
      <c r="K3162" s="1" t="s">
        <v>22</v>
      </c>
      <c r="L3162" s="1" t="str">
        <f>HYPERLINK("https://files.afu.se/Downloads/Transcripts/0%20-%20Government/USA%20-%20NASA/2012 12 20 - NASA - ISS Mission Control Interview with the Digital Learning Network_oSGi7qVDBFI - transcript (automated).pdf","Transcript Link")</f>
        <v>Transcript Link</v>
      </c>
      <c r="M3162" s="2" t="str">
        <f>HYPERLINK("https://files.afu.se/Downloads/Transcripts/0%20-%20Government/USA%20-%20NASA/2012 12 20 - NASA - ISS Mission Control Interview with the Digital Learning Network_oSGi7qVDBFI - transcript (automated).pdf","Transcript Link")</f>
        <v>Transcript Link</v>
      </c>
    </row>
    <row r="3163" ht="165" spans="1:13">
      <c r="A3163" s="1" t="s">
        <v>14387</v>
      </c>
      <c r="B3163" s="1" t="s">
        <v>13</v>
      </c>
      <c r="C3163" s="4" t="s">
        <v>14388</v>
      </c>
      <c r="D3163" s="1" t="s">
        <v>14389</v>
      </c>
      <c r="E3163" s="1" t="s">
        <v>14390</v>
      </c>
      <c r="F3163" s="4" t="s">
        <v>17</v>
      </c>
      <c r="G3163" s="1" t="s">
        <v>18</v>
      </c>
      <c r="H3163" s="1" t="s">
        <v>19</v>
      </c>
      <c r="I3163" s="1" t="s">
        <v>20</v>
      </c>
      <c r="J3163" s="1" t="s">
        <v>14391</v>
      </c>
      <c r="K3163" s="1" t="s">
        <v>22</v>
      </c>
      <c r="L3163" s="1" t="str">
        <f>HYPERLINK("https://files.afu.se/Downloads/Transcripts/0%20-%20Government/USA%20-%20NASA/2012 12 19 - NASA - Exp. 34 35 Launches to the International Space Station_VoIC4POOQMg - transcript (automated).pdf","Transcript Link")</f>
        <v>Transcript Link</v>
      </c>
      <c r="M3163" s="2" t="str">
        <f>HYPERLINK("https://files.afu.se/Downloads/Transcripts/0%20-%20Government/USA%20-%20NASA/2012 12 19 - NASA - Exp. 34 35 Launches to the International Space Station_VoIC4POOQMg - transcript (automated).pdf","Transcript Link")</f>
        <v>Transcript Link</v>
      </c>
    </row>
    <row r="3164" ht="165" spans="1:13">
      <c r="A3164" s="1" t="s">
        <v>14392</v>
      </c>
      <c r="B3164" s="1" t="s">
        <v>13</v>
      </c>
      <c r="C3164" s="4" t="s">
        <v>14393</v>
      </c>
      <c r="D3164" s="1" t="s">
        <v>14394</v>
      </c>
      <c r="E3164" s="1" t="s">
        <v>14395</v>
      </c>
      <c r="F3164" s="4" t="s">
        <v>17</v>
      </c>
      <c r="G3164" s="1" t="s">
        <v>18</v>
      </c>
      <c r="H3164" s="1" t="s">
        <v>19</v>
      </c>
      <c r="I3164" s="1" t="s">
        <v>20</v>
      </c>
      <c r="J3164" s="1" t="s">
        <v>14396</v>
      </c>
      <c r="K3164" s="1" t="s">
        <v>22</v>
      </c>
      <c r="L3164" s="1" t="str">
        <f>HYPERLINK("https://files.afu.se/Downloads/Transcripts/0%20-%20Government/USA%20-%20NASA/2012 12 18 - NASA - NASA Seeks to Debunk Doomsday Prophecy_osLM4BIvSrg - transcript (automated).pdf","Transcript Link")</f>
        <v>Transcript Link</v>
      </c>
      <c r="M3164" s="2" t="str">
        <f>HYPERLINK("https://files.afu.se/Downloads/Transcripts/0%20-%20Government/USA%20-%20NASA/2012 12 18 - NASA - NASA Seeks to Debunk Doomsday Prophecy_osLM4BIvSrg - transcript (automated).pdf","Transcript Link")</f>
        <v>Transcript Link</v>
      </c>
    </row>
    <row r="3165" ht="409.5" spans="1:13">
      <c r="A3165" s="1" t="s">
        <v>14392</v>
      </c>
      <c r="B3165" s="1" t="s">
        <v>13</v>
      </c>
      <c r="C3165" s="4" t="s">
        <v>14397</v>
      </c>
      <c r="D3165" s="1" t="s">
        <v>14398</v>
      </c>
      <c r="E3165" s="1" t="s">
        <v>14399</v>
      </c>
      <c r="F3165" s="4" t="s">
        <v>17</v>
      </c>
      <c r="G3165" s="1" t="s">
        <v>18</v>
      </c>
      <c r="H3165" s="1" t="s">
        <v>19</v>
      </c>
      <c r="I3165" s="1" t="s">
        <v>20</v>
      </c>
      <c r="J3165" s="1" t="s">
        <v>14400</v>
      </c>
      <c r="K3165" s="1" t="s">
        <v>22</v>
      </c>
      <c r="L3165" s="1" t="str">
        <f>HYPERLINK("https://files.afu.se/Downloads/Transcripts/0%20-%20Government/USA%20-%20NASA/2012 12 18 - NASA -  NASA Johnson Style  ( Gangnam Style  Parody)_zulxSCb4ZVk - transcript (automated).pdf","Transcript Link")</f>
        <v>Transcript Link</v>
      </c>
      <c r="M3165" s="2" t="str">
        <f>HYPERLINK("https://files.afu.se/Downloads/Transcripts/0%20-%20Government/USA%20-%20NASA/2012 12 18 - NASA -  NASA Johnson Style  ( Gangnam Style  Parody)_zulxSCb4ZVk - transcript (automated).pdf","Transcript Link")</f>
        <v>Transcript Link</v>
      </c>
    </row>
    <row r="3166" ht="165" spans="1:13">
      <c r="A3166" s="1" t="s">
        <v>14392</v>
      </c>
      <c r="B3166" s="1" t="s">
        <v>13</v>
      </c>
      <c r="C3166" s="4" t="s">
        <v>14401</v>
      </c>
      <c r="D3166" s="1" t="s">
        <v>14402</v>
      </c>
      <c r="E3166" s="1" t="s">
        <v>14403</v>
      </c>
      <c r="F3166" s="4" t="s">
        <v>17</v>
      </c>
      <c r="G3166" s="1" t="s">
        <v>18</v>
      </c>
      <c r="H3166" s="1" t="s">
        <v>19</v>
      </c>
      <c r="I3166" s="1" t="s">
        <v>20</v>
      </c>
      <c r="J3166" s="1" t="s">
        <v>14404</v>
      </c>
      <c r="K3166" s="1" t="s">
        <v>22</v>
      </c>
      <c r="L3166" s="1" t="str">
        <f>HYPERLINK("https://files.afu.se/Downloads/Transcripts/0%20-%20Government/USA%20-%20NASA/2012 12 18 - NASA - This Year @ NASA, 2012_9cR-KSXUhzo - transcript (automated).pdf","Transcript Link")</f>
        <v>Transcript Link</v>
      </c>
      <c r="M3166" s="2" t="str">
        <f>HYPERLINK("https://files.afu.se/Downloads/Transcripts/0%20-%20Government/USA%20-%20NASA/2012 12 18 - NASA - This Year @ NASA, 2012_9cR-KSXUhzo - transcript (automated).pdf","Transcript Link")</f>
        <v>Transcript Link</v>
      </c>
    </row>
    <row r="3167" ht="165" spans="1:13">
      <c r="A3167" s="1" t="s">
        <v>14392</v>
      </c>
      <c r="B3167" s="1" t="s">
        <v>13</v>
      </c>
      <c r="C3167" s="4" t="s">
        <v>14405</v>
      </c>
      <c r="D3167" s="1" t="s">
        <v>14406</v>
      </c>
      <c r="E3167" s="1" t="s">
        <v>14407</v>
      </c>
      <c r="F3167" s="4" t="s">
        <v>17</v>
      </c>
      <c r="G3167" s="1" t="s">
        <v>18</v>
      </c>
      <c r="H3167" s="1" t="s">
        <v>19</v>
      </c>
      <c r="I3167" s="1" t="s">
        <v>20</v>
      </c>
      <c r="J3167" s="1" t="s">
        <v>14408</v>
      </c>
      <c r="K3167" s="1" t="s">
        <v>22</v>
      </c>
      <c r="L3167" s="1" t="str">
        <f>HYPERLINK("https://files.afu.se/Downloads/Transcripts/0%20-%20Government/USA%20-%20NASA/2012 12 18 - NASA - NASA Grail Twins Make Impact with Moon_TY_snIUoE5c - transcript (automated).pdf","Transcript Link")</f>
        <v>Transcript Link</v>
      </c>
      <c r="M3167" s="2" t="str">
        <f>HYPERLINK("https://files.afu.se/Downloads/Transcripts/0%20-%20Government/USA%20-%20NASA/2012 12 18 - NASA - NASA Grail Twins Make Impact with Moon_TY_snIUoE5c - transcript (automated).pdf","Transcript Link")</f>
        <v>Transcript Link</v>
      </c>
    </row>
    <row r="3168" ht="225" spans="1:13">
      <c r="A3168" s="1" t="s">
        <v>14409</v>
      </c>
      <c r="B3168" s="1" t="s">
        <v>13</v>
      </c>
      <c r="C3168" s="4" t="s">
        <v>14410</v>
      </c>
      <c r="D3168" s="1" t="s">
        <v>14411</v>
      </c>
      <c r="E3168" s="1" t="s">
        <v>14412</v>
      </c>
      <c r="F3168" s="4" t="s">
        <v>17</v>
      </c>
      <c r="G3168" s="1" t="s">
        <v>18</v>
      </c>
      <c r="H3168" s="1" t="s">
        <v>19</v>
      </c>
      <c r="I3168" s="1" t="s">
        <v>20</v>
      </c>
      <c r="J3168" s="1" t="s">
        <v>14413</v>
      </c>
      <c r="K3168" s="1" t="s">
        <v>22</v>
      </c>
      <c r="L3168" s="1" t="str">
        <f>HYPERLINK("https://files.afu.se/Downloads/Transcripts/0%20-%20Government/USA%20-%20NASA/2012 12 17 - NASA - Soyuz Mates, Moves to Launch Pad_fm1NINitjVQ - transcript (automated).pdf","Transcript Link")</f>
        <v>Transcript Link</v>
      </c>
      <c r="M3168" s="2" t="str">
        <f>HYPERLINK("https://files.afu.se/Downloads/Transcripts/0%20-%20Government/USA%20-%20NASA/2012 12 17 - NASA - Soyuz Mates, Moves to Launch Pad_fm1NINitjVQ - transcript (automated).pdf","Transcript Link")</f>
        <v>Transcript Link</v>
      </c>
    </row>
    <row r="3169" ht="165" spans="1:13">
      <c r="A3169" s="1" t="s">
        <v>14414</v>
      </c>
      <c r="B3169" s="1" t="s">
        <v>13</v>
      </c>
      <c r="C3169" s="4" t="s">
        <v>14415</v>
      </c>
      <c r="D3169" s="1" t="s">
        <v>14096</v>
      </c>
      <c r="E3169" s="1" t="s">
        <v>14416</v>
      </c>
      <c r="F3169" s="4" t="s">
        <v>17</v>
      </c>
      <c r="G3169" s="1" t="s">
        <v>18</v>
      </c>
      <c r="H3169" s="1" t="s">
        <v>19</v>
      </c>
      <c r="I3169" s="1" t="s">
        <v>20</v>
      </c>
      <c r="J3169" s="1" t="s">
        <v>14417</v>
      </c>
      <c r="K3169" s="1" t="s">
        <v>22</v>
      </c>
      <c r="L3169" s="1" t="str">
        <f>HYPERLINK("https://files.afu.se/Downloads/Transcripts/0%20-%20Government/USA%20-%20NASA/2012 12 14 - NASA - Countdown to Launch on This Week @NASA_O4RFMJJObWw - transcript (automated).pdf","Transcript Link")</f>
        <v>Transcript Link</v>
      </c>
      <c r="M3169" s="2" t="str">
        <f>HYPERLINK("https://files.afu.se/Downloads/Transcripts/0%20-%20Government/USA%20-%20NASA/2012 12 14 - NASA - Countdown to Launch on This Week @NASA_O4RFMJJObWw - transcript (automated).pdf","Transcript Link")</f>
        <v>Transcript Link</v>
      </c>
    </row>
    <row r="3170" ht="165" spans="1:13">
      <c r="A3170" s="1" t="s">
        <v>14414</v>
      </c>
      <c r="B3170" s="1" t="s">
        <v>13</v>
      </c>
      <c r="C3170" s="4" t="s">
        <v>14418</v>
      </c>
      <c r="D3170" s="1" t="s">
        <v>14419</v>
      </c>
      <c r="E3170" s="1" t="s">
        <v>14420</v>
      </c>
      <c r="F3170" s="4" t="s">
        <v>17</v>
      </c>
      <c r="G3170" s="1" t="s">
        <v>18</v>
      </c>
      <c r="H3170" s="1" t="s">
        <v>19</v>
      </c>
      <c r="I3170" s="1" t="s">
        <v>20</v>
      </c>
      <c r="J3170" s="1" t="s">
        <v>14421</v>
      </c>
      <c r="K3170" s="1" t="s">
        <v>22</v>
      </c>
      <c r="L3170" s="1" t="str">
        <f>HYPERLINK("https://files.afu.se/Downloads/Transcripts/0%20-%20Government/USA%20-%20NASA/2012 12 14 - NASA - Exp 34 35 Crew Preps in Baikonur_xyg5XhGHwN0 - transcript (automated).pdf","Transcript Link")</f>
        <v>Transcript Link</v>
      </c>
      <c r="M3170" s="2" t="str">
        <f>HYPERLINK("https://files.afu.se/Downloads/Transcripts/0%20-%20Government/USA%20-%20NASA/2012 12 14 - NASA - Exp 34 35 Crew Preps in Baikonur_xyg5XhGHwN0 - transcript (automated).pdf","Transcript Link")</f>
        <v>Transcript Link</v>
      </c>
    </row>
    <row r="3171" ht="165" spans="1:13">
      <c r="A3171" s="1" t="s">
        <v>14422</v>
      </c>
      <c r="B3171" s="1" t="s">
        <v>13</v>
      </c>
      <c r="C3171" s="4" t="s">
        <v>14423</v>
      </c>
      <c r="D3171" s="1" t="s">
        <v>14424</v>
      </c>
      <c r="E3171" s="1" t="s">
        <v>14425</v>
      </c>
      <c r="F3171" s="4" t="s">
        <v>17</v>
      </c>
      <c r="G3171" s="1" t="s">
        <v>18</v>
      </c>
      <c r="H3171" s="1" t="s">
        <v>19</v>
      </c>
      <c r="I3171" s="1" t="s">
        <v>20</v>
      </c>
      <c r="J3171" s="1" t="s">
        <v>14426</v>
      </c>
      <c r="K3171" s="1" t="s">
        <v>22</v>
      </c>
      <c r="L3171" s="1" t="str">
        <f>HYPERLINK("https://files.afu.se/Downloads/Transcripts/0%20-%20Government/USA%20-%20NASA/2012 12 13 - NASA - ISS Mission Control Digital Learning Network_04mcodXWZF4 - transcript (automated).pdf","Transcript Link")</f>
        <v>Transcript Link</v>
      </c>
      <c r="M3171" s="2" t="str">
        <f>HYPERLINK("https://files.afu.se/Downloads/Transcripts/0%20-%20Government/USA%20-%20NASA/2012 12 13 - NASA - ISS Mission Control Digital Learning Network_04mcodXWZF4 - transcript (automated).pdf","Transcript Link")</f>
        <v>Transcript Link</v>
      </c>
    </row>
    <row r="3172" ht="165" spans="1:13">
      <c r="A3172" s="1" t="s">
        <v>14427</v>
      </c>
      <c r="B3172" s="1" t="s">
        <v>13</v>
      </c>
      <c r="C3172" s="4" t="s">
        <v>14428</v>
      </c>
      <c r="D3172" s="1" t="s">
        <v>14429</v>
      </c>
      <c r="E3172" s="1" t="s">
        <v>14430</v>
      </c>
      <c r="F3172" s="4" t="s">
        <v>17</v>
      </c>
      <c r="G3172" s="1" t="s">
        <v>18</v>
      </c>
      <c r="H3172" s="1" t="s">
        <v>19</v>
      </c>
      <c r="I3172" s="1" t="s">
        <v>20</v>
      </c>
      <c r="J3172" s="1" t="s">
        <v>14431</v>
      </c>
      <c r="K3172" s="1" t="s">
        <v>22</v>
      </c>
      <c r="L3172" s="1" t="str">
        <f>HYPERLINK("https://files.afu.se/Downloads/Transcripts/0%20-%20Government/USA%20-%20NASA/2012 12 11 - NASA - ScienceCasts  Why the World Didn't End Yesterday_2wimiRUHMI4 - transcript (automated).pdf","Transcript Link")</f>
        <v>Transcript Link</v>
      </c>
      <c r="M3172" s="2" t="str">
        <f>HYPERLINK("https://files.afu.se/Downloads/Transcripts/0%20-%20Government/USA%20-%20NASA/2012 12 11 - NASA - ScienceCasts  Why the World Didn't End Yesterday_2wimiRUHMI4 - transcript (automated).pdf","Transcript Link")</f>
        <v>Transcript Link</v>
      </c>
    </row>
    <row r="3173" ht="165" spans="1:13">
      <c r="A3173" s="1" t="s">
        <v>14432</v>
      </c>
      <c r="B3173" s="1" t="s">
        <v>13</v>
      </c>
      <c r="C3173" s="4" t="s">
        <v>14433</v>
      </c>
      <c r="D3173" s="1" t="s">
        <v>14434</v>
      </c>
      <c r="E3173" s="1" t="s">
        <v>14363</v>
      </c>
      <c r="F3173" s="4" t="s">
        <v>17</v>
      </c>
      <c r="G3173" s="1" t="s">
        <v>18</v>
      </c>
      <c r="H3173" s="1" t="s">
        <v>19</v>
      </c>
      <c r="I3173" s="1" t="s">
        <v>20</v>
      </c>
      <c r="J3173" s="1" t="s">
        <v>14435</v>
      </c>
      <c r="K3173" s="1" t="s">
        <v>22</v>
      </c>
      <c r="L3173" s="1" t="str">
        <f>HYPERLINK("https://files.afu.se/Downloads/Transcripts/0%20-%20Government/USA%20-%20NASA/2012 12 10 - NASA - NASA's Mars Curiosity Rover Report %2317 -- December 7, 2012_vJXfhdyFpPU - transcript (automated).pdf","Transcript Link")</f>
        <v>Transcript Link</v>
      </c>
      <c r="M3173" s="2" t="str">
        <f>HYPERLINK("https://files.afu.se/Downloads/Transcripts/0%20-%20Government/USA%20-%20NASA/2012 12 10 - NASA - NASA's Mars Curiosity Rover Report %2317 -- December 7, 2012_vJXfhdyFpPU - transcript (automated).pdf","Transcript Link")</f>
        <v>Transcript Link</v>
      </c>
    </row>
    <row r="3174" ht="165" spans="1:13">
      <c r="A3174" s="1" t="s">
        <v>14436</v>
      </c>
      <c r="B3174" s="1" t="s">
        <v>13</v>
      </c>
      <c r="C3174" s="4" t="s">
        <v>14437</v>
      </c>
      <c r="D3174" s="1" t="s">
        <v>14438</v>
      </c>
      <c r="E3174" s="1" t="s">
        <v>14439</v>
      </c>
      <c r="F3174" s="4" t="s">
        <v>17</v>
      </c>
      <c r="G3174" s="1" t="s">
        <v>18</v>
      </c>
      <c r="H3174" s="1" t="s">
        <v>19</v>
      </c>
      <c r="I3174" s="1" t="s">
        <v>20</v>
      </c>
      <c r="J3174" s="1" t="s">
        <v>14440</v>
      </c>
      <c r="K3174" s="1" t="s">
        <v>22</v>
      </c>
      <c r="L3174" s="1" t="str">
        <f>HYPERLINK("https://files.afu.se/Downloads/Transcripts/0%20-%20Government/USA%20-%20NASA/2012 12 07 - NASA - New Rover to Mars on This Week @NASA_ieN2whar2bg - transcript (automated).pdf","Transcript Link")</f>
        <v>Transcript Link</v>
      </c>
      <c r="M3174" s="2" t="str">
        <f>HYPERLINK("https://files.afu.se/Downloads/Transcripts/0%20-%20Government/USA%20-%20NASA/2012 12 07 - NASA - New Rover to Mars on This Week @NASA_ieN2whar2bg - transcript (automated).pdf","Transcript Link")</f>
        <v>Transcript Link</v>
      </c>
    </row>
    <row r="3175" ht="165" spans="1:13">
      <c r="A3175" s="1" t="s">
        <v>14441</v>
      </c>
      <c r="B3175" s="1" t="s">
        <v>13</v>
      </c>
      <c r="C3175" s="4" t="s">
        <v>14442</v>
      </c>
      <c r="D3175" s="1" t="s">
        <v>14384</v>
      </c>
      <c r="F3175" s="4" t="s">
        <v>17</v>
      </c>
      <c r="G3175" s="1" t="s">
        <v>18</v>
      </c>
      <c r="H3175" s="1" t="s">
        <v>19</v>
      </c>
      <c r="I3175" s="1" t="s">
        <v>20</v>
      </c>
      <c r="J3175" s="1" t="s">
        <v>14443</v>
      </c>
      <c r="K3175" s="1" t="s">
        <v>22</v>
      </c>
      <c r="L3175" s="1" t="str">
        <f>HYPERLINK("https://files.afu.se/Downloads/Transcripts/0%20-%20Government/USA%20-%20NASA/2012 12 06 - NASA - ISS Mission Control Interview with the Digital Learning Network_ZskM0diLe90 - transcript (automated).pdf","Transcript Link")</f>
        <v>Transcript Link</v>
      </c>
      <c r="M3175" s="2" t="str">
        <f>HYPERLINK("https://files.afu.se/Downloads/Transcripts/0%20-%20Government/USA%20-%20NASA/2012 12 06 - NASA - ISS Mission Control Interview with the Digital Learning Network_ZskM0diLe90 - transcript (automated).pdf","Transcript Link")</f>
        <v>Transcript Link</v>
      </c>
    </row>
    <row r="3176" ht="165" spans="1:13">
      <c r="A3176" s="1" t="s">
        <v>14441</v>
      </c>
      <c r="B3176" s="1" t="s">
        <v>13</v>
      </c>
      <c r="C3176" s="4" t="s">
        <v>14444</v>
      </c>
      <c r="D3176" s="1" t="s">
        <v>14445</v>
      </c>
      <c r="E3176" s="1" t="s">
        <v>14446</v>
      </c>
      <c r="F3176" s="4" t="s">
        <v>17</v>
      </c>
      <c r="G3176" s="1" t="s">
        <v>18</v>
      </c>
      <c r="H3176" s="1" t="s">
        <v>19</v>
      </c>
      <c r="I3176" s="1" t="s">
        <v>20</v>
      </c>
      <c r="J3176" s="1" t="s">
        <v>14447</v>
      </c>
      <c r="K3176" s="1" t="s">
        <v>22</v>
      </c>
      <c r="L3176" s="1" t="str">
        <f>HYPERLINK("https://files.afu.se/Downloads/Transcripts/0%20-%20Government/USA%20-%20NASA/2012 12 06 - NASA - Next Station Crew Departs for Launch Site_bMRlMSPVQT8 - transcript (automated).pdf","Transcript Link")</f>
        <v>Transcript Link</v>
      </c>
      <c r="M3176" s="2" t="str">
        <f>HYPERLINK("https://files.afu.se/Downloads/Transcripts/0%20-%20Government/USA%20-%20NASA/2012 12 06 - NASA - Next Station Crew Departs for Launch Site_bMRlMSPVQT8 - transcript (automated).pdf","Transcript Link")</f>
        <v>Transcript Link</v>
      </c>
    </row>
    <row r="3177" ht="165" spans="1:13">
      <c r="A3177" s="1" t="s">
        <v>14441</v>
      </c>
      <c r="B3177" s="1" t="s">
        <v>13</v>
      </c>
      <c r="C3177" s="4" t="s">
        <v>14448</v>
      </c>
      <c r="D3177" s="1" t="s">
        <v>14449</v>
      </c>
      <c r="E3177" s="1" t="s">
        <v>14450</v>
      </c>
      <c r="F3177" s="4" t="s">
        <v>17</v>
      </c>
      <c r="G3177" s="1" t="s">
        <v>18</v>
      </c>
      <c r="H3177" s="1" t="s">
        <v>19</v>
      </c>
      <c r="I3177" s="1" t="s">
        <v>20</v>
      </c>
      <c r="J3177" s="1" t="s">
        <v>14451</v>
      </c>
      <c r="K3177" s="1" t="s">
        <v>22</v>
      </c>
      <c r="L3177" s="1" t="str">
        <f>HYPERLINK("https://files.afu.se/Downloads/Transcripts/0%20-%20Government/USA%20-%20NASA/2012 12 06 - NASA - Ford Drives Conversation from Station_QF9ezIz2AZ4 - transcript (automated).pdf","Transcript Link")</f>
        <v>Transcript Link</v>
      </c>
      <c r="M3177" s="2" t="str">
        <f>HYPERLINK("https://files.afu.se/Downloads/Transcripts/0%20-%20Government/USA%20-%20NASA/2012 12 06 - NASA - Ford Drives Conversation from Station_QF9ezIz2AZ4 - transcript (automated).pdf","Transcript Link")</f>
        <v>Transcript Link</v>
      </c>
    </row>
    <row r="3178" ht="165" spans="1:13">
      <c r="A3178" s="1" t="s">
        <v>14452</v>
      </c>
      <c r="B3178" s="1" t="s">
        <v>13</v>
      </c>
      <c r="C3178" s="4" t="s">
        <v>14453</v>
      </c>
      <c r="D3178" s="1" t="s">
        <v>14454</v>
      </c>
      <c r="E3178" s="1" t="s">
        <v>14455</v>
      </c>
      <c r="F3178" s="4" t="s">
        <v>17</v>
      </c>
      <c r="G3178" s="1" t="s">
        <v>18</v>
      </c>
      <c r="H3178" s="1" t="s">
        <v>19</v>
      </c>
      <c r="I3178" s="1" t="s">
        <v>20</v>
      </c>
      <c r="J3178" s="1" t="s">
        <v>14456</v>
      </c>
      <c r="K3178" s="1" t="s">
        <v>22</v>
      </c>
      <c r="L3178" s="1" t="str">
        <f>HYPERLINK("https://files.afu.se/Downloads/Transcripts/0%20-%20Government/USA%20-%20NASA/2012 12 05 - NASA - Year-Long ISS Expedition Outlined for Media_LAR3MuJLpr4 - transcript (automated).pdf","Transcript Link")</f>
        <v>Transcript Link</v>
      </c>
      <c r="M3178" s="2" t="str">
        <f>HYPERLINK("https://files.afu.se/Downloads/Transcripts/0%20-%20Government/USA%20-%20NASA/2012 12 05 - NASA - Year-Long ISS Expedition Outlined for Media_LAR3MuJLpr4 - transcript (automated).pdf","Transcript Link")</f>
        <v>Transcript Link</v>
      </c>
    </row>
    <row r="3179" ht="165" spans="1:13">
      <c r="A3179" s="1" t="s">
        <v>14452</v>
      </c>
      <c r="B3179" s="1" t="s">
        <v>13</v>
      </c>
      <c r="C3179" s="4" t="s">
        <v>14457</v>
      </c>
      <c r="D3179" s="1" t="s">
        <v>14458</v>
      </c>
      <c r="E3179" s="1" t="s">
        <v>14459</v>
      </c>
      <c r="F3179" s="4" t="s">
        <v>17</v>
      </c>
      <c r="G3179" s="1" t="s">
        <v>18</v>
      </c>
      <c r="H3179" s="1" t="s">
        <v>19</v>
      </c>
      <c r="I3179" s="1" t="s">
        <v>20</v>
      </c>
      <c r="J3179" s="1" t="s">
        <v>14460</v>
      </c>
      <c r="K3179" s="1" t="s">
        <v>22</v>
      </c>
      <c r="L3179" s="1" t="str">
        <f>HYPERLINK("https://files.afu.se/Downloads/Transcripts/0%20-%20Government/USA%20-%20NASA/2012 12 05 - NASA - Kelly and Kornienko Meet Media About One-Year Stay on ISS_TGKfeHgaMvg - transcript (automated).pdf","Transcript Link")</f>
        <v>Transcript Link</v>
      </c>
      <c r="M3179" s="2" t="str">
        <f>HYPERLINK("https://files.afu.se/Downloads/Transcripts/0%20-%20Government/USA%20-%20NASA/2012 12 05 - NASA - Kelly and Kornienko Meet Media About One-Year Stay on ISS_TGKfeHgaMvg - transcript (automated).pdf","Transcript Link")</f>
        <v>Transcript Link</v>
      </c>
    </row>
    <row r="3180" ht="240" spans="1:13">
      <c r="A3180" s="1" t="s">
        <v>14461</v>
      </c>
      <c r="B3180" s="1" t="s">
        <v>13</v>
      </c>
      <c r="C3180" s="4" t="s">
        <v>14462</v>
      </c>
      <c r="D3180" s="1" t="s">
        <v>14463</v>
      </c>
      <c r="E3180" s="1" t="s">
        <v>14464</v>
      </c>
      <c r="F3180" s="4" t="s">
        <v>17</v>
      </c>
      <c r="G3180" s="1" t="s">
        <v>18</v>
      </c>
      <c r="H3180" s="1" t="s">
        <v>19</v>
      </c>
      <c r="I3180" s="1" t="s">
        <v>20</v>
      </c>
      <c r="J3180" s="1" t="s">
        <v>14465</v>
      </c>
      <c r="K3180" s="1" t="s">
        <v>22</v>
      </c>
      <c r="L3180" s="1" t="str">
        <f>HYPERLINK("https://files.afu.se/Downloads/Transcripts/0%20-%20Government/USA%20-%20NASA/2012 12 04 - NASA - NASA ANNOUNCES ROBUST MULTI-YEAR MARS PROGRAM; NEW ROVER TO CLOSE OUT DECADE OF NEW MISSIONS_j6hrXAxYjVc - transcript (automated).pdf","Transcript Link")</f>
        <v>Transcript Link</v>
      </c>
      <c r="M3180" s="2" t="str">
        <f>HYPERLINK("https://files.afu.se/Downloads/Transcripts/0%20-%20Government/USA%20-%20NASA/2012 12 04 - NASA - NASA ANNOUNCES ROBUST MULTI-YEAR MARS PROGRAM; NEW ROVER TO CLOSE OUT DECADE OF NEW MISSIONS_j6hrXAxYjVc - transcript (automated).pdf","Transcript Link")</f>
        <v>Transcript Link</v>
      </c>
    </row>
    <row r="3181" ht="195" spans="1:13">
      <c r="A3181" s="1" t="s">
        <v>14461</v>
      </c>
      <c r="B3181" s="1" t="s">
        <v>13</v>
      </c>
      <c r="C3181" s="4" t="s">
        <v>14466</v>
      </c>
      <c r="D3181" s="1" t="s">
        <v>14467</v>
      </c>
      <c r="E3181" s="1" t="s">
        <v>14468</v>
      </c>
      <c r="F3181" s="4" t="s">
        <v>17</v>
      </c>
      <c r="G3181" s="1" t="s">
        <v>18</v>
      </c>
      <c r="H3181" s="1" t="s">
        <v>19</v>
      </c>
      <c r="I3181" s="1" t="s">
        <v>20</v>
      </c>
      <c r="J3181" s="1" t="s">
        <v>14469</v>
      </c>
      <c r="K3181" s="1" t="s">
        <v>22</v>
      </c>
      <c r="L3181" s="1" t="str">
        <f>HYPERLINK("https://files.afu.se/Downloads/Transcripts/0%20-%20Government/USA%20-%20NASA/2012 12 04 - NASA - Astronaut Joe Acaba Sits Down with Followers in DC at NASA Social_NZFtaLhPQCE - transcript (automated).pdf","Transcript Link")</f>
        <v>Transcript Link</v>
      </c>
      <c r="M3181" s="2" t="str">
        <f>HYPERLINK("https://files.afu.se/Downloads/Transcripts/0%20-%20Government/USA%20-%20NASA/2012 12 04 - NASA - Astronaut Joe Acaba Sits Down with Followers in DC at NASA Social_NZFtaLhPQCE - transcript (automated).pdf","Transcript Link")</f>
        <v>Transcript Link</v>
      </c>
    </row>
    <row r="3182" ht="180" spans="1:13">
      <c r="A3182" s="1" t="s">
        <v>14470</v>
      </c>
      <c r="B3182" s="1" t="s">
        <v>13</v>
      </c>
      <c r="C3182" s="4" t="s">
        <v>14471</v>
      </c>
      <c r="D3182" s="1" t="s">
        <v>14472</v>
      </c>
      <c r="E3182" s="1" t="s">
        <v>14473</v>
      </c>
      <c r="F3182" s="4" t="s">
        <v>17</v>
      </c>
      <c r="G3182" s="1" t="s">
        <v>18</v>
      </c>
      <c r="H3182" s="1" t="s">
        <v>19</v>
      </c>
      <c r="I3182" s="1" t="s">
        <v>20</v>
      </c>
      <c r="J3182" s="1" t="s">
        <v>14474</v>
      </c>
      <c r="K3182" s="1" t="s">
        <v>22</v>
      </c>
      <c r="L3182" s="1" t="str">
        <f>HYPERLINK("https://files.afu.se/Downloads/Transcripts/0%20-%20Government/USA%20-%20NASA/2012 11 30 - NASA - NASA National Native American Heritage Month Profile -- Kody Ensley_r9NVtKfFp_s - transcript (automated).pdf","Transcript Link")</f>
        <v>Transcript Link</v>
      </c>
      <c r="M3182" s="2" t="str">
        <f>HYPERLINK("https://files.afu.se/Downloads/Transcripts/0%20-%20Government/USA%20-%20NASA/2012 11 30 - NASA - NASA National Native American Heritage Month Profile -- Kody Ensley_r9NVtKfFp_s - transcript (automated).pdf","Transcript Link")</f>
        <v>Transcript Link</v>
      </c>
    </row>
    <row r="3183" ht="165" spans="1:13">
      <c r="A3183" s="1" t="s">
        <v>14470</v>
      </c>
      <c r="B3183" s="1" t="s">
        <v>13</v>
      </c>
      <c r="C3183" s="4" t="s">
        <v>14475</v>
      </c>
      <c r="D3183" s="1" t="s">
        <v>14476</v>
      </c>
      <c r="E3183" s="1" t="s">
        <v>14363</v>
      </c>
      <c r="F3183" s="4" t="s">
        <v>17</v>
      </c>
      <c r="G3183" s="1" t="s">
        <v>18</v>
      </c>
      <c r="H3183" s="1" t="s">
        <v>19</v>
      </c>
      <c r="I3183" s="1" t="s">
        <v>20</v>
      </c>
      <c r="J3183" s="1" t="s">
        <v>14477</v>
      </c>
      <c r="K3183" s="1" t="s">
        <v>22</v>
      </c>
      <c r="L3183" s="1" t="str">
        <f>HYPERLINK("https://files.afu.se/Downloads/Transcripts/0%20-%20Government/USA%20-%20NASA/2012 11 30 - NASA - NASA's Mars Curiosity Rover Report %2316 -- November 29, 2012_BspOIRV_ifg - transcript (automated).pdf","Transcript Link")</f>
        <v>Transcript Link</v>
      </c>
      <c r="M3183" s="2" t="str">
        <f>HYPERLINK("https://files.afu.se/Downloads/Transcripts/0%20-%20Government/USA%20-%20NASA/2012 11 30 - NASA - NASA's Mars Curiosity Rover Report %2316 -- November 29, 2012_BspOIRV_ifg - transcript (automated).pdf","Transcript Link")</f>
        <v>Transcript Link</v>
      </c>
    </row>
    <row r="3184" ht="225" spans="1:13">
      <c r="A3184" s="1" t="s">
        <v>14470</v>
      </c>
      <c r="B3184" s="1" t="s">
        <v>13</v>
      </c>
      <c r="C3184" s="4" t="s">
        <v>14478</v>
      </c>
      <c r="D3184" s="1" t="s">
        <v>14479</v>
      </c>
      <c r="E3184" s="1" t="s">
        <v>14480</v>
      </c>
      <c r="F3184" s="4" t="s">
        <v>17</v>
      </c>
      <c r="G3184" s="1" t="s">
        <v>18</v>
      </c>
      <c r="H3184" s="1" t="s">
        <v>19</v>
      </c>
      <c r="I3184" s="1" t="s">
        <v>20</v>
      </c>
      <c r="J3184" s="1" t="s">
        <v>14481</v>
      </c>
      <c r="K3184" s="1" t="s">
        <v>22</v>
      </c>
      <c r="L3184" s="1" t="str">
        <f>HYPERLINK("https://files.afu.se/Downloads/Transcripts/0%20-%20Government/USA%20-%20NASA/2012 11 30 - NASA - Two Picked For Year-Long Stay On ISS on This Week @ NASA_9rFusYGB5FY - transcript (automated).pdf","Transcript Link")</f>
        <v>Transcript Link</v>
      </c>
      <c r="M3184" s="2" t="str">
        <f>HYPERLINK("https://files.afu.se/Downloads/Transcripts/0%20-%20Government/USA%20-%20NASA/2012 11 30 - NASA - Two Picked For Year-Long Stay On ISS on This Week @ NASA_9rFusYGB5FY - transcript (automated).pdf","Transcript Link")</f>
        <v>Transcript Link</v>
      </c>
    </row>
    <row r="3185" ht="165" spans="1:13">
      <c r="A3185" s="1" t="s">
        <v>14470</v>
      </c>
      <c r="B3185" s="1" t="s">
        <v>13</v>
      </c>
      <c r="C3185" s="4" t="s">
        <v>14482</v>
      </c>
      <c r="D3185" s="1" t="s">
        <v>14483</v>
      </c>
      <c r="F3185" s="4" t="s">
        <v>17</v>
      </c>
      <c r="G3185" s="1" t="s">
        <v>18</v>
      </c>
      <c r="H3185" s="1" t="s">
        <v>19</v>
      </c>
      <c r="I3185" s="1" t="s">
        <v>20</v>
      </c>
      <c r="J3185" s="1" t="s">
        <v>14484</v>
      </c>
      <c r="K3185" s="1" t="s">
        <v>22</v>
      </c>
      <c r="L3185" s="1" t="str">
        <f>HYPERLINK("https://files.afu.se/Downloads/Transcripts/0%20-%20Government/USA%20-%20NASA/2012 11 30 - NASA - Ford Speaks Up for STEM with Oklahoma State Students__MQ-sW8ZL1Q - transcript (automated).pdf","Transcript Link")</f>
        <v>Transcript Link</v>
      </c>
      <c r="M3185" s="2" t="str">
        <f>HYPERLINK("https://files.afu.se/Downloads/Transcripts/0%20-%20Government/USA%20-%20NASA/2012 11 30 - NASA - Ford Speaks Up for STEM with Oklahoma State Students__MQ-sW8ZL1Q - transcript (automated).pdf","Transcript Link")</f>
        <v>Transcript Link</v>
      </c>
    </row>
    <row r="3186" ht="165" spans="1:13">
      <c r="A3186" s="1" t="s">
        <v>14485</v>
      </c>
      <c r="B3186" s="1" t="s">
        <v>13</v>
      </c>
      <c r="C3186" s="4" t="s">
        <v>14486</v>
      </c>
      <c r="D3186" s="1" t="s">
        <v>14487</v>
      </c>
      <c r="E3186" s="1" t="s">
        <v>14488</v>
      </c>
      <c r="F3186" s="4" t="s">
        <v>17</v>
      </c>
      <c r="G3186" s="1" t="s">
        <v>18</v>
      </c>
      <c r="H3186" s="1" t="s">
        <v>19</v>
      </c>
      <c r="I3186" s="1" t="s">
        <v>20</v>
      </c>
      <c r="J3186" s="1" t="s">
        <v>14489</v>
      </c>
      <c r="K3186" s="1" t="s">
        <v>22</v>
      </c>
      <c r="L3186" s="1" t="str">
        <f>HYPERLINK("https://files.afu.se/Downloads/Transcripts/0%20-%20Government/USA%20-%20NASA/2012 11 29 - NASA - MESSENGER Confirms Water Ice in Abundance at Mercury's Poles_oiXLTOPtL4U - transcript (automated).pdf","Transcript Link")</f>
        <v>Transcript Link</v>
      </c>
      <c r="M3186" s="2" t="str">
        <f>HYPERLINK("https://files.afu.se/Downloads/Transcripts/0%20-%20Government/USA%20-%20NASA/2012 11 29 - NASA - MESSENGER Confirms Water Ice in Abundance at Mercury's Poles_oiXLTOPtL4U - transcript (automated).pdf","Transcript Link")</f>
        <v>Transcript Link</v>
      </c>
    </row>
    <row r="3187" ht="165" spans="1:13">
      <c r="A3187" s="1" t="s">
        <v>14485</v>
      </c>
      <c r="B3187" s="1" t="s">
        <v>13</v>
      </c>
      <c r="C3187" s="4" t="s">
        <v>14490</v>
      </c>
      <c r="D3187" s="1" t="s">
        <v>14491</v>
      </c>
      <c r="E3187" s="1" t="s">
        <v>14492</v>
      </c>
      <c r="F3187" s="4" t="s">
        <v>17</v>
      </c>
      <c r="G3187" s="1" t="s">
        <v>18</v>
      </c>
      <c r="H3187" s="1" t="s">
        <v>19</v>
      </c>
      <c r="I3187" s="1" t="s">
        <v>20</v>
      </c>
      <c r="J3187" s="1" t="s">
        <v>14493</v>
      </c>
      <c r="K3187" s="1" t="s">
        <v>22</v>
      </c>
      <c r="L3187" s="1" t="str">
        <f>HYPERLINK("https://files.afu.se/Downloads/Transcripts/0%20-%20Government/USA%20-%20NASA/2012 11 29 - NASA - Expeditions 34 35 Crew Meets Media_hzI6gbDmTGc - transcript (automated).pdf","Transcript Link")</f>
        <v>Transcript Link</v>
      </c>
      <c r="M3187" s="2" t="str">
        <f>HYPERLINK("https://files.afu.se/Downloads/Transcripts/0%20-%20Government/USA%20-%20NASA/2012 11 29 - NASA - Expeditions 34 35 Crew Meets Media_hzI6gbDmTGc - transcript (automated).pdf","Transcript Link")</f>
        <v>Transcript Link</v>
      </c>
    </row>
    <row r="3188" ht="165" spans="1:13">
      <c r="A3188" s="1" t="s">
        <v>14485</v>
      </c>
      <c r="B3188" s="1" t="s">
        <v>13</v>
      </c>
      <c r="C3188" s="4" t="s">
        <v>14494</v>
      </c>
      <c r="D3188" s="1" t="s">
        <v>14495</v>
      </c>
      <c r="E3188" s="1" t="s">
        <v>14496</v>
      </c>
      <c r="F3188" s="4" t="s">
        <v>17</v>
      </c>
      <c r="G3188" s="1" t="s">
        <v>18</v>
      </c>
      <c r="H3188" s="1" t="s">
        <v>19</v>
      </c>
      <c r="I3188" s="1" t="s">
        <v>20</v>
      </c>
      <c r="J3188" s="1" t="s">
        <v>14497</v>
      </c>
      <c r="K3188" s="1" t="s">
        <v>22</v>
      </c>
      <c r="L3188" s="1" t="str">
        <f>HYPERLINK("https://files.afu.se/Downloads/Transcripts/0%20-%20Government/USA%20-%20NASA/2012 11 29 - NASA - ScienceCasts  Rock Comet Meteor Shower_CCPRyFrHkGk - transcript (automated).pdf","Transcript Link")</f>
        <v>Transcript Link</v>
      </c>
      <c r="M3188" s="2" t="str">
        <f>HYPERLINK("https://files.afu.se/Downloads/Transcripts/0%20-%20Government/USA%20-%20NASA/2012 11 29 - NASA - ScienceCasts  Rock Comet Meteor Shower_CCPRyFrHkGk - transcript (automated).pdf","Transcript Link")</f>
        <v>Transcript Link</v>
      </c>
    </row>
    <row r="3189" ht="165" spans="1:13">
      <c r="A3189" s="1" t="s">
        <v>14498</v>
      </c>
      <c r="B3189" s="1" t="s">
        <v>13</v>
      </c>
      <c r="C3189" s="4" t="s">
        <v>14499</v>
      </c>
      <c r="D3189" s="1" t="s">
        <v>14500</v>
      </c>
      <c r="E3189" s="1" t="s">
        <v>14501</v>
      </c>
      <c r="F3189" s="4" t="s">
        <v>17</v>
      </c>
      <c r="G3189" s="1" t="s">
        <v>18</v>
      </c>
      <c r="H3189" s="1" t="s">
        <v>19</v>
      </c>
      <c r="I3189" s="1" t="s">
        <v>20</v>
      </c>
      <c r="J3189" s="1" t="s">
        <v>14502</v>
      </c>
      <c r="K3189" s="1" t="s">
        <v>22</v>
      </c>
      <c r="L3189" s="1" t="str">
        <f>HYPERLINK("https://files.afu.se/Downloads/Transcripts/0%20-%20Government/USA%20-%20NASA/2012 11 28 - NASA - Next Crew Trains for ISS_eGylCcEZQXQ - transcript (automated).pdf","Transcript Link")</f>
        <v>Transcript Link</v>
      </c>
      <c r="M3189" s="2" t="str">
        <f>HYPERLINK("https://files.afu.se/Downloads/Transcripts/0%20-%20Government/USA%20-%20NASA/2012 11 28 - NASA - Next Crew Trains for ISS_eGylCcEZQXQ - transcript (automated).pdf","Transcript Link")</f>
        <v>Transcript Link</v>
      </c>
    </row>
    <row r="3190" ht="165" spans="1:13">
      <c r="A3190" s="1" t="s">
        <v>14498</v>
      </c>
      <c r="B3190" s="1" t="s">
        <v>13</v>
      </c>
      <c r="C3190" s="4" t="s">
        <v>14503</v>
      </c>
      <c r="D3190" s="1" t="s">
        <v>14504</v>
      </c>
      <c r="E3190" s="1" t="s">
        <v>14505</v>
      </c>
      <c r="F3190" s="4" t="s">
        <v>17</v>
      </c>
      <c r="G3190" s="1" t="s">
        <v>18</v>
      </c>
      <c r="H3190" s="1" t="s">
        <v>19</v>
      </c>
      <c r="I3190" s="1" t="s">
        <v>20</v>
      </c>
      <c r="J3190" s="1" t="s">
        <v>14506</v>
      </c>
      <c r="K3190" s="1" t="s">
        <v>22</v>
      </c>
      <c r="L3190" s="1" t="str">
        <f>HYPERLINK("https://files.afu.se/Downloads/Transcripts/0%20-%20Government/USA%20-%20NASA/2012 11 28 - NASA - NASA Spinoffs Lauded by Lockhart_c73gjwUW3MQ - transcript (automated).pdf","Transcript Link")</f>
        <v>Transcript Link</v>
      </c>
      <c r="M3190" s="2" t="str">
        <f>HYPERLINK("https://files.afu.se/Downloads/Transcripts/0%20-%20Government/USA%20-%20NASA/2012 11 28 - NASA - NASA Spinoffs Lauded by Lockhart_c73gjwUW3MQ - transcript (automated).pdf","Transcript Link")</f>
        <v>Transcript Link</v>
      </c>
    </row>
    <row r="3191" ht="165" spans="1:13">
      <c r="A3191" s="1" t="s">
        <v>14498</v>
      </c>
      <c r="B3191" s="1" t="s">
        <v>13</v>
      </c>
      <c r="C3191" s="4" t="s">
        <v>14507</v>
      </c>
      <c r="D3191" s="1" t="s">
        <v>14508</v>
      </c>
      <c r="E3191" s="1" t="s">
        <v>14509</v>
      </c>
      <c r="F3191" s="4" t="s">
        <v>17</v>
      </c>
      <c r="G3191" s="1" t="s">
        <v>18</v>
      </c>
      <c r="H3191" s="1" t="s">
        <v>19</v>
      </c>
      <c r="I3191" s="1" t="s">
        <v>20</v>
      </c>
      <c r="J3191" s="1" t="s">
        <v>14510</v>
      </c>
      <c r="K3191" s="1" t="s">
        <v>22</v>
      </c>
      <c r="L3191" s="1" t="str">
        <f>HYPERLINK("https://files.afu.se/Downloads/Transcripts/0%20-%20Government/USA%20-%20NASA/2012 11 28 - NASA - Shatner Gives Shout Out to NASA Spinoffs_WeFi3uHc9ns - transcript (automated).pdf","Transcript Link")</f>
        <v>Transcript Link</v>
      </c>
      <c r="M3191" s="2" t="str">
        <f>HYPERLINK("https://files.afu.se/Downloads/Transcripts/0%20-%20Government/USA%20-%20NASA/2012 11 28 - NASA - Shatner Gives Shout Out to NASA Spinoffs_WeFi3uHc9ns - transcript (automated).pdf","Transcript Link")</f>
        <v>Transcript Link</v>
      </c>
    </row>
    <row r="3192" ht="165" spans="1:13">
      <c r="A3192" s="1" t="s">
        <v>14498</v>
      </c>
      <c r="B3192" s="1" t="s">
        <v>13</v>
      </c>
      <c r="C3192" s="4" t="s">
        <v>14511</v>
      </c>
      <c r="D3192" s="1" t="s">
        <v>14512</v>
      </c>
      <c r="E3192" s="1" t="s">
        <v>14513</v>
      </c>
      <c r="F3192" s="4" t="s">
        <v>17</v>
      </c>
      <c r="G3192" s="1" t="s">
        <v>18</v>
      </c>
      <c r="H3192" s="1" t="s">
        <v>19</v>
      </c>
      <c r="I3192" s="1" t="s">
        <v>20</v>
      </c>
      <c r="J3192" s="1" t="s">
        <v>14514</v>
      </c>
      <c r="K3192" s="1" t="s">
        <v>22</v>
      </c>
      <c r="L3192" s="1" t="str">
        <f>HYPERLINK("https://files.afu.se/Downloads/Transcripts/0%20-%20Government/USA%20-%20NASA/2012 11 28 - NASA - Wheaton Steps Up for NASA Spinoffs_cfVM3fWvnmc - transcript (automated).pdf","Transcript Link")</f>
        <v>Transcript Link</v>
      </c>
      <c r="M3192" s="2" t="str">
        <f>HYPERLINK("https://files.afu.se/Downloads/Transcripts/0%20-%20Government/USA%20-%20NASA/2012 11 28 - NASA - Wheaton Steps Up for NASA Spinoffs_cfVM3fWvnmc - transcript (automated).pdf","Transcript Link")</f>
        <v>Transcript Link</v>
      </c>
    </row>
    <row r="3193" ht="165" spans="1:13">
      <c r="A3193" s="1" t="s">
        <v>14515</v>
      </c>
      <c r="B3193" s="1" t="s">
        <v>13</v>
      </c>
      <c r="C3193" s="4" t="s">
        <v>14516</v>
      </c>
      <c r="D3193" s="1" t="s">
        <v>14517</v>
      </c>
      <c r="E3193" s="1" t="s">
        <v>14518</v>
      </c>
      <c r="F3193" s="4" t="s">
        <v>17</v>
      </c>
      <c r="G3193" s="1" t="s">
        <v>18</v>
      </c>
      <c r="H3193" s="1" t="s">
        <v>19</v>
      </c>
      <c r="I3193" s="1" t="s">
        <v>20</v>
      </c>
      <c r="J3193" s="1" t="s">
        <v>14519</v>
      </c>
      <c r="K3193" s="1" t="s">
        <v>22</v>
      </c>
      <c r="L3193" s="1" t="str">
        <f>HYPERLINK("https://files.afu.se/Downloads/Transcripts/0%20-%20Government/USA%20-%20NASA/2012 11 27 - NASA - Fighting Irish Football Flies High with Ford_lz4bIxeF9lI - transcript (automated).pdf","Transcript Link")</f>
        <v>Transcript Link</v>
      </c>
      <c r="M3193" s="2" t="str">
        <f>HYPERLINK("https://files.afu.se/Downloads/Transcripts/0%20-%20Government/USA%20-%20NASA/2012 11 27 - NASA - Fighting Irish Football Flies High with Ford_lz4bIxeF9lI - transcript (automated).pdf","Transcript Link")</f>
        <v>Transcript Link</v>
      </c>
    </row>
    <row r="3194" ht="165" spans="1:13">
      <c r="A3194" s="1" t="s">
        <v>14520</v>
      </c>
      <c r="B3194" s="1" t="s">
        <v>13</v>
      </c>
      <c r="C3194" s="4" t="s">
        <v>14521</v>
      </c>
      <c r="D3194" s="1" t="s">
        <v>14522</v>
      </c>
      <c r="E3194" s="1" t="s">
        <v>14523</v>
      </c>
      <c r="F3194" s="4" t="s">
        <v>17</v>
      </c>
      <c r="G3194" s="1" t="s">
        <v>18</v>
      </c>
      <c r="H3194" s="1" t="s">
        <v>19</v>
      </c>
      <c r="I3194" s="1" t="s">
        <v>20</v>
      </c>
      <c r="J3194" s="1" t="s">
        <v>14524</v>
      </c>
      <c r="K3194" s="1" t="s">
        <v>22</v>
      </c>
      <c r="L3194" s="1" t="str">
        <f>HYPERLINK("https://files.afu.se/Downloads/Transcripts/0%20-%20Government/USA%20-%20NASA/2012 11 23 - NASA - NASA National Native American Heritage Month Profile -- Raquel Redhouse_snCyFGB5hSU - transcript (automated).pdf","Transcript Link")</f>
        <v>Transcript Link</v>
      </c>
      <c r="M3194" s="2" t="str">
        <f>HYPERLINK("https://files.afu.se/Downloads/Transcripts/0%20-%20Government/USA%20-%20NASA/2012 11 23 - NASA - NASA National Native American Heritage Month Profile -- Raquel Redhouse_snCyFGB5hSU - transcript (automated).pdf","Transcript Link")</f>
        <v>Transcript Link</v>
      </c>
    </row>
    <row r="3195" ht="165" spans="1:13">
      <c r="A3195" s="1" t="s">
        <v>14520</v>
      </c>
      <c r="B3195" s="1" t="s">
        <v>13</v>
      </c>
      <c r="C3195" s="4" t="s">
        <v>14525</v>
      </c>
      <c r="D3195" s="1" t="s">
        <v>14526</v>
      </c>
      <c r="E3195" s="1" t="s">
        <v>14527</v>
      </c>
      <c r="F3195" s="4" t="s">
        <v>17</v>
      </c>
      <c r="G3195" s="1" t="s">
        <v>18</v>
      </c>
      <c r="H3195" s="1" t="s">
        <v>19</v>
      </c>
      <c r="I3195" s="1" t="s">
        <v>20</v>
      </c>
      <c r="J3195" s="1" t="s">
        <v>14528</v>
      </c>
      <c r="K3195" s="1" t="s">
        <v>22</v>
      </c>
      <c r="L3195" s="1" t="str">
        <f>HYPERLINK("https://files.afu.se/Downloads/Transcripts/0%20-%20Government/USA%20-%20NASA/2012 11 23 - NASA - Expedition 34 Settling In on This Week @ NASA_viNGOE8fIb0 - transcript (automated).pdf","Transcript Link")</f>
        <v>Transcript Link</v>
      </c>
      <c r="M3195" s="2" t="str">
        <f>HYPERLINK("https://files.afu.se/Downloads/Transcripts/0%20-%20Government/USA%20-%20NASA/2012 11 23 - NASA - Expedition 34 Settling In on This Week @ NASA_viNGOE8fIb0 - transcript (automated).pdf","Transcript Link")</f>
        <v>Transcript Link</v>
      </c>
    </row>
    <row r="3196" ht="255" spans="1:13">
      <c r="A3196" s="1" t="s">
        <v>14529</v>
      </c>
      <c r="B3196" s="1" t="s">
        <v>13</v>
      </c>
      <c r="C3196" s="4" t="s">
        <v>14530</v>
      </c>
      <c r="D3196" s="1" t="s">
        <v>14531</v>
      </c>
      <c r="E3196" s="1" t="s">
        <v>14532</v>
      </c>
      <c r="F3196" s="4" t="s">
        <v>17</v>
      </c>
      <c r="G3196" s="1" t="s">
        <v>18</v>
      </c>
      <c r="H3196" s="1" t="s">
        <v>19</v>
      </c>
      <c r="I3196" s="1" t="s">
        <v>20</v>
      </c>
      <c r="J3196" s="1" t="s">
        <v>14533</v>
      </c>
      <c r="K3196" s="1" t="s">
        <v>22</v>
      </c>
      <c r="L3196" s="1" t="str">
        <f>HYPERLINK("https://files.afu.se/Downloads/Transcripts/0%20-%20Government/USA%20-%20NASA/2012 11 21 - NASA - Panel %231  Politics and Policy in the Conduct of Solar System Exploration - PART 2_5tIn9-MAL70 - transcript (automated).pdf","Transcript Link")</f>
        <v>Transcript Link</v>
      </c>
      <c r="M3196" s="2" t="str">
        <f>HYPERLINK("https://files.afu.se/Downloads/Transcripts/0%20-%20Government/USA%20-%20NASA/2012 11 21 - NASA - Panel %231  Politics and Policy in the Conduct of Solar System Exploration - PART 2_5tIn9-MAL70 - transcript (automated).pdf","Transcript Link")</f>
        <v>Transcript Link</v>
      </c>
    </row>
    <row r="3197" ht="255" spans="1:13">
      <c r="A3197" s="1" t="s">
        <v>14529</v>
      </c>
      <c r="B3197" s="1" t="s">
        <v>13</v>
      </c>
      <c r="C3197" s="4" t="s">
        <v>14534</v>
      </c>
      <c r="D3197" s="1" t="s">
        <v>14535</v>
      </c>
      <c r="E3197" s="1" t="s">
        <v>14532</v>
      </c>
      <c r="F3197" s="4" t="s">
        <v>17</v>
      </c>
      <c r="G3197" s="1" t="s">
        <v>18</v>
      </c>
      <c r="H3197" s="1" t="s">
        <v>19</v>
      </c>
      <c r="I3197" s="1" t="s">
        <v>20</v>
      </c>
      <c r="J3197" s="1" t="s">
        <v>14536</v>
      </c>
      <c r="K3197" s="1" t="s">
        <v>22</v>
      </c>
      <c r="L3197" s="1" t="str">
        <f>HYPERLINK("https://files.afu.se/Downloads/Transcripts/0%20-%20Government/USA%20-%20NASA/2012 11 21 - NASA - Panel %231  Politics and Policy in the Conduct of Solar System Exploration - PART 1_mFiKo3amY9I - transcript (automated).pdf","Transcript Link")</f>
        <v>Transcript Link</v>
      </c>
      <c r="M3197" s="2" t="str">
        <f>HYPERLINK("https://files.afu.se/Downloads/Transcripts/0%20-%20Government/USA%20-%20NASA/2012 11 21 - NASA - Panel %231  Politics and Policy in the Conduct of Solar System Exploration - PART 1_mFiKo3amY9I - transcript (automated).pdf","Transcript Link")</f>
        <v>Transcript Link</v>
      </c>
    </row>
    <row r="3198" ht="225" spans="1:13">
      <c r="A3198" s="1" t="s">
        <v>14529</v>
      </c>
      <c r="B3198" s="1" t="s">
        <v>13</v>
      </c>
      <c r="C3198" s="4" t="s">
        <v>14537</v>
      </c>
      <c r="D3198" s="1" t="s">
        <v>14538</v>
      </c>
      <c r="E3198" s="1" t="s">
        <v>14539</v>
      </c>
      <c r="F3198" s="4" t="s">
        <v>17</v>
      </c>
      <c r="G3198" s="1" t="s">
        <v>18</v>
      </c>
      <c r="H3198" s="1" t="s">
        <v>19</v>
      </c>
      <c r="I3198" s="1" t="s">
        <v>20</v>
      </c>
      <c r="J3198" s="1" t="s">
        <v>14540</v>
      </c>
      <c r="K3198" s="1" t="s">
        <v>22</v>
      </c>
      <c r="L3198" s="1" t="str">
        <f>HYPERLINK("https://files.afu.se/Downloads/Transcripts/0%20-%20Government/USA%20-%20NASA/2012 11 21 - NASA - Panel %236  Roundtable -- From the Past to the Future - PART 2_3tKJvUfe6yA - transcript (automated).pdf","Transcript Link")</f>
        <v>Transcript Link</v>
      </c>
      <c r="M3198" s="2" t="str">
        <f>HYPERLINK("https://files.afu.se/Downloads/Transcripts/0%20-%20Government/USA%20-%20NASA/2012 11 21 - NASA - Panel %236  Roundtable -- From the Past to the Future - PART 2_3tKJvUfe6yA - transcript (automated).pdf","Transcript Link")</f>
        <v>Transcript Link</v>
      </c>
    </row>
    <row r="3199" ht="225" spans="1:13">
      <c r="A3199" s="1" t="s">
        <v>14529</v>
      </c>
      <c r="B3199" s="1" t="s">
        <v>13</v>
      </c>
      <c r="C3199" s="4" t="s">
        <v>14541</v>
      </c>
      <c r="D3199" s="1" t="s">
        <v>14542</v>
      </c>
      <c r="E3199" s="1" t="s">
        <v>14539</v>
      </c>
      <c r="F3199" s="4" t="s">
        <v>17</v>
      </c>
      <c r="G3199" s="1" t="s">
        <v>18</v>
      </c>
      <c r="H3199" s="1" t="s">
        <v>19</v>
      </c>
      <c r="I3199" s="1" t="s">
        <v>20</v>
      </c>
      <c r="J3199" s="1" t="s">
        <v>14543</v>
      </c>
      <c r="K3199" s="1" t="s">
        <v>22</v>
      </c>
      <c r="L3199" s="1" t="str">
        <f>HYPERLINK("https://files.afu.se/Downloads/Transcripts/0%20-%20Government/USA%20-%20NASA/2012 11 21 - NASA - Panel %236  Roundtable -- From the Past to the Future - PART 1_-rm7CD0OGw4 - transcript (automated).pdf","Transcript Link")</f>
        <v>Transcript Link</v>
      </c>
      <c r="M3199" s="2" t="str">
        <f>HYPERLINK("https://files.afu.se/Downloads/Transcripts/0%20-%20Government/USA%20-%20NASA/2012 11 21 - NASA - Panel %236  Roundtable -- From the Past to the Future - PART 1_-rm7CD0OGw4 - transcript (automated).pdf","Transcript Link")</f>
        <v>Transcript Link</v>
      </c>
    </row>
    <row r="3200" ht="240" spans="1:13">
      <c r="A3200" s="1" t="s">
        <v>14529</v>
      </c>
      <c r="B3200" s="1" t="s">
        <v>13</v>
      </c>
      <c r="C3200" s="4" t="s">
        <v>14544</v>
      </c>
      <c r="D3200" s="1" t="s">
        <v>14545</v>
      </c>
      <c r="E3200" s="1" t="s">
        <v>14546</v>
      </c>
      <c r="F3200" s="4" t="s">
        <v>17</v>
      </c>
      <c r="G3200" s="1" t="s">
        <v>18</v>
      </c>
      <c r="H3200" s="1" t="s">
        <v>19</v>
      </c>
      <c r="I3200" s="1" t="s">
        <v>20</v>
      </c>
      <c r="J3200" s="1" t="s">
        <v>14547</v>
      </c>
      <c r="K3200" s="1" t="s">
        <v>22</v>
      </c>
      <c r="L3200" s="1" t="str">
        <f>HYPERLINK("https://files.afu.se/Downloads/Transcripts/0%20-%20Government/USA%20-%20NASA/2012 11 21 - NASA - Panel %235  Institutional Arrangements in Solar System Exploration - PART 2_Z3xLSO7yYdc - transcript (automated).pdf","Transcript Link")</f>
        <v>Transcript Link</v>
      </c>
      <c r="M3200" s="2" t="str">
        <f>HYPERLINK("https://files.afu.se/Downloads/Transcripts/0%20-%20Government/USA%20-%20NASA/2012 11 21 - NASA - Panel %235  Institutional Arrangements in Solar System Exploration - PART 2_Z3xLSO7yYdc - transcript (automated).pdf","Transcript Link")</f>
        <v>Transcript Link</v>
      </c>
    </row>
    <row r="3201" ht="240" spans="1:13">
      <c r="A3201" s="1" t="s">
        <v>14529</v>
      </c>
      <c r="B3201" s="1" t="s">
        <v>13</v>
      </c>
      <c r="C3201" s="4" t="s">
        <v>14548</v>
      </c>
      <c r="D3201" s="1" t="s">
        <v>14549</v>
      </c>
      <c r="E3201" s="1" t="s">
        <v>14546</v>
      </c>
      <c r="F3201" s="4" t="s">
        <v>17</v>
      </c>
      <c r="G3201" s="1" t="s">
        <v>18</v>
      </c>
      <c r="H3201" s="1" t="s">
        <v>19</v>
      </c>
      <c r="I3201" s="1" t="s">
        <v>20</v>
      </c>
      <c r="J3201" s="1" t="s">
        <v>14550</v>
      </c>
      <c r="K3201" s="1" t="s">
        <v>22</v>
      </c>
      <c r="L3201" s="1" t="str">
        <f>HYPERLINK("https://files.afu.se/Downloads/Transcripts/0%20-%20Government/USA%20-%20NASA/2012 11 21 - NASA - Panel %235  Institutional Arrangements in Solar System Exploration - PART 1_7zj8-UguuAo - transcript (automated).pdf","Transcript Link")</f>
        <v>Transcript Link</v>
      </c>
      <c r="M3201" s="2" t="str">
        <f>HYPERLINK("https://files.afu.se/Downloads/Transcripts/0%20-%20Government/USA%20-%20NASA/2012 11 21 - NASA - Panel %235  Institutional Arrangements in Solar System Exploration - PART 1_7zj8-UguuAo - transcript (automated).pdf","Transcript Link")</f>
        <v>Transcript Link</v>
      </c>
    </row>
    <row r="3202" ht="165" spans="1:13">
      <c r="A3202" s="1" t="s">
        <v>14529</v>
      </c>
      <c r="B3202" s="1" t="s">
        <v>13</v>
      </c>
      <c r="C3202" s="4" t="s">
        <v>14551</v>
      </c>
      <c r="D3202" s="1" t="s">
        <v>14552</v>
      </c>
      <c r="E3202" s="1" t="s">
        <v>14553</v>
      </c>
      <c r="F3202" s="4" t="s">
        <v>17</v>
      </c>
      <c r="G3202" s="1" t="s">
        <v>18</v>
      </c>
      <c r="H3202" s="1" t="s">
        <v>19</v>
      </c>
      <c r="I3202" s="1" t="s">
        <v>20</v>
      </c>
      <c r="J3202" s="1" t="s">
        <v>14554</v>
      </c>
      <c r="K3202" s="1" t="s">
        <v>22</v>
      </c>
      <c r="L3202" s="1" t="str">
        <f>HYPERLINK("https://files.afu.se/Downloads/Transcripts/0%20-%20Government/USA%20-%20NASA/2012 11 21 - NASA - Panel 4  Exploring the Outer Solar System - PART 2_Uov18Cv2u94 - transcript (automated).pdf","Transcript Link")</f>
        <v>Transcript Link</v>
      </c>
      <c r="M3202" s="2" t="str">
        <f>HYPERLINK("https://files.afu.se/Downloads/Transcripts/0%20-%20Government/USA%20-%20NASA/2012 11 21 - NASA - Panel 4  Exploring the Outer Solar System - PART 2_Uov18Cv2u94 - transcript (automated).pdf","Transcript Link")</f>
        <v>Transcript Link</v>
      </c>
    </row>
    <row r="3203" ht="165" spans="1:13">
      <c r="A3203" s="1" t="s">
        <v>14529</v>
      </c>
      <c r="B3203" s="1" t="s">
        <v>13</v>
      </c>
      <c r="C3203" s="4" t="s">
        <v>14555</v>
      </c>
      <c r="D3203" s="1" t="s">
        <v>14556</v>
      </c>
      <c r="E3203" s="1" t="s">
        <v>14553</v>
      </c>
      <c r="F3203" s="4" t="s">
        <v>17</v>
      </c>
      <c r="G3203" s="1" t="s">
        <v>18</v>
      </c>
      <c r="H3203" s="1" t="s">
        <v>19</v>
      </c>
      <c r="I3203" s="1" t="s">
        <v>20</v>
      </c>
      <c r="J3203" s="1" t="s">
        <v>14557</v>
      </c>
      <c r="K3203" s="1" t="s">
        <v>22</v>
      </c>
      <c r="L3203" s="1" t="str">
        <f>HYPERLINK("https://files.afu.se/Downloads/Transcripts/0%20-%20Government/USA%20-%20NASA/2012 11 21 - NASA - Panel 4  Exploring the Outer Solar System - PART 1_enFpdbJj7cA - transcript (automated).pdf","Transcript Link")</f>
        <v>Transcript Link</v>
      </c>
      <c r="M3203" s="2" t="str">
        <f>HYPERLINK("https://files.afu.se/Downloads/Transcripts/0%20-%20Government/USA%20-%20NASA/2012 11 21 - NASA - Panel 4  Exploring the Outer Solar System - PART 1_enFpdbJj7cA - transcript (automated).pdf","Transcript Link")</f>
        <v>Transcript Link</v>
      </c>
    </row>
    <row r="3204" ht="180" spans="1:13">
      <c r="A3204" s="1" t="s">
        <v>14529</v>
      </c>
      <c r="B3204" s="1" t="s">
        <v>13</v>
      </c>
      <c r="C3204" s="4" t="s">
        <v>14558</v>
      </c>
      <c r="D3204" s="1" t="s">
        <v>14559</v>
      </c>
      <c r="E3204" s="1" t="s">
        <v>14560</v>
      </c>
      <c r="F3204" s="4" t="s">
        <v>17</v>
      </c>
      <c r="G3204" s="1" t="s">
        <v>18</v>
      </c>
      <c r="H3204" s="1" t="s">
        <v>19</v>
      </c>
      <c r="I3204" s="1" t="s">
        <v>20</v>
      </c>
      <c r="J3204" s="1" t="s">
        <v>14561</v>
      </c>
      <c r="K3204" s="1" t="s">
        <v>22</v>
      </c>
      <c r="L3204" s="1" t="str">
        <f>HYPERLINK("https://files.afu.se/Downloads/Transcripts/0%20-%20Government/USA%20-%20NASA/2012 11 21 - NASA - Panel %233  Public Perceptions, Priorities, and Solar System Exploration - PART 2_FySvyk8VNOw - transcript (automated).pdf","Transcript Link")</f>
        <v>Transcript Link</v>
      </c>
      <c r="M3204" s="2" t="str">
        <f>HYPERLINK("https://files.afu.se/Downloads/Transcripts/0%20-%20Government/USA%20-%20NASA/2012 11 21 - NASA - Panel %233  Public Perceptions, Priorities, and Solar System Exploration - PART 2_FySvyk8VNOw - transcript (automated).pdf","Transcript Link")</f>
        <v>Transcript Link</v>
      </c>
    </row>
    <row r="3205" ht="180" spans="1:13">
      <c r="A3205" s="1" t="s">
        <v>14529</v>
      </c>
      <c r="B3205" s="1" t="s">
        <v>13</v>
      </c>
      <c r="C3205" s="4" t="s">
        <v>14562</v>
      </c>
      <c r="D3205" s="1" t="s">
        <v>14563</v>
      </c>
      <c r="E3205" s="1" t="s">
        <v>14560</v>
      </c>
      <c r="F3205" s="4" t="s">
        <v>17</v>
      </c>
      <c r="G3205" s="1" t="s">
        <v>18</v>
      </c>
      <c r="H3205" s="1" t="s">
        <v>19</v>
      </c>
      <c r="I3205" s="1" t="s">
        <v>20</v>
      </c>
      <c r="J3205" s="1" t="s">
        <v>14564</v>
      </c>
      <c r="K3205" s="1" t="s">
        <v>22</v>
      </c>
      <c r="L3205" s="1" t="str">
        <f>HYPERLINK("https://files.afu.se/Downloads/Transcripts/0%20-%20Government/USA%20-%20NASA/2012 11 21 - NASA - Panel %233  Public Perceptions, Priorities, and Solar System Exploration - PART 1_RmQPPCYmHKY - transcript (automated).pdf","Transcript Link")</f>
        <v>Transcript Link</v>
      </c>
      <c r="M3205" s="2" t="str">
        <f>HYPERLINK("https://files.afu.se/Downloads/Transcripts/0%20-%20Government/USA%20-%20NASA/2012 11 21 - NASA - Panel %233  Public Perceptions, Priorities, and Solar System Exploration - PART 1_RmQPPCYmHKY - transcript (automated).pdf","Transcript Link")</f>
        <v>Transcript Link</v>
      </c>
    </row>
    <row r="3206" ht="165" spans="1:13">
      <c r="A3206" s="1" t="s">
        <v>14529</v>
      </c>
      <c r="B3206" s="1" t="s">
        <v>13</v>
      </c>
      <c r="C3206" s="4" t="s">
        <v>14565</v>
      </c>
      <c r="D3206" s="1" t="s">
        <v>14566</v>
      </c>
      <c r="E3206" s="1" t="s">
        <v>14567</v>
      </c>
      <c r="F3206" s="4" t="s">
        <v>17</v>
      </c>
      <c r="G3206" s="1" t="s">
        <v>18</v>
      </c>
      <c r="H3206" s="1" t="s">
        <v>19</v>
      </c>
      <c r="I3206" s="1" t="s">
        <v>20</v>
      </c>
      <c r="J3206" s="1" t="s">
        <v>14568</v>
      </c>
      <c r="K3206" s="1" t="s">
        <v>22</v>
      </c>
      <c r="L3206" s="1" t="str">
        <f>HYPERLINK("https://files.afu.se/Downloads/Transcripts/0%20-%20Government/USA%20-%20NASA/2012 11 21 - NASA - NASA App Puts Universe at Your Fingertips_ebkLwOmQyOo - transcript (automated).pdf","Transcript Link")</f>
        <v>Transcript Link</v>
      </c>
      <c r="M3206" s="2" t="str">
        <f>HYPERLINK("https://files.afu.se/Downloads/Transcripts/0%20-%20Government/USA%20-%20NASA/2012 11 21 - NASA - NASA App Puts Universe at Your Fingertips_ebkLwOmQyOo - transcript (automated).pdf","Transcript Link")</f>
        <v>Transcript Link</v>
      </c>
    </row>
    <row r="3207" ht="165" spans="1:13">
      <c r="A3207" s="1" t="s">
        <v>14569</v>
      </c>
      <c r="B3207" s="1" t="s">
        <v>13</v>
      </c>
      <c r="C3207" s="4" t="s">
        <v>14570</v>
      </c>
      <c r="D3207" s="1" t="s">
        <v>14571</v>
      </c>
      <c r="E3207" s="1" t="s">
        <v>14572</v>
      </c>
      <c r="F3207" s="4" t="s">
        <v>17</v>
      </c>
      <c r="G3207" s="1" t="s">
        <v>18</v>
      </c>
      <c r="H3207" s="1" t="s">
        <v>19</v>
      </c>
      <c r="I3207" s="1" t="s">
        <v>20</v>
      </c>
      <c r="J3207" s="1" t="s">
        <v>14573</v>
      </c>
      <c r="K3207" s="1" t="s">
        <v>22</v>
      </c>
      <c r="L3207" s="1" t="str">
        <f>HYPERLINK("https://files.afu.se/Downloads/Transcripts/0%20-%20Government/USA%20-%20NASA/2012 11 20 - NASA - Panel %232  The Lure of the Red Planet - PART 1_UAecap7-3z4 - transcript (automated).pdf","Transcript Link")</f>
        <v>Transcript Link</v>
      </c>
      <c r="M3207" s="2" t="str">
        <f>HYPERLINK("https://files.afu.se/Downloads/Transcripts/0%20-%20Government/USA%20-%20NASA/2012 11 20 - NASA - Panel %232  The Lure of the Red Planet - PART 1_UAecap7-3z4 - transcript (automated).pdf","Transcript Link")</f>
        <v>Transcript Link</v>
      </c>
    </row>
    <row r="3208" ht="165" spans="1:13">
      <c r="A3208" s="1" t="s">
        <v>14569</v>
      </c>
      <c r="B3208" s="1" t="s">
        <v>13</v>
      </c>
      <c r="C3208" s="4" t="s">
        <v>14574</v>
      </c>
      <c r="D3208" s="1" t="s">
        <v>14575</v>
      </c>
      <c r="E3208" s="1" t="s">
        <v>14576</v>
      </c>
      <c r="F3208" s="4" t="s">
        <v>17</v>
      </c>
      <c r="G3208" s="1" t="s">
        <v>18</v>
      </c>
      <c r="H3208" s="1" t="s">
        <v>19</v>
      </c>
      <c r="I3208" s="1" t="s">
        <v>20</v>
      </c>
      <c r="J3208" s="1" t="s">
        <v>14577</v>
      </c>
      <c r="K3208" s="1" t="s">
        <v>22</v>
      </c>
      <c r="L3208" s="1" t="str">
        <f>HYPERLINK("https://files.afu.se/Downloads/Transcripts/0%20-%20Government/USA%20-%20NASA/2012 11 20 - NASA - Panel %232  The Lure of the Red Planet - PART 2_SN0y10Nx6rs - transcript (automated).pdf","Transcript Link")</f>
        <v>Transcript Link</v>
      </c>
      <c r="M3208" s="2" t="str">
        <f>HYPERLINK("https://files.afu.se/Downloads/Transcripts/0%20-%20Government/USA%20-%20NASA/2012 11 20 - NASA - Panel %232  The Lure of the Red Planet - PART 2_SN0y10Nx6rs - transcript (automated).pdf","Transcript Link")</f>
        <v>Transcript Link</v>
      </c>
    </row>
    <row r="3209" ht="165" spans="1:13">
      <c r="A3209" s="1" t="s">
        <v>14569</v>
      </c>
      <c r="B3209" s="1" t="s">
        <v>13</v>
      </c>
      <c r="C3209" s="4" t="s">
        <v>14578</v>
      </c>
      <c r="D3209" s="1" t="s">
        <v>14579</v>
      </c>
      <c r="E3209" s="1" t="s">
        <v>14580</v>
      </c>
      <c r="F3209" s="4" t="s">
        <v>17</v>
      </c>
      <c r="G3209" s="1" t="s">
        <v>18</v>
      </c>
      <c r="H3209" s="1" t="s">
        <v>19</v>
      </c>
      <c r="I3209" s="1" t="s">
        <v>20</v>
      </c>
      <c r="J3209" s="1" t="s">
        <v>14581</v>
      </c>
      <c r="K3209" s="1" t="s">
        <v>22</v>
      </c>
      <c r="L3209" s="1" t="str">
        <f>HYPERLINK("https://files.afu.se/Downloads/Transcripts/0%20-%20Government/USA%20-%20NASA/2012 11 20 - NASA - New Space Station Commander Previews Thanksgiving in Orbit_CTwISyNx9nw - transcript (automated).pdf","Transcript Link")</f>
        <v>Transcript Link</v>
      </c>
      <c r="M3209" s="2" t="str">
        <f>HYPERLINK("https://files.afu.se/Downloads/Transcripts/0%20-%20Government/USA%20-%20NASA/2012 11 20 - NASA - New Space Station Commander Previews Thanksgiving in Orbit_CTwISyNx9nw - transcript (automated).pdf","Transcript Link")</f>
        <v>Transcript Link</v>
      </c>
    </row>
    <row r="3210" ht="225" spans="1:13">
      <c r="A3210" s="1" t="s">
        <v>14569</v>
      </c>
      <c r="B3210" s="1" t="s">
        <v>13</v>
      </c>
      <c r="C3210" s="4" t="s">
        <v>14582</v>
      </c>
      <c r="D3210" s="1" t="s">
        <v>14583</v>
      </c>
      <c r="E3210" s="1" t="s">
        <v>14584</v>
      </c>
      <c r="F3210" s="4" t="s">
        <v>17</v>
      </c>
      <c r="G3210" s="1" t="s">
        <v>18</v>
      </c>
      <c r="H3210" s="1" t="s">
        <v>19</v>
      </c>
      <c r="I3210" s="1" t="s">
        <v>20</v>
      </c>
      <c r="J3210" s="1" t="s">
        <v>14585</v>
      </c>
      <c r="K3210" s="1" t="s">
        <v>22</v>
      </c>
      <c r="L3210" s="1" t="str">
        <f>HYPERLINK("https://files.afu.se/Downloads/Transcripts/0%20-%20Government/USA%20-%20NASA/2012 11 20 - NASA - Expedition 33 Returns Home Safely on This Week @NASA_G4SHEPizG5A - transcript (automated).pdf","Transcript Link")</f>
        <v>Transcript Link</v>
      </c>
      <c r="M3210" s="2" t="str">
        <f>HYPERLINK("https://files.afu.se/Downloads/Transcripts/0%20-%20Government/USA%20-%20NASA/2012 11 20 - NASA - Expedition 33 Returns Home Safely on This Week @NASA_G4SHEPizG5A - transcript (automated).pdf","Transcript Link")</f>
        <v>Transcript Link</v>
      </c>
    </row>
    <row r="3211" ht="165" spans="1:13">
      <c r="A3211" s="1" t="s">
        <v>14569</v>
      </c>
      <c r="B3211" s="1" t="s">
        <v>13</v>
      </c>
      <c r="C3211" s="4" t="s">
        <v>14586</v>
      </c>
      <c r="D3211" s="1" t="s">
        <v>14587</v>
      </c>
      <c r="F3211" s="4" t="s">
        <v>17</v>
      </c>
      <c r="G3211" s="1" t="s">
        <v>18</v>
      </c>
      <c r="H3211" s="1" t="s">
        <v>19</v>
      </c>
      <c r="I3211" s="1" t="s">
        <v>20</v>
      </c>
      <c r="J3211" s="1" t="s">
        <v>14588</v>
      </c>
      <c r="K3211" s="1" t="s">
        <v>22</v>
      </c>
      <c r="L3211" s="1" t="str">
        <f>HYPERLINK("https://files.afu.se/Downloads/Transcripts/0%20-%20Government/USA%20-%20NASA/2012 11 20 - NASA - Happy Thanksgiving from NASA Television_CXOXce_62w0 - transcript (automated).pdf","Transcript Link")</f>
        <v>Transcript Link</v>
      </c>
      <c r="M3211" s="2" t="str">
        <f>HYPERLINK("https://files.afu.se/Downloads/Transcripts/0%20-%20Government/USA%20-%20NASA/2012 11 20 - NASA - Happy Thanksgiving from NASA Television_CXOXce_62w0 - transcript (automated).pdf","Transcript Link")</f>
        <v>Transcript Link</v>
      </c>
    </row>
    <row r="3212" ht="165" spans="1:13">
      <c r="A3212" s="1" t="s">
        <v>14589</v>
      </c>
      <c r="B3212" s="1" t="s">
        <v>13</v>
      </c>
      <c r="C3212" s="4" t="s">
        <v>14590</v>
      </c>
      <c r="D3212" s="1" t="s">
        <v>14591</v>
      </c>
      <c r="E3212" s="1" t="s">
        <v>14592</v>
      </c>
      <c r="F3212" s="4" t="s">
        <v>17</v>
      </c>
      <c r="G3212" s="1" t="s">
        <v>18</v>
      </c>
      <c r="H3212" s="1" t="s">
        <v>19</v>
      </c>
      <c r="I3212" s="1" t="s">
        <v>20</v>
      </c>
      <c r="J3212" s="1" t="s">
        <v>14593</v>
      </c>
      <c r="K3212" s="1" t="s">
        <v>22</v>
      </c>
      <c r="L3212" s="1" t="str">
        <f>HYPERLINK("https://files.afu.se/Downloads/Transcripts/0%20-%20Government/USA%20-%20NASA/2012 11 19 - NASA - Departing Space Station Commander Provides Tour of Orbital Laboratory_doN4t5NKW-k - transcript (automated).pdf","Transcript Link")</f>
        <v>Transcript Link</v>
      </c>
      <c r="M3212" s="2" t="str">
        <f>HYPERLINK("https://files.afu.se/Downloads/Transcripts/0%20-%20Government/USA%20-%20NASA/2012 11 19 - NASA - Departing Space Station Commander Provides Tour of Orbital Laboratory_doN4t5NKW-k - transcript (automated).pdf","Transcript Link")</f>
        <v>Transcript Link</v>
      </c>
    </row>
    <row r="3213" ht="225" spans="1:13">
      <c r="A3213" s="1" t="s">
        <v>14589</v>
      </c>
      <c r="B3213" s="1" t="s">
        <v>13</v>
      </c>
      <c r="C3213" s="4" t="s">
        <v>14594</v>
      </c>
      <c r="D3213" s="1" t="s">
        <v>14595</v>
      </c>
      <c r="E3213" s="1" t="s">
        <v>14584</v>
      </c>
      <c r="F3213" s="4" t="s">
        <v>17</v>
      </c>
      <c r="G3213" s="1" t="s">
        <v>18</v>
      </c>
      <c r="H3213" s="1" t="s">
        <v>19</v>
      </c>
      <c r="I3213" s="1" t="s">
        <v>20</v>
      </c>
      <c r="J3213" s="1" t="s">
        <v>14596</v>
      </c>
      <c r="K3213" s="1" t="s">
        <v>22</v>
      </c>
      <c r="L3213" s="1" t="str">
        <f>HYPERLINK("https://files.afu.se/Downloads/Transcripts/0%20-%20Government/USA%20-%20NASA/2012 11 19 - NASA -  Expedition 33 Returns Home Safely on This Week @NASA_DrnOXNMwbdk - transcript (automated).pdf","Transcript Link")</f>
        <v>Transcript Link</v>
      </c>
      <c r="M3213" s="2" t="str">
        <f>HYPERLINK("https://files.afu.se/Downloads/Transcripts/0%20-%20Government/USA%20-%20NASA/2012 11 19 - NASA -  Expedition 33 Returns Home Safely on This Week @NASA_DrnOXNMwbdk - transcript (automated).pdf","Transcript Link")</f>
        <v>Transcript Link</v>
      </c>
    </row>
    <row r="3214" ht="210" spans="1:13">
      <c r="A3214" s="1" t="s">
        <v>14589</v>
      </c>
      <c r="B3214" s="1" t="s">
        <v>13</v>
      </c>
      <c r="C3214" s="4" t="s">
        <v>14597</v>
      </c>
      <c r="D3214" s="1" t="s">
        <v>14598</v>
      </c>
      <c r="E3214" s="1" t="s">
        <v>14599</v>
      </c>
      <c r="F3214" s="4" t="s">
        <v>17</v>
      </c>
      <c r="G3214" s="1" t="s">
        <v>18</v>
      </c>
      <c r="H3214" s="1" t="s">
        <v>19</v>
      </c>
      <c r="I3214" s="1" t="s">
        <v>20</v>
      </c>
      <c r="J3214" s="1" t="s">
        <v>14600</v>
      </c>
      <c r="K3214" s="1" t="s">
        <v>22</v>
      </c>
      <c r="L3214" s="1" t="str">
        <f>HYPERLINK("https://files.afu.se/Downloads/Transcripts/0%20-%20Government/USA%20-%20NASA/2012 11 19 - NASA - Expedition 33 Crew Receives a Warm Welcome in Kazakhstan and Russia_xkf2-UJWMr8 - transcript (automated).pdf","Transcript Link")</f>
        <v>Transcript Link</v>
      </c>
      <c r="M3214" s="2" t="str">
        <f>HYPERLINK("https://files.afu.se/Downloads/Transcripts/0%20-%20Government/USA%20-%20NASA/2012 11 19 - NASA - Expedition 33 Crew Receives a Warm Welcome in Kazakhstan and Russia_xkf2-UJWMr8 - transcript (automated).pdf","Transcript Link")</f>
        <v>Transcript Link</v>
      </c>
    </row>
    <row r="3215" ht="165" spans="1:13">
      <c r="A3215" s="1" t="s">
        <v>14589</v>
      </c>
      <c r="B3215" s="1" t="s">
        <v>13</v>
      </c>
      <c r="C3215" s="4" t="s">
        <v>14601</v>
      </c>
      <c r="D3215" s="1" t="s">
        <v>14602</v>
      </c>
      <c r="E3215" s="1" t="s">
        <v>14603</v>
      </c>
      <c r="F3215" s="4" t="s">
        <v>17</v>
      </c>
      <c r="G3215" s="1" t="s">
        <v>18</v>
      </c>
      <c r="H3215" s="1" t="s">
        <v>19</v>
      </c>
      <c r="I3215" s="1" t="s">
        <v>20</v>
      </c>
      <c r="J3215" s="1" t="s">
        <v>14604</v>
      </c>
      <c r="K3215" s="1" t="s">
        <v>22</v>
      </c>
      <c r="L3215" s="1" t="str">
        <f>HYPERLINK("https://files.afu.se/Downloads/Transcripts/0%20-%20Government/USA%20-%20NASA/2012 11 19 - NASA - Soyuz Returns Safely to Earth_Tll8Yw_BMCQ - transcript (automated).pdf","Transcript Link")</f>
        <v>Transcript Link</v>
      </c>
      <c r="M3215" s="2" t="str">
        <f>HYPERLINK("https://files.afu.se/Downloads/Transcripts/0%20-%20Government/USA%20-%20NASA/2012 11 19 - NASA - Soyuz Returns Safely to Earth_Tll8Yw_BMCQ - transcript (automated).pdf","Transcript Link")</f>
        <v>Transcript Link</v>
      </c>
    </row>
    <row r="3216" ht="165" spans="1:13">
      <c r="A3216" s="1" t="s">
        <v>14605</v>
      </c>
      <c r="B3216" s="1" t="s">
        <v>13</v>
      </c>
      <c r="C3216" s="4" t="s">
        <v>14606</v>
      </c>
      <c r="D3216" s="1" t="s">
        <v>8973</v>
      </c>
      <c r="E3216" s="1" t="s">
        <v>14607</v>
      </c>
      <c r="F3216" s="4" t="s">
        <v>17</v>
      </c>
      <c r="G3216" s="1" t="s">
        <v>18</v>
      </c>
      <c r="H3216" s="1" t="s">
        <v>19</v>
      </c>
      <c r="I3216" s="1" t="s">
        <v>20</v>
      </c>
      <c r="J3216" s="1" t="s">
        <v>14608</v>
      </c>
      <c r="K3216" s="1" t="s">
        <v>22</v>
      </c>
      <c r="L3216" s="1" t="str">
        <f>HYPERLINK("https://files.afu.se/Downloads/Transcripts/0%20-%20Government/USA%20-%20NASA/2012 11 18 - NASA - Soyuz Undocks from ISS_JZts7RVdGkA - transcript (automated).pdf","Transcript Link")</f>
        <v>Transcript Link</v>
      </c>
      <c r="M3216" s="2" t="str">
        <f>HYPERLINK("https://files.afu.se/Downloads/Transcripts/0%20-%20Government/USA%20-%20NASA/2012 11 18 - NASA - Soyuz Undocks from ISS_JZts7RVdGkA - transcript (automated).pdf","Transcript Link")</f>
        <v>Transcript Link</v>
      </c>
    </row>
    <row r="3217" ht="165" spans="1:13">
      <c r="A3217" s="1" t="s">
        <v>14605</v>
      </c>
      <c r="B3217" s="1" t="s">
        <v>13</v>
      </c>
      <c r="C3217" s="4" t="s">
        <v>14609</v>
      </c>
      <c r="D3217" s="1" t="s">
        <v>14610</v>
      </c>
      <c r="E3217" s="1" t="s">
        <v>14611</v>
      </c>
      <c r="F3217" s="4" t="s">
        <v>17</v>
      </c>
      <c r="G3217" s="1" t="s">
        <v>18</v>
      </c>
      <c r="H3217" s="1" t="s">
        <v>19</v>
      </c>
      <c r="I3217" s="1" t="s">
        <v>20</v>
      </c>
      <c r="J3217" s="1" t="s">
        <v>14612</v>
      </c>
      <c r="K3217" s="1" t="s">
        <v>22</v>
      </c>
      <c r="L3217" s="1" t="str">
        <f>HYPERLINK("https://files.afu.se/Downloads/Transcripts/0%20-%20Government/USA%20-%20NASA/2012 11 18 - NASA - Fond Farewell for Suni, Aki and Yuri_nBeWajjnDvw - transcript (automated).pdf","Transcript Link")</f>
        <v>Transcript Link</v>
      </c>
      <c r="M3217" s="2" t="str">
        <f>HYPERLINK("https://files.afu.se/Downloads/Transcripts/0%20-%20Government/USA%20-%20NASA/2012 11 18 - NASA - Fond Farewell for Suni, Aki and Yuri_nBeWajjnDvw - transcript (automated).pdf","Transcript Link")</f>
        <v>Transcript Link</v>
      </c>
    </row>
    <row r="3218" ht="210" spans="1:13">
      <c r="A3218" s="1" t="s">
        <v>14613</v>
      </c>
      <c r="B3218" s="1" t="s">
        <v>13</v>
      </c>
      <c r="C3218" s="4" t="s">
        <v>14614</v>
      </c>
      <c r="D3218" s="1" t="s">
        <v>14615</v>
      </c>
      <c r="E3218" s="1" t="s">
        <v>14616</v>
      </c>
      <c r="F3218" s="4" t="s">
        <v>17</v>
      </c>
      <c r="G3218" s="1" t="s">
        <v>18</v>
      </c>
      <c r="H3218" s="1" t="s">
        <v>19</v>
      </c>
      <c r="I3218" s="1" t="s">
        <v>20</v>
      </c>
      <c r="J3218" s="1" t="s">
        <v>14617</v>
      </c>
      <c r="K3218" s="1" t="s">
        <v>22</v>
      </c>
      <c r="L3218" s="1" t="str">
        <f>HYPERLINK("https://files.afu.se/Downloads/Transcripts/0%20-%20Government/USA%20-%20NASA/2012 11 17 - NASA - New Command on ISS_2HsoSbUxrlw - transcript (automated).pdf","Transcript Link")</f>
        <v>Transcript Link</v>
      </c>
      <c r="M3218" s="2" t="str">
        <f>HYPERLINK("https://files.afu.se/Downloads/Transcripts/0%20-%20Government/USA%20-%20NASA/2012 11 17 - NASA - New Command on ISS_2HsoSbUxrlw - transcript (automated).pdf","Transcript Link")</f>
        <v>Transcript Link</v>
      </c>
    </row>
    <row r="3219" ht="210" spans="1:13">
      <c r="A3219" s="1" t="s">
        <v>14618</v>
      </c>
      <c r="B3219" s="1" t="s">
        <v>13</v>
      </c>
      <c r="C3219" s="4" t="s">
        <v>14619</v>
      </c>
      <c r="D3219" s="1" t="s">
        <v>14620</v>
      </c>
      <c r="E3219" s="1" t="s">
        <v>14621</v>
      </c>
      <c r="F3219" s="4" t="s">
        <v>17</v>
      </c>
      <c r="G3219" s="1" t="s">
        <v>18</v>
      </c>
      <c r="H3219" s="1" t="s">
        <v>19</v>
      </c>
      <c r="I3219" s="1" t="s">
        <v>20</v>
      </c>
      <c r="J3219" s="1" t="s">
        <v>14622</v>
      </c>
      <c r="K3219" s="1" t="s">
        <v>22</v>
      </c>
      <c r="L3219" s="1" t="str">
        <f>HYPERLINK("https://files.afu.se/Downloads/Transcripts/0%20-%20Government/USA%20-%20NASA/2012 11 16 - NASA - NASA National Native American Heritage Month Profile -- Jeff Henderson_ef90LYq7GRA - transcript (automated).pdf","Transcript Link")</f>
        <v>Transcript Link</v>
      </c>
      <c r="M3219" s="2" t="str">
        <f>HYPERLINK("https://files.afu.se/Downloads/Transcripts/0%20-%20Government/USA%20-%20NASA/2012 11 16 - NASA - NASA National Native American Heritage Month Profile -- Jeff Henderson_ef90LYq7GRA - transcript (automated).pdf","Transcript Link")</f>
        <v>Transcript Link</v>
      </c>
    </row>
    <row r="3220" ht="165" spans="1:13">
      <c r="A3220" s="1" t="s">
        <v>14618</v>
      </c>
      <c r="B3220" s="1" t="s">
        <v>13</v>
      </c>
      <c r="C3220" s="4" t="s">
        <v>14623</v>
      </c>
      <c r="D3220" s="1" t="s">
        <v>14624</v>
      </c>
      <c r="E3220" s="1" t="s">
        <v>14363</v>
      </c>
      <c r="F3220" s="4" t="s">
        <v>17</v>
      </c>
      <c r="G3220" s="1" t="s">
        <v>18</v>
      </c>
      <c r="H3220" s="1" t="s">
        <v>19</v>
      </c>
      <c r="I3220" s="1" t="s">
        <v>20</v>
      </c>
      <c r="J3220" s="1" t="s">
        <v>14625</v>
      </c>
      <c r="K3220" s="1" t="s">
        <v>22</v>
      </c>
      <c r="L3220" s="1" t="str">
        <f>HYPERLINK("https://files.afu.se/Downloads/Transcripts/0%20-%20Government/USA%20-%20NASA/2012 11 16 - NASA - NASA's Mars Curiosity Rover Report %2315 -- November 15, 2012_0t0LWFHB8Qo - transcript (automated).pdf","Transcript Link")</f>
        <v>Transcript Link</v>
      </c>
      <c r="M3220" s="2" t="str">
        <f>HYPERLINK("https://files.afu.se/Downloads/Transcripts/0%20-%20Government/USA%20-%20NASA/2012 11 16 - NASA - NASA's Mars Curiosity Rover Report %2315 -- November 15, 2012_0t0LWFHB8Qo - transcript (automated).pdf","Transcript Link")</f>
        <v>Transcript Link</v>
      </c>
    </row>
    <row r="3221" ht="165" spans="1:13">
      <c r="A3221" s="1" t="s">
        <v>14618</v>
      </c>
      <c r="B3221" s="1" t="s">
        <v>13</v>
      </c>
      <c r="C3221" s="4" t="s">
        <v>14626</v>
      </c>
      <c r="D3221" s="1" t="s">
        <v>14627</v>
      </c>
      <c r="E3221" s="1" t="s">
        <v>14628</v>
      </c>
      <c r="F3221" s="4" t="s">
        <v>17</v>
      </c>
      <c r="G3221" s="1" t="s">
        <v>18</v>
      </c>
      <c r="H3221" s="1" t="s">
        <v>19</v>
      </c>
      <c r="I3221" s="1" t="s">
        <v>20</v>
      </c>
      <c r="J3221" s="1" t="s">
        <v>14629</v>
      </c>
      <c r="K3221" s="1" t="s">
        <v>22</v>
      </c>
      <c r="L3221" s="1" t="str">
        <f>HYPERLINK("https://files.afu.se/Downloads/Transcripts/0%20-%20Government/USA%20-%20NASA/2012 11 16 - NASA - NASA National Native American Heritage Month Profile -- Jeanne Lynch_mxZi8wKoRL4 - transcript (automated).pdf","Transcript Link")</f>
        <v>Transcript Link</v>
      </c>
      <c r="M3221" s="2" t="str">
        <f>HYPERLINK("https://files.afu.se/Downloads/Transcripts/0%20-%20Government/USA%20-%20NASA/2012 11 16 - NASA - NASA National Native American Heritage Month Profile -- Jeanne Lynch_mxZi8wKoRL4 - transcript (automated).pdf","Transcript Link")</f>
        <v>Transcript Link</v>
      </c>
    </row>
    <row r="3222" ht="165" spans="1:13">
      <c r="A3222" s="1" t="s">
        <v>14618</v>
      </c>
      <c r="B3222" s="1" t="s">
        <v>13</v>
      </c>
      <c r="C3222" s="4" t="s">
        <v>14630</v>
      </c>
      <c r="D3222" s="1" t="s">
        <v>14631</v>
      </c>
      <c r="E3222" s="1" t="s">
        <v>14632</v>
      </c>
      <c r="F3222" s="4" t="s">
        <v>17</v>
      </c>
      <c r="G3222" s="1" t="s">
        <v>18</v>
      </c>
      <c r="H3222" s="1" t="s">
        <v>19</v>
      </c>
      <c r="I3222" s="1" t="s">
        <v>20</v>
      </c>
      <c r="J3222" s="1" t="s">
        <v>14633</v>
      </c>
      <c r="K3222" s="1" t="s">
        <v>22</v>
      </c>
      <c r="L3222" s="1" t="str">
        <f>HYPERLINK("https://files.afu.se/Downloads/Transcripts/0%20-%20Government/USA%20-%20NASA/2012 11 16 - NASA - ScienceCasts  The Diner at the Center of the Galaxy_LL-OvCnn53c - transcript (automated).pdf","Transcript Link")</f>
        <v>Transcript Link</v>
      </c>
      <c r="M3222" s="2" t="str">
        <f>HYPERLINK("https://files.afu.se/Downloads/Transcripts/0%20-%20Government/USA%20-%20NASA/2012 11 16 - NASA - ScienceCasts  The Diner at the Center of the Galaxy_LL-OvCnn53c - transcript (automated).pdf","Transcript Link")</f>
        <v>Transcript Link</v>
      </c>
    </row>
    <row r="3223" ht="165" spans="1:13">
      <c r="A3223" s="1" t="s">
        <v>14634</v>
      </c>
      <c r="B3223" s="1" t="s">
        <v>13</v>
      </c>
      <c r="C3223" s="4" t="s">
        <v>14635</v>
      </c>
      <c r="D3223" s="1" t="s">
        <v>14636</v>
      </c>
      <c r="E3223" s="1" t="s">
        <v>14637</v>
      </c>
      <c r="F3223" s="4" t="s">
        <v>17</v>
      </c>
      <c r="G3223" s="1" t="s">
        <v>18</v>
      </c>
      <c r="H3223" s="1" t="s">
        <v>19</v>
      </c>
      <c r="I3223" s="1" t="s">
        <v>20</v>
      </c>
      <c r="J3223" s="1" t="s">
        <v>14638</v>
      </c>
      <c r="K3223" s="1" t="s">
        <v>22</v>
      </c>
      <c r="L3223" s="1" t="str">
        <f>HYPERLINK("https://files.afu.se/Downloads/Transcripts/0%20-%20Government/USA%20-%20NASA/2012 11 15 - NASA - Suni's Days for Students at 'Air and Space'__gds6dQV8YM - transcript (automated).pdf","Transcript Link")</f>
        <v>Transcript Link</v>
      </c>
      <c r="M3223" s="2" t="str">
        <f>HYPERLINK("https://files.afu.se/Downloads/Transcripts/0%20-%20Government/USA%20-%20NASA/2012 11 15 - NASA - Suni's Days for Students at 'Air and Space'__gds6dQV8YM - transcript (automated).pdf","Transcript Link")</f>
        <v>Transcript Link</v>
      </c>
    </row>
    <row r="3224" ht="165" spans="1:13">
      <c r="A3224" s="1" t="s">
        <v>14639</v>
      </c>
      <c r="B3224" s="1" t="s">
        <v>13</v>
      </c>
      <c r="C3224" s="4" t="s">
        <v>14640</v>
      </c>
      <c r="D3224" s="1" t="s">
        <v>14641</v>
      </c>
      <c r="E3224" s="1" t="s">
        <v>14642</v>
      </c>
      <c r="F3224" s="4" t="s">
        <v>17</v>
      </c>
      <c r="G3224" s="1" t="s">
        <v>18</v>
      </c>
      <c r="H3224" s="1" t="s">
        <v>19</v>
      </c>
      <c r="I3224" s="1" t="s">
        <v>20</v>
      </c>
      <c r="J3224" s="1" t="s">
        <v>14643</v>
      </c>
      <c r="K3224" s="1" t="s">
        <v>22</v>
      </c>
      <c r="L3224" s="1" t="str">
        <f>HYPERLINK("https://files.afu.se/Downloads/Transcripts/0%20-%20Government/USA%20-%20NASA/2012 11 14 - NASA - Aki Answers from ISS_1CvK5WWzkuw - transcript (automated).pdf","Transcript Link")</f>
        <v>Transcript Link</v>
      </c>
      <c r="M3224" s="2" t="str">
        <f>HYPERLINK("https://files.afu.se/Downloads/Transcripts/0%20-%20Government/USA%20-%20NASA/2012 11 14 - NASA - Aki Answers from ISS_1CvK5WWzkuw - transcript (automated).pdf","Transcript Link")</f>
        <v>Transcript Link</v>
      </c>
    </row>
    <row r="3225" ht="165" spans="1:13">
      <c r="A3225" s="1" t="s">
        <v>14644</v>
      </c>
      <c r="B3225" s="1" t="s">
        <v>13</v>
      </c>
      <c r="C3225" s="4" t="s">
        <v>14645</v>
      </c>
      <c r="D3225" s="1" t="s">
        <v>14646</v>
      </c>
      <c r="E3225" s="1" t="s">
        <v>14647</v>
      </c>
      <c r="F3225" s="4" t="s">
        <v>17</v>
      </c>
      <c r="G3225" s="1" t="s">
        <v>18</v>
      </c>
      <c r="H3225" s="1" t="s">
        <v>19</v>
      </c>
      <c r="I3225" s="1" t="s">
        <v>20</v>
      </c>
      <c r="J3225" s="1" t="s">
        <v>14648</v>
      </c>
      <c r="K3225" s="1" t="s">
        <v>22</v>
      </c>
      <c r="L3225" s="1" t="str">
        <f>HYPERLINK("https://files.afu.se/Downloads/Transcripts/0%20-%20Government/USA%20-%20NASA/2012 11 13 - NASA - NASA National Native American Heritage Month Profile - William Badboy_iXfWkJK0nfo - transcript (automated).pdf","Transcript Link")</f>
        <v>Transcript Link</v>
      </c>
      <c r="M3225" s="2" t="str">
        <f>HYPERLINK("https://files.afu.se/Downloads/Transcripts/0%20-%20Government/USA%20-%20NASA/2012 11 13 - NASA - NASA National Native American Heritage Month Profile - William Badboy_iXfWkJK0nfo - transcript (automated).pdf","Transcript Link")</f>
        <v>Transcript Link</v>
      </c>
    </row>
    <row r="3226" ht="165" spans="1:13">
      <c r="A3226" s="1" t="s">
        <v>14644</v>
      </c>
      <c r="B3226" s="1" t="s">
        <v>13</v>
      </c>
      <c r="C3226" s="4" t="s">
        <v>14649</v>
      </c>
      <c r="D3226" s="1" t="s">
        <v>14650</v>
      </c>
      <c r="E3226" s="1" t="s">
        <v>14363</v>
      </c>
      <c r="F3226" s="4" t="s">
        <v>17</v>
      </c>
      <c r="G3226" s="1" t="s">
        <v>18</v>
      </c>
      <c r="H3226" s="1" t="s">
        <v>19</v>
      </c>
      <c r="I3226" s="1" t="s">
        <v>20</v>
      </c>
      <c r="J3226" s="1" t="s">
        <v>14651</v>
      </c>
      <c r="K3226" s="1" t="s">
        <v>22</v>
      </c>
      <c r="L3226" s="1" t="str">
        <f>HYPERLINK("https://files.afu.se/Downloads/Transcripts/0%20-%20Government/USA%20-%20NASA/2012 11 13 - NASA - NASA's Mars Curiosity Rover Report %2314 -- November 9, 2012_hPUJ6XJCvfY - transcript (automated).pdf","Transcript Link")</f>
        <v>Transcript Link</v>
      </c>
      <c r="M3226" s="2" t="str">
        <f>HYPERLINK("https://files.afu.se/Downloads/Transcripts/0%20-%20Government/USA%20-%20NASA/2012 11 13 - NASA - NASA's Mars Curiosity Rover Report %2314 -- November 9, 2012_hPUJ6XJCvfY - transcript (automated).pdf","Transcript Link")</f>
        <v>Transcript Link</v>
      </c>
    </row>
    <row r="3227" ht="165" spans="1:13">
      <c r="A3227" s="1" t="s">
        <v>14644</v>
      </c>
      <c r="B3227" s="1" t="s">
        <v>13</v>
      </c>
      <c r="C3227" s="4" t="s">
        <v>14652</v>
      </c>
      <c r="D3227" s="1" t="s">
        <v>14653</v>
      </c>
      <c r="E3227" s="1" t="s">
        <v>14654</v>
      </c>
      <c r="F3227" s="4" t="s">
        <v>17</v>
      </c>
      <c r="G3227" s="1" t="s">
        <v>18</v>
      </c>
      <c r="H3227" s="1" t="s">
        <v>19</v>
      </c>
      <c r="I3227" s="1" t="s">
        <v>20</v>
      </c>
      <c r="J3227" s="1" t="s">
        <v>14655</v>
      </c>
      <c r="K3227" s="1" t="s">
        <v>22</v>
      </c>
      <c r="L3227" s="1" t="str">
        <f>HYPERLINK("https://files.afu.se/Downloads/Transcripts/0%20-%20Government/USA%20-%20NASA/2012 11 13 - NASA - Suni Set to Return on This Week @NASA_4UaFBmdD3pA - transcript (automated).pdf","Transcript Link")</f>
        <v>Transcript Link</v>
      </c>
      <c r="M3227" s="2" t="str">
        <f>HYPERLINK("https://files.afu.se/Downloads/Transcripts/0%20-%20Government/USA%20-%20NASA/2012 11 13 - NASA - Suni Set to Return on This Week @NASA_4UaFBmdD3pA - transcript (automated).pdf","Transcript Link")</f>
        <v>Transcript Link</v>
      </c>
    </row>
    <row r="3228" ht="165" spans="1:13">
      <c r="A3228" s="1" t="s">
        <v>14656</v>
      </c>
      <c r="B3228" s="1" t="s">
        <v>13</v>
      </c>
      <c r="C3228" s="4" t="s">
        <v>14657</v>
      </c>
      <c r="D3228" s="1" t="s">
        <v>14658</v>
      </c>
      <c r="E3228" s="1" t="s">
        <v>14659</v>
      </c>
      <c r="F3228" s="4" t="s">
        <v>17</v>
      </c>
      <c r="G3228" s="1" t="s">
        <v>18</v>
      </c>
      <c r="H3228" s="1" t="s">
        <v>19</v>
      </c>
      <c r="I3228" s="1" t="s">
        <v>20</v>
      </c>
      <c r="J3228" s="1" t="s">
        <v>14660</v>
      </c>
      <c r="K3228" s="1" t="s">
        <v>22</v>
      </c>
      <c r="L3228" s="1" t="str">
        <f>HYPERLINK("https://files.afu.se/Downloads/Transcripts/0%20-%20Government/USA%20-%20NASA/2012 11 09 - NASA - Canada's Hadfield Ready to Fly_As2o-Ho2MNE - transcript (automated).pdf","Transcript Link")</f>
        <v>Transcript Link</v>
      </c>
      <c r="M3228" s="2" t="str">
        <f>HYPERLINK("https://files.afu.se/Downloads/Transcripts/0%20-%20Government/USA%20-%20NASA/2012 11 09 - NASA - Canada's Hadfield Ready to Fly_As2o-Ho2MNE - transcript (automated).pdf","Transcript Link")</f>
        <v>Transcript Link</v>
      </c>
    </row>
    <row r="3229" ht="165" spans="1:13">
      <c r="A3229" s="1" t="s">
        <v>14656</v>
      </c>
      <c r="B3229" s="1" t="s">
        <v>13</v>
      </c>
      <c r="C3229" s="4" t="s">
        <v>14661</v>
      </c>
      <c r="D3229" s="1" t="s">
        <v>14662</v>
      </c>
      <c r="E3229" s="1" t="s">
        <v>14663</v>
      </c>
      <c r="F3229" s="4" t="s">
        <v>17</v>
      </c>
      <c r="G3229" s="1" t="s">
        <v>18</v>
      </c>
      <c r="H3229" s="1" t="s">
        <v>19</v>
      </c>
      <c r="I3229" s="1" t="s">
        <v>20</v>
      </c>
      <c r="J3229" s="1" t="s">
        <v>14664</v>
      </c>
      <c r="K3229" s="1" t="s">
        <v>22</v>
      </c>
      <c r="L3229" s="1" t="str">
        <f>HYPERLINK("https://files.afu.se/Downloads/Transcripts/0%20-%20Government/USA%20-%20NASA/2012 11 09 - NASA - Russia's Romanenko Looks Forward to Flying_qux_Xm4NlKs - transcript (automated).pdf","Transcript Link")</f>
        <v>Transcript Link</v>
      </c>
      <c r="M3229" s="2" t="str">
        <f>HYPERLINK("https://files.afu.se/Downloads/Transcripts/0%20-%20Government/USA%20-%20NASA/2012 11 09 - NASA - Russia's Romanenko Looks Forward to Flying_qux_Xm4NlKs - transcript (automated).pdf","Transcript Link")</f>
        <v>Transcript Link</v>
      </c>
    </row>
    <row r="3230" ht="165" spans="1:13">
      <c r="A3230" s="1" t="s">
        <v>14656</v>
      </c>
      <c r="B3230" s="1" t="s">
        <v>13</v>
      </c>
      <c r="C3230" s="4" t="s">
        <v>14665</v>
      </c>
      <c r="D3230" s="1" t="s">
        <v>14666</v>
      </c>
      <c r="E3230" s="1" t="s">
        <v>14667</v>
      </c>
      <c r="F3230" s="4" t="s">
        <v>17</v>
      </c>
      <c r="G3230" s="1" t="s">
        <v>18</v>
      </c>
      <c r="H3230" s="1" t="s">
        <v>19</v>
      </c>
      <c r="I3230" s="1" t="s">
        <v>20</v>
      </c>
      <c r="J3230" s="1" t="s">
        <v>14668</v>
      </c>
      <c r="K3230" s="1" t="s">
        <v>22</v>
      </c>
      <c r="L3230" s="1" t="str">
        <f>HYPERLINK("https://files.afu.se/Downloads/Transcripts/0%20-%20Government/USA%20-%20NASA/2012 11 09 - NASA - NASA's Marshburn Discusses ISS Mission_0HIma_ivY3g - transcript (automated).pdf","Transcript Link")</f>
        <v>Transcript Link</v>
      </c>
      <c r="M3230" s="2" t="str">
        <f>HYPERLINK("https://files.afu.se/Downloads/Transcripts/0%20-%20Government/USA%20-%20NASA/2012 11 09 - NASA - NASA's Marshburn Discusses ISS Mission_0HIma_ivY3g - transcript (automated).pdf","Transcript Link")</f>
        <v>Transcript Link</v>
      </c>
    </row>
    <row r="3231" ht="165" spans="1:13">
      <c r="A3231" s="1" t="s">
        <v>14669</v>
      </c>
      <c r="B3231" s="1" t="s">
        <v>13</v>
      </c>
      <c r="C3231" s="4" t="s">
        <v>14670</v>
      </c>
      <c r="D3231" s="1" t="s">
        <v>14671</v>
      </c>
      <c r="E3231" s="1" t="s">
        <v>14672</v>
      </c>
      <c r="F3231" s="4" t="s">
        <v>17</v>
      </c>
      <c r="G3231" s="1" t="s">
        <v>18</v>
      </c>
      <c r="H3231" s="1" t="s">
        <v>19</v>
      </c>
      <c r="I3231" s="1" t="s">
        <v>20</v>
      </c>
      <c r="J3231" s="1" t="s">
        <v>14673</v>
      </c>
      <c r="K3231" s="1" t="s">
        <v>22</v>
      </c>
      <c r="L3231" s="1" t="str">
        <f>HYPERLINK("https://files.afu.se/Downloads/Transcripts/0%20-%20Government/USA%20-%20NASA/2012 11 08 - NASA - ScienceCasts  NASA's Cure for a Common Phobia_DtkiV48HKMA - transcript (automated).pdf","Transcript Link")</f>
        <v>Transcript Link</v>
      </c>
      <c r="M3231" s="2" t="str">
        <f>HYPERLINK("https://files.afu.se/Downloads/Transcripts/0%20-%20Government/USA%20-%20NASA/2012 11 08 - NASA - ScienceCasts  NASA's Cure for a Common Phobia_DtkiV48HKMA - transcript (automated).pdf","Transcript Link")</f>
        <v>Transcript Link</v>
      </c>
    </row>
    <row r="3232" ht="225" spans="1:13">
      <c r="A3232" s="1" t="s">
        <v>14669</v>
      </c>
      <c r="B3232" s="1" t="s">
        <v>13</v>
      </c>
      <c r="C3232" s="4" t="s">
        <v>14674</v>
      </c>
      <c r="D3232" s="1" t="s">
        <v>14675</v>
      </c>
      <c r="E3232" s="1" t="s">
        <v>14539</v>
      </c>
      <c r="F3232" s="4" t="s">
        <v>17</v>
      </c>
      <c r="G3232" s="1" t="s">
        <v>18</v>
      </c>
      <c r="H3232" s="1" t="s">
        <v>19</v>
      </c>
      <c r="I3232" s="1" t="s">
        <v>20</v>
      </c>
      <c r="J3232" s="1" t="s">
        <v>14676</v>
      </c>
      <c r="K3232" s="1" t="s">
        <v>22</v>
      </c>
      <c r="L3232" s="1" t="str">
        <f>HYPERLINK("https://files.afu.se/Downloads/Transcripts/0%20-%20Government/USA%20-%20NASA/2012 11 08 - NASA - Panel %236  Roundtable -- From the Past to the Future_tqbPAZ06xI4 - transcript (automated).pdf","Transcript Link")</f>
        <v>Transcript Link</v>
      </c>
      <c r="M3232" s="2" t="str">
        <f>HYPERLINK("https://files.afu.se/Downloads/Transcripts/0%20-%20Government/USA%20-%20NASA/2012 11 08 - NASA - Panel %236  Roundtable -- From the Past to the Future_tqbPAZ06xI4 - transcript (automated).pdf","Transcript Link")</f>
        <v>Transcript Link</v>
      </c>
    </row>
    <row r="3233" ht="165" spans="1:13">
      <c r="A3233" s="1" t="s">
        <v>14669</v>
      </c>
      <c r="B3233" s="1" t="s">
        <v>13</v>
      </c>
      <c r="C3233" s="4" t="s">
        <v>14677</v>
      </c>
      <c r="D3233" s="1" t="s">
        <v>14678</v>
      </c>
      <c r="E3233" s="1" t="s">
        <v>14679</v>
      </c>
      <c r="F3233" s="4" t="s">
        <v>17</v>
      </c>
      <c r="G3233" s="1" t="s">
        <v>18</v>
      </c>
      <c r="H3233" s="1" t="s">
        <v>19</v>
      </c>
      <c r="I3233" s="1" t="s">
        <v>20</v>
      </c>
      <c r="J3233" s="1" t="s">
        <v>14680</v>
      </c>
      <c r="K3233" s="1" t="s">
        <v>22</v>
      </c>
      <c r="L3233" s="1" t="str">
        <f>HYPERLINK("https://files.afu.se/Downloads/Transcripts/0%20-%20Government/USA%20-%20NASA/2012 11 08 - NASA - Day Two  Keynote Speech_fdu6GMGLgYQ - transcript (automated).pdf","Transcript Link")</f>
        <v>Transcript Link</v>
      </c>
      <c r="M3233" s="2" t="str">
        <f>HYPERLINK("https://files.afu.se/Downloads/Transcripts/0%20-%20Government/USA%20-%20NASA/2012 11 08 - NASA - Day Two  Keynote Speech_fdu6GMGLgYQ - transcript (automated).pdf","Transcript Link")</f>
        <v>Transcript Link</v>
      </c>
    </row>
    <row r="3234" ht="165" spans="1:13">
      <c r="A3234" s="1" t="s">
        <v>14669</v>
      </c>
      <c r="B3234" s="1" t="s">
        <v>13</v>
      </c>
      <c r="C3234" s="4" t="s">
        <v>14681</v>
      </c>
      <c r="D3234" s="1" t="s">
        <v>14682</v>
      </c>
      <c r="E3234" s="1" t="s">
        <v>14553</v>
      </c>
      <c r="F3234" s="4" t="s">
        <v>17</v>
      </c>
      <c r="G3234" s="1" t="s">
        <v>18</v>
      </c>
      <c r="H3234" s="1" t="s">
        <v>19</v>
      </c>
      <c r="I3234" s="1" t="s">
        <v>20</v>
      </c>
      <c r="J3234" s="1" t="s">
        <v>14683</v>
      </c>
      <c r="K3234" s="1" t="s">
        <v>22</v>
      </c>
      <c r="L3234" s="1" t="str">
        <f>HYPERLINK("https://files.afu.se/Downloads/Transcripts/0%20-%20Government/USA%20-%20NASA/2012 11 08 - NASA - Panel 4  Exploring the Outer Solar System_OZuYyUgYbdU - transcript (automated).pdf","Transcript Link")</f>
        <v>Transcript Link</v>
      </c>
      <c r="M3234" s="2" t="str">
        <f>HYPERLINK("https://files.afu.se/Downloads/Transcripts/0%20-%20Government/USA%20-%20NASA/2012 11 08 - NASA - Panel 4  Exploring the Outer Solar System_OZuYyUgYbdU - transcript (automated).pdf","Transcript Link")</f>
        <v>Transcript Link</v>
      </c>
    </row>
    <row r="3235" ht="180" spans="1:13">
      <c r="A3235" s="1" t="s">
        <v>14669</v>
      </c>
      <c r="B3235" s="1" t="s">
        <v>13</v>
      </c>
      <c r="C3235" s="4" t="s">
        <v>14684</v>
      </c>
      <c r="D3235" s="1" t="s">
        <v>14685</v>
      </c>
      <c r="E3235" s="1" t="s">
        <v>14560</v>
      </c>
      <c r="F3235" s="4" t="s">
        <v>17</v>
      </c>
      <c r="G3235" s="1" t="s">
        <v>18</v>
      </c>
      <c r="H3235" s="1" t="s">
        <v>19</v>
      </c>
      <c r="I3235" s="1" t="s">
        <v>20</v>
      </c>
      <c r="J3235" s="1" t="s">
        <v>14686</v>
      </c>
      <c r="K3235" s="1" t="s">
        <v>22</v>
      </c>
      <c r="L3235" s="1" t="str">
        <f>HYPERLINK("https://files.afu.se/Downloads/Transcripts/0%20-%20Government/USA%20-%20NASA/2012 11 08 - NASA - Panel %233  Public Perceptions, Priorities, and Solar System Exploration_0sLd-P4L30k - transcript (automated).pdf","Transcript Link")</f>
        <v>Transcript Link</v>
      </c>
      <c r="M3235" s="2" t="str">
        <f>HYPERLINK("https://files.afu.se/Downloads/Transcripts/0%20-%20Government/USA%20-%20NASA/2012 11 08 - NASA - Panel %233  Public Perceptions, Priorities, and Solar System Exploration_0sLd-P4L30k - transcript (automated).pdf","Transcript Link")</f>
        <v>Transcript Link</v>
      </c>
    </row>
    <row r="3236" ht="225" spans="1:13">
      <c r="A3236" s="1" t="s">
        <v>14669</v>
      </c>
      <c r="B3236" s="1" t="s">
        <v>13</v>
      </c>
      <c r="C3236" s="4" t="s">
        <v>14687</v>
      </c>
      <c r="D3236" s="1" t="s">
        <v>14688</v>
      </c>
      <c r="E3236" s="1" t="s">
        <v>14689</v>
      </c>
      <c r="F3236" s="4" t="s">
        <v>17</v>
      </c>
      <c r="G3236" s="1" t="s">
        <v>18</v>
      </c>
      <c r="H3236" s="1" t="s">
        <v>19</v>
      </c>
      <c r="I3236" s="1" t="s">
        <v>20</v>
      </c>
      <c r="J3236" s="1" t="s">
        <v>14690</v>
      </c>
      <c r="K3236" s="1" t="s">
        <v>22</v>
      </c>
      <c r="L3236" s="1" t="str">
        <f>HYPERLINK("https://files.afu.se/Downloads/Transcripts/0%20-%20Government/USA%20-%20NASA/2012 11 08 - NASA - Panel %232  The Lure of the Red Planet_YZIABszVvDU - transcript (automated).pdf","Transcript Link")</f>
        <v>Transcript Link</v>
      </c>
      <c r="M3236" s="2" t="str">
        <f>HYPERLINK("https://files.afu.se/Downloads/Transcripts/0%20-%20Government/USA%20-%20NASA/2012 11 08 - NASA - Panel %232  The Lure of the Red Planet_YZIABszVvDU - transcript (automated).pdf","Transcript Link")</f>
        <v>Transcript Link</v>
      </c>
    </row>
    <row r="3237" ht="255" spans="1:13">
      <c r="A3237" s="1" t="s">
        <v>14669</v>
      </c>
      <c r="B3237" s="1" t="s">
        <v>13</v>
      </c>
      <c r="C3237" s="4" t="s">
        <v>14691</v>
      </c>
      <c r="D3237" s="1" t="s">
        <v>14692</v>
      </c>
      <c r="E3237" s="1" t="s">
        <v>14532</v>
      </c>
      <c r="F3237" s="4" t="s">
        <v>17</v>
      </c>
      <c r="G3237" s="1" t="s">
        <v>18</v>
      </c>
      <c r="H3237" s="1" t="s">
        <v>19</v>
      </c>
      <c r="I3237" s="1" t="s">
        <v>20</v>
      </c>
      <c r="J3237" s="1" t="s">
        <v>14693</v>
      </c>
      <c r="K3237" s="1" t="s">
        <v>22</v>
      </c>
      <c r="L3237" s="1" t="str">
        <f>HYPERLINK("https://files.afu.se/Downloads/Transcripts/0%20-%20Government/USA%20-%20NASA/2012 11 08 - NASA - Panel %231  Politics and Policy in the Conduct of Solar System Exploration_OnJZAvUh2yY - transcript (automated).pdf","Transcript Link")</f>
        <v>Transcript Link</v>
      </c>
      <c r="M3237" s="2" t="str">
        <f>HYPERLINK("https://files.afu.se/Downloads/Transcripts/0%20-%20Government/USA%20-%20NASA/2012 11 08 - NASA - Panel %231  Politics and Policy in the Conduct of Solar System Exploration_OnJZAvUh2yY - transcript (automated).pdf","Transcript Link")</f>
        <v>Transcript Link</v>
      </c>
    </row>
    <row r="3238" ht="165" spans="1:13">
      <c r="A3238" s="1" t="s">
        <v>14669</v>
      </c>
      <c r="B3238" s="1" t="s">
        <v>13</v>
      </c>
      <c r="C3238" s="4" t="s">
        <v>14694</v>
      </c>
      <c r="D3238" s="1" t="s">
        <v>14695</v>
      </c>
      <c r="E3238" s="1" t="s">
        <v>14696</v>
      </c>
      <c r="F3238" s="4" t="s">
        <v>17</v>
      </c>
      <c r="G3238" s="1" t="s">
        <v>18</v>
      </c>
      <c r="H3238" s="1" t="s">
        <v>19</v>
      </c>
      <c r="I3238" s="1" t="s">
        <v>20</v>
      </c>
      <c r="J3238" s="1" t="s">
        <v>14697</v>
      </c>
      <c r="K3238" s="1" t="s">
        <v>22</v>
      </c>
      <c r="L3238" s="1" t="str">
        <f>HYPERLINK("https://files.afu.se/Downloads/Transcripts/0%20-%20Government/USA%20-%20NASA/2012 11 08 - NASA - Lunch Keynote Speaker_-dVKJMnyp_Y - transcript (automated).pdf","Transcript Link")</f>
        <v>Transcript Link</v>
      </c>
      <c r="M3238" s="2" t="str">
        <f>HYPERLINK("https://files.afu.se/Downloads/Transcripts/0%20-%20Government/USA%20-%20NASA/2012 11 08 - NASA - Lunch Keynote Speaker_-dVKJMnyp_Y - transcript (automated).pdf","Transcript Link")</f>
        <v>Transcript Link</v>
      </c>
    </row>
    <row r="3239" ht="165" spans="1:13">
      <c r="A3239" s="1" t="s">
        <v>14669</v>
      </c>
      <c r="B3239" s="1" t="s">
        <v>13</v>
      </c>
      <c r="C3239" s="4" t="s">
        <v>14698</v>
      </c>
      <c r="D3239" s="1" t="s">
        <v>14699</v>
      </c>
      <c r="E3239" s="1" t="s">
        <v>14700</v>
      </c>
      <c r="F3239" s="4" t="s">
        <v>17</v>
      </c>
      <c r="G3239" s="1" t="s">
        <v>18</v>
      </c>
      <c r="H3239" s="1" t="s">
        <v>19</v>
      </c>
      <c r="I3239" s="1" t="s">
        <v>20</v>
      </c>
      <c r="J3239" s="1" t="s">
        <v>14701</v>
      </c>
      <c r="K3239" s="1" t="s">
        <v>22</v>
      </c>
      <c r="L3239" s="1" t="str">
        <f>HYPERLINK("https://files.afu.se/Downloads/Transcripts/0%20-%20Government/USA%20-%20NASA/2012 11 08 - NASA - Introduction and Morning Keynote Speech_MugqcMS1M4M - transcript (automated).pdf","Transcript Link")</f>
        <v>Transcript Link</v>
      </c>
      <c r="M3239" s="2" t="str">
        <f>HYPERLINK("https://files.afu.se/Downloads/Transcripts/0%20-%20Government/USA%20-%20NASA/2012 11 08 - NASA - Introduction and Morning Keynote Speech_MugqcMS1M4M - transcript (automated).pdf","Transcript Link")</f>
        <v>Transcript Link</v>
      </c>
    </row>
    <row r="3240" ht="240" spans="1:13">
      <c r="A3240" s="1" t="s">
        <v>14669</v>
      </c>
      <c r="B3240" s="1" t="s">
        <v>13</v>
      </c>
      <c r="C3240" s="4" t="s">
        <v>14702</v>
      </c>
      <c r="D3240" s="1" t="s">
        <v>14703</v>
      </c>
      <c r="E3240" s="1" t="s">
        <v>14546</v>
      </c>
      <c r="F3240" s="4" t="s">
        <v>17</v>
      </c>
      <c r="G3240" s="1" t="s">
        <v>18</v>
      </c>
      <c r="H3240" s="1" t="s">
        <v>19</v>
      </c>
      <c r="I3240" s="1" t="s">
        <v>20</v>
      </c>
      <c r="J3240" s="1" t="s">
        <v>14704</v>
      </c>
      <c r="K3240" s="1" t="s">
        <v>22</v>
      </c>
      <c r="L3240" s="1" t="str">
        <f>HYPERLINK("https://files.afu.se/Downloads/Transcripts/0%20-%20Government/USA%20-%20NASA/2012 11 08 - NASA - Panel %235  Institutional Arrangements in Solar System Exploration_ERvUcNMJ3Uc - transcript (automated).pdf","Transcript Link")</f>
        <v>Transcript Link</v>
      </c>
      <c r="M3240" s="2" t="str">
        <f>HYPERLINK("https://files.afu.se/Downloads/Transcripts/0%20-%20Government/USA%20-%20NASA/2012 11 08 - NASA - Panel %235  Institutional Arrangements in Solar System Exploration_ERvUcNMJ3Uc - transcript (automated).pdf","Transcript Link")</f>
        <v>Transcript Link</v>
      </c>
    </row>
    <row r="3241" ht="165" spans="1:13">
      <c r="A3241" s="1" t="s">
        <v>14669</v>
      </c>
      <c r="B3241" s="1" t="s">
        <v>13</v>
      </c>
      <c r="C3241" s="4" t="s">
        <v>14705</v>
      </c>
      <c r="D3241" s="1" t="s">
        <v>14706</v>
      </c>
      <c r="E3241" s="1" t="s">
        <v>14707</v>
      </c>
      <c r="F3241" s="4" t="s">
        <v>17</v>
      </c>
      <c r="G3241" s="1" t="s">
        <v>18</v>
      </c>
      <c r="H3241" s="1" t="s">
        <v>19</v>
      </c>
      <c r="I3241" s="1" t="s">
        <v>20</v>
      </c>
      <c r="J3241" s="1" t="s">
        <v>14708</v>
      </c>
      <c r="K3241" s="1" t="s">
        <v>22</v>
      </c>
      <c r="L3241" s="1" t="str">
        <f>HYPERLINK("https://files.afu.se/Downloads/Transcripts/0%20-%20Government/USA%20-%20NASA/2012 11 08 - NASA - ScienceCasts  Total Eclipse of the Sun_l_c_aBKKTKs - transcript (automated).pdf","Transcript Link")</f>
        <v>Transcript Link</v>
      </c>
      <c r="M3241" s="2" t="str">
        <f>HYPERLINK("https://files.afu.se/Downloads/Transcripts/0%20-%20Government/USA%20-%20NASA/2012 11 08 - NASA - ScienceCasts  Total Eclipse of the Sun_l_c_aBKKTKs - transcript (automated).pdf","Transcript Link")</f>
        <v>Transcript Link</v>
      </c>
    </row>
    <row r="3242" ht="165" spans="1:13">
      <c r="A3242" s="1" t="s">
        <v>14709</v>
      </c>
      <c r="B3242" s="1" t="s">
        <v>13</v>
      </c>
      <c r="C3242" s="4" t="s">
        <v>14710</v>
      </c>
      <c r="D3242" s="1" t="s">
        <v>14711</v>
      </c>
      <c r="E3242" s="1" t="s">
        <v>14712</v>
      </c>
      <c r="F3242" s="4" t="s">
        <v>17</v>
      </c>
      <c r="G3242" s="1" t="s">
        <v>18</v>
      </c>
      <c r="H3242" s="1" t="s">
        <v>19</v>
      </c>
      <c r="I3242" s="1" t="s">
        <v>20</v>
      </c>
      <c r="J3242" s="1" t="s">
        <v>14713</v>
      </c>
      <c r="K3242" s="1" t="s">
        <v>22</v>
      </c>
      <c r="L3242" s="1" t="str">
        <f>HYPERLINK("https://files.afu.se/Downloads/Transcripts/0%20-%20Government/USA%20-%20NASA/2012 11 06 - NASA - NASA HQ Employees Honored_2_MzDKO9lak - transcript (automated).pdf","Transcript Link")</f>
        <v>Transcript Link</v>
      </c>
      <c r="M3242" s="2" t="str">
        <f>HYPERLINK("https://files.afu.se/Downloads/Transcripts/0%20-%20Government/USA%20-%20NASA/2012 11 06 - NASA - NASA HQ Employees Honored_2_MzDKO9lak - transcript (automated).pdf","Transcript Link")</f>
        <v>Transcript Link</v>
      </c>
    </row>
    <row r="3243" ht="165" spans="1:13">
      <c r="A3243" s="1" t="s">
        <v>14709</v>
      </c>
      <c r="B3243" s="1" t="s">
        <v>13</v>
      </c>
      <c r="C3243" s="4" t="s">
        <v>14714</v>
      </c>
      <c r="D3243" s="1" t="s">
        <v>14715</v>
      </c>
      <c r="E3243" s="1" t="s">
        <v>14716</v>
      </c>
      <c r="F3243" s="4" t="s">
        <v>17</v>
      </c>
      <c r="G3243" s="1" t="s">
        <v>18</v>
      </c>
      <c r="H3243" s="1" t="s">
        <v>19</v>
      </c>
      <c r="I3243" s="1" t="s">
        <v>20</v>
      </c>
      <c r="J3243" s="1" t="s">
        <v>14717</v>
      </c>
      <c r="K3243" s="1" t="s">
        <v>22</v>
      </c>
      <c r="L3243" s="1" t="str">
        <f>HYPERLINK("https://files.afu.se/Downloads/Transcripts/0%20-%20Government/USA%20-%20NASA/2012 11 06 - NASA - Aki Speaks with Japanese Collegians_RwhcMVFt3gU - transcript (automated).pdf","Transcript Link")</f>
        <v>Transcript Link</v>
      </c>
      <c r="M3243" s="2" t="str">
        <f>HYPERLINK("https://files.afu.se/Downloads/Transcripts/0%20-%20Government/USA%20-%20NASA/2012 11 06 - NASA - Aki Speaks with Japanese Collegians_RwhcMVFt3gU - transcript (automated).pdf","Transcript Link")</f>
        <v>Transcript Link</v>
      </c>
    </row>
    <row r="3244" ht="165" spans="1:13">
      <c r="A3244" s="1" t="s">
        <v>14718</v>
      </c>
      <c r="B3244" s="1" t="s">
        <v>13</v>
      </c>
      <c r="C3244" s="4" t="s">
        <v>14719</v>
      </c>
      <c r="D3244" s="1" t="s">
        <v>14720</v>
      </c>
      <c r="E3244" s="1" t="s">
        <v>14721</v>
      </c>
      <c r="F3244" s="4" t="s">
        <v>17</v>
      </c>
      <c r="G3244" s="1" t="s">
        <v>18</v>
      </c>
      <c r="H3244" s="1" t="s">
        <v>19</v>
      </c>
      <c r="I3244" s="1" t="s">
        <v>20</v>
      </c>
      <c r="J3244" s="1" t="s">
        <v>14722</v>
      </c>
      <c r="K3244" s="1" t="s">
        <v>22</v>
      </c>
      <c r="L3244" s="1" t="str">
        <f>HYPERLINK("https://files.afu.se/Downloads/Transcripts/0%20-%20Government/USA%20-%20NASA/2012 11 02 - NASA - Atlantis Moves to New Home_wN1buAEAp-k - transcript (automated).pdf","Transcript Link")</f>
        <v>Transcript Link</v>
      </c>
      <c r="M3244" s="2" t="str">
        <f>HYPERLINK("https://files.afu.se/Downloads/Transcripts/0%20-%20Government/USA%20-%20NASA/2012 11 02 - NASA - Atlantis Moves to New Home_wN1buAEAp-k - transcript (automated).pdf","Transcript Link")</f>
        <v>Transcript Link</v>
      </c>
    </row>
    <row r="3245" ht="165" spans="1:13">
      <c r="A3245" s="1" t="s">
        <v>14718</v>
      </c>
      <c r="B3245" s="1" t="s">
        <v>13</v>
      </c>
      <c r="C3245" s="4" t="s">
        <v>14723</v>
      </c>
      <c r="D3245" s="1" t="s">
        <v>14724</v>
      </c>
      <c r="E3245" s="1" t="s">
        <v>14725</v>
      </c>
      <c r="F3245" s="4" t="s">
        <v>17</v>
      </c>
      <c r="G3245" s="1" t="s">
        <v>18</v>
      </c>
      <c r="H3245" s="1" t="s">
        <v>19</v>
      </c>
      <c r="I3245" s="1" t="s">
        <v>20</v>
      </c>
      <c r="J3245" s="1" t="s">
        <v>14726</v>
      </c>
      <c r="K3245" s="1" t="s">
        <v>22</v>
      </c>
      <c r="L3245" s="1" t="str">
        <f>HYPERLINK("https://files.afu.se/Downloads/Transcripts/0%20-%20Government/USA%20-%20NASA/2012 11 02 - NASA - Dragon's Safe Return on This Week @NASA_Btvi-Ftq8JU - transcript (automated).pdf","Transcript Link")</f>
        <v>Transcript Link</v>
      </c>
      <c r="M3245" s="2" t="str">
        <f>HYPERLINK("https://files.afu.se/Downloads/Transcripts/0%20-%20Government/USA%20-%20NASA/2012 11 02 - NASA - Dragon's Safe Return on This Week @NASA_Btvi-Ftq8JU - transcript (automated).pdf","Transcript Link")</f>
        <v>Transcript Link</v>
      </c>
    </row>
    <row r="3246" ht="165" spans="1:13">
      <c r="A3246" s="1" t="s">
        <v>14718</v>
      </c>
      <c r="B3246" s="1" t="s">
        <v>13</v>
      </c>
      <c r="C3246" s="4" t="s">
        <v>14727</v>
      </c>
      <c r="D3246" s="1" t="s">
        <v>14728</v>
      </c>
      <c r="E3246" s="1" t="s">
        <v>14363</v>
      </c>
      <c r="F3246" s="4" t="s">
        <v>17</v>
      </c>
      <c r="G3246" s="1" t="s">
        <v>18</v>
      </c>
      <c r="H3246" s="1" t="s">
        <v>19</v>
      </c>
      <c r="I3246" s="1" t="s">
        <v>20</v>
      </c>
      <c r="J3246" s="1" t="s">
        <v>14729</v>
      </c>
      <c r="K3246" s="1" t="s">
        <v>22</v>
      </c>
      <c r="L3246" s="1" t="str">
        <f>HYPERLINK("https://files.afu.se/Downloads/Transcripts/0%20-%20Government/USA%20-%20NASA/2012 11 02 - NASA - NASA's Mars Curiosity Rover Report %2313 -- November 1, 2012_2jy52AUjRHM - transcript (automated).pdf","Transcript Link")</f>
        <v>Transcript Link</v>
      </c>
      <c r="M3246" s="2" t="str">
        <f>HYPERLINK("https://files.afu.se/Downloads/Transcripts/0%20-%20Government/USA%20-%20NASA/2012 11 02 - NASA - NASA's Mars Curiosity Rover Report %2313 -- November 1, 2012_2jy52AUjRHM - transcript (automated).pdf","Transcript Link")</f>
        <v>Transcript Link</v>
      </c>
    </row>
    <row r="3247" ht="165" spans="1:13">
      <c r="A3247" s="1" t="s">
        <v>14718</v>
      </c>
      <c r="B3247" s="1" t="s">
        <v>13</v>
      </c>
      <c r="C3247" s="4" t="s">
        <v>14730</v>
      </c>
      <c r="D3247" s="1" t="s">
        <v>14731</v>
      </c>
      <c r="E3247" s="1" t="s">
        <v>14732</v>
      </c>
      <c r="F3247" s="4" t="s">
        <v>17</v>
      </c>
      <c r="G3247" s="1" t="s">
        <v>18</v>
      </c>
      <c r="H3247" s="1" t="s">
        <v>19</v>
      </c>
      <c r="I3247" s="1" t="s">
        <v>20</v>
      </c>
      <c r="J3247" s="1" t="s">
        <v>14733</v>
      </c>
      <c r="K3247" s="1" t="s">
        <v>22</v>
      </c>
      <c r="L3247" s="1" t="str">
        <f>HYPERLINK("https://files.afu.se/Downloads/Transcripts/0%20-%20Government/USA%20-%20NASA/2012 11 02 - NASA - Endeavour's Parade on This Week @NASA__qVURcmeqD4 - transcript (automated).pdf","Transcript Link")</f>
        <v>Transcript Link</v>
      </c>
      <c r="M3247" s="2" t="str">
        <f>HYPERLINK("https://files.afu.se/Downloads/Transcripts/0%20-%20Government/USA%20-%20NASA/2012 11 02 - NASA - Endeavour's Parade on This Week @NASA__qVURcmeqD4 - transcript (automated).pdf","Transcript Link")</f>
        <v>Transcript Link</v>
      </c>
    </row>
    <row r="3248" ht="165" spans="1:13">
      <c r="A3248" s="1" t="s">
        <v>14718</v>
      </c>
      <c r="B3248" s="1" t="s">
        <v>13</v>
      </c>
      <c r="C3248" s="4" t="s">
        <v>14734</v>
      </c>
      <c r="D3248" s="1" t="s">
        <v>14735</v>
      </c>
      <c r="E3248" s="1" t="s">
        <v>14736</v>
      </c>
      <c r="F3248" s="4" t="s">
        <v>17</v>
      </c>
      <c r="G3248" s="1" t="s">
        <v>18</v>
      </c>
      <c r="H3248" s="1" t="s">
        <v>19</v>
      </c>
      <c r="I3248" s="1" t="s">
        <v>20</v>
      </c>
      <c r="J3248" s="1" t="s">
        <v>14737</v>
      </c>
      <c r="K3248" s="1" t="s">
        <v>22</v>
      </c>
      <c r="L3248" s="1" t="str">
        <f>HYPERLINK("https://files.afu.se/Downloads/Transcripts/0%20-%20Government/USA%20-%20NASA/2012 11 02 - NASA - Last Shuttle to Fly Retired in Florida_CxJQ4pu_0Qc - transcript (automated).pdf","Transcript Link")</f>
        <v>Transcript Link</v>
      </c>
      <c r="M3248" s="2" t="str">
        <f>HYPERLINK("https://files.afu.se/Downloads/Transcripts/0%20-%20Government/USA%20-%20NASA/2012 11 02 - NASA - Last Shuttle to Fly Retired in Florida_CxJQ4pu_0Qc - transcript (automated).pdf","Transcript Link")</f>
        <v>Transcript Link</v>
      </c>
    </row>
    <row r="3249" ht="165" spans="1:13">
      <c r="A3249" s="1" t="s">
        <v>14738</v>
      </c>
      <c r="B3249" s="1" t="s">
        <v>13</v>
      </c>
      <c r="C3249" s="4" t="s">
        <v>14739</v>
      </c>
      <c r="D3249" s="1" t="s">
        <v>14740</v>
      </c>
      <c r="E3249" s="1" t="s">
        <v>14741</v>
      </c>
      <c r="F3249" s="4" t="s">
        <v>17</v>
      </c>
      <c r="G3249" s="1" t="s">
        <v>18</v>
      </c>
      <c r="H3249" s="1" t="s">
        <v>19</v>
      </c>
      <c r="I3249" s="1" t="s">
        <v>20</v>
      </c>
      <c r="J3249" s="1" t="s">
        <v>14742</v>
      </c>
      <c r="K3249" s="1" t="s">
        <v>22</v>
      </c>
      <c r="L3249" s="1" t="str">
        <f>HYPERLINK("https://files.afu.se/Downloads/Transcripts/0%20-%20Government/USA%20-%20NASA/2012 11 01 - NASA - Future Bright for NASA Human Spaceflight_ycF048xwlXc - transcript (automated).pdf","Transcript Link")</f>
        <v>Transcript Link</v>
      </c>
      <c r="M3249" s="2" t="str">
        <f>HYPERLINK("https://files.afu.se/Downloads/Transcripts/0%20-%20Government/USA%20-%20NASA/2012 11 01 - NASA - Future Bright for NASA Human Spaceflight_ycF048xwlXc - transcript (automated).pdf","Transcript Link")</f>
        <v>Transcript Link</v>
      </c>
    </row>
    <row r="3250" ht="180" spans="1:13">
      <c r="A3250" s="1" t="s">
        <v>14738</v>
      </c>
      <c r="B3250" s="1" t="s">
        <v>13</v>
      </c>
      <c r="C3250" s="4" t="s">
        <v>14743</v>
      </c>
      <c r="D3250" s="1" t="s">
        <v>14744</v>
      </c>
      <c r="E3250" s="1" t="s">
        <v>14745</v>
      </c>
      <c r="F3250" s="4" t="s">
        <v>17</v>
      </c>
      <c r="G3250" s="1" t="s">
        <v>18</v>
      </c>
      <c r="H3250" s="1" t="s">
        <v>19</v>
      </c>
      <c r="I3250" s="1" t="s">
        <v>20</v>
      </c>
      <c r="J3250" s="1" t="s">
        <v>14746</v>
      </c>
      <c r="K3250" s="1" t="s">
        <v>22</v>
      </c>
      <c r="L3250" s="1" t="str">
        <f>HYPERLINK("https://files.afu.se/Downloads/Transcripts/0%20-%20Government/USA%20-%20NASA/2012 11 01 - NASA - Spacewalking Astros Fix ISS Ammonia Leak_TScEakB0J-s - transcript (automated).pdf","Transcript Link")</f>
        <v>Transcript Link</v>
      </c>
      <c r="M3250" s="2" t="str">
        <f>HYPERLINK("https://files.afu.se/Downloads/Transcripts/0%20-%20Government/USA%20-%20NASA/2012 11 01 - NASA - Spacewalking Astros Fix ISS Ammonia Leak_TScEakB0J-s - transcript (automated).pdf","Transcript Link")</f>
        <v>Transcript Link</v>
      </c>
    </row>
    <row r="3251" ht="165" spans="1:13">
      <c r="A3251" s="1" t="s">
        <v>14738</v>
      </c>
      <c r="B3251" s="1" t="s">
        <v>13</v>
      </c>
      <c r="C3251" s="4" t="s">
        <v>14747</v>
      </c>
      <c r="D3251" s="1" t="s">
        <v>14748</v>
      </c>
      <c r="E3251" s="1" t="s">
        <v>14749</v>
      </c>
      <c r="F3251" s="4" t="s">
        <v>17</v>
      </c>
      <c r="G3251" s="1" t="s">
        <v>18</v>
      </c>
      <c r="H3251" s="1" t="s">
        <v>19</v>
      </c>
      <c r="I3251" s="1" t="s">
        <v>20</v>
      </c>
      <c r="J3251" s="1" t="s">
        <v>14750</v>
      </c>
      <c r="K3251" s="1" t="s">
        <v>22</v>
      </c>
      <c r="L3251" s="1" t="str">
        <f>HYPERLINK("https://files.afu.se/Downloads/Transcripts/0%20-%20Government/USA%20-%20NASA/2012 11 01 - NASA - KSC Transforming Into Multiuser Spaceport_otDdZxX8wIY - transcript (automated).pdf","Transcript Link")</f>
        <v>Transcript Link</v>
      </c>
      <c r="M3251" s="2" t="str">
        <f>HYPERLINK("https://files.afu.se/Downloads/Transcripts/0%20-%20Government/USA%20-%20NASA/2012 11 01 - NASA - KSC Transforming Into Multiuser Spaceport_otDdZxX8wIY - transcript (automated).pdf","Transcript Link")</f>
        <v>Transcript Link</v>
      </c>
    </row>
    <row r="3252" ht="165" spans="1:13">
      <c r="A3252" s="1" t="s">
        <v>14751</v>
      </c>
      <c r="B3252" s="1" t="s">
        <v>13</v>
      </c>
      <c r="C3252" s="4" t="s">
        <v>14752</v>
      </c>
      <c r="D3252" s="1" t="s">
        <v>14753</v>
      </c>
      <c r="E3252" s="1" t="s">
        <v>14754</v>
      </c>
      <c r="F3252" s="4" t="s">
        <v>17</v>
      </c>
      <c r="G3252" s="1" t="s">
        <v>18</v>
      </c>
      <c r="H3252" s="1" t="s">
        <v>19</v>
      </c>
      <c r="I3252" s="1" t="s">
        <v>20</v>
      </c>
      <c r="J3252" s="1" t="s">
        <v>14755</v>
      </c>
      <c r="K3252" s="1" t="s">
        <v>22</v>
      </c>
      <c r="L3252" s="1" t="str">
        <f>HYPERLINK("https://files.afu.se/Downloads/Transcripts/0%20-%20Government/USA%20-%20NASA/2012 10 31 - NASA - Russian Cargo Ship Makes Single-Day Sprint to the International Space Station_E6NQu-8Gomc - transcript (automated).pdf","Transcript Link")</f>
        <v>Transcript Link</v>
      </c>
      <c r="M3252" s="2" t="str">
        <f>HYPERLINK("https://files.afu.se/Downloads/Transcripts/0%20-%20Government/USA%20-%20NASA/2012 10 31 - NASA - Russian Cargo Ship Makes Single-Day Sprint to the International Space Station_E6NQu-8Gomc - transcript (automated).pdf","Transcript Link")</f>
        <v>Transcript Link</v>
      </c>
    </row>
    <row r="3253" ht="165" spans="1:13">
      <c r="A3253" s="1" t="s">
        <v>14751</v>
      </c>
      <c r="B3253" s="1" t="s">
        <v>13</v>
      </c>
      <c r="C3253" s="4" t="s">
        <v>14756</v>
      </c>
      <c r="D3253" s="1" t="s">
        <v>14757</v>
      </c>
      <c r="F3253" s="4" t="s">
        <v>17</v>
      </c>
      <c r="G3253" s="1" t="s">
        <v>18</v>
      </c>
      <c r="H3253" s="1" t="s">
        <v>19</v>
      </c>
      <c r="I3253" s="1" t="s">
        <v>20</v>
      </c>
      <c r="J3253" s="1" t="s">
        <v>14758</v>
      </c>
      <c r="K3253" s="1" t="s">
        <v>22</v>
      </c>
      <c r="L3253" s="1" t="str">
        <f>HYPERLINK("https://files.afu.se/Downloads/Transcripts/0%20-%20Government/USA%20-%20NASA/2012 10 31 - NASA - Happy Halloween from NASA Television_YJHk-nldS-E - transcript (automated).pdf","Transcript Link")</f>
        <v>Transcript Link</v>
      </c>
      <c r="M3253" s="2" t="str">
        <f>HYPERLINK("https://files.afu.se/Downloads/Transcripts/0%20-%20Government/USA%20-%20NASA/2012 10 31 - NASA - Happy Halloween from NASA Television_YJHk-nldS-E - transcript (automated).pdf","Transcript Link")</f>
        <v>Transcript Link</v>
      </c>
    </row>
    <row r="3254" ht="165" spans="1:13">
      <c r="A3254" s="1" t="s">
        <v>14751</v>
      </c>
      <c r="B3254" s="1" t="s">
        <v>13</v>
      </c>
      <c r="C3254" s="4" t="s">
        <v>14759</v>
      </c>
      <c r="D3254" s="1" t="s">
        <v>14760</v>
      </c>
      <c r="E3254" s="1" t="s">
        <v>14761</v>
      </c>
      <c r="F3254" s="4" t="s">
        <v>17</v>
      </c>
      <c r="G3254" s="1" t="s">
        <v>18</v>
      </c>
      <c r="H3254" s="1" t="s">
        <v>19</v>
      </c>
      <c r="I3254" s="1" t="s">
        <v>20</v>
      </c>
      <c r="J3254" s="1" t="s">
        <v>14762</v>
      </c>
      <c r="K3254" s="1" t="s">
        <v>22</v>
      </c>
      <c r="L3254" s="1" t="str">
        <f>HYPERLINK("https://files.afu.se/Downloads/Transcripts/0%20-%20Government/USA%20-%20NASA/2012 10 31 - NASA - Russian Cargo Ship Starts Single-Day Sprint to the International Space Station_HItD7pg4htU - transcript (automated).pdf","Transcript Link")</f>
        <v>Transcript Link</v>
      </c>
      <c r="M3254" s="2" t="str">
        <f>HYPERLINK("https://files.afu.se/Downloads/Transcripts/0%20-%20Government/USA%20-%20NASA/2012 10 31 - NASA - Russian Cargo Ship Starts Single-Day Sprint to the International Space Station_HItD7pg4htU - transcript (automated).pdf","Transcript Link")</f>
        <v>Transcript Link</v>
      </c>
    </row>
    <row r="3255" ht="165" spans="1:13">
      <c r="A3255" s="1" t="s">
        <v>14751</v>
      </c>
      <c r="B3255" s="1" t="s">
        <v>13</v>
      </c>
      <c r="C3255" s="4" t="s">
        <v>14763</v>
      </c>
      <c r="D3255" s="1" t="s">
        <v>5655</v>
      </c>
      <c r="E3255" s="1" t="s">
        <v>14764</v>
      </c>
      <c r="F3255" s="4" t="s">
        <v>17</v>
      </c>
      <c r="G3255" s="1" t="s">
        <v>18</v>
      </c>
      <c r="H3255" s="1" t="s">
        <v>19</v>
      </c>
      <c r="I3255" s="1" t="s">
        <v>20</v>
      </c>
      <c r="J3255" s="1" t="s">
        <v>14765</v>
      </c>
      <c r="K3255" s="1" t="s">
        <v>22</v>
      </c>
      <c r="L3255" s="1" t="str">
        <f>HYPERLINK("https://files.afu.se/Downloads/Transcripts/0%20-%20Government/USA%20-%20NASA/2012 10 31 - NASA - Space Station Crew Discusses Life in Space with the Media_ZAI3WO2Vv5Q - transcript (automated).pdf","Transcript Link")</f>
        <v>Transcript Link</v>
      </c>
      <c r="M3255" s="2" t="str">
        <f>HYPERLINK("https://files.afu.se/Downloads/Transcripts/0%20-%20Government/USA%20-%20NASA/2012 10 31 - NASA - Space Station Crew Discusses Life in Space with the Media_ZAI3WO2Vv5Q - transcript (automated).pdf","Transcript Link")</f>
        <v>Transcript Link</v>
      </c>
    </row>
    <row r="3256" ht="270" spans="1:13">
      <c r="A3256" s="1" t="s">
        <v>14766</v>
      </c>
      <c r="B3256" s="1" t="s">
        <v>13</v>
      </c>
      <c r="C3256" s="4" t="s">
        <v>14767</v>
      </c>
      <c r="D3256" s="1" t="s">
        <v>14768</v>
      </c>
      <c r="E3256" s="1" t="s">
        <v>14769</v>
      </c>
      <c r="F3256" s="4" t="s">
        <v>17</v>
      </c>
      <c r="G3256" s="1" t="s">
        <v>18</v>
      </c>
      <c r="H3256" s="1" t="s">
        <v>19</v>
      </c>
      <c r="I3256" s="1" t="s">
        <v>20</v>
      </c>
      <c r="J3256" s="1" t="s">
        <v>14770</v>
      </c>
      <c r="K3256" s="1" t="s">
        <v>22</v>
      </c>
      <c r="L3256" s="1" t="str">
        <f>HYPERLINK("https://files.afu.se/Downloads/Transcripts/0%20-%20Government/USA%20-%20NASA/2012 10 29 - NASA - Space Station Cameras Capture Views of Approaching Hurricane Sandy_F6-8UKkaZL4 - transcript (automated).pdf","Transcript Link")</f>
        <v>Transcript Link</v>
      </c>
      <c r="M3256" s="2" t="str">
        <f>HYPERLINK("https://files.afu.se/Downloads/Transcripts/0%20-%20Government/USA%20-%20NASA/2012 10 29 - NASA - Space Station Cameras Capture Views of Approaching Hurricane Sandy_F6-8UKkaZL4 - transcript (automated).pdf","Transcript Link")</f>
        <v>Transcript Link</v>
      </c>
    </row>
    <row r="3257" ht="165" spans="1:13">
      <c r="A3257" s="1" t="s">
        <v>14766</v>
      </c>
      <c r="B3257" s="1" t="s">
        <v>13</v>
      </c>
      <c r="C3257" s="4" t="s">
        <v>14771</v>
      </c>
      <c r="D3257" s="1" t="s">
        <v>14772</v>
      </c>
      <c r="E3257" s="1" t="s">
        <v>14773</v>
      </c>
      <c r="F3257" s="4" t="s">
        <v>17</v>
      </c>
      <c r="G3257" s="1" t="s">
        <v>18</v>
      </c>
      <c r="H3257" s="1" t="s">
        <v>19</v>
      </c>
      <c r="I3257" s="1" t="s">
        <v>20</v>
      </c>
      <c r="J3257" s="1" t="s">
        <v>14774</v>
      </c>
      <c r="K3257" s="1" t="s">
        <v>22</v>
      </c>
      <c r="L3257" s="1" t="str">
        <f>HYPERLINK("https://files.afu.se/Downloads/Transcripts/0%20-%20Government/USA%20-%20NASA/2012 10 29 - NASA - Sandy's Storm Track Spied by Satellite_Y2ZbudSD9G0 - transcript (automated).pdf","Transcript Link")</f>
        <v>Transcript Link</v>
      </c>
      <c r="M3257" s="2" t="str">
        <f>HYPERLINK("https://files.afu.se/Downloads/Transcripts/0%20-%20Government/USA%20-%20NASA/2012 10 29 - NASA - Sandy's Storm Track Spied by Satellite_Y2ZbudSD9G0 - transcript (automated).pdf","Transcript Link")</f>
        <v>Transcript Link</v>
      </c>
    </row>
    <row r="3258" ht="195" spans="1:13">
      <c r="A3258" s="1" t="s">
        <v>14766</v>
      </c>
      <c r="B3258" s="1" t="s">
        <v>13</v>
      </c>
      <c r="C3258" s="4" t="s">
        <v>14775</v>
      </c>
      <c r="D3258" s="1" t="s">
        <v>14776</v>
      </c>
      <c r="E3258" s="1" t="s">
        <v>14777</v>
      </c>
      <c r="F3258" s="4" t="s">
        <v>17</v>
      </c>
      <c r="G3258" s="1" t="s">
        <v>18</v>
      </c>
      <c r="H3258" s="1" t="s">
        <v>19</v>
      </c>
      <c r="I3258" s="1" t="s">
        <v>20</v>
      </c>
      <c r="J3258" s="1" t="s">
        <v>14778</v>
      </c>
      <c r="K3258" s="1" t="s">
        <v>22</v>
      </c>
      <c r="L3258" s="1" t="str">
        <f>HYPERLINK("https://files.afu.se/Downloads/Transcripts/0%20-%20Government/USA%20-%20NASA/2012 10 29 - NASA - SpaceX Dragon Returns From Space Station with NASA Cargo_ggwAW4nRMYQ - transcript (automated).pdf","Transcript Link")</f>
        <v>Transcript Link</v>
      </c>
      <c r="M3258" s="2" t="str">
        <f>HYPERLINK("https://files.afu.se/Downloads/Transcripts/0%20-%20Government/USA%20-%20NASA/2012 10 29 - NASA - SpaceX Dragon Returns From Space Station with NASA Cargo_ggwAW4nRMYQ - transcript (automated).pdf","Transcript Link")</f>
        <v>Transcript Link</v>
      </c>
    </row>
    <row r="3259" ht="165" spans="1:13">
      <c r="A3259" s="1" t="s">
        <v>14779</v>
      </c>
      <c r="B3259" s="1" t="s">
        <v>13</v>
      </c>
      <c r="C3259" s="4" t="s">
        <v>14780</v>
      </c>
      <c r="D3259" s="1" t="s">
        <v>14781</v>
      </c>
      <c r="E3259" s="1" t="s">
        <v>14782</v>
      </c>
      <c r="F3259" s="4" t="s">
        <v>17</v>
      </c>
      <c r="G3259" s="1" t="s">
        <v>18</v>
      </c>
      <c r="H3259" s="1" t="s">
        <v>19</v>
      </c>
      <c r="I3259" s="1" t="s">
        <v>20</v>
      </c>
      <c r="J3259" s="1" t="s">
        <v>14783</v>
      </c>
      <c r="K3259" s="1" t="s">
        <v>22</v>
      </c>
      <c r="L3259" s="1" t="str">
        <f>HYPERLINK("https://files.afu.se/Downloads/Transcripts/0%20-%20Government/USA%20-%20NASA/2012 10 28 - NASA - SpaceX Dragon Unberthed, Released and Returning_eSHN-_VIcrE - transcript (automated).pdf","Transcript Link")</f>
        <v>Transcript Link</v>
      </c>
      <c r="M3259" s="2" t="str">
        <f>HYPERLINK("https://files.afu.se/Downloads/Transcripts/0%20-%20Government/USA%20-%20NASA/2012 10 28 - NASA - SpaceX Dragon Unberthed, Released and Returning_eSHN-_VIcrE - transcript (automated).pdf","Transcript Link")</f>
        <v>Transcript Link</v>
      </c>
    </row>
    <row r="3260" ht="165" spans="1:13">
      <c r="A3260" s="1" t="s">
        <v>14784</v>
      </c>
      <c r="B3260" s="1" t="s">
        <v>13</v>
      </c>
      <c r="C3260" s="4" t="s">
        <v>14785</v>
      </c>
      <c r="D3260" s="1" t="s">
        <v>14786</v>
      </c>
      <c r="E3260" s="1" t="s">
        <v>14787</v>
      </c>
      <c r="F3260" s="4" t="s">
        <v>17</v>
      </c>
      <c r="G3260" s="1" t="s">
        <v>18</v>
      </c>
      <c r="H3260" s="1" t="s">
        <v>19</v>
      </c>
      <c r="I3260" s="1" t="s">
        <v>20</v>
      </c>
      <c r="J3260" s="1" t="s">
        <v>14788</v>
      </c>
      <c r="K3260" s="1" t="s">
        <v>22</v>
      </c>
      <c r="L3260" s="1" t="str">
        <f>HYPERLINK("https://files.afu.se/Downloads/Transcripts/0%20-%20Government/USA%20-%20NASA/2012 10 26 - NASA - Ford's Job One on This Week @NASA_a0JDs-R4Z2c - transcript (automated).pdf","Transcript Link")</f>
        <v>Transcript Link</v>
      </c>
      <c r="M3260" s="2" t="str">
        <f>HYPERLINK("https://files.afu.se/Downloads/Transcripts/0%20-%20Government/USA%20-%20NASA/2012 10 26 - NASA - Ford's Job One on This Week @NASA_a0JDs-R4Z2c - transcript (automated).pdf","Transcript Link")</f>
        <v>Transcript Link</v>
      </c>
    </row>
    <row r="3261" ht="165" spans="1:13">
      <c r="A3261" s="1" t="s">
        <v>14784</v>
      </c>
      <c r="B3261" s="1" t="s">
        <v>13</v>
      </c>
      <c r="C3261" s="4" t="s">
        <v>14789</v>
      </c>
      <c r="D3261" s="1" t="s">
        <v>14790</v>
      </c>
      <c r="F3261" s="4" t="s">
        <v>17</v>
      </c>
      <c r="G3261" s="1" t="s">
        <v>18</v>
      </c>
      <c r="H3261" s="1" t="s">
        <v>19</v>
      </c>
      <c r="I3261" s="1" t="s">
        <v>20</v>
      </c>
      <c r="J3261" s="1" t="s">
        <v>14791</v>
      </c>
      <c r="K3261" s="1" t="s">
        <v>22</v>
      </c>
      <c r="L3261" s="1" t="str">
        <f>HYPERLINK("https://files.afu.se/Downloads/Transcripts/0%20-%20Government/USA%20-%20NASA/2012 10 26 - NASA - Exp 33 Spacewalk Overview Briefing 10 26 12A_fBKs6uoyfrA - transcript (automated).pdf","Transcript Link")</f>
        <v>Transcript Link</v>
      </c>
      <c r="M3261" s="2" t="str">
        <f>HYPERLINK("https://files.afu.se/Downloads/Transcripts/0%20-%20Government/USA%20-%20NASA/2012 10 26 - NASA - Exp 33 Spacewalk Overview Briefing 10 26 12A_fBKs6uoyfrA - transcript (automated).pdf","Transcript Link")</f>
        <v>Transcript Link</v>
      </c>
    </row>
    <row r="3262" ht="165" spans="1:13">
      <c r="A3262" s="1" t="s">
        <v>14792</v>
      </c>
      <c r="B3262" s="1" t="s">
        <v>13</v>
      </c>
      <c r="C3262" s="4" t="s">
        <v>14793</v>
      </c>
      <c r="D3262" s="1" t="s">
        <v>14794</v>
      </c>
      <c r="E3262" s="1" t="s">
        <v>14795</v>
      </c>
      <c r="F3262" s="4" t="s">
        <v>17</v>
      </c>
      <c r="G3262" s="1" t="s">
        <v>18</v>
      </c>
      <c r="H3262" s="1" t="s">
        <v>19</v>
      </c>
      <c r="I3262" s="1" t="s">
        <v>20</v>
      </c>
      <c r="J3262" s="1" t="s">
        <v>14796</v>
      </c>
      <c r="K3262" s="1" t="s">
        <v>22</v>
      </c>
      <c r="L3262" s="1" t="str">
        <f>HYPERLINK("https://files.afu.se/Downloads/Transcripts/0%20-%20Government/USA%20-%20NASA/2012 10 25 - NASA - ScienceCasts  Fried Planets_h1V7-ZNPeXc - transcript (automated).pdf","Transcript Link")</f>
        <v>Transcript Link</v>
      </c>
      <c r="M3262" s="2" t="str">
        <f>HYPERLINK("https://files.afu.se/Downloads/Transcripts/0%20-%20Government/USA%20-%20NASA/2012 10 25 - NASA - ScienceCasts  Fried Planets_h1V7-ZNPeXc - transcript (automated).pdf","Transcript Link")</f>
        <v>Transcript Link</v>
      </c>
    </row>
    <row r="3263" ht="165" spans="1:13">
      <c r="A3263" s="1" t="s">
        <v>14792</v>
      </c>
      <c r="B3263" s="1" t="s">
        <v>13</v>
      </c>
      <c r="C3263" s="4" t="s">
        <v>14797</v>
      </c>
      <c r="D3263" s="1" t="s">
        <v>14798</v>
      </c>
      <c r="E3263" s="1" t="s">
        <v>14799</v>
      </c>
      <c r="F3263" s="4" t="s">
        <v>17</v>
      </c>
      <c r="G3263" s="1" t="s">
        <v>18</v>
      </c>
      <c r="H3263" s="1" t="s">
        <v>19</v>
      </c>
      <c r="I3263" s="1" t="s">
        <v>20</v>
      </c>
      <c r="J3263" s="1" t="s">
        <v>14800</v>
      </c>
      <c r="K3263" s="1" t="s">
        <v>22</v>
      </c>
      <c r="L3263" s="1" t="str">
        <f>HYPERLINK("https://files.afu.se/Downloads/Transcripts/0%20-%20Government/USA%20-%20NASA/2012 10 25 - NASA - New Crew Arrives, Boards ISS_K6CPCByf3Bo - transcript (automated).pdf","Transcript Link")</f>
        <v>Transcript Link</v>
      </c>
      <c r="M3263" s="2" t="str">
        <f>HYPERLINK("https://files.afu.se/Downloads/Transcripts/0%20-%20Government/USA%20-%20NASA/2012 10 25 - NASA - New Crew Arrives, Boards ISS_K6CPCByf3Bo - transcript (automated).pdf","Transcript Link")</f>
        <v>Transcript Link</v>
      </c>
    </row>
    <row r="3264" ht="165" spans="1:13">
      <c r="A3264" s="1" t="s">
        <v>14792</v>
      </c>
      <c r="B3264" s="1" t="s">
        <v>13</v>
      </c>
      <c r="C3264" s="4" t="s">
        <v>14801</v>
      </c>
      <c r="D3264" s="1" t="s">
        <v>14802</v>
      </c>
      <c r="E3264" s="1" t="s">
        <v>14803</v>
      </c>
      <c r="F3264" s="4" t="s">
        <v>17</v>
      </c>
      <c r="G3264" s="1" t="s">
        <v>18</v>
      </c>
      <c r="H3264" s="1" t="s">
        <v>19</v>
      </c>
      <c r="I3264" s="1" t="s">
        <v>20</v>
      </c>
      <c r="J3264" s="1" t="s">
        <v>14804</v>
      </c>
      <c r="K3264" s="1" t="s">
        <v>22</v>
      </c>
      <c r="L3264" s="1" t="str">
        <f>HYPERLINK("https://files.afu.se/Downloads/Transcripts/0%20-%20Government/USA%20-%20NASA/2012 10 25 - NASA - Soyuz Docks to ISS_LL_usHvz3G0 - transcript (automated).pdf","Transcript Link")</f>
        <v>Transcript Link</v>
      </c>
      <c r="M3264" s="2" t="str">
        <f>HYPERLINK("https://files.afu.se/Downloads/Transcripts/0%20-%20Government/USA%20-%20NASA/2012 10 25 - NASA - Soyuz Docks to ISS_LL_usHvz3G0 - transcript (automated).pdf","Transcript Link")</f>
        <v>Transcript Link</v>
      </c>
    </row>
    <row r="3265" ht="165" spans="1:13">
      <c r="A3265" s="1" t="s">
        <v>14805</v>
      </c>
      <c r="B3265" s="1" t="s">
        <v>13</v>
      </c>
      <c r="C3265" s="4" t="s">
        <v>14806</v>
      </c>
      <c r="D3265" s="1" t="s">
        <v>14731</v>
      </c>
      <c r="E3265" s="1" t="s">
        <v>14732</v>
      </c>
      <c r="F3265" s="4" t="s">
        <v>17</v>
      </c>
      <c r="G3265" s="1" t="s">
        <v>18</v>
      </c>
      <c r="H3265" s="1" t="s">
        <v>19</v>
      </c>
      <c r="I3265" s="1" t="s">
        <v>20</v>
      </c>
      <c r="J3265" s="1" t="s">
        <v>14807</v>
      </c>
      <c r="K3265" s="1" t="s">
        <v>22</v>
      </c>
      <c r="L3265" s="1" t="str">
        <f>HYPERLINK("https://files.afu.se/Downloads/Transcripts/0%20-%20Government/USA%20-%20NASA/2012 10 23 - NASA - Endeavour's Parade on This Week @NASA_csMEQiM5o3w - transcript (automated).pdf","Transcript Link")</f>
        <v>Transcript Link</v>
      </c>
      <c r="M3265" s="2" t="str">
        <f>HYPERLINK("https://files.afu.se/Downloads/Transcripts/0%20-%20Government/USA%20-%20NASA/2012 10 23 - NASA - Endeavour's Parade on This Week @NASA_csMEQiM5o3w - transcript (automated).pdf","Transcript Link")</f>
        <v>Transcript Link</v>
      </c>
    </row>
    <row r="3266" ht="165" spans="1:13">
      <c r="A3266" s="1" t="s">
        <v>14805</v>
      </c>
      <c r="B3266" s="1" t="s">
        <v>13</v>
      </c>
      <c r="C3266" s="4" t="s">
        <v>14808</v>
      </c>
      <c r="D3266" s="1" t="s">
        <v>14809</v>
      </c>
      <c r="E3266" s="1" t="s">
        <v>14810</v>
      </c>
      <c r="F3266" s="4" t="s">
        <v>17</v>
      </c>
      <c r="G3266" s="1" t="s">
        <v>18</v>
      </c>
      <c r="H3266" s="1" t="s">
        <v>19</v>
      </c>
      <c r="I3266" s="1" t="s">
        <v>20</v>
      </c>
      <c r="J3266" s="1" t="s">
        <v>14811</v>
      </c>
      <c r="K3266" s="1" t="s">
        <v>22</v>
      </c>
      <c r="L3266" s="1" t="str">
        <f>HYPERLINK("https://files.afu.se/Downloads/Transcripts/0%20-%20Government/USA%20-%20NASA/2012 10 23 - NASA - Ford and Fellow Flyers Launch to Space Station_MCML1V-ojE0 - transcript (automated).pdf","Transcript Link")</f>
        <v>Transcript Link</v>
      </c>
      <c r="M3266" s="2" t="str">
        <f>HYPERLINK("https://files.afu.se/Downloads/Transcripts/0%20-%20Government/USA%20-%20NASA/2012 10 23 - NASA - Ford and Fellow Flyers Launch to Space Station_MCML1V-ojE0 - transcript (automated).pdf","Transcript Link")</f>
        <v>Transcript Link</v>
      </c>
    </row>
    <row r="3267" ht="165" spans="1:13">
      <c r="A3267" s="1" t="s">
        <v>14812</v>
      </c>
      <c r="B3267" s="1" t="s">
        <v>13</v>
      </c>
      <c r="C3267" s="4" t="s">
        <v>14813</v>
      </c>
      <c r="D3267" s="1" t="s">
        <v>14814</v>
      </c>
      <c r="E3267" s="1" t="s">
        <v>14815</v>
      </c>
      <c r="F3267" s="4" t="s">
        <v>17</v>
      </c>
      <c r="G3267" s="1" t="s">
        <v>18</v>
      </c>
      <c r="H3267" s="1" t="s">
        <v>19</v>
      </c>
      <c r="I3267" s="1" t="s">
        <v>20</v>
      </c>
      <c r="J3267" s="1" t="s">
        <v>14816</v>
      </c>
      <c r="K3267" s="1" t="s">
        <v>22</v>
      </c>
      <c r="L3267" s="1" t="str">
        <f>HYPERLINK("https://files.afu.se/Downloads/Transcripts/0%20-%20Government/USA%20-%20NASA/2012 10 22 - NASA - ISS Crew Gets Go Ahead for Launch_8pVHViay3sA - transcript (automated).pdf","Transcript Link")</f>
        <v>Transcript Link</v>
      </c>
      <c r="M3267" s="2" t="str">
        <f>HYPERLINK("https://files.afu.se/Downloads/Transcripts/0%20-%20Government/USA%20-%20NASA/2012 10 22 - NASA - ISS Crew Gets Go Ahead for Launch_8pVHViay3sA - transcript (automated).pdf","Transcript Link")</f>
        <v>Transcript Link</v>
      </c>
    </row>
    <row r="3268" ht="165" spans="1:13">
      <c r="A3268" s="1" t="s">
        <v>14817</v>
      </c>
      <c r="B3268" s="1" t="s">
        <v>13</v>
      </c>
      <c r="C3268" s="4" t="s">
        <v>14818</v>
      </c>
      <c r="D3268" s="1" t="s">
        <v>14819</v>
      </c>
      <c r="E3268" s="1" t="s">
        <v>14820</v>
      </c>
      <c r="F3268" s="4" t="s">
        <v>17</v>
      </c>
      <c r="G3268" s="1" t="s">
        <v>18</v>
      </c>
      <c r="H3268" s="1" t="s">
        <v>19</v>
      </c>
      <c r="I3268" s="1" t="s">
        <v>20</v>
      </c>
      <c r="J3268" s="1" t="s">
        <v>14821</v>
      </c>
      <c r="K3268" s="1" t="s">
        <v>22</v>
      </c>
      <c r="L3268" s="1" t="str">
        <f>HYPERLINK("https://files.afu.se/Downloads/Transcripts/0%20-%20Government/USA%20-%20NASA/2012 10 21 - NASA - Soyuz Rocket Rolls Out_g6wB7Cuwux8 - transcript (automated).pdf","Transcript Link")</f>
        <v>Transcript Link</v>
      </c>
      <c r="M3268" s="2" t="str">
        <f>HYPERLINK("https://files.afu.se/Downloads/Transcripts/0%20-%20Government/USA%20-%20NASA/2012 10 21 - NASA - Soyuz Rocket Rolls Out_g6wB7Cuwux8 - transcript (automated).pdf","Transcript Link")</f>
        <v>Transcript Link</v>
      </c>
    </row>
    <row r="3269" ht="285" spans="1:13">
      <c r="A3269" s="1" t="s">
        <v>14822</v>
      </c>
      <c r="B3269" s="1" t="s">
        <v>13</v>
      </c>
      <c r="C3269" s="4" t="s">
        <v>14823</v>
      </c>
      <c r="D3269" s="1" t="s">
        <v>14824</v>
      </c>
      <c r="E3269" s="1" t="s">
        <v>14825</v>
      </c>
      <c r="F3269" s="4" t="s">
        <v>17</v>
      </c>
      <c r="G3269" s="1" t="s">
        <v>18</v>
      </c>
      <c r="H3269" s="1" t="s">
        <v>19</v>
      </c>
      <c r="I3269" s="1" t="s">
        <v>20</v>
      </c>
      <c r="J3269" s="1" t="s">
        <v>14826</v>
      </c>
      <c r="K3269" s="1" t="s">
        <v>22</v>
      </c>
      <c r="L3269" s="1" t="str">
        <f>HYPERLINK("https://files.afu.se/Downloads/Transcripts/0%20-%20Government/USA%20-%20NASA/2012 10 20 - NASA - NASA's Mars Curiosity Rover Report %2311 -- October 19, 2012_NhhOc_dRnLE - transcript (automated).pdf","Transcript Link")</f>
        <v>Transcript Link</v>
      </c>
      <c r="M3269" s="2" t="str">
        <f>HYPERLINK("https://files.afu.se/Downloads/Transcripts/0%20-%20Government/USA%20-%20NASA/2012 10 20 - NASA - NASA's Mars Curiosity Rover Report %2311 -- October 19, 2012_NhhOc_dRnLE - transcript (automated).pdf","Transcript Link")</f>
        <v>Transcript Link</v>
      </c>
    </row>
    <row r="3270" ht="165" spans="1:13">
      <c r="A3270" s="1" t="s">
        <v>14822</v>
      </c>
      <c r="B3270" s="1" t="s">
        <v>13</v>
      </c>
      <c r="C3270" s="4" t="s">
        <v>14827</v>
      </c>
      <c r="D3270" s="1" t="s">
        <v>14828</v>
      </c>
      <c r="E3270" s="1" t="s">
        <v>14829</v>
      </c>
      <c r="F3270" s="4" t="s">
        <v>17</v>
      </c>
      <c r="G3270" s="1" t="s">
        <v>18</v>
      </c>
      <c r="H3270" s="1" t="s">
        <v>19</v>
      </c>
      <c r="I3270" s="1" t="s">
        <v>20</v>
      </c>
      <c r="J3270" s="1" t="s">
        <v>14830</v>
      </c>
      <c r="K3270" s="1" t="s">
        <v>22</v>
      </c>
      <c r="L3270" s="1" t="str">
        <f>HYPERLINK("https://files.afu.se/Downloads/Transcripts/0%20-%20Government/USA%20-%20NASA/2012 10 20 - NASA - The Expedition 33 34 Soyuz Spacecraft Meets Its Booster Rocket_DIK0nMnenx0 - transcript (automated).pdf","Transcript Link")</f>
        <v>Transcript Link</v>
      </c>
      <c r="M3270" s="2" t="str">
        <f>HYPERLINK("https://files.afu.se/Downloads/Transcripts/0%20-%20Government/USA%20-%20NASA/2012 10 20 - NASA - The Expedition 33 34 Soyuz Spacecraft Meets Its Booster Rocket_DIK0nMnenx0 - transcript (automated).pdf","Transcript Link")</f>
        <v>Transcript Link</v>
      </c>
    </row>
    <row r="3271" ht="165" spans="1:13">
      <c r="A3271" s="1" t="s">
        <v>14831</v>
      </c>
      <c r="B3271" s="1" t="s">
        <v>13</v>
      </c>
      <c r="C3271" s="4" t="s">
        <v>14832</v>
      </c>
      <c r="D3271" s="1" t="s">
        <v>14833</v>
      </c>
      <c r="E3271" s="1" t="s">
        <v>14834</v>
      </c>
      <c r="F3271" s="4" t="s">
        <v>17</v>
      </c>
      <c r="G3271" s="1" t="s">
        <v>18</v>
      </c>
      <c r="H3271" s="1" t="s">
        <v>19</v>
      </c>
      <c r="I3271" s="1" t="s">
        <v>20</v>
      </c>
      <c r="J3271" s="1" t="s">
        <v>14835</v>
      </c>
      <c r="K3271" s="1" t="s">
        <v>22</v>
      </c>
      <c r="L3271" s="1" t="str">
        <f>HYPERLINK("https://files.afu.se/Downloads/Transcripts/0%20-%20Government/USA%20-%20NASA/2012 10 19 - NASA - Suni Thoughts Collected from Space_firW5Gid49o - transcript (automated).pdf","Transcript Link")</f>
        <v>Transcript Link</v>
      </c>
      <c r="M3271" s="2" t="str">
        <f>HYPERLINK("https://files.afu.se/Downloads/Transcripts/0%20-%20Government/USA%20-%20NASA/2012 10 19 - NASA - Suni Thoughts Collected from Space_firW5Gid49o - transcript (automated).pdf","Transcript Link")</f>
        <v>Transcript Link</v>
      </c>
    </row>
    <row r="3272" ht="165" spans="1:13">
      <c r="A3272" s="1" t="s">
        <v>14831</v>
      </c>
      <c r="B3272" s="1" t="s">
        <v>13</v>
      </c>
      <c r="C3272" s="4" t="s">
        <v>14836</v>
      </c>
      <c r="D3272" s="1" t="s">
        <v>14837</v>
      </c>
      <c r="E3272" s="1" t="s">
        <v>14838</v>
      </c>
      <c r="F3272" s="4" t="s">
        <v>17</v>
      </c>
      <c r="G3272" s="1" t="s">
        <v>18</v>
      </c>
      <c r="H3272" s="1" t="s">
        <v>19</v>
      </c>
      <c r="I3272" s="1" t="s">
        <v>20</v>
      </c>
      <c r="J3272" s="1" t="s">
        <v>14839</v>
      </c>
      <c r="K3272" s="1" t="s">
        <v>22</v>
      </c>
      <c r="L3272" s="1" t="str">
        <f>HYPERLINK("https://files.afu.se/Downloads/Transcripts/0%20-%20Government/USA%20-%20NASA/2012 10 19 - NASA - Inside the ISS  Ready-to-Use_nSIUnSpbfd4 - transcript (automated).pdf","Transcript Link")</f>
        <v>Transcript Link</v>
      </c>
      <c r="M3272" s="2" t="str">
        <f>HYPERLINK("https://files.afu.se/Downloads/Transcripts/0%20-%20Government/USA%20-%20NASA/2012 10 19 - NASA - Inside the ISS  Ready-to-Use_nSIUnSpbfd4 - transcript (automated).pdf","Transcript Link")</f>
        <v>Transcript Link</v>
      </c>
    </row>
    <row r="3273" ht="165" spans="1:13">
      <c r="A3273" s="1" t="s">
        <v>14831</v>
      </c>
      <c r="B3273" s="1" t="s">
        <v>13</v>
      </c>
      <c r="C3273" s="4" t="s">
        <v>14840</v>
      </c>
      <c r="D3273" s="1" t="s">
        <v>14841</v>
      </c>
      <c r="E3273" s="1" t="s">
        <v>14842</v>
      </c>
      <c r="F3273" s="4" t="s">
        <v>17</v>
      </c>
      <c r="G3273" s="1" t="s">
        <v>18</v>
      </c>
      <c r="H3273" s="1" t="s">
        <v>19</v>
      </c>
      <c r="I3273" s="1" t="s">
        <v>20</v>
      </c>
      <c r="J3273" s="1" t="s">
        <v>14843</v>
      </c>
      <c r="K3273" s="1" t="s">
        <v>22</v>
      </c>
      <c r="L3273" s="1" t="str">
        <f>HYPERLINK("https://files.afu.se/Downloads/Transcripts/0%20-%20Government/USA%20-%20NASA/2012 10 19 - NASA - Inside the ISS  The Road to 135_nwnmspnNHEA - transcript (automated).pdf","Transcript Link")</f>
        <v>Transcript Link</v>
      </c>
      <c r="M3273" s="2" t="str">
        <f>HYPERLINK("https://files.afu.se/Downloads/Transcripts/0%20-%20Government/USA%20-%20NASA/2012 10 19 - NASA - Inside the ISS  The Road to 135_nwnmspnNHEA - transcript (automated).pdf","Transcript Link")</f>
        <v>Transcript Link</v>
      </c>
    </row>
    <row r="3274" ht="165" spans="1:13">
      <c r="A3274" s="1" t="s">
        <v>14844</v>
      </c>
      <c r="B3274" s="1" t="s">
        <v>13</v>
      </c>
      <c r="C3274" s="4" t="s">
        <v>14845</v>
      </c>
      <c r="D3274" s="1" t="s">
        <v>14846</v>
      </c>
      <c r="E3274" s="1" t="s">
        <v>14847</v>
      </c>
      <c r="F3274" s="4" t="s">
        <v>17</v>
      </c>
      <c r="G3274" s="1" t="s">
        <v>18</v>
      </c>
      <c r="H3274" s="1" t="s">
        <v>19</v>
      </c>
      <c r="I3274" s="1" t="s">
        <v>20</v>
      </c>
      <c r="J3274" s="1" t="s">
        <v>14848</v>
      </c>
      <c r="K3274" s="1" t="s">
        <v>22</v>
      </c>
      <c r="L3274" s="1" t="str">
        <f>HYPERLINK("https://files.afu.se/Downloads/Transcripts/0%20-%20Government/USA%20-%20NASA/2012 10 18 - NASA - Soyuz Crew Readies for Launch_HmhYrsMvenE - transcript (automated).pdf","Transcript Link")</f>
        <v>Transcript Link</v>
      </c>
      <c r="M3274" s="2" t="str">
        <f>HYPERLINK("https://files.afu.se/Downloads/Transcripts/0%20-%20Government/USA%20-%20NASA/2012 10 18 - NASA - Soyuz Crew Readies for Launch_HmhYrsMvenE - transcript (automated).pdf","Transcript Link")</f>
        <v>Transcript Link</v>
      </c>
    </row>
    <row r="3275" ht="165" spans="1:13">
      <c r="A3275" s="1" t="s">
        <v>14844</v>
      </c>
      <c r="B3275" s="1" t="s">
        <v>13</v>
      </c>
      <c r="C3275" s="4" t="s">
        <v>14849</v>
      </c>
      <c r="D3275" s="1" t="s">
        <v>14850</v>
      </c>
      <c r="E3275" s="1" t="s">
        <v>14851</v>
      </c>
      <c r="F3275" s="4" t="s">
        <v>17</v>
      </c>
      <c r="G3275" s="1" t="s">
        <v>18</v>
      </c>
      <c r="H3275" s="1" t="s">
        <v>19</v>
      </c>
      <c r="I3275" s="1" t="s">
        <v>20</v>
      </c>
      <c r="J3275" s="1" t="s">
        <v>14852</v>
      </c>
      <c r="K3275" s="1" t="s">
        <v>22</v>
      </c>
      <c r="L3275" s="1" t="str">
        <f>HYPERLINK("https://files.afu.se/Downloads/Transcripts/0%20-%20Government/USA%20-%20NASA/2012 10 18 - NASA - Aki  Hangs  From Kibo_z22vOjOAQt0 - transcript (automated).pdf","Transcript Link")</f>
        <v>Transcript Link</v>
      </c>
      <c r="M3275" s="2" t="str">
        <f>HYPERLINK("https://files.afu.se/Downloads/Transcripts/0%20-%20Government/USA%20-%20NASA/2012 10 18 - NASA - Aki  Hangs  From Kibo_z22vOjOAQt0 - transcript (automated).pdf","Transcript Link")</f>
        <v>Transcript Link</v>
      </c>
    </row>
    <row r="3276" ht="165" spans="1:13">
      <c r="A3276" s="1" t="s">
        <v>14853</v>
      </c>
      <c r="B3276" s="1" t="s">
        <v>13</v>
      </c>
      <c r="C3276" s="4" t="s">
        <v>14854</v>
      </c>
      <c r="D3276" s="1" t="s">
        <v>14855</v>
      </c>
      <c r="E3276" s="1" t="s">
        <v>14856</v>
      </c>
      <c r="F3276" s="4" t="s">
        <v>17</v>
      </c>
      <c r="G3276" s="1" t="s">
        <v>18</v>
      </c>
      <c r="H3276" s="1" t="s">
        <v>19</v>
      </c>
      <c r="I3276" s="1" t="s">
        <v>20</v>
      </c>
      <c r="J3276" s="1" t="s">
        <v>14857</v>
      </c>
      <c r="K3276" s="1" t="s">
        <v>22</v>
      </c>
      <c r="L3276" s="1" t="str">
        <f>HYPERLINK("https://files.afu.se/Downloads/Transcripts/0%20-%20Government/USA%20-%20NASA/2012 10 15 - NASA - Space Shuttle Endeavour Traveling Through the Streets of Los Angeles_Rom6M8udyI8 - transcript (automated).pdf","Transcript Link")</f>
        <v>Transcript Link</v>
      </c>
      <c r="M3276" s="2" t="str">
        <f>HYPERLINK("https://files.afu.se/Downloads/Transcripts/0%20-%20Government/USA%20-%20NASA/2012 10 15 - NASA - Space Shuttle Endeavour Traveling Through the Streets of Los Angeles_Rom6M8udyI8 - transcript (automated).pdf","Transcript Link")</f>
        <v>Transcript Link</v>
      </c>
    </row>
    <row r="3277" ht="165" spans="1:13">
      <c r="A3277" s="1" t="s">
        <v>14858</v>
      </c>
      <c r="B3277" s="1" t="s">
        <v>13</v>
      </c>
      <c r="C3277" s="4" t="s">
        <v>14859</v>
      </c>
      <c r="D3277" s="1" t="s">
        <v>14860</v>
      </c>
      <c r="E3277" s="1" t="s">
        <v>14861</v>
      </c>
      <c r="F3277" s="4" t="s">
        <v>17</v>
      </c>
      <c r="G3277" s="1" t="s">
        <v>18</v>
      </c>
      <c r="H3277" s="1" t="s">
        <v>19</v>
      </c>
      <c r="I3277" s="1" t="s">
        <v>20</v>
      </c>
      <c r="J3277" s="1" t="s">
        <v>14862</v>
      </c>
      <c r="K3277" s="1" t="s">
        <v>22</v>
      </c>
      <c r="L3277" s="1" t="str">
        <f>HYPERLINK("https://files.afu.se/Downloads/Transcripts/0%20-%20Government/USA%20-%20NASA/2012 10 12 - NASA - NASA 2012 Hispanic Heritage Month Profile - Andres Adorno - Kennedy Space Center_oDdTZkxcv3I - transcript (automated).pdf","Transcript Link")</f>
        <v>Transcript Link</v>
      </c>
      <c r="M3277" s="2" t="str">
        <f>HYPERLINK("https://files.afu.se/Downloads/Transcripts/0%20-%20Government/USA%20-%20NASA/2012 10 12 - NASA - NASA 2012 Hispanic Heritage Month Profile - Andres Adorno - Kennedy Space Center_oDdTZkxcv3I - transcript (automated).pdf","Transcript Link")</f>
        <v>Transcript Link</v>
      </c>
    </row>
    <row r="3278" ht="165" spans="1:13">
      <c r="A3278" s="1" t="s">
        <v>14858</v>
      </c>
      <c r="B3278" s="1" t="s">
        <v>13</v>
      </c>
      <c r="C3278" s="4" t="s">
        <v>14863</v>
      </c>
      <c r="D3278" s="1" t="s">
        <v>14864</v>
      </c>
      <c r="E3278" s="1" t="s">
        <v>14865</v>
      </c>
      <c r="F3278" s="4" t="s">
        <v>17</v>
      </c>
      <c r="G3278" s="1" t="s">
        <v>18</v>
      </c>
      <c r="H3278" s="1" t="s">
        <v>19</v>
      </c>
      <c r="I3278" s="1" t="s">
        <v>20</v>
      </c>
      <c r="J3278" s="1" t="s">
        <v>14866</v>
      </c>
      <c r="K3278" s="1" t="s">
        <v>22</v>
      </c>
      <c r="L3278" s="1" t="str">
        <f>HYPERLINK("https://files.afu.se/Downloads/Transcripts/0%20-%20Government/USA%20-%20NASA/2012 10 12 - NASA - NASA's Mars Curiosity Rover Report %2310_Az7GQb-emnk - transcript (automated).pdf","Transcript Link")</f>
        <v>Transcript Link</v>
      </c>
      <c r="M3278" s="2" t="str">
        <f>HYPERLINK("https://files.afu.se/Downloads/Transcripts/0%20-%20Government/USA%20-%20NASA/2012 10 12 - NASA - NASA's Mars Curiosity Rover Report %2310_Az7GQb-emnk - transcript (automated).pdf","Transcript Link")</f>
        <v>Transcript Link</v>
      </c>
    </row>
    <row r="3279" ht="165" spans="1:13">
      <c r="A3279" s="1" t="s">
        <v>14858</v>
      </c>
      <c r="B3279" s="1" t="s">
        <v>13</v>
      </c>
      <c r="C3279" s="4" t="s">
        <v>14867</v>
      </c>
      <c r="D3279" s="1" t="s">
        <v>14868</v>
      </c>
      <c r="E3279" s="1" t="s">
        <v>14869</v>
      </c>
      <c r="F3279" s="4" t="s">
        <v>17</v>
      </c>
      <c r="G3279" s="1" t="s">
        <v>18</v>
      </c>
      <c r="H3279" s="1" t="s">
        <v>19</v>
      </c>
      <c r="I3279" s="1" t="s">
        <v>20</v>
      </c>
      <c r="J3279" s="1" t="s">
        <v>14870</v>
      </c>
      <c r="K3279" s="1" t="s">
        <v>22</v>
      </c>
      <c r="L3279" s="1" t="str">
        <f>HYPERLINK("https://files.afu.se/Downloads/Transcripts/0%20-%20Government/USA%20-%20NASA/2012 10 12 - NASA - Dragon Delivers on This Week at NASA..._gjO958LuB0E - transcript (automated).pdf","Transcript Link")</f>
        <v>Transcript Link</v>
      </c>
      <c r="M3279" s="2" t="str">
        <f>HYPERLINK("https://files.afu.se/Downloads/Transcripts/0%20-%20Government/USA%20-%20NASA/2012 10 12 - NASA - Dragon Delivers on This Week at NASA..._gjO958LuB0E - transcript (automated).pdf","Transcript Link")</f>
        <v>Transcript Link</v>
      </c>
    </row>
    <row r="3280" ht="165" spans="1:13">
      <c r="A3280" s="1" t="s">
        <v>14858</v>
      </c>
      <c r="B3280" s="1" t="s">
        <v>13</v>
      </c>
      <c r="C3280" s="4" t="s">
        <v>14871</v>
      </c>
      <c r="D3280" s="1" t="s">
        <v>14872</v>
      </c>
      <c r="E3280" s="1" t="s">
        <v>14873</v>
      </c>
      <c r="F3280" s="4" t="s">
        <v>17</v>
      </c>
      <c r="G3280" s="1" t="s">
        <v>18</v>
      </c>
      <c r="H3280" s="1" t="s">
        <v>19</v>
      </c>
      <c r="I3280" s="1" t="s">
        <v>20</v>
      </c>
      <c r="J3280" s="1" t="s">
        <v>14874</v>
      </c>
      <c r="K3280" s="1" t="s">
        <v>22</v>
      </c>
      <c r="L3280" s="1" t="str">
        <f>HYPERLINK("https://files.afu.se/Downloads/Transcripts/0%20-%20Government/USA%20-%20NASA/2012 10 12 - NASA - Suni on Hometown TV_8AaCGVcuDqM - transcript (automated).pdf","Transcript Link")</f>
        <v>Transcript Link</v>
      </c>
      <c r="M3280" s="2" t="str">
        <f>HYPERLINK("https://files.afu.se/Downloads/Transcripts/0%20-%20Government/USA%20-%20NASA/2012 10 12 - NASA - Suni on Hometown TV_8AaCGVcuDqM - transcript (automated).pdf","Transcript Link")</f>
        <v>Transcript Link</v>
      </c>
    </row>
    <row r="3281" ht="180" spans="1:13">
      <c r="A3281" s="1" t="s">
        <v>14858</v>
      </c>
      <c r="B3281" s="1" t="s">
        <v>13</v>
      </c>
      <c r="C3281" s="4" t="s">
        <v>14875</v>
      </c>
      <c r="D3281" s="1" t="s">
        <v>14876</v>
      </c>
      <c r="E3281" s="1" t="s">
        <v>14877</v>
      </c>
      <c r="F3281" s="4" t="s">
        <v>17</v>
      </c>
      <c r="G3281" s="1" t="s">
        <v>18</v>
      </c>
      <c r="H3281" s="1" t="s">
        <v>19</v>
      </c>
      <c r="I3281" s="1" t="s">
        <v>20</v>
      </c>
      <c r="J3281" s="1" t="s">
        <v>14878</v>
      </c>
      <c r="K3281" s="1" t="s">
        <v>22</v>
      </c>
      <c r="L3281" s="1" t="str">
        <f>HYPERLINK("https://files.afu.se/Downloads/Transcripts/0%20-%20Government/USA%20-%20NASA/2012 10 12 - NASA - International Space Station Expedition 33 34 Crew Training Resource Reel_oNOZZruBc7w - transcript (automated).pdf","Transcript Link")</f>
        <v>Transcript Link</v>
      </c>
      <c r="M3281" s="2" t="str">
        <f>HYPERLINK("https://files.afu.se/Downloads/Transcripts/0%20-%20Government/USA%20-%20NASA/2012 10 12 - NASA - International Space Station Expedition 33 34 Crew Training Resource Reel_oNOZZruBc7w - transcript (automated).pdf","Transcript Link")</f>
        <v>Transcript Link</v>
      </c>
    </row>
    <row r="3282" ht="165" spans="1:13">
      <c r="A3282" s="1" t="s">
        <v>14858</v>
      </c>
      <c r="B3282" s="1" t="s">
        <v>13</v>
      </c>
      <c r="C3282" s="4" t="s">
        <v>14879</v>
      </c>
      <c r="D3282" s="1" t="s">
        <v>14880</v>
      </c>
      <c r="E3282" s="1" t="s">
        <v>14881</v>
      </c>
      <c r="F3282" s="4" t="s">
        <v>17</v>
      </c>
      <c r="G3282" s="1" t="s">
        <v>18</v>
      </c>
      <c r="H3282" s="1" t="s">
        <v>19</v>
      </c>
      <c r="I3282" s="1" t="s">
        <v>20</v>
      </c>
      <c r="J3282" s="1" t="s">
        <v>14882</v>
      </c>
      <c r="K3282" s="1" t="s">
        <v>22</v>
      </c>
      <c r="L3282" s="1" t="str">
        <f>HYPERLINK("https://files.afu.se/Downloads/Transcripts/0%20-%20Government/USA%20-%20NASA/2012 10 12 - NASA - International Space Station Expedition 33 34 Crew Interview - Evgeny Tarelkin_DUwzAxVdaNY - transcript (automated).pdf","Transcript Link")</f>
        <v>Transcript Link</v>
      </c>
      <c r="M3282" s="2" t="str">
        <f>HYPERLINK("https://files.afu.se/Downloads/Transcripts/0%20-%20Government/USA%20-%20NASA/2012 10 12 - NASA - International Space Station Expedition 33 34 Crew Interview - Evgeny Tarelkin_DUwzAxVdaNY - transcript (automated).pdf","Transcript Link")</f>
        <v>Transcript Link</v>
      </c>
    </row>
    <row r="3283" ht="165" spans="1:13">
      <c r="A3283" s="1" t="s">
        <v>14858</v>
      </c>
      <c r="B3283" s="1" t="s">
        <v>13</v>
      </c>
      <c r="C3283" s="4" t="s">
        <v>14883</v>
      </c>
      <c r="D3283" s="1" t="s">
        <v>14884</v>
      </c>
      <c r="E3283" s="1" t="s">
        <v>14885</v>
      </c>
      <c r="F3283" s="4" t="s">
        <v>17</v>
      </c>
      <c r="G3283" s="1" t="s">
        <v>18</v>
      </c>
      <c r="H3283" s="1" t="s">
        <v>19</v>
      </c>
      <c r="I3283" s="1" t="s">
        <v>20</v>
      </c>
      <c r="J3283" s="1" t="s">
        <v>14886</v>
      </c>
      <c r="K3283" s="1" t="s">
        <v>22</v>
      </c>
      <c r="L3283" s="1" t="str">
        <f>HYPERLINK("https://files.afu.se/Downloads/Transcripts/0%20-%20Government/USA%20-%20NASA/2012 10 12 - NASA - International Space Station Expedition 33 34 Crew Interview - Kevin Ford_SdiIeBT8kA8 - transcript (automated).pdf","Transcript Link")</f>
        <v>Transcript Link</v>
      </c>
      <c r="M3283" s="2" t="str">
        <f>HYPERLINK("https://files.afu.se/Downloads/Transcripts/0%20-%20Government/USA%20-%20NASA/2012 10 12 - NASA - International Space Station Expedition 33 34 Crew Interview - Kevin Ford_SdiIeBT8kA8 - transcript (automated).pdf","Transcript Link")</f>
        <v>Transcript Link</v>
      </c>
    </row>
    <row r="3284" ht="165" spans="1:13">
      <c r="A3284" s="1" t="s">
        <v>14858</v>
      </c>
      <c r="B3284" s="1" t="s">
        <v>13</v>
      </c>
      <c r="C3284" s="4" t="s">
        <v>14887</v>
      </c>
      <c r="D3284" s="1" t="s">
        <v>14888</v>
      </c>
      <c r="E3284" s="1" t="s">
        <v>14889</v>
      </c>
      <c r="F3284" s="4" t="s">
        <v>17</v>
      </c>
      <c r="G3284" s="1" t="s">
        <v>18</v>
      </c>
      <c r="H3284" s="1" t="s">
        <v>19</v>
      </c>
      <c r="I3284" s="1" t="s">
        <v>20</v>
      </c>
      <c r="J3284" s="1" t="s">
        <v>14890</v>
      </c>
      <c r="K3284" s="1" t="s">
        <v>22</v>
      </c>
      <c r="L3284" s="1" t="str">
        <f>HYPERLINK("https://files.afu.se/Downloads/Transcripts/0%20-%20Government/USA%20-%20NASA/2012 10 12 - NASA - ScienceCasts  A Meteor Shower from Halley's Comet_SaFAH5YL4GU - transcript (automated).pdf","Transcript Link")</f>
        <v>Transcript Link</v>
      </c>
      <c r="M3284" s="2" t="str">
        <f>HYPERLINK("https://files.afu.se/Downloads/Transcripts/0%20-%20Government/USA%20-%20NASA/2012 10 12 - NASA - ScienceCasts  A Meteor Shower from Halley's Comet_SaFAH5YL4GU - transcript (automated).pdf","Transcript Link")</f>
        <v>Transcript Link</v>
      </c>
    </row>
    <row r="3285" ht="165" spans="1:13">
      <c r="A3285" s="1" t="s">
        <v>14891</v>
      </c>
      <c r="B3285" s="1" t="s">
        <v>13</v>
      </c>
      <c r="C3285" s="4" t="s">
        <v>14892</v>
      </c>
      <c r="D3285" s="1" t="s">
        <v>14893</v>
      </c>
      <c r="E3285" s="1" t="s">
        <v>14894</v>
      </c>
      <c r="F3285" s="4" t="s">
        <v>17</v>
      </c>
      <c r="G3285" s="1" t="s">
        <v>18</v>
      </c>
      <c r="H3285" s="1" t="s">
        <v>19</v>
      </c>
      <c r="I3285" s="1" t="s">
        <v>20</v>
      </c>
      <c r="J3285" s="1" t="s">
        <v>14895</v>
      </c>
      <c r="K3285" s="1" t="s">
        <v>22</v>
      </c>
      <c r="L3285" s="1" t="str">
        <f>HYPERLINK("https://files.afu.se/Downloads/Transcripts/0%20-%20Government/USA%20-%20NASA/2012 10 11 - NASA - ISS Commander Talks Long Distance With the Media__g7dEXjumEM - transcript (automated).pdf","Transcript Link")</f>
        <v>Transcript Link</v>
      </c>
      <c r="M3285" s="2" t="str">
        <f>HYPERLINK("https://files.afu.se/Downloads/Transcripts/0%20-%20Government/USA%20-%20NASA/2012 10 11 - NASA - ISS Commander Talks Long Distance With the Media__g7dEXjumEM - transcript (automated).pdf","Transcript Link")</f>
        <v>Transcript Link</v>
      </c>
    </row>
    <row r="3286" ht="165" spans="1:13">
      <c r="A3286" s="1" t="s">
        <v>14891</v>
      </c>
      <c r="B3286" s="1" t="s">
        <v>13</v>
      </c>
      <c r="C3286" s="4" t="s">
        <v>14896</v>
      </c>
      <c r="D3286" s="1" t="s">
        <v>14897</v>
      </c>
      <c r="E3286" s="1" t="s">
        <v>14898</v>
      </c>
      <c r="F3286" s="4" t="s">
        <v>17</v>
      </c>
      <c r="G3286" s="1" t="s">
        <v>18</v>
      </c>
      <c r="H3286" s="1" t="s">
        <v>19</v>
      </c>
      <c r="I3286" s="1" t="s">
        <v>20</v>
      </c>
      <c r="J3286" s="1" t="s">
        <v>14899</v>
      </c>
      <c r="K3286" s="1" t="s">
        <v>22</v>
      </c>
      <c r="L3286" s="1" t="str">
        <f>HYPERLINK("https://files.afu.se/Downloads/Transcripts/0%20-%20Government/USA%20-%20NASA/2012 10 11 - NASA - International Space Station Expedition 33 34 Crew Interview - Oleg Novitskiy_cua2wqUQrak - transcript (automated).pdf","Transcript Link")</f>
        <v>Transcript Link</v>
      </c>
      <c r="M3286" s="2" t="str">
        <f>HYPERLINK("https://files.afu.se/Downloads/Transcripts/0%20-%20Government/USA%20-%20NASA/2012 10 11 - NASA - International Space Station Expedition 33 34 Crew Interview - Oleg Novitskiy_cua2wqUQrak - transcript (automated).pdf","Transcript Link")</f>
        <v>Transcript Link</v>
      </c>
    </row>
    <row r="3287" ht="240" spans="1:13">
      <c r="A3287" s="1" t="s">
        <v>14900</v>
      </c>
      <c r="B3287" s="1" t="s">
        <v>13</v>
      </c>
      <c r="C3287" s="4" t="s">
        <v>14901</v>
      </c>
      <c r="D3287" s="1" t="s">
        <v>14902</v>
      </c>
      <c r="E3287" s="1" t="s">
        <v>14903</v>
      </c>
      <c r="F3287" s="4" t="s">
        <v>17</v>
      </c>
      <c r="G3287" s="1" t="s">
        <v>18</v>
      </c>
      <c r="H3287" s="1" t="s">
        <v>19</v>
      </c>
      <c r="I3287" s="1" t="s">
        <v>20</v>
      </c>
      <c r="J3287" s="1" t="s">
        <v>14904</v>
      </c>
      <c r="K3287" s="1" t="s">
        <v>22</v>
      </c>
      <c r="L3287" s="1" t="str">
        <f>HYPERLINK("https://files.afu.se/Downloads/Transcripts/0%20-%20Government/USA%20-%20NASA/2012 10 10 - NASA - First Commercial Resupply Craft is Open for Business_NAXBdt5gS_c - transcript (automated).pdf","Transcript Link")</f>
        <v>Transcript Link</v>
      </c>
      <c r="M3287" s="2" t="str">
        <f>HYPERLINK("https://files.afu.se/Downloads/Transcripts/0%20-%20Government/USA%20-%20NASA/2012 10 10 - NASA - First Commercial Resupply Craft is Open for Business_NAXBdt5gS_c - transcript (automated).pdf","Transcript Link")</f>
        <v>Transcript Link</v>
      </c>
    </row>
    <row r="3288" ht="165" spans="1:13">
      <c r="A3288" s="1" t="s">
        <v>14900</v>
      </c>
      <c r="B3288" s="1" t="s">
        <v>13</v>
      </c>
      <c r="C3288" s="4" t="s">
        <v>14905</v>
      </c>
      <c r="D3288" s="1" t="s">
        <v>14906</v>
      </c>
      <c r="E3288" s="1" t="s">
        <v>14907</v>
      </c>
      <c r="F3288" s="4" t="s">
        <v>17</v>
      </c>
      <c r="G3288" s="1" t="s">
        <v>18</v>
      </c>
      <c r="H3288" s="1" t="s">
        <v>19</v>
      </c>
      <c r="I3288" s="1" t="s">
        <v>20</v>
      </c>
      <c r="J3288" s="1" t="s">
        <v>14908</v>
      </c>
      <c r="K3288" s="1" t="s">
        <v>22</v>
      </c>
      <c r="L3288" s="1" t="str">
        <f>HYPERLINK("https://files.afu.se/Downloads/Transcripts/0%20-%20Government/USA%20-%20NASA/2012 10 10 - NASA - Dragon launches on historic mission to the ISS on This Week @NASA_rq99ZuIe40c - transcript (automated).pdf","Transcript Link")</f>
        <v>Transcript Link</v>
      </c>
      <c r="M3288" s="2" t="str">
        <f>HYPERLINK("https://files.afu.se/Downloads/Transcripts/0%20-%20Government/USA%20-%20NASA/2012 10 10 - NASA - Dragon launches on historic mission to the ISS on This Week @NASA_rq99ZuIe40c - transcript (automated).pdf","Transcript Link")</f>
        <v>Transcript Link</v>
      </c>
    </row>
    <row r="3289" ht="210" spans="1:13">
      <c r="A3289" s="1" t="s">
        <v>14900</v>
      </c>
      <c r="B3289" s="1" t="s">
        <v>13</v>
      </c>
      <c r="C3289" s="4" t="s">
        <v>14909</v>
      </c>
      <c r="D3289" s="1" t="s">
        <v>14910</v>
      </c>
      <c r="E3289" s="1" t="s">
        <v>14911</v>
      </c>
      <c r="F3289" s="4" t="s">
        <v>17</v>
      </c>
      <c r="G3289" s="1" t="s">
        <v>18</v>
      </c>
      <c r="H3289" s="1" t="s">
        <v>19</v>
      </c>
      <c r="I3289" s="1" t="s">
        <v>20</v>
      </c>
      <c r="J3289" s="1" t="s">
        <v>14912</v>
      </c>
      <c r="K3289" s="1" t="s">
        <v>22</v>
      </c>
      <c r="L3289" s="1" t="str">
        <f>HYPERLINK("https://files.afu.se/Downloads/Transcripts/0%20-%20Government/USA%20-%20NASA/2012 10 10 - NASA - SpaceX Commercial Cargo Craft Arrives at International Space Station_rHJOLi5OZU8 - transcript (automated).pdf","Transcript Link")</f>
        <v>Transcript Link</v>
      </c>
      <c r="M3289" s="2" t="str">
        <f>HYPERLINK("https://files.afu.se/Downloads/Transcripts/0%20-%20Government/USA%20-%20NASA/2012 10 10 - NASA - SpaceX Commercial Cargo Craft Arrives at International Space Station_rHJOLi5OZU8 - transcript (automated).pdf","Transcript Link")</f>
        <v>Transcript Link</v>
      </c>
    </row>
    <row r="3290" ht="165" spans="1:13">
      <c r="A3290" s="1" t="s">
        <v>14900</v>
      </c>
      <c r="B3290" s="1" t="s">
        <v>13</v>
      </c>
      <c r="C3290" s="4" t="s">
        <v>14913</v>
      </c>
      <c r="D3290" s="1" t="s">
        <v>14914</v>
      </c>
      <c r="E3290" s="1" t="s">
        <v>14915</v>
      </c>
      <c r="F3290" s="4" t="s">
        <v>17</v>
      </c>
      <c r="G3290" s="1" t="s">
        <v>18</v>
      </c>
      <c r="H3290" s="1" t="s">
        <v>19</v>
      </c>
      <c r="I3290" s="1" t="s">
        <v>20</v>
      </c>
      <c r="J3290" s="1" t="s">
        <v>14916</v>
      </c>
      <c r="K3290" s="1" t="s">
        <v>22</v>
      </c>
      <c r="L3290" s="1" t="str">
        <f>HYPERLINK("https://files.afu.se/Downloads/Transcripts/0%20-%20Government/USA%20-%20NASA/2012 10 10 - NASA - ISS Expedition 33 34 Crew Departs for Kazakh Launch Site_EMhqtGDUQZA - transcript (automated).pdf","Transcript Link")</f>
        <v>Transcript Link</v>
      </c>
      <c r="M3290" s="2" t="str">
        <f>HYPERLINK("https://files.afu.se/Downloads/Transcripts/0%20-%20Government/USA%20-%20NASA/2012 10 10 - NASA - ISS Expedition 33 34 Crew Departs for Kazakh Launch Site_EMhqtGDUQZA - transcript (automated).pdf","Transcript Link")</f>
        <v>Transcript Link</v>
      </c>
    </row>
    <row r="3291" ht="165" spans="1:13">
      <c r="A3291" s="1" t="s">
        <v>14917</v>
      </c>
      <c r="B3291" s="1" t="s">
        <v>13</v>
      </c>
      <c r="C3291" s="4" t="s">
        <v>14918</v>
      </c>
      <c r="D3291" s="1" t="s">
        <v>14919</v>
      </c>
      <c r="E3291" s="1" t="s">
        <v>14920</v>
      </c>
      <c r="F3291" s="4" t="s">
        <v>17</v>
      </c>
      <c r="G3291" s="1" t="s">
        <v>18</v>
      </c>
      <c r="H3291" s="1" t="s">
        <v>19</v>
      </c>
      <c r="I3291" s="1" t="s">
        <v>20</v>
      </c>
      <c r="J3291" s="1" t="s">
        <v>14921</v>
      </c>
      <c r="K3291" s="1" t="s">
        <v>22</v>
      </c>
      <c r="L3291" s="1" t="str">
        <f>HYPERLINK("https://files.afu.se/Downloads/Transcripts/0%20-%20Government/USA%20-%20NASA/2012 10 08 - NASA - Bolden Praises Space X Launch_Fp-grYu2i38 - transcript (automated).pdf","Transcript Link")</f>
        <v>Transcript Link</v>
      </c>
      <c r="M3291" s="2" t="str">
        <f>HYPERLINK("https://files.afu.se/Downloads/Transcripts/0%20-%20Government/USA%20-%20NASA/2012 10 08 - NASA - Bolden Praises Space X Launch_Fp-grYu2i38 - transcript (automated).pdf","Transcript Link")</f>
        <v>Transcript Link</v>
      </c>
    </row>
    <row r="3292" ht="165" spans="1:13">
      <c r="A3292" s="1" t="s">
        <v>14917</v>
      </c>
      <c r="B3292" s="1" t="s">
        <v>13</v>
      </c>
      <c r="C3292" s="4" t="s">
        <v>14922</v>
      </c>
      <c r="D3292" s="1" t="s">
        <v>14923</v>
      </c>
      <c r="F3292" s="4" t="s">
        <v>17</v>
      </c>
      <c r="G3292" s="1" t="s">
        <v>18</v>
      </c>
      <c r="H3292" s="1" t="s">
        <v>19</v>
      </c>
      <c r="I3292" s="1" t="s">
        <v>20</v>
      </c>
      <c r="J3292" s="1" t="s">
        <v>14924</v>
      </c>
      <c r="K3292" s="1" t="s">
        <v>22</v>
      </c>
      <c r="L3292" s="1" t="str">
        <f>HYPERLINK("https://files.afu.se/Downloads/Transcripts/0%20-%20Government/USA%20-%20NASA/2012 10 08 - NASA - SpaceX Dragon Post Launch News Conference_Fi-M3VrCXCc - transcript (automated).pdf","Transcript Link")</f>
        <v>Transcript Link</v>
      </c>
      <c r="M3292" s="2" t="str">
        <f>HYPERLINK("https://files.afu.se/Downloads/Transcripts/0%20-%20Government/USA%20-%20NASA/2012 10 08 - NASA - SpaceX Dragon Post Launch News Conference_Fi-M3VrCXCc - transcript (automated).pdf","Transcript Link")</f>
        <v>Transcript Link</v>
      </c>
    </row>
    <row r="3293" ht="165" spans="1:13">
      <c r="A3293" s="1" t="s">
        <v>14917</v>
      </c>
      <c r="B3293" s="1" t="s">
        <v>13</v>
      </c>
      <c r="C3293" s="4" t="s">
        <v>14925</v>
      </c>
      <c r="D3293" s="1" t="s">
        <v>14926</v>
      </c>
      <c r="E3293" s="1" t="s">
        <v>14927</v>
      </c>
      <c r="F3293" s="4" t="s">
        <v>17</v>
      </c>
      <c r="G3293" s="1" t="s">
        <v>18</v>
      </c>
      <c r="H3293" s="1" t="s">
        <v>19</v>
      </c>
      <c r="I3293" s="1" t="s">
        <v>20</v>
      </c>
      <c r="J3293" s="1" t="s">
        <v>14928</v>
      </c>
      <c r="K3293" s="1" t="s">
        <v>22</v>
      </c>
      <c r="L3293" s="1" t="str">
        <f>HYPERLINK("https://files.afu.se/Downloads/Transcripts/0%20-%20Government/USA%20-%20NASA/2012 10 08 - NASA - Space X Dragon Heads to ISS_Hgkb6U1McOE - transcript (automated).pdf","Transcript Link")</f>
        <v>Transcript Link</v>
      </c>
      <c r="M3293" s="2" t="str">
        <f>HYPERLINK("https://files.afu.se/Downloads/Transcripts/0%20-%20Government/USA%20-%20NASA/2012 10 08 - NASA - Space X Dragon Heads to ISS_Hgkb6U1McOE - transcript (automated).pdf","Transcript Link")</f>
        <v>Transcript Link</v>
      </c>
    </row>
    <row r="3294" ht="165" spans="1:13">
      <c r="A3294" s="1" t="s">
        <v>14929</v>
      </c>
      <c r="B3294" s="1" t="s">
        <v>13</v>
      </c>
      <c r="C3294" s="4" t="s">
        <v>14930</v>
      </c>
      <c r="D3294" s="1" t="s">
        <v>14931</v>
      </c>
      <c r="E3294" s="1" t="s">
        <v>14932</v>
      </c>
      <c r="F3294" s="4" t="s">
        <v>17</v>
      </c>
      <c r="G3294" s="1" t="s">
        <v>18</v>
      </c>
      <c r="H3294" s="1" t="s">
        <v>19</v>
      </c>
      <c r="I3294" s="1" t="s">
        <v>20</v>
      </c>
      <c r="J3294" s="1" t="s">
        <v>14933</v>
      </c>
      <c r="K3294" s="1" t="s">
        <v>22</v>
      </c>
      <c r="L3294" s="1" t="str">
        <f>HYPERLINK("https://files.afu.se/Downloads/Transcripts/0%20-%20Government/USA%20-%20NASA/2012 10 06 - NASA - SpaceX Ready for Historic Flight_2uTJateA0iw - transcript (automated).pdf","Transcript Link")</f>
        <v>Transcript Link</v>
      </c>
      <c r="M3294" s="2" t="str">
        <f>HYPERLINK("https://files.afu.se/Downloads/Transcripts/0%20-%20Government/USA%20-%20NASA/2012 10 06 - NASA - SpaceX Ready for Historic Flight_2uTJateA0iw - transcript (automated).pdf","Transcript Link")</f>
        <v>Transcript Link</v>
      </c>
    </row>
    <row r="3295" ht="165" spans="1:13">
      <c r="A3295" s="1" t="s">
        <v>14929</v>
      </c>
      <c r="B3295" s="1" t="s">
        <v>13</v>
      </c>
      <c r="C3295" s="4" t="s">
        <v>14934</v>
      </c>
      <c r="D3295" s="1" t="s">
        <v>14935</v>
      </c>
      <c r="E3295" s="1" t="s">
        <v>14936</v>
      </c>
      <c r="F3295" s="4" t="s">
        <v>17</v>
      </c>
      <c r="G3295" s="1" t="s">
        <v>18</v>
      </c>
      <c r="H3295" s="1" t="s">
        <v>19</v>
      </c>
      <c r="I3295" s="1" t="s">
        <v>20</v>
      </c>
      <c r="J3295" s="1" t="s">
        <v>14937</v>
      </c>
      <c r="K3295" s="1" t="s">
        <v>22</v>
      </c>
      <c r="L3295" s="1" t="str">
        <f>HYPERLINK("https://files.afu.se/Downloads/Transcripts/0%20-%20Government/USA%20-%20NASA/2012 10 06 - NASA - Dragon Carrying Slew of Science to Station_TWTjD5H7gYM - transcript (automated).pdf","Transcript Link")</f>
        <v>Transcript Link</v>
      </c>
      <c r="M3295" s="2" t="str">
        <f>HYPERLINK("https://files.afu.se/Downloads/Transcripts/0%20-%20Government/USA%20-%20NASA/2012 10 06 - NASA - Dragon Carrying Slew of Science to Station_TWTjD5H7gYM - transcript (automated).pdf","Transcript Link")</f>
        <v>Transcript Link</v>
      </c>
    </row>
    <row r="3296" ht="165" spans="1:13">
      <c r="A3296" s="1" t="s">
        <v>14938</v>
      </c>
      <c r="B3296" s="1" t="s">
        <v>13</v>
      </c>
      <c r="C3296" s="4" t="s">
        <v>14939</v>
      </c>
      <c r="D3296" s="1" t="s">
        <v>14940</v>
      </c>
      <c r="E3296" s="1" t="s">
        <v>14941</v>
      </c>
      <c r="F3296" s="4" t="s">
        <v>17</v>
      </c>
      <c r="G3296" s="1" t="s">
        <v>18</v>
      </c>
      <c r="H3296" s="1" t="s">
        <v>19</v>
      </c>
      <c r="I3296" s="1" t="s">
        <v>20</v>
      </c>
      <c r="J3296" s="1" t="s">
        <v>14942</v>
      </c>
      <c r="K3296" s="1" t="s">
        <v>22</v>
      </c>
      <c r="L3296" s="1" t="str">
        <f>HYPERLINK("https://files.afu.se/Downloads/Transcripts/0%20-%20Government/USA%20-%20NASA/2012 10 05 - NASA - Dragon Ready to Ride the Falcon on This Week @NASA_4JVOQR15fyg - transcript (automated).pdf","Transcript Link")</f>
        <v>Transcript Link</v>
      </c>
      <c r="M3296" s="2" t="str">
        <f>HYPERLINK("https://files.afu.se/Downloads/Transcripts/0%20-%20Government/USA%20-%20NASA/2012 10 05 - NASA - Dragon Ready to Ride the Falcon on This Week @NASA_4JVOQR15fyg - transcript (automated).pdf","Transcript Link")</f>
        <v>Transcript Link</v>
      </c>
    </row>
    <row r="3297" ht="165" spans="1:13">
      <c r="A3297" s="1" t="s">
        <v>14943</v>
      </c>
      <c r="B3297" s="1" t="s">
        <v>13</v>
      </c>
      <c r="C3297" s="4" t="s">
        <v>14944</v>
      </c>
      <c r="D3297" s="1" t="s">
        <v>14945</v>
      </c>
      <c r="E3297" s="1" t="s">
        <v>14946</v>
      </c>
      <c r="F3297" s="4" t="s">
        <v>17</v>
      </c>
      <c r="G3297" s="1" t="s">
        <v>18</v>
      </c>
      <c r="H3297" s="1" t="s">
        <v>19</v>
      </c>
      <c r="I3297" s="1" t="s">
        <v>20</v>
      </c>
      <c r="J3297" s="1" t="s">
        <v>14947</v>
      </c>
      <c r="K3297" s="1" t="s">
        <v>22</v>
      </c>
      <c r="L3297" s="1" t="str">
        <f>HYPERLINK("https://files.afu.se/Downloads/Transcripts/0%20-%20Government/USA%20-%20NASA/2012 10 04 - NASA - Live From ISS Mission Control_8EnoM68d9mc - transcript (automated).pdf","Transcript Link")</f>
        <v>Transcript Link</v>
      </c>
      <c r="M3297" s="2" t="str">
        <f>HYPERLINK("https://files.afu.se/Downloads/Transcripts/0%20-%20Government/USA%20-%20NASA/2012 10 04 - NASA - Live From ISS Mission Control_8EnoM68d9mc - transcript (automated).pdf","Transcript Link")</f>
        <v>Transcript Link</v>
      </c>
    </row>
    <row r="3298" ht="165" spans="1:13">
      <c r="A3298" s="1" t="s">
        <v>14948</v>
      </c>
      <c r="B3298" s="1" t="s">
        <v>13</v>
      </c>
      <c r="C3298" s="4" t="s">
        <v>14949</v>
      </c>
      <c r="D3298" s="1" t="s">
        <v>14950</v>
      </c>
      <c r="E3298" s="1" t="s">
        <v>14951</v>
      </c>
      <c r="F3298" s="4" t="s">
        <v>17</v>
      </c>
      <c r="G3298" s="1" t="s">
        <v>18</v>
      </c>
      <c r="H3298" s="1" t="s">
        <v>19</v>
      </c>
      <c r="I3298" s="1" t="s">
        <v>20</v>
      </c>
      <c r="J3298" s="1" t="s">
        <v>14952</v>
      </c>
      <c r="K3298" s="1" t="s">
        <v>22</v>
      </c>
      <c r="L3298" s="1" t="str">
        <f>HYPERLINK("https://files.afu.se/Downloads/Transcripts/0%20-%20Government/USA%20-%20NASA/2012 10 03 - NASA - Suni Chats with CNN, NY Times_4lRPgo7fqtI - transcript (automated).pdf","Transcript Link")</f>
        <v>Transcript Link</v>
      </c>
      <c r="M3298" s="2" t="str">
        <f>HYPERLINK("https://files.afu.se/Downloads/Transcripts/0%20-%20Government/USA%20-%20NASA/2012 10 03 - NASA - Suni Chats with CNN, NY Times_4lRPgo7fqtI - transcript (automated).pdf","Transcript Link")</f>
        <v>Transcript Link</v>
      </c>
    </row>
    <row r="3299" ht="165" spans="1:13">
      <c r="A3299" s="1" t="s">
        <v>14953</v>
      </c>
      <c r="B3299" s="1" t="s">
        <v>13</v>
      </c>
      <c r="C3299" s="4" t="s">
        <v>14954</v>
      </c>
      <c r="D3299" s="1" t="s">
        <v>14955</v>
      </c>
      <c r="E3299" s="1" t="s">
        <v>14956</v>
      </c>
      <c r="F3299" s="4" t="s">
        <v>17</v>
      </c>
      <c r="G3299" s="1" t="s">
        <v>18</v>
      </c>
      <c r="H3299" s="1" t="s">
        <v>19</v>
      </c>
      <c r="I3299" s="1" t="s">
        <v>20</v>
      </c>
      <c r="J3299" s="1" t="s">
        <v>14957</v>
      </c>
      <c r="K3299" s="1" t="s">
        <v>22</v>
      </c>
      <c r="L3299" s="1" t="str">
        <f>HYPERLINK("https://files.afu.se/Downloads/Transcripts/0%20-%20Government/USA%20-%20NASA/2012 09 28 - NASA - Station Crew Bid Farewell to European Cargo Ship_l7MOAUAzFBg - transcript (automated).pdf","Transcript Link")</f>
        <v>Transcript Link</v>
      </c>
      <c r="M3299" s="2" t="str">
        <f>HYPERLINK("https://files.afu.se/Downloads/Transcripts/0%20-%20Government/USA%20-%20NASA/2012 09 28 - NASA - Station Crew Bid Farewell to European Cargo Ship_l7MOAUAzFBg - transcript (automated).pdf","Transcript Link")</f>
        <v>Transcript Link</v>
      </c>
    </row>
    <row r="3300" ht="285" spans="1:13">
      <c r="A3300" s="1" t="s">
        <v>14953</v>
      </c>
      <c r="B3300" s="1" t="s">
        <v>13</v>
      </c>
      <c r="C3300" s="4" t="s">
        <v>14958</v>
      </c>
      <c r="D3300" s="1" t="s">
        <v>14959</v>
      </c>
      <c r="E3300" s="1" t="s">
        <v>14825</v>
      </c>
      <c r="F3300" s="4" t="s">
        <v>17</v>
      </c>
      <c r="G3300" s="1" t="s">
        <v>18</v>
      </c>
      <c r="H3300" s="1" t="s">
        <v>19</v>
      </c>
      <c r="I3300" s="1" t="s">
        <v>20</v>
      </c>
      <c r="J3300" s="1" t="s">
        <v>14960</v>
      </c>
      <c r="K3300" s="1" t="s">
        <v>22</v>
      </c>
      <c r="L3300" s="1" t="str">
        <f>HYPERLINK("https://files.afu.se/Downloads/Transcripts/0%20-%20Government/USA%20-%20NASA/2012 09 28 - NASA - NASA's Mars Curiosity Rover Report %238_MVTyRNbsqk8 - transcript (automated).pdf","Transcript Link")</f>
        <v>Transcript Link</v>
      </c>
      <c r="M3300" s="2" t="str">
        <f>HYPERLINK("https://files.afu.se/Downloads/Transcripts/0%20-%20Government/USA%20-%20NASA/2012 09 28 - NASA - NASA's Mars Curiosity Rover Report %238_MVTyRNbsqk8 - transcript (automated).pdf","Transcript Link")</f>
        <v>Transcript Link</v>
      </c>
    </row>
    <row r="3301" ht="165" spans="1:13">
      <c r="A3301" s="1" t="s">
        <v>14953</v>
      </c>
      <c r="B3301" s="1" t="s">
        <v>13</v>
      </c>
      <c r="C3301" s="4" t="s">
        <v>14961</v>
      </c>
      <c r="D3301" s="1" t="s">
        <v>14962</v>
      </c>
      <c r="E3301" s="1" t="s">
        <v>14963</v>
      </c>
      <c r="F3301" s="4" t="s">
        <v>17</v>
      </c>
      <c r="G3301" s="1" t="s">
        <v>18</v>
      </c>
      <c r="H3301" s="1" t="s">
        <v>19</v>
      </c>
      <c r="I3301" s="1" t="s">
        <v>20</v>
      </c>
      <c r="J3301" s="1" t="s">
        <v>14964</v>
      </c>
      <c r="K3301" s="1" t="s">
        <v>22</v>
      </c>
      <c r="L3301" s="1" t="str">
        <f>HYPERLINK("https://files.afu.se/Downloads/Transcripts/0%20-%20Government/USA%20-%20NASA/2012 09 28 - NASA - Dragon Awaits on This Week @NASA_G6RLahJrAj4 - transcript (automated).pdf","Transcript Link")</f>
        <v>Transcript Link</v>
      </c>
      <c r="M3301" s="2" t="str">
        <f>HYPERLINK("https://files.afu.se/Downloads/Transcripts/0%20-%20Government/USA%20-%20NASA/2012 09 28 - NASA - Dragon Awaits on This Week @NASA_G6RLahJrAj4 - transcript (automated).pdf","Transcript Link")</f>
        <v>Transcript Link</v>
      </c>
    </row>
    <row r="3302" ht="180" spans="1:13">
      <c r="A3302" s="1" t="s">
        <v>14953</v>
      </c>
      <c r="B3302" s="1" t="s">
        <v>13</v>
      </c>
      <c r="C3302" s="4" t="s">
        <v>14965</v>
      </c>
      <c r="D3302" s="1" t="s">
        <v>14966</v>
      </c>
      <c r="E3302" s="1" t="s">
        <v>14967</v>
      </c>
      <c r="F3302" s="4" t="s">
        <v>17</v>
      </c>
      <c r="G3302" s="1" t="s">
        <v>18</v>
      </c>
      <c r="H3302" s="1" t="s">
        <v>19</v>
      </c>
      <c r="I3302" s="1" t="s">
        <v>20</v>
      </c>
      <c r="J3302" s="1" t="s">
        <v>14968</v>
      </c>
      <c r="K3302" s="1" t="s">
        <v>22</v>
      </c>
      <c r="L3302" s="1" t="str">
        <f>HYPERLINK("https://files.afu.se/Downloads/Transcripts/0%20-%20Government/USA%20-%20NASA/2012 09 28 - NASA - NASA 2012 Hispanic Heritage Month Profile - Cassandra Rodriquez_SJbIRxV6yOA - transcript (automated).pdf","Transcript Link")</f>
        <v>Transcript Link</v>
      </c>
      <c r="M3302" s="2" t="str">
        <f>HYPERLINK("https://files.afu.se/Downloads/Transcripts/0%20-%20Government/USA%20-%20NASA/2012 09 28 - NASA - NASA 2012 Hispanic Heritage Month Profile - Cassandra Rodriquez_SJbIRxV6yOA - transcript (automated).pdf","Transcript Link")</f>
        <v>Transcript Link</v>
      </c>
    </row>
    <row r="3303" ht="165" spans="1:13">
      <c r="A3303" s="1" t="s">
        <v>14969</v>
      </c>
      <c r="B3303" s="1" t="s">
        <v>13</v>
      </c>
      <c r="C3303" s="4" t="s">
        <v>14970</v>
      </c>
      <c r="D3303" s="1" t="s">
        <v>14971</v>
      </c>
      <c r="E3303" s="1" t="s">
        <v>14972</v>
      </c>
      <c r="F3303" s="4" t="s">
        <v>17</v>
      </c>
      <c r="G3303" s="1" t="s">
        <v>18</v>
      </c>
      <c r="H3303" s="1" t="s">
        <v>19</v>
      </c>
      <c r="I3303" s="1" t="s">
        <v>20</v>
      </c>
      <c r="J3303" s="1" t="s">
        <v>14973</v>
      </c>
      <c r="K3303" s="1" t="s">
        <v>22</v>
      </c>
      <c r="L3303" s="1" t="str">
        <f>HYPERLINK("https://files.afu.se/Downloads/Transcripts/0%20-%20Government/USA%20-%20NASA/2012 09 27 - NASA - NASA's Curiosity Rover Finds Old Streambed on Mars_fYo31XjoXOk - transcript (automated).pdf","Transcript Link")</f>
        <v>Transcript Link</v>
      </c>
      <c r="M3303" s="2" t="str">
        <f>HYPERLINK("https://files.afu.se/Downloads/Transcripts/0%20-%20Government/USA%20-%20NASA/2012 09 27 - NASA - NASA's Curiosity Rover Finds Old Streambed on Mars_fYo31XjoXOk - transcript (automated).pdf","Transcript Link")</f>
        <v>Transcript Link</v>
      </c>
    </row>
    <row r="3304" ht="165" spans="1:13">
      <c r="A3304" s="1" t="s">
        <v>14969</v>
      </c>
      <c r="B3304" s="1" t="s">
        <v>13</v>
      </c>
      <c r="C3304" s="4" t="s">
        <v>14974</v>
      </c>
      <c r="D3304" s="1" t="s">
        <v>14975</v>
      </c>
      <c r="E3304" s="1" t="s">
        <v>14976</v>
      </c>
      <c r="F3304" s="4" t="s">
        <v>17</v>
      </c>
      <c r="G3304" s="1" t="s">
        <v>18</v>
      </c>
      <c r="H3304" s="1" t="s">
        <v>19</v>
      </c>
      <c r="I3304" s="1" t="s">
        <v>20</v>
      </c>
      <c r="J3304" s="1" t="s">
        <v>14977</v>
      </c>
      <c r="K3304" s="1" t="s">
        <v>22</v>
      </c>
      <c r="L3304" s="1" t="str">
        <f>HYPERLINK("https://files.afu.se/Downloads/Transcripts/0%20-%20Government/USA%20-%20NASA/2012 09 27 - NASA - ScienceCasts  The Sound of Earthsong_iSUXZDnp0RU - transcript (automated).pdf","Transcript Link")</f>
        <v>Transcript Link</v>
      </c>
      <c r="M3304" s="2" t="str">
        <f>HYPERLINK("https://files.afu.se/Downloads/Transcripts/0%20-%20Government/USA%20-%20NASA/2012 09 27 - NASA - ScienceCasts  The Sound of Earthsong_iSUXZDnp0RU - transcript (automated).pdf","Transcript Link")</f>
        <v>Transcript Link</v>
      </c>
    </row>
    <row r="3305" ht="225" spans="1:13">
      <c r="A3305" s="1" t="s">
        <v>14978</v>
      </c>
      <c r="B3305" s="1" t="s">
        <v>13</v>
      </c>
      <c r="C3305" s="4" t="s">
        <v>14979</v>
      </c>
      <c r="D3305" s="1" t="s">
        <v>14980</v>
      </c>
      <c r="E3305" s="1" t="s">
        <v>14981</v>
      </c>
      <c r="F3305" s="4" t="s">
        <v>17</v>
      </c>
      <c r="G3305" s="1" t="s">
        <v>18</v>
      </c>
      <c r="H3305" s="1" t="s">
        <v>19</v>
      </c>
      <c r="I3305" s="1" t="s">
        <v>20</v>
      </c>
      <c r="J3305" s="1" t="s">
        <v>14982</v>
      </c>
      <c r="K3305" s="1" t="s">
        <v>22</v>
      </c>
      <c r="L3305" s="1" t="str">
        <f>HYPERLINK("https://files.afu.se/Downloads/Transcripts/0%20-%20Government/USA%20-%20NASA/2012 09 25 - NASA - Next ISS Crew Readies for Flight_jSR_Co4dtLk - transcript (automated).pdf","Transcript Link")</f>
        <v>Transcript Link</v>
      </c>
      <c r="M3305" s="2" t="str">
        <f>HYPERLINK("https://files.afu.se/Downloads/Transcripts/0%20-%20Government/USA%20-%20NASA/2012 09 25 - NASA - Next ISS Crew Readies for Flight_jSR_Co4dtLk - transcript (automated).pdf","Transcript Link")</f>
        <v>Transcript Link</v>
      </c>
    </row>
    <row r="3306" ht="165" spans="1:13">
      <c r="A3306" s="1" t="s">
        <v>14978</v>
      </c>
      <c r="B3306" s="1" t="s">
        <v>13</v>
      </c>
      <c r="C3306" s="4" t="s">
        <v>14983</v>
      </c>
      <c r="D3306" s="1" t="s">
        <v>14984</v>
      </c>
      <c r="E3306" s="1" t="s">
        <v>14985</v>
      </c>
      <c r="F3306" s="4" t="s">
        <v>17</v>
      </c>
      <c r="G3306" s="1" t="s">
        <v>18</v>
      </c>
      <c r="H3306" s="1" t="s">
        <v>19</v>
      </c>
      <c r="I3306" s="1" t="s">
        <v>20</v>
      </c>
      <c r="J3306" s="1" t="s">
        <v>14986</v>
      </c>
      <c r="K3306" s="1" t="s">
        <v>22</v>
      </c>
      <c r="L3306" s="1" t="str">
        <f>HYPERLINK("https://files.afu.se/Downloads/Transcripts/0%20-%20Government/USA%20-%20NASA/2012 09 25 - NASA - Suni Shines in Media Downlink_HlNcfGcEYOE - transcript (automated).pdf","Transcript Link")</f>
        <v>Transcript Link</v>
      </c>
      <c r="M3306" s="2" t="str">
        <f>HYPERLINK("https://files.afu.se/Downloads/Transcripts/0%20-%20Government/USA%20-%20NASA/2012 09 25 - NASA - Suni Shines in Media Downlink_HlNcfGcEYOE - transcript (automated).pdf","Transcript Link")</f>
        <v>Transcript Link</v>
      </c>
    </row>
    <row r="3307" ht="165" spans="1:13">
      <c r="A3307" s="1" t="s">
        <v>14987</v>
      </c>
      <c r="B3307" s="1" t="s">
        <v>13</v>
      </c>
      <c r="C3307" s="4" t="s">
        <v>14988</v>
      </c>
      <c r="D3307" s="1" t="s">
        <v>14989</v>
      </c>
      <c r="E3307" s="1" t="s">
        <v>14990</v>
      </c>
      <c r="F3307" s="4" t="s">
        <v>17</v>
      </c>
      <c r="G3307" s="1" t="s">
        <v>18</v>
      </c>
      <c r="H3307" s="1" t="s">
        <v>19</v>
      </c>
      <c r="I3307" s="1" t="s">
        <v>20</v>
      </c>
      <c r="J3307" s="1" t="s">
        <v>14991</v>
      </c>
      <c r="K3307" s="1" t="s">
        <v>22</v>
      </c>
      <c r="L3307" s="1" t="str">
        <f>HYPERLINK("https://files.afu.se/Downloads/Transcripts/0%20-%20Government/USA%20-%20NASA/2012 09 22 - NASA - Space Shuttle Endeavor is Flown Over NASA's Jet Propulsion Laboratory_q0Mw2iJA5Bc - transcript (automated).pdf","Transcript Link")</f>
        <v>Transcript Link</v>
      </c>
      <c r="M3307" s="2" t="str">
        <f>HYPERLINK("https://files.afu.se/Downloads/Transcripts/0%20-%20Government/USA%20-%20NASA/2012 09 22 - NASA - Space Shuttle Endeavor is Flown Over NASA's Jet Propulsion Laboratory_q0Mw2iJA5Bc - transcript (automated).pdf","Transcript Link")</f>
        <v>Transcript Link</v>
      </c>
    </row>
    <row r="3308" ht="165" spans="1:13">
      <c r="A3308" s="1" t="s">
        <v>14987</v>
      </c>
      <c r="B3308" s="1" t="s">
        <v>13</v>
      </c>
      <c r="C3308" s="4" t="s">
        <v>14992</v>
      </c>
      <c r="D3308" s="1" t="s">
        <v>14993</v>
      </c>
      <c r="E3308" s="1" t="s">
        <v>14994</v>
      </c>
      <c r="F3308" s="4" t="s">
        <v>17</v>
      </c>
      <c r="G3308" s="1" t="s">
        <v>18</v>
      </c>
      <c r="H3308" s="1" t="s">
        <v>19</v>
      </c>
      <c r="I3308" s="1" t="s">
        <v>20</v>
      </c>
      <c r="J3308" s="1" t="s">
        <v>14995</v>
      </c>
      <c r="K3308" s="1" t="s">
        <v>22</v>
      </c>
      <c r="L3308" s="1" t="str">
        <f>HYPERLINK("https://files.afu.se/Downloads/Transcripts/0%20-%20Government/USA%20-%20NASA/2012 09 22 - NASA - Space Shuttle Endeavour Receives Warm Welcome at Los Angeles International Airport_yOCoSrJIYAQ - transcript (automated).pdf","Transcript Link")</f>
        <v>Transcript Link</v>
      </c>
      <c r="M3308" s="2" t="str">
        <f>HYPERLINK("https://files.afu.se/Downloads/Transcripts/0%20-%20Government/USA%20-%20NASA/2012 09 22 - NASA - Space Shuttle Endeavour Receives Warm Welcome at Los Angeles International Airport_yOCoSrJIYAQ - transcript (automated).pdf","Transcript Link")</f>
        <v>Transcript Link</v>
      </c>
    </row>
    <row r="3309" ht="285" spans="1:13">
      <c r="A3309" s="1" t="s">
        <v>14987</v>
      </c>
      <c r="B3309" s="1" t="s">
        <v>13</v>
      </c>
      <c r="C3309" s="4" t="s">
        <v>14996</v>
      </c>
      <c r="D3309" s="1" t="s">
        <v>14997</v>
      </c>
      <c r="E3309" s="1" t="s">
        <v>14825</v>
      </c>
      <c r="F3309" s="4" t="s">
        <v>17</v>
      </c>
      <c r="G3309" s="1" t="s">
        <v>18</v>
      </c>
      <c r="H3309" s="1" t="s">
        <v>19</v>
      </c>
      <c r="I3309" s="1" t="s">
        <v>20</v>
      </c>
      <c r="J3309" s="1" t="s">
        <v>14998</v>
      </c>
      <c r="K3309" s="1" t="s">
        <v>22</v>
      </c>
      <c r="L3309" s="1" t="str">
        <f>HYPERLINK("https://files.afu.se/Downloads/Transcripts/0%20-%20Government/USA%20-%20NASA/2012 09 22 - NASA - NASA's Mars Curiosity Rover Report %237_TF3LYtLolHA - transcript (automated).pdf","Transcript Link")</f>
        <v>Transcript Link</v>
      </c>
      <c r="M3309" s="2" t="str">
        <f>HYPERLINK("https://files.afu.se/Downloads/Transcripts/0%20-%20Government/USA%20-%20NASA/2012 09 22 - NASA - NASA's Mars Curiosity Rover Report %237_TF3LYtLolHA - transcript (automated).pdf","Transcript Link")</f>
        <v>Transcript Link</v>
      </c>
    </row>
    <row r="3310" ht="165" spans="1:13">
      <c r="A3310" s="1" t="s">
        <v>14987</v>
      </c>
      <c r="B3310" s="1" t="s">
        <v>13</v>
      </c>
      <c r="C3310" s="4" t="s">
        <v>14999</v>
      </c>
      <c r="D3310" s="1" t="s">
        <v>15000</v>
      </c>
      <c r="E3310" s="1" t="s">
        <v>15001</v>
      </c>
      <c r="F3310" s="4" t="s">
        <v>17</v>
      </c>
      <c r="G3310" s="1" t="s">
        <v>18</v>
      </c>
      <c r="H3310" s="1" t="s">
        <v>19</v>
      </c>
      <c r="I3310" s="1" t="s">
        <v>20</v>
      </c>
      <c r="J3310" s="1" t="s">
        <v>15002</v>
      </c>
      <c r="K3310" s="1" t="s">
        <v>22</v>
      </c>
      <c r="L3310" s="1" t="str">
        <f>HYPERLINK("https://files.afu.se/Downloads/Transcripts/0%20-%20Government/USA%20-%20NASA/2012 09 22 - NASA - Space Shuttle Endeavour Chase Plane_5TnCumH1mL4 - transcript (automated).pdf","Transcript Link")</f>
        <v>Transcript Link</v>
      </c>
      <c r="M3310" s="2" t="str">
        <f>HYPERLINK("https://files.afu.se/Downloads/Transcripts/0%20-%20Government/USA%20-%20NASA/2012 09 22 - NASA - Space Shuttle Endeavour Chase Plane_5TnCumH1mL4 - transcript (automated).pdf","Transcript Link")</f>
        <v>Transcript Link</v>
      </c>
    </row>
    <row r="3311" ht="165" spans="1:13">
      <c r="A3311" s="1" t="s">
        <v>14987</v>
      </c>
      <c r="B3311" s="1" t="s">
        <v>13</v>
      </c>
      <c r="C3311" s="4" t="s">
        <v>15003</v>
      </c>
      <c r="D3311" s="1" t="s">
        <v>15004</v>
      </c>
      <c r="E3311" s="1" t="s">
        <v>15005</v>
      </c>
      <c r="F3311" s="4" t="s">
        <v>17</v>
      </c>
      <c r="G3311" s="1" t="s">
        <v>18</v>
      </c>
      <c r="H3311" s="1" t="s">
        <v>19</v>
      </c>
      <c r="I3311" s="1" t="s">
        <v>20</v>
      </c>
      <c r="J3311" s="1" t="s">
        <v>15006</v>
      </c>
      <c r="K3311" s="1" t="s">
        <v>22</v>
      </c>
      <c r="L3311" s="1" t="str">
        <f>HYPERLINK("https://files.afu.se/Downloads/Transcripts/0%20-%20Government/USA%20-%20NASA/2012 09 22 - NASA - Space Shuttle Endeavour Hollywood Sign Flyover_WkC4YjcIzKI - transcript (automated).pdf","Transcript Link")</f>
        <v>Transcript Link</v>
      </c>
      <c r="M3311" s="2" t="str">
        <f>HYPERLINK("https://files.afu.se/Downloads/Transcripts/0%20-%20Government/USA%20-%20NASA/2012 09 22 - NASA - Space Shuttle Endeavour Hollywood Sign Flyover_WkC4YjcIzKI - transcript (automated).pdf","Transcript Link")</f>
        <v>Transcript Link</v>
      </c>
    </row>
    <row r="3312" ht="165" spans="1:13">
      <c r="A3312" s="1" t="s">
        <v>14987</v>
      </c>
      <c r="B3312" s="1" t="s">
        <v>13</v>
      </c>
      <c r="C3312" s="4" t="s">
        <v>15007</v>
      </c>
      <c r="D3312" s="1" t="s">
        <v>15008</v>
      </c>
      <c r="E3312" s="1" t="s">
        <v>15009</v>
      </c>
      <c r="F3312" s="4" t="s">
        <v>17</v>
      </c>
      <c r="G3312" s="1" t="s">
        <v>18</v>
      </c>
      <c r="H3312" s="1" t="s">
        <v>19</v>
      </c>
      <c r="I3312" s="1" t="s">
        <v>20</v>
      </c>
      <c r="J3312" s="1" t="s">
        <v>15010</v>
      </c>
      <c r="K3312" s="1" t="s">
        <v>22</v>
      </c>
      <c r="L3312" s="1" t="str">
        <f>HYPERLINK("https://files.afu.se/Downloads/Transcripts/0%20-%20Government/USA%20-%20NASA/2012 09 22 - NASA - Endeavour Goes Cross-Country on This Week @NASA_c-qeFNU_-ys - transcript (automated).pdf","Transcript Link")</f>
        <v>Transcript Link</v>
      </c>
      <c r="M3312" s="2" t="str">
        <f>HYPERLINK("https://files.afu.se/Downloads/Transcripts/0%20-%20Government/USA%20-%20NASA/2012 09 22 - NASA - Endeavour Goes Cross-Country on This Week @NASA_c-qeFNU_-ys - transcript (automated).pdf","Transcript Link")</f>
        <v>Transcript Link</v>
      </c>
    </row>
    <row r="3313" ht="165" spans="1:13">
      <c r="A3313" s="1" t="s">
        <v>14987</v>
      </c>
      <c r="B3313" s="1" t="s">
        <v>13</v>
      </c>
      <c r="C3313" s="4" t="s">
        <v>15011</v>
      </c>
      <c r="D3313" s="1" t="s">
        <v>15012</v>
      </c>
      <c r="E3313" s="1" t="s">
        <v>15013</v>
      </c>
      <c r="F3313" s="4" t="s">
        <v>17</v>
      </c>
      <c r="G3313" s="1" t="s">
        <v>18</v>
      </c>
      <c r="H3313" s="1" t="s">
        <v>19</v>
      </c>
      <c r="I3313" s="1" t="s">
        <v>20</v>
      </c>
      <c r="J3313" s="1" t="s">
        <v>15014</v>
      </c>
      <c r="K3313" s="1" t="s">
        <v>22</v>
      </c>
      <c r="L3313" s="1" t="str">
        <f>HYPERLINK("https://files.afu.se/Downloads/Transcripts/0%20-%20Government/USA%20-%20NASA/2012 09 22 - NASA - NASA 2012 Hispanic Heritage Month Profile - Omar De Frias_QqV0_kvze4Y - transcript (automated).pdf","Transcript Link")</f>
        <v>Transcript Link</v>
      </c>
      <c r="M3313" s="2" t="str">
        <f>HYPERLINK("https://files.afu.se/Downloads/Transcripts/0%20-%20Government/USA%20-%20NASA/2012 09 22 - NASA - NASA 2012 Hispanic Heritage Month Profile - Omar De Frias_QqV0_kvze4Y - transcript (automated).pdf","Transcript Link")</f>
        <v>Transcript Link</v>
      </c>
    </row>
    <row r="3314" ht="165" spans="1:13">
      <c r="A3314" s="1" t="s">
        <v>14987</v>
      </c>
      <c r="B3314" s="1" t="s">
        <v>13</v>
      </c>
      <c r="C3314" s="4" t="s">
        <v>15015</v>
      </c>
      <c r="D3314" s="1" t="s">
        <v>15016</v>
      </c>
      <c r="E3314" s="1" t="s">
        <v>15017</v>
      </c>
      <c r="F3314" s="4" t="s">
        <v>17</v>
      </c>
      <c r="G3314" s="1" t="s">
        <v>18</v>
      </c>
      <c r="H3314" s="1" t="s">
        <v>19</v>
      </c>
      <c r="I3314" s="1" t="s">
        <v>20</v>
      </c>
      <c r="J3314" s="1" t="s">
        <v>15018</v>
      </c>
      <c r="K3314" s="1" t="s">
        <v>22</v>
      </c>
      <c r="L3314" s="1" t="str">
        <f>HYPERLINK("https://files.afu.se/Downloads/Transcripts/0%20-%20Government/USA%20-%20NASA/2012 09 22 - NASA - Space Shuttle Endeavour over Golden Gate Bridge_pdRvFROQjbk - transcript (automated).pdf","Transcript Link")</f>
        <v>Transcript Link</v>
      </c>
      <c r="M3314" s="2" t="str">
        <f>HYPERLINK("https://files.afu.se/Downloads/Transcripts/0%20-%20Government/USA%20-%20NASA/2012 09 22 - NASA - Space Shuttle Endeavour over Golden Gate Bridge_pdRvFROQjbk - transcript (automated).pdf","Transcript Link")</f>
        <v>Transcript Link</v>
      </c>
    </row>
    <row r="3315" ht="165" spans="1:13">
      <c r="A3315" s="1" t="s">
        <v>14987</v>
      </c>
      <c r="B3315" s="1" t="s">
        <v>13</v>
      </c>
      <c r="C3315" s="4" t="s">
        <v>15019</v>
      </c>
      <c r="D3315" s="1" t="s">
        <v>15020</v>
      </c>
      <c r="E3315" s="1" t="s">
        <v>15021</v>
      </c>
      <c r="F3315" s="4" t="s">
        <v>17</v>
      </c>
      <c r="G3315" s="1" t="s">
        <v>18</v>
      </c>
      <c r="H3315" s="1" t="s">
        <v>19</v>
      </c>
      <c r="I3315" s="1" t="s">
        <v>20</v>
      </c>
      <c r="J3315" s="1" t="s">
        <v>15022</v>
      </c>
      <c r="K3315" s="1" t="s">
        <v>22</v>
      </c>
      <c r="L3315" s="1" t="str">
        <f>HYPERLINK("https://files.afu.se/Downloads/Transcripts/0%20-%20Government/USA%20-%20NASA/2012 09 22 - NASA - Space Shuttle Endeavour Over NASA's Ames Research Center_xhkuse5ox7U - transcript (automated).pdf","Transcript Link")</f>
        <v>Transcript Link</v>
      </c>
      <c r="M3315" s="2" t="str">
        <f>HYPERLINK("https://files.afu.se/Downloads/Transcripts/0%20-%20Government/USA%20-%20NASA/2012 09 22 - NASA - Space Shuttle Endeavour Over NASA's Ames Research Center_xhkuse5ox7U - transcript (automated).pdf","Transcript Link")</f>
        <v>Transcript Link</v>
      </c>
    </row>
    <row r="3316" ht="225" spans="1:13">
      <c r="A3316" s="1" t="s">
        <v>14987</v>
      </c>
      <c r="B3316" s="1" t="s">
        <v>13</v>
      </c>
      <c r="C3316" s="4" t="s">
        <v>15023</v>
      </c>
      <c r="D3316" s="1" t="s">
        <v>15024</v>
      </c>
      <c r="E3316" s="1" t="s">
        <v>15025</v>
      </c>
      <c r="F3316" s="4" t="s">
        <v>17</v>
      </c>
      <c r="G3316" s="1" t="s">
        <v>18</v>
      </c>
      <c r="H3316" s="1" t="s">
        <v>19</v>
      </c>
      <c r="I3316" s="1" t="s">
        <v>20</v>
      </c>
      <c r="J3316" s="1" t="s">
        <v>15026</v>
      </c>
      <c r="K3316" s="1" t="s">
        <v>22</v>
      </c>
      <c r="L3316" s="1" t="str">
        <f>HYPERLINK("https://files.afu.se/Downloads/Transcripts/0%20-%20Government/USA%20-%20NASA/2012 09 22 - NASA - Space Shuttle Endeavour Lands in Los Angeles_l7N84-QOiGg - transcript (automated).pdf","Transcript Link")</f>
        <v>Transcript Link</v>
      </c>
      <c r="M3316" s="2" t="str">
        <f>HYPERLINK("https://files.afu.se/Downloads/Transcripts/0%20-%20Government/USA%20-%20NASA/2012 09 22 - NASA - Space Shuttle Endeavour Lands in Los Angeles_l7N84-QOiGg - transcript (automated).pdf","Transcript Link")</f>
        <v>Transcript Link</v>
      </c>
    </row>
    <row r="3317" ht="165" spans="1:13">
      <c r="A3317" s="1" t="s">
        <v>15027</v>
      </c>
      <c r="B3317" s="1" t="s">
        <v>13</v>
      </c>
      <c r="C3317" s="4" t="s">
        <v>15028</v>
      </c>
      <c r="D3317" s="1" t="s">
        <v>15029</v>
      </c>
      <c r="E3317" s="1" t="s">
        <v>15030</v>
      </c>
      <c r="F3317" s="4" t="s">
        <v>17</v>
      </c>
      <c r="G3317" s="1" t="s">
        <v>18</v>
      </c>
      <c r="H3317" s="1" t="s">
        <v>19</v>
      </c>
      <c r="I3317" s="1" t="s">
        <v>20</v>
      </c>
      <c r="J3317" s="1" t="s">
        <v>15031</v>
      </c>
      <c r="K3317" s="1" t="s">
        <v>22</v>
      </c>
      <c r="L3317" s="1" t="str">
        <f>HYPERLINK("https://files.afu.se/Downloads/Transcripts/0%20-%20Government/USA%20-%20NASA/2012 09 21 - NASA - Next Space Station Crew Undergoes Final Training_lsDgQ4UrnCk - transcript (automated).pdf","Transcript Link")</f>
        <v>Transcript Link</v>
      </c>
      <c r="M3317" s="2" t="str">
        <f>HYPERLINK("https://files.afu.se/Downloads/Transcripts/0%20-%20Government/USA%20-%20NASA/2012 09 21 - NASA - Next Space Station Crew Undergoes Final Training_lsDgQ4UrnCk - transcript (automated).pdf","Transcript Link")</f>
        <v>Transcript Link</v>
      </c>
    </row>
    <row r="3318" ht="165" spans="1:13">
      <c r="A3318" s="1" t="s">
        <v>15027</v>
      </c>
      <c r="B3318" s="1" t="s">
        <v>13</v>
      </c>
      <c r="C3318" s="4" t="s">
        <v>15032</v>
      </c>
      <c r="D3318" s="1" t="s">
        <v>15033</v>
      </c>
      <c r="E3318" s="1" t="s">
        <v>15034</v>
      </c>
      <c r="F3318" s="4" t="s">
        <v>17</v>
      </c>
      <c r="G3318" s="1" t="s">
        <v>18</v>
      </c>
      <c r="H3318" s="1" t="s">
        <v>19</v>
      </c>
      <c r="I3318" s="1" t="s">
        <v>20</v>
      </c>
      <c r="J3318" s="1" t="s">
        <v>15035</v>
      </c>
      <c r="K3318" s="1" t="s">
        <v>22</v>
      </c>
      <c r="L3318" s="1" t="str">
        <f>HYPERLINK("https://files.afu.se/Downloads/Transcripts/0%20-%20Government/USA%20-%20NASA/2012 09 21 - NASA - Endeavour Departs Dryden for LAX_IpNO465ai_M - transcript (automated).pdf","Transcript Link")</f>
        <v>Transcript Link</v>
      </c>
      <c r="M3318" s="2" t="str">
        <f>HYPERLINK("https://files.afu.se/Downloads/Transcripts/0%20-%20Government/USA%20-%20NASA/2012 09 21 - NASA - Endeavour Departs Dryden for LAX_IpNO465ai_M - transcript (automated).pdf","Transcript Link")</f>
        <v>Transcript Link</v>
      </c>
    </row>
    <row r="3319" ht="255" spans="1:13">
      <c r="A3319" s="1" t="s">
        <v>15036</v>
      </c>
      <c r="B3319" s="1" t="s">
        <v>13</v>
      </c>
      <c r="C3319" s="4" t="s">
        <v>15037</v>
      </c>
      <c r="D3319" s="1" t="s">
        <v>15038</v>
      </c>
      <c r="E3319" s="1" t="s">
        <v>15039</v>
      </c>
      <c r="F3319" s="4" t="s">
        <v>17</v>
      </c>
      <c r="G3319" s="1" t="s">
        <v>18</v>
      </c>
      <c r="H3319" s="1" t="s">
        <v>19</v>
      </c>
      <c r="I3319" s="1" t="s">
        <v>20</v>
      </c>
      <c r="J3319" s="1" t="s">
        <v>15040</v>
      </c>
      <c r="K3319" s="1" t="s">
        <v>22</v>
      </c>
      <c r="L3319" s="1" t="str">
        <f>HYPERLINK("https://files.afu.se/Downloads/Transcripts/0%20-%20Government/USA%20-%20NASA/2012 09 20 - NASA - Space Shuttle Endeavour Arrives at NASA's Dryden Flight Research Center_2RJyI0pBFbI - transcript (automated).pdf","Transcript Link")</f>
        <v>Transcript Link</v>
      </c>
      <c r="M3319" s="2" t="str">
        <f>HYPERLINK("https://files.afu.se/Downloads/Transcripts/0%20-%20Government/USA%20-%20NASA/2012 09 20 - NASA - Space Shuttle Endeavour Arrives at NASA's Dryden Flight Research Center_2RJyI0pBFbI - transcript (automated).pdf","Transcript Link")</f>
        <v>Transcript Link</v>
      </c>
    </row>
    <row r="3320" ht="165" spans="1:13">
      <c r="A3320" s="1" t="s">
        <v>15036</v>
      </c>
      <c r="B3320" s="1" t="s">
        <v>13</v>
      </c>
      <c r="C3320" s="4" t="s">
        <v>15041</v>
      </c>
      <c r="D3320" s="1" t="s">
        <v>15042</v>
      </c>
      <c r="E3320" s="1" t="s">
        <v>15043</v>
      </c>
      <c r="F3320" s="4" t="s">
        <v>17</v>
      </c>
      <c r="G3320" s="1" t="s">
        <v>18</v>
      </c>
      <c r="H3320" s="1" t="s">
        <v>19</v>
      </c>
      <c r="I3320" s="1" t="s">
        <v>20</v>
      </c>
      <c r="J3320" s="1" t="s">
        <v>15044</v>
      </c>
      <c r="K3320" s="1" t="s">
        <v>22</v>
      </c>
      <c r="L3320" s="1" t="str">
        <f>HYPERLINK("https://files.afu.se/Downloads/Transcripts/0%20-%20Government/USA%20-%20NASA/2012 09 20 - NASA - ScienceCasts  Why Curiosity Matters_7bIoPuoznsA - transcript (automated).pdf","Transcript Link")</f>
        <v>Transcript Link</v>
      </c>
      <c r="M3320" s="2" t="str">
        <f>HYPERLINK("https://files.afu.se/Downloads/Transcripts/0%20-%20Government/USA%20-%20NASA/2012 09 20 - NASA - ScienceCasts  Why Curiosity Matters_7bIoPuoznsA - transcript (automated).pdf","Transcript Link")</f>
        <v>Transcript Link</v>
      </c>
    </row>
    <row r="3321" ht="165" spans="1:13">
      <c r="A3321" s="1" t="s">
        <v>15036</v>
      </c>
      <c r="B3321" s="1" t="s">
        <v>13</v>
      </c>
      <c r="C3321" s="4" t="s">
        <v>15045</v>
      </c>
      <c r="D3321" s="1" t="s">
        <v>15046</v>
      </c>
      <c r="F3321" s="4" t="s">
        <v>17</v>
      </c>
      <c r="G3321" s="1" t="s">
        <v>18</v>
      </c>
      <c r="H3321" s="1" t="s">
        <v>19</v>
      </c>
      <c r="I3321" s="1" t="s">
        <v>20</v>
      </c>
      <c r="J3321" s="1" t="s">
        <v>15047</v>
      </c>
      <c r="K3321" s="1" t="s">
        <v>22</v>
      </c>
      <c r="L3321" s="1" t="str">
        <f>HYPERLINK("https://files.afu.se/Downloads/Transcripts/0%20-%20Government/USA%20-%20NASA/2012 09 20 - NASA - SCA Take Off From Houston to DFRC_7fBl_z3Ksgs - transcript (automated).pdf","Transcript Link")</f>
        <v>Transcript Link</v>
      </c>
      <c r="M3321" s="2" t="str">
        <f>HYPERLINK("https://files.afu.se/Downloads/Transcripts/0%20-%20Government/USA%20-%20NASA/2012 09 20 - NASA - SCA Take Off From Houston to DFRC_7fBl_z3Ksgs - transcript (automated).pdf","Transcript Link")</f>
        <v>Transcript Link</v>
      </c>
    </row>
    <row r="3322" ht="165" spans="1:13">
      <c r="A3322" s="1" t="s">
        <v>15048</v>
      </c>
      <c r="B3322" s="1" t="s">
        <v>13</v>
      </c>
      <c r="C3322" s="4" t="s">
        <v>15049</v>
      </c>
      <c r="D3322" s="1" t="s">
        <v>15050</v>
      </c>
      <c r="E3322" s="1" t="s">
        <v>15051</v>
      </c>
      <c r="F3322" s="4" t="s">
        <v>17</v>
      </c>
      <c r="G3322" s="1" t="s">
        <v>18</v>
      </c>
      <c r="H3322" s="1" t="s">
        <v>19</v>
      </c>
      <c r="I3322" s="1" t="s">
        <v>20</v>
      </c>
      <c r="J3322" s="1" t="s">
        <v>15052</v>
      </c>
      <c r="K3322" s="1" t="s">
        <v>22</v>
      </c>
      <c r="L3322" s="1" t="str">
        <f>HYPERLINK("https://files.afu.se/Downloads/Transcripts/0%20-%20Government/USA%20-%20NASA/2012 09 19 - NASA - Space Shuttle Endeavour Flies Over Michoud Assembly Facility En Route to California_vws4nLghYZY - transcript (automated).pdf","Transcript Link")</f>
        <v>Transcript Link</v>
      </c>
      <c r="M3322" s="2" t="str">
        <f>HYPERLINK("https://files.afu.se/Downloads/Transcripts/0%20-%20Government/USA%20-%20NASA/2012 09 19 - NASA - Space Shuttle Endeavour Flies Over Michoud Assembly Facility En Route to California_vws4nLghYZY - transcript (automated).pdf","Transcript Link")</f>
        <v>Transcript Link</v>
      </c>
    </row>
    <row r="3323" ht="165" spans="1:13">
      <c r="A3323" s="1" t="s">
        <v>15048</v>
      </c>
      <c r="B3323" s="1" t="s">
        <v>13</v>
      </c>
      <c r="C3323" s="4" t="s">
        <v>15053</v>
      </c>
      <c r="D3323" s="1" t="s">
        <v>15054</v>
      </c>
      <c r="E3323" s="1" t="s">
        <v>15055</v>
      </c>
      <c r="F3323" s="4" t="s">
        <v>17</v>
      </c>
      <c r="G3323" s="1" t="s">
        <v>18</v>
      </c>
      <c r="H3323" s="1" t="s">
        <v>19</v>
      </c>
      <c r="I3323" s="1" t="s">
        <v>20</v>
      </c>
      <c r="J3323" s="1" t="s">
        <v>15056</v>
      </c>
      <c r="K3323" s="1" t="s">
        <v>22</v>
      </c>
      <c r="L3323" s="1" t="str">
        <f>HYPERLINK("https://files.afu.se/Downloads/Transcripts/0%20-%20Government/USA%20-%20NASA/2012 09 19 - NASA - Space Shuttle Endeavour Conducts Flyover of Stennis Space Center_Kdij2V0vlCg - transcript (automated).pdf","Transcript Link")</f>
        <v>Transcript Link</v>
      </c>
      <c r="M3323" s="2" t="str">
        <f>HYPERLINK("https://files.afu.se/Downloads/Transcripts/0%20-%20Government/USA%20-%20NASA/2012 09 19 - NASA - Space Shuttle Endeavour Conducts Flyover of Stennis Space Center_Kdij2V0vlCg - transcript (automated).pdf","Transcript Link")</f>
        <v>Transcript Link</v>
      </c>
    </row>
    <row r="3324" ht="165" spans="1:13">
      <c r="A3324" s="1" t="s">
        <v>15048</v>
      </c>
      <c r="B3324" s="1" t="s">
        <v>13</v>
      </c>
      <c r="C3324" s="4" t="s">
        <v>15057</v>
      </c>
      <c r="D3324" s="1" t="s">
        <v>15058</v>
      </c>
      <c r="E3324" s="1" t="s">
        <v>15059</v>
      </c>
      <c r="F3324" s="4" t="s">
        <v>17</v>
      </c>
      <c r="G3324" s="1" t="s">
        <v>18</v>
      </c>
      <c r="H3324" s="1" t="s">
        <v>19</v>
      </c>
      <c r="I3324" s="1" t="s">
        <v>20</v>
      </c>
      <c r="J3324" s="1" t="s">
        <v>15060</v>
      </c>
      <c r="K3324" s="1" t="s">
        <v>22</v>
      </c>
      <c r="L3324" s="1" t="str">
        <f>HYPERLINK("https://files.afu.se/Downloads/Transcripts/0%20-%20Government/USA%20-%20NASA/2012 09 19 - NASA - Endeavour Gets Warm JSC Welcome!_B1h1KXeT7ro - transcript (automated).pdf","Transcript Link")</f>
        <v>Transcript Link</v>
      </c>
      <c r="M3324" s="2" t="str">
        <f>HYPERLINK("https://files.afu.se/Downloads/Transcripts/0%20-%20Government/USA%20-%20NASA/2012 09 19 - NASA - Endeavour Gets Warm JSC Welcome!_B1h1KXeT7ro - transcript (automated).pdf","Transcript Link")</f>
        <v>Transcript Link</v>
      </c>
    </row>
    <row r="3325" ht="165" spans="1:13">
      <c r="A3325" s="1" t="s">
        <v>15048</v>
      </c>
      <c r="B3325" s="1" t="s">
        <v>13</v>
      </c>
      <c r="C3325" s="4" t="s">
        <v>15061</v>
      </c>
      <c r="D3325" s="1" t="s">
        <v>15062</v>
      </c>
      <c r="E3325" s="1" t="s">
        <v>15063</v>
      </c>
      <c r="F3325" s="4" t="s">
        <v>17</v>
      </c>
      <c r="G3325" s="1" t="s">
        <v>18</v>
      </c>
      <c r="H3325" s="1" t="s">
        <v>19</v>
      </c>
      <c r="I3325" s="1" t="s">
        <v>20</v>
      </c>
      <c r="J3325" s="1" t="s">
        <v>15064</v>
      </c>
      <c r="K3325" s="1" t="s">
        <v>22</v>
      </c>
      <c r="L3325" s="1" t="str">
        <f>HYPERLINK("https://files.afu.se/Downloads/Transcripts/0%20-%20Government/USA%20-%20NASA/2012 09 19 - NASA - Endeavour Makes First Stop on Cross-Country Tour_gC2VIJGm2TU - transcript (automated).pdf","Transcript Link")</f>
        <v>Transcript Link</v>
      </c>
      <c r="M3325" s="2" t="str">
        <f>HYPERLINK("https://files.afu.se/Downloads/Transcripts/0%20-%20Government/USA%20-%20NASA/2012 09 19 - NASA - Endeavour Makes First Stop on Cross-Country Tour_gC2VIJGm2TU - transcript (automated).pdf","Transcript Link")</f>
        <v>Transcript Link</v>
      </c>
    </row>
    <row r="3326" ht="165" spans="1:13">
      <c r="A3326" s="1" t="s">
        <v>15048</v>
      </c>
      <c r="B3326" s="1" t="s">
        <v>13</v>
      </c>
      <c r="C3326" s="4" t="s">
        <v>15065</v>
      </c>
      <c r="D3326" s="1" t="s">
        <v>15066</v>
      </c>
      <c r="E3326" s="1" t="s">
        <v>15067</v>
      </c>
      <c r="F3326" s="4" t="s">
        <v>17</v>
      </c>
      <c r="G3326" s="1" t="s">
        <v>18</v>
      </c>
      <c r="H3326" s="1" t="s">
        <v>19</v>
      </c>
      <c r="I3326" s="1" t="s">
        <v>20</v>
      </c>
      <c r="J3326" s="1" t="s">
        <v>15068</v>
      </c>
      <c r="K3326" s="1" t="s">
        <v>22</v>
      </c>
      <c r="L3326" s="1" t="str">
        <f>HYPERLINK("https://files.afu.se/Downloads/Transcripts/0%20-%20Government/USA%20-%20NASA/2012 09 19 - NASA - Endeavour Begins Final Journey_iCHsDmSLePc - transcript (automated).pdf","Transcript Link")</f>
        <v>Transcript Link</v>
      </c>
      <c r="M3326" s="2" t="str">
        <f>HYPERLINK("https://files.afu.se/Downloads/Transcripts/0%20-%20Government/USA%20-%20NASA/2012 09 19 - NASA - Endeavour Begins Final Journey_iCHsDmSLePc - transcript (automated).pdf","Transcript Link")</f>
        <v>Transcript Link</v>
      </c>
    </row>
    <row r="3327" ht="165" spans="1:13">
      <c r="A3327" s="1" t="s">
        <v>15048</v>
      </c>
      <c r="B3327" s="1" t="s">
        <v>13</v>
      </c>
      <c r="C3327" s="4" t="s">
        <v>15069</v>
      </c>
      <c r="D3327" s="1" t="s">
        <v>15070</v>
      </c>
      <c r="E3327" s="1" t="s">
        <v>15071</v>
      </c>
      <c r="F3327" s="4" t="s">
        <v>17</v>
      </c>
      <c r="G3327" s="1" t="s">
        <v>18</v>
      </c>
      <c r="H3327" s="1" t="s">
        <v>19</v>
      </c>
      <c r="I3327" s="1" t="s">
        <v>20</v>
      </c>
      <c r="J3327" s="1" t="s">
        <v>15072</v>
      </c>
      <c r="K3327" s="1" t="s">
        <v>22</v>
      </c>
      <c r="L3327" s="1" t="str">
        <f>HYPERLINK("https://files.afu.se/Downloads/Transcripts/0%20-%20Government/USA%20-%20NASA/2012 09 19 - NASA - Aki Up  All Night _REuqI11CwgY - transcript (automated).pdf","Transcript Link")</f>
        <v>Transcript Link</v>
      </c>
      <c r="M3327" s="2" t="str">
        <f>HYPERLINK("https://files.afu.se/Downloads/Transcripts/0%20-%20Government/USA%20-%20NASA/2012 09 19 - NASA - Aki Up  All Night _REuqI11CwgY - transcript (automated).pdf","Transcript Link")</f>
        <v>Transcript Link</v>
      </c>
    </row>
    <row r="3328" ht="165" spans="1:13">
      <c r="A3328" s="1" t="s">
        <v>15073</v>
      </c>
      <c r="B3328" s="1" t="s">
        <v>13</v>
      </c>
      <c r="C3328" s="4" t="s">
        <v>15074</v>
      </c>
      <c r="D3328" s="1" t="s">
        <v>15075</v>
      </c>
      <c r="E3328" s="1" t="s">
        <v>15076</v>
      </c>
      <c r="F3328" s="4" t="s">
        <v>17</v>
      </c>
      <c r="G3328" s="1" t="s">
        <v>18</v>
      </c>
      <c r="H3328" s="1" t="s">
        <v>19</v>
      </c>
      <c r="I3328" s="1" t="s">
        <v>20</v>
      </c>
      <c r="J3328" s="1" t="s">
        <v>15077</v>
      </c>
      <c r="K3328" s="1" t="s">
        <v>22</v>
      </c>
      <c r="L3328" s="1" t="str">
        <f>HYPERLINK("https://files.afu.se/Downloads/Transcripts/0%20-%20Government/USA%20-%20NASA/2012 09 18 - NASA - NASA Family Honors Dr. Sally Ride On September 18 With Tree-Planting Ceremony_67E3kxAA4k4 - transcript (automated).pdf","Transcript Link")</f>
        <v>Transcript Link</v>
      </c>
      <c r="M3328" s="2" t="str">
        <f>HYPERLINK("https://files.afu.se/Downloads/Transcripts/0%20-%20Government/USA%20-%20NASA/2012 09 18 - NASA - NASA Family Honors Dr. Sally Ride On September 18 With Tree-Planting Ceremony_67E3kxAA4k4 - transcript (automated).pdf","Transcript Link")</f>
        <v>Transcript Link</v>
      </c>
    </row>
    <row r="3329" ht="165" spans="1:13">
      <c r="A3329" s="1" t="s">
        <v>15073</v>
      </c>
      <c r="B3329" s="1" t="s">
        <v>13</v>
      </c>
      <c r="C3329" s="4" t="s">
        <v>15078</v>
      </c>
      <c r="D3329" s="1" t="s">
        <v>15079</v>
      </c>
      <c r="E3329" s="1" t="s">
        <v>15080</v>
      </c>
      <c r="F3329" s="4" t="s">
        <v>17</v>
      </c>
      <c r="G3329" s="1" t="s">
        <v>18</v>
      </c>
      <c r="H3329" s="1" t="s">
        <v>19</v>
      </c>
      <c r="I3329" s="1" t="s">
        <v>20</v>
      </c>
      <c r="J3329" s="1" t="s">
        <v>15081</v>
      </c>
      <c r="K3329" s="1" t="s">
        <v>22</v>
      </c>
      <c r="L3329" s="1" t="str">
        <f>HYPERLINK("https://files.afu.se/Downloads/Transcripts/0%20-%20Government/USA%20-%20NASA/2012 09 18 - NASA - A National Farewell to Neil Armstrong on This Week @ NASA_15ltO-24-ys - transcript (automated).pdf","Transcript Link")</f>
        <v>Transcript Link</v>
      </c>
      <c r="M3329" s="2" t="str">
        <f>HYPERLINK("https://files.afu.se/Downloads/Transcripts/0%20-%20Government/USA%20-%20NASA/2012 09 18 - NASA - A National Farewell to Neil Armstrong on This Week @ NASA_15ltO-24-ys - transcript (automated).pdf","Transcript Link")</f>
        <v>Transcript Link</v>
      </c>
    </row>
    <row r="3330" ht="180" spans="1:13">
      <c r="A3330" s="1" t="s">
        <v>15082</v>
      </c>
      <c r="B3330" s="1" t="s">
        <v>13</v>
      </c>
      <c r="C3330" s="4" t="s">
        <v>15083</v>
      </c>
      <c r="D3330" s="1" t="s">
        <v>15084</v>
      </c>
      <c r="E3330" s="1" t="s">
        <v>15085</v>
      </c>
      <c r="F3330" s="4" t="s">
        <v>17</v>
      </c>
      <c r="G3330" s="1" t="s">
        <v>18</v>
      </c>
      <c r="H3330" s="1" t="s">
        <v>19</v>
      </c>
      <c r="I3330" s="1" t="s">
        <v>20</v>
      </c>
      <c r="J3330" s="1" t="s">
        <v>15086</v>
      </c>
      <c r="K3330" s="1" t="s">
        <v>22</v>
      </c>
      <c r="L3330" s="1" t="str">
        <f>HYPERLINK("https://files.afu.se/Downloads/Transcripts/0%20-%20Government/USA%20-%20NASA/2012 09 17 - NASA -  Many Happy Returns  for Space Travelers_EapkPilhCOc - transcript (automated).pdf","Transcript Link")</f>
        <v>Transcript Link</v>
      </c>
      <c r="M3330" s="2" t="str">
        <f>HYPERLINK("https://files.afu.se/Downloads/Transcripts/0%20-%20Government/USA%20-%20NASA/2012 09 17 - NASA -  Many Happy Returns  for Space Travelers_EapkPilhCOc - transcript (automated).pdf","Transcript Link")</f>
        <v>Transcript Link</v>
      </c>
    </row>
    <row r="3331" ht="165" spans="1:13">
      <c r="A3331" s="1" t="s">
        <v>15082</v>
      </c>
      <c r="B3331" s="1" t="s">
        <v>13</v>
      </c>
      <c r="C3331" s="4" t="s">
        <v>15087</v>
      </c>
      <c r="D3331" s="1" t="s">
        <v>15079</v>
      </c>
      <c r="E3331" s="1" t="s">
        <v>15080</v>
      </c>
      <c r="F3331" s="4" t="s">
        <v>17</v>
      </c>
      <c r="G3331" s="1" t="s">
        <v>18</v>
      </c>
      <c r="H3331" s="1" t="s">
        <v>19</v>
      </c>
      <c r="I3331" s="1" t="s">
        <v>20</v>
      </c>
      <c r="J3331" s="1" t="s">
        <v>15088</v>
      </c>
      <c r="K3331" s="1" t="s">
        <v>22</v>
      </c>
      <c r="L3331" s="1" t="str">
        <f>HYPERLINK("https://files.afu.se/Downloads/Transcripts/0%20-%20Government/USA%20-%20NASA/2012 09 17 - NASA - A National Farewell to Neil Armstrong on This Week @ NASA_YNDPmQTJni8 - transcript (automated).pdf","Transcript Link")</f>
        <v>Transcript Link</v>
      </c>
      <c r="M3331" s="2" t="str">
        <f>HYPERLINK("https://files.afu.se/Downloads/Transcripts/0%20-%20Government/USA%20-%20NASA/2012 09 17 - NASA - A National Farewell to Neil Armstrong on This Week @ NASA_YNDPmQTJni8 - transcript (automated).pdf","Transcript Link")</f>
        <v>Transcript Link</v>
      </c>
    </row>
    <row r="3332" ht="165" spans="1:13">
      <c r="A3332" s="1" t="s">
        <v>15082</v>
      </c>
      <c r="B3332" s="1" t="s">
        <v>13</v>
      </c>
      <c r="C3332" s="4" t="s">
        <v>15089</v>
      </c>
      <c r="D3332" s="1" t="s">
        <v>15090</v>
      </c>
      <c r="E3332" s="1" t="s">
        <v>15091</v>
      </c>
      <c r="F3332" s="4" t="s">
        <v>17</v>
      </c>
      <c r="G3332" s="1" t="s">
        <v>18</v>
      </c>
      <c r="H3332" s="1" t="s">
        <v>19</v>
      </c>
      <c r="I3332" s="1" t="s">
        <v>20</v>
      </c>
      <c r="J3332" s="1" t="s">
        <v>15092</v>
      </c>
      <c r="K3332" s="1" t="s">
        <v>22</v>
      </c>
      <c r="L3332" s="1" t="str">
        <f>HYPERLINK("https://files.afu.se/Downloads/Transcripts/0%20-%20Government/USA%20-%20NASA/2012 09 17 - NASA - ISS Crew Makes Safe Landing_iFBWsxWeZ80 - transcript (automated).pdf","Transcript Link")</f>
        <v>Transcript Link</v>
      </c>
      <c r="M3332" s="2" t="str">
        <f>HYPERLINK("https://files.afu.se/Downloads/Transcripts/0%20-%20Government/USA%20-%20NASA/2012 09 17 - NASA - ISS Crew Makes Safe Landing_iFBWsxWeZ80 - transcript (automated).pdf","Transcript Link")</f>
        <v>Transcript Link</v>
      </c>
    </row>
    <row r="3333" ht="210" spans="1:13">
      <c r="A3333" s="1" t="s">
        <v>15093</v>
      </c>
      <c r="B3333" s="1" t="s">
        <v>13</v>
      </c>
      <c r="C3333" s="4" t="s">
        <v>15094</v>
      </c>
      <c r="D3333" s="1" t="s">
        <v>15095</v>
      </c>
      <c r="E3333" s="1" t="s">
        <v>15096</v>
      </c>
      <c r="F3333" s="4" t="s">
        <v>17</v>
      </c>
      <c r="G3333" s="1" t="s">
        <v>18</v>
      </c>
      <c r="H3333" s="1" t="s">
        <v>19</v>
      </c>
      <c r="I3333" s="1" t="s">
        <v>20</v>
      </c>
      <c r="J3333" s="1" t="s">
        <v>15097</v>
      </c>
      <c r="K3333" s="1" t="s">
        <v>22</v>
      </c>
      <c r="L3333" s="1" t="str">
        <f>HYPERLINK("https://files.afu.se/Downloads/Transcripts/0%20-%20Government/USA%20-%20NASA/2012 09 15 - NASA - ISS Helm's Handoff_Tb3vqagpFHc - transcript (automated).pdf","Transcript Link")</f>
        <v>Transcript Link</v>
      </c>
      <c r="M3333" s="2" t="str">
        <f>HYPERLINK("https://files.afu.se/Downloads/Transcripts/0%20-%20Government/USA%20-%20NASA/2012 09 15 - NASA - ISS Helm's Handoff_Tb3vqagpFHc - transcript (automated).pdf","Transcript Link")</f>
        <v>Transcript Link</v>
      </c>
    </row>
    <row r="3334" ht="165" spans="1:13">
      <c r="A3334" s="1" t="s">
        <v>15098</v>
      </c>
      <c r="B3334" s="1" t="s">
        <v>13</v>
      </c>
      <c r="C3334" s="4" t="s">
        <v>15099</v>
      </c>
      <c r="D3334" s="1" t="s">
        <v>15100</v>
      </c>
      <c r="E3334" s="1" t="s">
        <v>15080</v>
      </c>
      <c r="F3334" s="4" t="s">
        <v>17</v>
      </c>
      <c r="G3334" s="1" t="s">
        <v>18</v>
      </c>
      <c r="H3334" s="1" t="s">
        <v>19</v>
      </c>
      <c r="I3334" s="1" t="s">
        <v>20</v>
      </c>
      <c r="J3334" s="1" t="s">
        <v>15101</v>
      </c>
      <c r="K3334" s="1" t="s">
        <v>22</v>
      </c>
      <c r="L3334" s="1" t="str">
        <f>HYPERLINK("https://files.afu.se/Downloads/Transcripts/0%20-%20Government/USA%20-%20NASA/2012 09 14 - NASA - The Nation says Farewell to Neil Armstrong on This Week @ NASA_wGrWPMo4D14 - transcript (automated).pdf","Transcript Link")</f>
        <v>Transcript Link</v>
      </c>
      <c r="M3334" s="2" t="str">
        <f>HYPERLINK("https://files.afu.se/Downloads/Transcripts/0%20-%20Government/USA%20-%20NASA/2012 09 14 - NASA - The Nation says Farewell to Neil Armstrong on This Week @ NASA_wGrWPMo4D14 - transcript (automated).pdf","Transcript Link")</f>
        <v>Transcript Link</v>
      </c>
    </row>
    <row r="3335" ht="285" spans="1:13">
      <c r="A3335" s="1" t="s">
        <v>15098</v>
      </c>
      <c r="B3335" s="1" t="s">
        <v>13</v>
      </c>
      <c r="C3335" s="4" t="s">
        <v>15102</v>
      </c>
      <c r="D3335" s="1" t="s">
        <v>15103</v>
      </c>
      <c r="E3335" s="1" t="s">
        <v>14825</v>
      </c>
      <c r="F3335" s="4" t="s">
        <v>17</v>
      </c>
      <c r="G3335" s="1" t="s">
        <v>18</v>
      </c>
      <c r="H3335" s="1" t="s">
        <v>19</v>
      </c>
      <c r="I3335" s="1" t="s">
        <v>20</v>
      </c>
      <c r="J3335" s="1" t="s">
        <v>15104</v>
      </c>
      <c r="K3335" s="1" t="s">
        <v>22</v>
      </c>
      <c r="L3335" s="1" t="str">
        <f>HYPERLINK("https://files.afu.se/Downloads/Transcripts/0%20-%20Government/USA%20-%20NASA/2012 09 14 - NASA - NASA's Mars Curiosity Rover Report %236_BnRAmUOvGCQ - transcript (automated).pdf","Transcript Link")</f>
        <v>Transcript Link</v>
      </c>
      <c r="M3335" s="2" t="str">
        <f>HYPERLINK("https://files.afu.se/Downloads/Transcripts/0%20-%20Government/USA%20-%20NASA/2012 09 14 - NASA - NASA's Mars Curiosity Rover Report %236_BnRAmUOvGCQ - transcript (automated).pdf","Transcript Link")</f>
        <v>Transcript Link</v>
      </c>
    </row>
    <row r="3336" ht="165" spans="1:13">
      <c r="A3336" s="1" t="s">
        <v>15098</v>
      </c>
      <c r="B3336" s="1" t="s">
        <v>13</v>
      </c>
      <c r="C3336" s="4" t="s">
        <v>15105</v>
      </c>
      <c r="D3336" s="1" t="s">
        <v>15106</v>
      </c>
      <c r="E3336" s="1" t="s">
        <v>15107</v>
      </c>
      <c r="F3336" s="4" t="s">
        <v>17</v>
      </c>
      <c r="G3336" s="1" t="s">
        <v>18</v>
      </c>
      <c r="H3336" s="1" t="s">
        <v>19</v>
      </c>
      <c r="I3336" s="1" t="s">
        <v>20</v>
      </c>
      <c r="J3336" s="1" t="s">
        <v>15108</v>
      </c>
      <c r="K3336" s="1" t="s">
        <v>22</v>
      </c>
      <c r="L3336" s="1" t="str">
        <f>HYPERLINK("https://files.afu.se/Downloads/Transcripts/0%20-%20Government/USA%20-%20NASA/2012 09 14 - NASA - NASA 2012 Hispanic Heritage Month Profile - Pedro Curiel    Johnson Space Center_GC9C5DhZuk8 - transcript (automated).pdf","Transcript Link")</f>
        <v>Transcript Link</v>
      </c>
      <c r="M3336" s="2" t="str">
        <f>HYPERLINK("https://files.afu.se/Downloads/Transcripts/0%20-%20Government/USA%20-%20NASA/2012 09 14 - NASA - NASA 2012 Hispanic Heritage Month Profile - Pedro Curiel    Johnson Space Center_GC9C5DhZuk8 - transcript (automated).pdf","Transcript Link")</f>
        <v>Transcript Link</v>
      </c>
    </row>
    <row r="3337" ht="240" spans="1:13">
      <c r="A3337" s="1" t="s">
        <v>15098</v>
      </c>
      <c r="B3337" s="1" t="s">
        <v>13</v>
      </c>
      <c r="C3337" s="4" t="s">
        <v>15109</v>
      </c>
      <c r="D3337" s="1" t="s">
        <v>15110</v>
      </c>
      <c r="E3337" s="1" t="s">
        <v>15111</v>
      </c>
      <c r="F3337" s="4" t="s">
        <v>17</v>
      </c>
      <c r="G3337" s="1" t="s">
        <v>18</v>
      </c>
      <c r="H3337" s="1" t="s">
        <v>19</v>
      </c>
      <c r="I3337" s="1" t="s">
        <v>20</v>
      </c>
      <c r="J3337" s="1" t="s">
        <v>15112</v>
      </c>
      <c r="K3337" s="1" t="s">
        <v>22</v>
      </c>
      <c r="L3337" s="1" t="str">
        <f>HYPERLINK("https://files.afu.se/Downloads/Transcripts/0%20-%20Government/USA%20-%20NASA/2012 09 14 - NASA - NASA 2012 Hispanic Heritage Month Profile - Azlin M. Biaggi-Labiosa, Ph.D -- Glenn Research Center_Gv1wYZ0dJ3A - transcript (automated).pdf","Transcript Link")</f>
        <v>Transcript Link</v>
      </c>
      <c r="M3337" s="2" t="str">
        <f>HYPERLINK("https://files.afu.se/Downloads/Transcripts/0%20-%20Government/USA%20-%20NASA/2012 09 14 - NASA - NASA 2012 Hispanic Heritage Month Profile - Azlin M. Biaggi-Labiosa, Ph.D -- Glenn Research Center_Gv1wYZ0dJ3A - transcript (automated).pdf","Transcript Link")</f>
        <v>Transcript Link</v>
      </c>
    </row>
    <row r="3338" ht="165" spans="1:13">
      <c r="A3338" s="1" t="s">
        <v>15098</v>
      </c>
      <c r="B3338" s="1" t="s">
        <v>13</v>
      </c>
      <c r="C3338" s="4" t="s">
        <v>15113</v>
      </c>
      <c r="D3338" s="1" t="s">
        <v>15114</v>
      </c>
      <c r="E3338" s="1" t="s">
        <v>15115</v>
      </c>
      <c r="F3338" s="4" t="s">
        <v>17</v>
      </c>
      <c r="G3338" s="1" t="s">
        <v>18</v>
      </c>
      <c r="H3338" s="1" t="s">
        <v>19</v>
      </c>
      <c r="I3338" s="1" t="s">
        <v>20</v>
      </c>
      <c r="J3338" s="1" t="s">
        <v>15116</v>
      </c>
      <c r="K3338" s="1" t="s">
        <v>22</v>
      </c>
      <c r="L3338" s="1" t="str">
        <f>HYPERLINK("https://files.afu.se/Downloads/Transcripts/0%20-%20Government/USA%20-%20NASA/2012 09 14 - NASA - NASA 2012 Hispanic Heritage Month Profile -- Pablo Gomez -- Stennis Space Center_mv7cHRz0q2A - transcript (automated).pdf","Transcript Link")</f>
        <v>Transcript Link</v>
      </c>
      <c r="M3338" s="2" t="str">
        <f>HYPERLINK("https://files.afu.se/Downloads/Transcripts/0%20-%20Government/USA%20-%20NASA/2012 09 14 - NASA - NASA 2012 Hispanic Heritage Month Profile -- Pablo Gomez -- Stennis Space Center_mv7cHRz0q2A - transcript (automated).pdf","Transcript Link")</f>
        <v>Transcript Link</v>
      </c>
    </row>
    <row r="3339" ht="165" spans="1:13">
      <c r="A3339" s="1" t="s">
        <v>15098</v>
      </c>
      <c r="B3339" s="1" t="s">
        <v>13</v>
      </c>
      <c r="C3339" s="4" t="s">
        <v>15117</v>
      </c>
      <c r="D3339" s="1" t="s">
        <v>15118</v>
      </c>
      <c r="E3339" s="1" t="s">
        <v>15119</v>
      </c>
      <c r="F3339" s="4" t="s">
        <v>17</v>
      </c>
      <c r="G3339" s="1" t="s">
        <v>18</v>
      </c>
      <c r="H3339" s="1" t="s">
        <v>19</v>
      </c>
      <c r="I3339" s="1" t="s">
        <v>20</v>
      </c>
      <c r="J3339" s="1" t="s">
        <v>15120</v>
      </c>
      <c r="K3339" s="1" t="s">
        <v>22</v>
      </c>
      <c r="L3339" s="1" t="str">
        <f>HYPERLINK("https://files.afu.se/Downloads/Transcripts/0%20-%20Government/USA%20-%20NASA/2012 09 14 - NASA - NASA 2012 Hispanic Heritage Month Profile -- Luis Dominguez - Jet Propulsion Laboratory_xpa68lJhbOc - transcript (automated).pdf","Transcript Link")</f>
        <v>Transcript Link</v>
      </c>
      <c r="M3339" s="2" t="str">
        <f>HYPERLINK("https://files.afu.se/Downloads/Transcripts/0%20-%20Government/USA%20-%20NASA/2012 09 14 - NASA - NASA 2012 Hispanic Heritage Month Profile -- Luis Dominguez - Jet Propulsion Laboratory_xpa68lJhbOc - transcript (automated).pdf","Transcript Link")</f>
        <v>Transcript Link</v>
      </c>
    </row>
    <row r="3340" ht="165" spans="1:13">
      <c r="A3340" s="1" t="s">
        <v>15098</v>
      </c>
      <c r="B3340" s="1" t="s">
        <v>13</v>
      </c>
      <c r="C3340" s="4" t="s">
        <v>15121</v>
      </c>
      <c r="D3340" s="1" t="s">
        <v>15122</v>
      </c>
      <c r="E3340" s="1" t="s">
        <v>15123</v>
      </c>
      <c r="F3340" s="4" t="s">
        <v>17</v>
      </c>
      <c r="G3340" s="1" t="s">
        <v>18</v>
      </c>
      <c r="H3340" s="1" t="s">
        <v>19</v>
      </c>
      <c r="I3340" s="1" t="s">
        <v>20</v>
      </c>
      <c r="J3340" s="1" t="s">
        <v>15124</v>
      </c>
      <c r="K3340" s="1" t="s">
        <v>22</v>
      </c>
      <c r="L3340" s="1" t="str">
        <f>HYPERLINK("https://files.afu.se/Downloads/Transcripts/0%20-%20Government/USA%20-%20NASA/2012 09 14 - NASA -  A Celebration of the Life of Neil Armstrong _CfbMZHCh5ZI - transcript (automated).pdf","Transcript Link")</f>
        <v>Transcript Link</v>
      </c>
      <c r="M3340" s="2" t="str">
        <f>HYPERLINK("https://files.afu.se/Downloads/Transcripts/0%20-%20Government/USA%20-%20NASA/2012 09 14 - NASA -  A Celebration of the Life of Neil Armstrong _CfbMZHCh5ZI - transcript (automated).pdf","Transcript Link")</f>
        <v>Transcript Link</v>
      </c>
    </row>
    <row r="3341" ht="165" spans="1:13">
      <c r="A3341" s="1" t="s">
        <v>15125</v>
      </c>
      <c r="B3341" s="1" t="s">
        <v>13</v>
      </c>
      <c r="C3341" s="4" t="s">
        <v>15126</v>
      </c>
      <c r="D3341" s="1" t="s">
        <v>15127</v>
      </c>
      <c r="F3341" s="4" t="s">
        <v>17</v>
      </c>
      <c r="G3341" s="1" t="s">
        <v>18</v>
      </c>
      <c r="H3341" s="1" t="s">
        <v>19</v>
      </c>
      <c r="I3341" s="1" t="s">
        <v>20</v>
      </c>
      <c r="J3341" s="1" t="s">
        <v>15128</v>
      </c>
      <c r="K3341" s="1" t="s">
        <v>22</v>
      </c>
      <c r="L3341" s="1" t="str">
        <f>HYPERLINK("https://files.afu.se/Downloads/Transcripts/0%20-%20Government/USA%20-%20NASA/2012 09 13 - NASA - ISS Expedition 34 35 Crew News Conference_9q0FJUmencM - transcript (automated).pdf","Transcript Link")</f>
        <v>Transcript Link</v>
      </c>
      <c r="M3341" s="2" t="str">
        <f>HYPERLINK("https://files.afu.se/Downloads/Transcripts/0%20-%20Government/USA%20-%20NASA/2012 09 13 - NASA - ISS Expedition 34 35 Crew News Conference_9q0FJUmencM - transcript (automated).pdf","Transcript Link")</f>
        <v>Transcript Link</v>
      </c>
    </row>
    <row r="3342" ht="165" spans="1:13">
      <c r="A3342" s="1" t="s">
        <v>15125</v>
      </c>
      <c r="B3342" s="1" t="s">
        <v>13</v>
      </c>
      <c r="C3342" s="4" t="s">
        <v>15129</v>
      </c>
      <c r="D3342" s="1" t="s">
        <v>15130</v>
      </c>
      <c r="E3342" s="1" t="s">
        <v>15131</v>
      </c>
      <c r="F3342" s="4" t="s">
        <v>17</v>
      </c>
      <c r="G3342" s="1" t="s">
        <v>18</v>
      </c>
      <c r="H3342" s="1" t="s">
        <v>19</v>
      </c>
      <c r="I3342" s="1" t="s">
        <v>20</v>
      </c>
      <c r="J3342" s="1" t="s">
        <v>15132</v>
      </c>
      <c r="K3342" s="1" t="s">
        <v>22</v>
      </c>
      <c r="L3342" s="1" t="str">
        <f>HYPERLINK("https://files.afu.se/Downloads/Transcripts/0%20-%20Government/USA%20-%20NASA/2012 09 13 - NASA - Neil Armstrong  American Hero_1HV6wY6rhvA - transcript (automated).pdf","Transcript Link")</f>
        <v>Transcript Link</v>
      </c>
      <c r="M3342" s="2" t="str">
        <f>HYPERLINK("https://files.afu.se/Downloads/Transcripts/0%20-%20Government/USA%20-%20NASA/2012 09 13 - NASA - Neil Armstrong  American Hero_1HV6wY6rhvA - transcript (automated).pdf","Transcript Link")</f>
        <v>Transcript Link</v>
      </c>
    </row>
    <row r="3343" ht="165" spans="1:13">
      <c r="A3343" s="1" t="s">
        <v>15125</v>
      </c>
      <c r="B3343" s="1" t="s">
        <v>13</v>
      </c>
      <c r="C3343" s="4" t="s">
        <v>15133</v>
      </c>
      <c r="D3343" s="1" t="s">
        <v>12857</v>
      </c>
      <c r="E3343" s="1" t="s">
        <v>15134</v>
      </c>
      <c r="F3343" s="4" t="s">
        <v>17</v>
      </c>
      <c r="G3343" s="1" t="s">
        <v>18</v>
      </c>
      <c r="H3343" s="1" t="s">
        <v>19</v>
      </c>
      <c r="I3343" s="1" t="s">
        <v>20</v>
      </c>
      <c r="J3343" s="1" t="s">
        <v>15135</v>
      </c>
      <c r="K3343" s="1" t="s">
        <v>22</v>
      </c>
      <c r="L3343" s="1" t="str">
        <f>HYPERLINK("https://files.afu.se/Downloads/Transcripts/0%20-%20Government/USA%20-%20NASA/2012 09 13 - NASA - NASA Remembers Neil Armstrong_1pQKZc2AXW0 - transcript (automated).pdf","Transcript Link")</f>
        <v>Transcript Link</v>
      </c>
      <c r="M3343" s="2" t="str">
        <f>HYPERLINK("https://files.afu.se/Downloads/Transcripts/0%20-%20Government/USA%20-%20NASA/2012 09 13 - NASA - NASA Remembers Neil Armstrong_1pQKZc2AXW0 - transcript (automated).pdf","Transcript Link")</f>
        <v>Transcript Link</v>
      </c>
    </row>
    <row r="3344" ht="165" spans="1:13">
      <c r="A3344" s="1" t="s">
        <v>15136</v>
      </c>
      <c r="B3344" s="1" t="s">
        <v>13</v>
      </c>
      <c r="C3344" s="4" t="s">
        <v>15137</v>
      </c>
      <c r="D3344" s="1" t="s">
        <v>15138</v>
      </c>
      <c r="E3344" s="1" t="s">
        <v>15139</v>
      </c>
      <c r="F3344" s="4" t="s">
        <v>17</v>
      </c>
      <c r="G3344" s="1" t="s">
        <v>18</v>
      </c>
      <c r="H3344" s="1" t="s">
        <v>19</v>
      </c>
      <c r="I3344" s="1" t="s">
        <v>20</v>
      </c>
      <c r="J3344" s="1" t="s">
        <v>15140</v>
      </c>
      <c r="K3344" s="1" t="s">
        <v>22</v>
      </c>
      <c r="L3344" s="1" t="str">
        <f>HYPERLINK("https://files.afu.se/Downloads/Transcripts/0%20-%20Government/USA%20-%20NASA/2012 09 12 - NASA - Space Station Crew Member Discusses Life in Space with Media Representative_1ynkJSVNTnI - transcript (automated).pdf","Transcript Link")</f>
        <v>Transcript Link</v>
      </c>
      <c r="M3344" s="2" t="str">
        <f>HYPERLINK("https://files.afu.se/Downloads/Transcripts/0%20-%20Government/USA%20-%20NASA/2012 09 12 - NASA - Space Station Crew Member Discusses Life in Space with Media Representative_1ynkJSVNTnI - transcript (automated).pdf","Transcript Link")</f>
        <v>Transcript Link</v>
      </c>
    </row>
    <row r="3345" ht="165" spans="1:13">
      <c r="A3345" s="1" t="s">
        <v>15136</v>
      </c>
      <c r="B3345" s="1" t="s">
        <v>13</v>
      </c>
      <c r="C3345" s="4" t="s">
        <v>15141</v>
      </c>
      <c r="D3345" s="1" t="s">
        <v>15142</v>
      </c>
      <c r="E3345" s="1" t="s">
        <v>15143</v>
      </c>
      <c r="F3345" s="4" t="s">
        <v>17</v>
      </c>
      <c r="G3345" s="1" t="s">
        <v>18</v>
      </c>
      <c r="H3345" s="1" t="s">
        <v>19</v>
      </c>
      <c r="I3345" s="1" t="s">
        <v>20</v>
      </c>
      <c r="J3345" s="1" t="s">
        <v>15144</v>
      </c>
      <c r="K3345" s="1" t="s">
        <v>22</v>
      </c>
      <c r="L3345" s="1" t="str">
        <f>HYPERLINK("https://files.afu.se/Downloads/Transcripts/0%20-%20Government/USA%20-%20NASA/2012 09 12 - NASA - Space Station Crew Member Discusses Life in Space with Japanese Prime Minister_QCNkWwIDZFg - transcript (automated).pdf","Transcript Link")</f>
        <v>Transcript Link</v>
      </c>
      <c r="M3345" s="2" t="str">
        <f>HYPERLINK("https://files.afu.se/Downloads/Transcripts/0%20-%20Government/USA%20-%20NASA/2012 09 12 - NASA - Space Station Crew Member Discusses Life in Space with Japanese Prime Minister_QCNkWwIDZFg - transcript (automated).pdf","Transcript Link")</f>
        <v>Transcript Link</v>
      </c>
    </row>
    <row r="3346" ht="180" spans="1:13">
      <c r="A3346" s="1" t="s">
        <v>15145</v>
      </c>
      <c r="B3346" s="1" t="s">
        <v>13</v>
      </c>
      <c r="C3346" s="4" t="s">
        <v>15146</v>
      </c>
      <c r="D3346" s="1" t="s">
        <v>15147</v>
      </c>
      <c r="E3346" s="1" t="s">
        <v>15148</v>
      </c>
      <c r="F3346" s="4" t="s">
        <v>17</v>
      </c>
      <c r="G3346" s="1" t="s">
        <v>18</v>
      </c>
      <c r="H3346" s="1" t="s">
        <v>19</v>
      </c>
      <c r="I3346" s="1" t="s">
        <v>20</v>
      </c>
      <c r="J3346" s="1" t="s">
        <v>15149</v>
      </c>
      <c r="K3346" s="1" t="s">
        <v>22</v>
      </c>
      <c r="L3346" s="1" t="str">
        <f>HYPERLINK("https://files.afu.se/Downloads/Transcripts/0%20-%20Government/USA%20-%20NASA/2012 09 11 - NASA - NASA Shuttle Carrier Aircraft Arrives at Kennedy Space Center_YkDBcmfV6DI - transcript (automated).pdf","Transcript Link")</f>
        <v>Transcript Link</v>
      </c>
      <c r="M3346" s="2" t="str">
        <f>HYPERLINK("https://files.afu.se/Downloads/Transcripts/0%20-%20Government/USA%20-%20NASA/2012 09 11 - NASA - NASA Shuttle Carrier Aircraft Arrives at Kennedy Space Center_YkDBcmfV6DI - transcript (automated).pdf","Transcript Link")</f>
        <v>Transcript Link</v>
      </c>
    </row>
    <row r="3347" ht="165" spans="1:13">
      <c r="A3347" s="1" t="s">
        <v>15150</v>
      </c>
      <c r="B3347" s="1" t="s">
        <v>13</v>
      </c>
      <c r="C3347" s="4" t="s">
        <v>15151</v>
      </c>
      <c r="D3347" s="1" t="s">
        <v>15152</v>
      </c>
      <c r="E3347" s="1" t="s">
        <v>15153</v>
      </c>
      <c r="F3347" s="4" t="s">
        <v>17</v>
      </c>
      <c r="G3347" s="1" t="s">
        <v>18</v>
      </c>
      <c r="H3347" s="1" t="s">
        <v>19</v>
      </c>
      <c r="I3347" s="1" t="s">
        <v>20</v>
      </c>
      <c r="J3347" s="1" t="s">
        <v>15154</v>
      </c>
      <c r="K3347" s="1" t="s">
        <v>22</v>
      </c>
      <c r="L3347" s="1" t="str">
        <f>HYPERLINK("https://files.afu.se/Downloads/Transcripts/0%20-%20Government/USA%20-%20NASA/2012 09 07 - NASA - JFK's Rice Speech on NASA TV Sept. 12_Dgv0P86rVVQ - transcript (automated).pdf","Transcript Link")</f>
        <v>Transcript Link</v>
      </c>
      <c r="M3347" s="2" t="str">
        <f>HYPERLINK("https://files.afu.se/Downloads/Transcripts/0%20-%20Government/USA%20-%20NASA/2012 09 07 - NASA - JFK's Rice Speech on NASA TV Sept. 12_Dgv0P86rVVQ - transcript (automated).pdf","Transcript Link")</f>
        <v>Transcript Link</v>
      </c>
    </row>
    <row r="3348" ht="165" spans="1:13">
      <c r="A3348" s="1" t="s">
        <v>15150</v>
      </c>
      <c r="B3348" s="1" t="s">
        <v>13</v>
      </c>
      <c r="C3348" s="4" t="s">
        <v>15155</v>
      </c>
      <c r="D3348" s="1" t="s">
        <v>15156</v>
      </c>
      <c r="E3348" s="1" t="s">
        <v>15157</v>
      </c>
      <c r="F3348" s="4" t="s">
        <v>17</v>
      </c>
      <c r="G3348" s="1" t="s">
        <v>18</v>
      </c>
      <c r="H3348" s="1" t="s">
        <v>19</v>
      </c>
      <c r="I3348" s="1" t="s">
        <v>20</v>
      </c>
      <c r="J3348" s="1" t="s">
        <v>15158</v>
      </c>
      <c r="K3348" s="1" t="s">
        <v>22</v>
      </c>
      <c r="L3348" s="1" t="str">
        <f>HYPERLINK("https://files.afu.se/Downloads/Transcripts/0%20-%20Government/USA%20-%20NASA/2012 09 07 - NASA - Armstrong Tributes Continue on This Week at NASA_xlQtIqUI_1Y - transcript (automated).pdf","Transcript Link")</f>
        <v>Transcript Link</v>
      </c>
      <c r="M3348" s="2" t="str">
        <f>HYPERLINK("https://files.afu.se/Downloads/Transcripts/0%20-%20Government/USA%20-%20NASA/2012 09 07 - NASA - Armstrong Tributes Continue on This Week at NASA_xlQtIqUI_1Y - transcript (automated).pdf","Transcript Link")</f>
        <v>Transcript Link</v>
      </c>
    </row>
    <row r="3349" ht="165" spans="1:13">
      <c r="A3349" s="1" t="s">
        <v>15159</v>
      </c>
      <c r="B3349" s="1" t="s">
        <v>13</v>
      </c>
      <c r="C3349" s="4" t="s">
        <v>15160</v>
      </c>
      <c r="D3349" s="1" t="s">
        <v>15161</v>
      </c>
      <c r="E3349" s="1" t="s">
        <v>15162</v>
      </c>
      <c r="F3349" s="4" t="s">
        <v>17</v>
      </c>
      <c r="G3349" s="1" t="s">
        <v>18</v>
      </c>
      <c r="H3349" s="1" t="s">
        <v>19</v>
      </c>
      <c r="I3349" s="1" t="s">
        <v>20</v>
      </c>
      <c r="J3349" s="1" t="s">
        <v>15163</v>
      </c>
      <c r="K3349" s="1" t="s">
        <v>22</v>
      </c>
      <c r="L3349" s="1" t="str">
        <f>HYPERLINK("https://files.afu.se/Downloads/Transcripts/0%20-%20Government/USA%20-%20NASA/2012 09 06 - NASA - Space Campers Speak With Station Science Communication Coordinator_3QAf1oRui-Q - transcript (automated).pdf","Transcript Link")</f>
        <v>Transcript Link</v>
      </c>
      <c r="M3349" s="2" t="str">
        <f>HYPERLINK("https://files.afu.se/Downloads/Transcripts/0%20-%20Government/USA%20-%20NASA/2012 09 06 - NASA - Space Campers Speak With Station Science Communication Coordinator_3QAf1oRui-Q - transcript (automated).pdf","Transcript Link")</f>
        <v>Transcript Link</v>
      </c>
    </row>
    <row r="3350" ht="165" spans="1:13">
      <c r="A3350" s="1" t="s">
        <v>15159</v>
      </c>
      <c r="B3350" s="1" t="s">
        <v>13</v>
      </c>
      <c r="C3350" s="4" t="s">
        <v>15164</v>
      </c>
      <c r="D3350" s="1" t="s">
        <v>15165</v>
      </c>
      <c r="E3350" s="1" t="s">
        <v>15166</v>
      </c>
      <c r="F3350" s="4" t="s">
        <v>17</v>
      </c>
      <c r="G3350" s="1" t="s">
        <v>18</v>
      </c>
      <c r="H3350" s="1" t="s">
        <v>19</v>
      </c>
      <c r="I3350" s="1" t="s">
        <v>20</v>
      </c>
      <c r="J3350" s="1" t="s">
        <v>15167</v>
      </c>
      <c r="K3350" s="1" t="s">
        <v>22</v>
      </c>
      <c r="L3350" s="1" t="str">
        <f>HYPERLINK("https://files.afu.se/Downloads/Transcripts/0%20-%20Government/USA%20-%20NASA/2012 09 06 - NASA - ScienceCasts  Weird Planets_eyKhqFwSNcs - transcript (automated).pdf","Transcript Link")</f>
        <v>Transcript Link</v>
      </c>
      <c r="M3350" s="2" t="str">
        <f>HYPERLINK("https://files.afu.se/Downloads/Transcripts/0%20-%20Government/USA%20-%20NASA/2012 09 06 - NASA - ScienceCasts  Weird Planets_eyKhqFwSNcs - transcript (automated).pdf","Transcript Link")</f>
        <v>Transcript Link</v>
      </c>
    </row>
    <row r="3351" ht="165" spans="1:13">
      <c r="A3351" s="1" t="s">
        <v>15168</v>
      </c>
      <c r="B3351" s="1" t="s">
        <v>13</v>
      </c>
      <c r="C3351" s="4" t="s">
        <v>15169</v>
      </c>
      <c r="D3351" s="1" t="s">
        <v>15170</v>
      </c>
      <c r="E3351" s="1" t="s">
        <v>15171</v>
      </c>
      <c r="F3351" s="4" t="s">
        <v>17</v>
      </c>
      <c r="G3351" s="1" t="s">
        <v>18</v>
      </c>
      <c r="H3351" s="1" t="s">
        <v>19</v>
      </c>
      <c r="I3351" s="1" t="s">
        <v>20</v>
      </c>
      <c r="J3351" s="1" t="s">
        <v>15172</v>
      </c>
      <c r="K3351" s="1" t="s">
        <v>22</v>
      </c>
      <c r="L3351" s="1" t="str">
        <f>HYPERLINK("https://files.afu.se/Downloads/Transcripts/0%20-%20Government/USA%20-%20NASA/2012 09 05 - NASA - Check out Zero Robotics at http   zerorobotics.mit.edu_Srcynvld7d8 - transcript (automated).pdf","Transcript Link")</f>
        <v>Transcript Link</v>
      </c>
      <c r="M3351" s="2" t="str">
        <f>HYPERLINK("https://files.afu.se/Downloads/Transcripts/0%20-%20Government/USA%20-%20NASA/2012 09 05 - NASA - Check out Zero Robotics at http   zerorobotics.mit.edu_Srcynvld7d8 - transcript (automated).pdf","Transcript Link")</f>
        <v>Transcript Link</v>
      </c>
    </row>
    <row r="3352" ht="180" spans="1:13">
      <c r="A3352" s="1" t="s">
        <v>15168</v>
      </c>
      <c r="B3352" s="1" t="s">
        <v>13</v>
      </c>
      <c r="C3352" s="4" t="s">
        <v>15173</v>
      </c>
      <c r="D3352" s="1" t="s">
        <v>15174</v>
      </c>
      <c r="E3352" s="1" t="s">
        <v>15175</v>
      </c>
      <c r="F3352" s="4" t="s">
        <v>17</v>
      </c>
      <c r="G3352" s="1" t="s">
        <v>18</v>
      </c>
      <c r="H3352" s="1" t="s">
        <v>19</v>
      </c>
      <c r="I3352" s="1" t="s">
        <v>20</v>
      </c>
      <c r="J3352" s="1" t="s">
        <v>15176</v>
      </c>
      <c r="K3352" s="1" t="s">
        <v>22</v>
      </c>
      <c r="L3352" s="1" t="str">
        <f>HYPERLINK("https://files.afu.se/Downloads/Transcripts/0%20-%20Government/USA%20-%20NASA/2012 09 05 - NASA - Suni and Aki's Spacewalk Success_p7r5HB1027E - transcript (automated).pdf","Transcript Link")</f>
        <v>Transcript Link</v>
      </c>
      <c r="M3352" s="2" t="str">
        <f>HYPERLINK("https://files.afu.se/Downloads/Transcripts/0%20-%20Government/USA%20-%20NASA/2012 09 05 - NASA - Suni and Aki's Spacewalk Success_p7r5HB1027E - transcript (automated).pdf","Transcript Link")</f>
        <v>Transcript Link</v>
      </c>
    </row>
    <row r="3353" ht="165" spans="1:13">
      <c r="A3353" s="1" t="s">
        <v>15168</v>
      </c>
      <c r="B3353" s="1" t="s">
        <v>13</v>
      </c>
      <c r="C3353" s="4" t="s">
        <v>15177</v>
      </c>
      <c r="D3353" s="1" t="s">
        <v>15178</v>
      </c>
      <c r="E3353" s="1" t="s">
        <v>15179</v>
      </c>
      <c r="F3353" s="4" t="s">
        <v>17</v>
      </c>
      <c r="G3353" s="1" t="s">
        <v>18</v>
      </c>
      <c r="H3353" s="1" t="s">
        <v>19</v>
      </c>
      <c r="I3353" s="1" t="s">
        <v>20</v>
      </c>
      <c r="J3353" s="1" t="s">
        <v>15180</v>
      </c>
      <c r="K3353" s="1" t="s">
        <v>22</v>
      </c>
      <c r="L3353" s="1" t="str">
        <f>HYPERLINK("https://files.afu.se/Downloads/Transcripts/0%20-%20Government/USA%20-%20NASA/2012 09 05 - NASA - Remembering Neil Armstrong on This Week @NASA_0OFYjz_iw6E - transcript (automated).pdf","Transcript Link")</f>
        <v>Transcript Link</v>
      </c>
      <c r="M3353" s="2" t="str">
        <f>HYPERLINK("https://files.afu.se/Downloads/Transcripts/0%20-%20Government/USA%20-%20NASA/2012 09 05 - NASA - Remembering Neil Armstrong on This Week @NASA_0OFYjz_iw6E - transcript (automated).pdf","Transcript Link")</f>
        <v>Transcript Link</v>
      </c>
    </row>
    <row r="3354" ht="165" spans="1:13">
      <c r="A3354" s="1" t="s">
        <v>15181</v>
      </c>
      <c r="B3354" s="1" t="s">
        <v>13</v>
      </c>
      <c r="C3354" s="4" t="s">
        <v>15182</v>
      </c>
      <c r="D3354" s="1" t="s">
        <v>15183</v>
      </c>
      <c r="E3354" s="1" t="s">
        <v>15184</v>
      </c>
      <c r="F3354" s="4" t="s">
        <v>17</v>
      </c>
      <c r="G3354" s="1" t="s">
        <v>18</v>
      </c>
      <c r="H3354" s="1" t="s">
        <v>19</v>
      </c>
      <c r="I3354" s="1" t="s">
        <v>20</v>
      </c>
      <c r="J3354" s="1" t="s">
        <v>15185</v>
      </c>
      <c r="K3354" s="1" t="s">
        <v>22</v>
      </c>
      <c r="L3354" s="1" t="str">
        <f>HYPERLINK("https://files.afu.se/Downloads/Transcripts/0%20-%20Government/USA%20-%20NASA/2012 08 31 - NASA - NASA Hosts Spacewalk News Briefing_yuQLdraazBo - transcript (automated).pdf","Transcript Link")</f>
        <v>Transcript Link</v>
      </c>
      <c r="M3354" s="2" t="str">
        <f>HYPERLINK("https://files.afu.se/Downloads/Transcripts/0%20-%20Government/USA%20-%20NASA/2012 08 31 - NASA - NASA Hosts Spacewalk News Briefing_yuQLdraazBo - transcript (automated).pdf","Transcript Link")</f>
        <v>Transcript Link</v>
      </c>
    </row>
    <row r="3355" ht="165" spans="1:13">
      <c r="A3355" s="1" t="s">
        <v>15186</v>
      </c>
      <c r="B3355" s="1" t="s">
        <v>13</v>
      </c>
      <c r="C3355" s="4" t="s">
        <v>15187</v>
      </c>
      <c r="D3355" s="1" t="s">
        <v>15188</v>
      </c>
      <c r="E3355" s="1" t="s">
        <v>15189</v>
      </c>
      <c r="F3355" s="4" t="s">
        <v>17</v>
      </c>
      <c r="G3355" s="1" t="s">
        <v>18</v>
      </c>
      <c r="H3355" s="1" t="s">
        <v>19</v>
      </c>
      <c r="I3355" s="1" t="s">
        <v>20</v>
      </c>
      <c r="J3355" s="1" t="s">
        <v>15190</v>
      </c>
      <c r="K3355" s="1" t="s">
        <v>22</v>
      </c>
      <c r="L3355" s="1" t="str">
        <f>HYPERLINK("https://files.afu.se/Downloads/Transcripts/0%20-%20Government/USA%20-%20NASA/2012 08 30 - NASA - ScienceCasts  The Radiation Belt Storm Probes_Qk8Qp-71Cus - transcript (automated).pdf","Transcript Link")</f>
        <v>Transcript Link</v>
      </c>
      <c r="M3355" s="2" t="str">
        <f>HYPERLINK("https://files.afu.se/Downloads/Transcripts/0%20-%20Government/USA%20-%20NASA/2012 08 30 - NASA - ScienceCasts  The Radiation Belt Storm Probes_Qk8Qp-71Cus - transcript (automated).pdf","Transcript Link")</f>
        <v>Transcript Link</v>
      </c>
    </row>
    <row r="3356" ht="165" spans="1:13">
      <c r="A3356" s="1" t="s">
        <v>15186</v>
      </c>
      <c r="B3356" s="1" t="s">
        <v>13</v>
      </c>
      <c r="C3356" s="4" t="s">
        <v>15191</v>
      </c>
      <c r="D3356" s="1" t="s">
        <v>15192</v>
      </c>
      <c r="E3356" s="1" t="s">
        <v>15193</v>
      </c>
      <c r="F3356" s="4" t="s">
        <v>17</v>
      </c>
      <c r="G3356" s="1" t="s">
        <v>18</v>
      </c>
      <c r="H3356" s="1" t="s">
        <v>19</v>
      </c>
      <c r="I3356" s="1" t="s">
        <v>20</v>
      </c>
      <c r="J3356" s="1" t="s">
        <v>15194</v>
      </c>
      <c r="K3356" s="1" t="s">
        <v>22</v>
      </c>
      <c r="L3356" s="1" t="str">
        <f>HYPERLINK("https://files.afu.se/Downloads/Transcripts/0%20-%20Government/USA%20-%20NASA/2012 08 30 - NASA - Radiation Belt Storm Probe Mission Post-Launch News Conference_lH0ZAZY7IUE - transcript (automated).pdf","Transcript Link")</f>
        <v>Transcript Link</v>
      </c>
      <c r="M3356" s="2" t="str">
        <f>HYPERLINK("https://files.afu.se/Downloads/Transcripts/0%20-%20Government/USA%20-%20NASA/2012 08 30 - NASA - Radiation Belt Storm Probe Mission Post-Launch News Conference_lH0ZAZY7IUE - transcript (automated).pdf","Transcript Link")</f>
        <v>Transcript Link</v>
      </c>
    </row>
    <row r="3357" ht="390" spans="1:13">
      <c r="A3357" s="1" t="s">
        <v>15186</v>
      </c>
      <c r="B3357" s="1" t="s">
        <v>13</v>
      </c>
      <c r="C3357" s="4" t="s">
        <v>15195</v>
      </c>
      <c r="D3357" s="1" t="s">
        <v>15196</v>
      </c>
      <c r="E3357" s="1" t="s">
        <v>15197</v>
      </c>
      <c r="F3357" s="4" t="s">
        <v>17</v>
      </c>
      <c r="G3357" s="1" t="s">
        <v>18</v>
      </c>
      <c r="H3357" s="1" t="s">
        <v>19</v>
      </c>
      <c r="I3357" s="1" t="s">
        <v>20</v>
      </c>
      <c r="J3357" s="1" t="s">
        <v>15198</v>
      </c>
      <c r="K3357" s="1" t="s">
        <v>22</v>
      </c>
      <c r="L3357" s="1" t="str">
        <f>HYPERLINK("https://files.afu.se/Downloads/Transcripts/0%20-%20Government/USA%20-%20NASA/2012 08 30 - NASA - NASA Launches Radiation Belt Storm Probes Mission_Z0aX3n7T0fU - transcript (automated).pdf","Transcript Link")</f>
        <v>Transcript Link</v>
      </c>
      <c r="M3357" s="2" t="str">
        <f>HYPERLINK("https://files.afu.se/Downloads/Transcripts/0%20-%20Government/USA%20-%20NASA/2012 08 30 - NASA - NASA Launches Radiation Belt Storm Probes Mission_Z0aX3n7T0fU - transcript (automated).pdf","Transcript Link")</f>
        <v>Transcript Link</v>
      </c>
    </row>
    <row r="3358" ht="165" spans="1:13">
      <c r="A3358" s="1" t="s">
        <v>15186</v>
      </c>
      <c r="B3358" s="1" t="s">
        <v>13</v>
      </c>
      <c r="C3358" s="4" t="s">
        <v>15199</v>
      </c>
      <c r="D3358" s="1" t="s">
        <v>15200</v>
      </c>
      <c r="E3358" s="1" t="s">
        <v>15201</v>
      </c>
      <c r="F3358" s="4" t="s">
        <v>17</v>
      </c>
      <c r="G3358" s="1" t="s">
        <v>18</v>
      </c>
      <c r="H3358" s="1" t="s">
        <v>19</v>
      </c>
      <c r="I3358" s="1" t="s">
        <v>20</v>
      </c>
      <c r="J3358" s="1" t="s">
        <v>15202</v>
      </c>
      <c r="K3358" s="1" t="s">
        <v>22</v>
      </c>
      <c r="L3358" s="1" t="str">
        <f>HYPERLINK("https://files.afu.se/Downloads/Transcripts/0%20-%20Government/USA%20-%20NASA/2012 08 30 - NASA - ScienceCasts  Watch Out For The Blue Moon_w3tG_UW-k7Q - transcript (automated).pdf","Transcript Link")</f>
        <v>Transcript Link</v>
      </c>
      <c r="M3358" s="2" t="str">
        <f>HYPERLINK("https://files.afu.se/Downloads/Transcripts/0%20-%20Government/USA%20-%20NASA/2012 08 30 - NASA - ScienceCasts  Watch Out For The Blue Moon_w3tG_UW-k7Q - transcript (automated).pdf","Transcript Link")</f>
        <v>Transcript Link</v>
      </c>
    </row>
    <row r="3359" ht="165" spans="1:13">
      <c r="A3359" s="1" t="s">
        <v>15203</v>
      </c>
      <c r="B3359" s="1" t="s">
        <v>13</v>
      </c>
      <c r="C3359" s="4" t="s">
        <v>15204</v>
      </c>
      <c r="D3359" s="1" t="s">
        <v>15205</v>
      </c>
      <c r="F3359" s="4" t="s">
        <v>17</v>
      </c>
      <c r="G3359" s="1" t="s">
        <v>18</v>
      </c>
      <c r="H3359" s="1" t="s">
        <v>19</v>
      </c>
      <c r="I3359" s="1" t="s">
        <v>20</v>
      </c>
      <c r="J3359" s="1" t="s">
        <v>15206</v>
      </c>
      <c r="K3359" s="1" t="s">
        <v>22</v>
      </c>
      <c r="L3359" s="1" t="str">
        <f>HYPERLINK("https://files.afu.se/Downloads/Transcripts/0%20-%20Government/USA%20-%20NASA/2012 08 29 - NASA - Mars Special from NASA's Jet Propulsion Laboratory_sd1vKkgz5gI - transcript (automated).pdf","Transcript Link")</f>
        <v>Transcript Link</v>
      </c>
      <c r="M3359" s="2" t="str">
        <f>HYPERLINK("https://files.afu.se/Downloads/Transcripts/0%20-%20Government/USA%20-%20NASA/2012 08 29 - NASA - Mars Special from NASA's Jet Propulsion Laboratory_sd1vKkgz5gI - transcript (automated).pdf","Transcript Link")</f>
        <v>Transcript Link</v>
      </c>
    </row>
    <row r="3360" ht="165" spans="1:13">
      <c r="A3360" s="1" t="s">
        <v>15207</v>
      </c>
      <c r="B3360" s="1" t="s">
        <v>13</v>
      </c>
      <c r="C3360" s="4" t="s">
        <v>15208</v>
      </c>
      <c r="D3360" s="1" t="s">
        <v>15209</v>
      </c>
      <c r="E3360" s="1" t="s">
        <v>15210</v>
      </c>
      <c r="F3360" s="4" t="s">
        <v>17</v>
      </c>
      <c r="G3360" s="1" t="s">
        <v>18</v>
      </c>
      <c r="H3360" s="1" t="s">
        <v>19</v>
      </c>
      <c r="I3360" s="1" t="s">
        <v>20</v>
      </c>
      <c r="J3360" s="1" t="s">
        <v>15211</v>
      </c>
      <c r="K3360" s="1" t="s">
        <v>22</v>
      </c>
      <c r="L3360" s="1" t="str">
        <f>HYPERLINK("https://files.afu.se/Downloads/Transcripts/0%20-%20Government/USA%20-%20NASA/2012 08 28 - NASA - Station Crew Member Discusses Life in Space with Ohio Students_7qwqyU4pg_E - transcript (automated).pdf","Transcript Link")</f>
        <v>Transcript Link</v>
      </c>
      <c r="M3360" s="2" t="str">
        <f>HYPERLINK("https://files.afu.se/Downloads/Transcripts/0%20-%20Government/USA%20-%20NASA/2012 08 28 - NASA - Station Crew Member Discusses Life in Space with Ohio Students_7qwqyU4pg_E - transcript (automated).pdf","Transcript Link")</f>
        <v>Transcript Link</v>
      </c>
    </row>
    <row r="3361" ht="165" spans="1:13">
      <c r="A3361" s="1" t="s">
        <v>15207</v>
      </c>
      <c r="B3361" s="1" t="s">
        <v>13</v>
      </c>
      <c r="C3361" s="4" t="s">
        <v>15212</v>
      </c>
      <c r="D3361" s="1" t="s">
        <v>15213</v>
      </c>
      <c r="F3361" s="4" t="s">
        <v>17</v>
      </c>
      <c r="G3361" s="1" t="s">
        <v>18</v>
      </c>
      <c r="H3361" s="1" t="s">
        <v>19</v>
      </c>
      <c r="I3361" s="1" t="s">
        <v>20</v>
      </c>
      <c r="J3361" s="1" t="s">
        <v>15214</v>
      </c>
      <c r="K3361" s="1" t="s">
        <v>22</v>
      </c>
      <c r="L3361" s="1" t="str">
        <f>HYPERLINK("https://files.afu.se/Downloads/Transcripts/0%20-%20Government/USA%20-%20NASA/2012 08 28 - NASA - NASA Science Curiosity Mission News Conference_ixaf3td-qxU - transcript (automated).pdf","Transcript Link")</f>
        <v>Transcript Link</v>
      </c>
      <c r="M3361" s="2" t="str">
        <f>HYPERLINK("https://files.afu.se/Downloads/Transcripts/0%20-%20Government/USA%20-%20NASA/2012 08 28 - NASA - NASA Science Curiosity Mission News Conference_ixaf3td-qxU - transcript (automated).pdf","Transcript Link")</f>
        <v>Transcript Link</v>
      </c>
    </row>
    <row r="3362" ht="165" spans="1:13">
      <c r="A3362" s="1" t="s">
        <v>15215</v>
      </c>
      <c r="B3362" s="1" t="s">
        <v>13</v>
      </c>
      <c r="C3362" s="4" t="s">
        <v>15216</v>
      </c>
      <c r="D3362" s="1" t="s">
        <v>15217</v>
      </c>
      <c r="E3362" s="1" t="s">
        <v>15218</v>
      </c>
      <c r="F3362" s="4" t="s">
        <v>17</v>
      </c>
      <c r="G3362" s="1" t="s">
        <v>18</v>
      </c>
      <c r="H3362" s="1" t="s">
        <v>19</v>
      </c>
      <c r="I3362" s="1" t="s">
        <v>20</v>
      </c>
      <c r="J3362" s="1" t="s">
        <v>15219</v>
      </c>
      <c r="K3362" s="1" t="s">
        <v>22</v>
      </c>
      <c r="L3362" s="1" t="str">
        <f>HYPERLINK("https://files.afu.se/Downloads/Transcripts/0%20-%20Government/USA%20-%20NASA/2012 08 27 - NASA - Armstrong Remembered by NASA Administrator_j12YWoU0X_0 - transcript (automated).pdf","Transcript Link")</f>
        <v>Transcript Link</v>
      </c>
      <c r="M3362" s="2" t="str">
        <f>HYPERLINK("https://files.afu.se/Downloads/Transcripts/0%20-%20Government/USA%20-%20NASA/2012 08 27 - NASA - Armstrong Remembered by NASA Administrator_j12YWoU0X_0 - transcript (automated).pdf","Transcript Link")</f>
        <v>Transcript Link</v>
      </c>
    </row>
    <row r="3363" ht="165" spans="1:13">
      <c r="A3363" s="1" t="s">
        <v>15215</v>
      </c>
      <c r="B3363" s="1" t="s">
        <v>13</v>
      </c>
      <c r="C3363" s="4" t="s">
        <v>15220</v>
      </c>
      <c r="D3363" s="1" t="s">
        <v>15221</v>
      </c>
      <c r="F3363" s="4" t="s">
        <v>17</v>
      </c>
      <c r="G3363" s="1" t="s">
        <v>18</v>
      </c>
      <c r="H3363" s="1" t="s">
        <v>19</v>
      </c>
      <c r="I3363" s="1" t="s">
        <v>20</v>
      </c>
      <c r="J3363" s="1" t="s">
        <v>15222</v>
      </c>
      <c r="K3363" s="1" t="s">
        <v>22</v>
      </c>
      <c r="L3363" s="1" t="str">
        <f>HYPERLINK("https://files.afu.se/Downloads/Transcripts/0%20-%20Government/USA%20-%20NASA/2012 08 27 - NASA - Expedition 32 InFlight Event for Destination Station_7R1VvQH1mEo - transcript (automated).pdf","Transcript Link")</f>
        <v>Transcript Link</v>
      </c>
      <c r="M3363" s="2" t="str">
        <f>HYPERLINK("https://files.afu.se/Downloads/Transcripts/0%20-%20Government/USA%20-%20NASA/2012 08 27 - NASA - Expedition 32 InFlight Event for Destination Station_7R1VvQH1mEo - transcript (automated).pdf","Transcript Link")</f>
        <v>Transcript Link</v>
      </c>
    </row>
    <row r="3364" ht="165" spans="1:13">
      <c r="A3364" s="1" t="s">
        <v>15223</v>
      </c>
      <c r="B3364" s="1" t="s">
        <v>13</v>
      </c>
      <c r="C3364" s="4" t="s">
        <v>15224</v>
      </c>
      <c r="D3364" s="1" t="s">
        <v>15225</v>
      </c>
      <c r="E3364" s="1" t="s">
        <v>15226</v>
      </c>
      <c r="F3364" s="4" t="s">
        <v>17</v>
      </c>
      <c r="G3364" s="1" t="s">
        <v>18</v>
      </c>
      <c r="H3364" s="1" t="s">
        <v>19</v>
      </c>
      <c r="I3364" s="1" t="s">
        <v>20</v>
      </c>
      <c r="J3364" s="1" t="s">
        <v>15227</v>
      </c>
      <c r="K3364" s="1" t="s">
        <v>22</v>
      </c>
      <c r="L3364" s="1" t="str">
        <f>HYPERLINK("https://files.afu.se/Downloads/Transcripts/0%20-%20Government/USA%20-%20NASA/2012 08 26 - NASA - Armstrong Hosts NASA 50th Anniversary Documentary_3TrNN_eTau0 - transcript (automated).pdf","Transcript Link")</f>
        <v>Transcript Link</v>
      </c>
      <c r="M3364" s="2" t="str">
        <f>HYPERLINK("https://files.afu.se/Downloads/Transcripts/0%20-%20Government/USA%20-%20NASA/2012 08 26 - NASA - Armstrong Hosts NASA 50th Anniversary Documentary_3TrNN_eTau0 - transcript (automated).pdf","Transcript Link")</f>
        <v>Transcript Link</v>
      </c>
    </row>
    <row r="3365" ht="165" spans="1:13">
      <c r="A3365" s="1" t="s">
        <v>15223</v>
      </c>
      <c r="B3365" s="1" t="s">
        <v>13</v>
      </c>
      <c r="C3365" s="4" t="s">
        <v>15228</v>
      </c>
      <c r="D3365" s="1" t="s">
        <v>15229</v>
      </c>
      <c r="E3365" s="1" t="s">
        <v>15230</v>
      </c>
      <c r="F3365" s="4" t="s">
        <v>17</v>
      </c>
      <c r="G3365" s="1" t="s">
        <v>18</v>
      </c>
      <c r="H3365" s="1" t="s">
        <v>19</v>
      </c>
      <c r="I3365" s="1" t="s">
        <v>20</v>
      </c>
      <c r="J3365" s="1" t="s">
        <v>15231</v>
      </c>
      <c r="K3365" s="1" t="s">
        <v>22</v>
      </c>
      <c r="L3365" s="1" t="str">
        <f>HYPERLINK("https://files.afu.se/Downloads/Transcripts/0%20-%20Government/USA%20-%20NASA/2012 08 26 - NASA - NASA Celebrates Apollo_vBmxnVm7vUw - transcript (automated).pdf","Transcript Link")</f>
        <v>Transcript Link</v>
      </c>
      <c r="M3365" s="2" t="str">
        <f>HYPERLINK("https://files.afu.se/Downloads/Transcripts/0%20-%20Government/USA%20-%20NASA/2012 08 26 - NASA - NASA Celebrates Apollo_vBmxnVm7vUw - transcript (automated).pdf","Transcript Link")</f>
        <v>Transcript Link</v>
      </c>
    </row>
    <row r="3366" ht="165" spans="1:13">
      <c r="A3366" s="1" t="s">
        <v>15223</v>
      </c>
      <c r="B3366" s="1" t="s">
        <v>13</v>
      </c>
      <c r="C3366" s="4" t="s">
        <v>15232</v>
      </c>
      <c r="D3366" s="1" t="s">
        <v>15233</v>
      </c>
      <c r="E3366" s="1" t="s">
        <v>15234</v>
      </c>
      <c r="F3366" s="4" t="s">
        <v>17</v>
      </c>
      <c r="G3366" s="1" t="s">
        <v>18</v>
      </c>
      <c r="H3366" s="1" t="s">
        <v>19</v>
      </c>
      <c r="I3366" s="1" t="s">
        <v>20</v>
      </c>
      <c r="J3366" s="1" t="s">
        <v>15235</v>
      </c>
      <c r="K3366" s="1" t="s">
        <v>22</v>
      </c>
      <c r="L3366" s="1" t="str">
        <f>HYPERLINK("https://files.afu.se/Downloads/Transcripts/0%20-%20Government/USA%20-%20NASA/2012 08 26 - NASA - 50 Years of Exploration  The Golden Anniversary of NASA_Bj3n1BIq_5I - transcript (automated).pdf","Transcript Link")</f>
        <v>Transcript Link</v>
      </c>
      <c r="M3366" s="2" t="str">
        <f>HYPERLINK("https://files.afu.se/Downloads/Transcripts/0%20-%20Government/USA%20-%20NASA/2012 08 26 - NASA - 50 Years of Exploration  The Golden Anniversary of NASA_Bj3n1BIq_5I - transcript (automated).pdf","Transcript Link")</f>
        <v>Transcript Link</v>
      </c>
    </row>
    <row r="3367" ht="165" spans="1:13">
      <c r="A3367" s="1" t="s">
        <v>15223</v>
      </c>
      <c r="B3367" s="1" t="s">
        <v>13</v>
      </c>
      <c r="C3367" s="4" t="s">
        <v>15236</v>
      </c>
      <c r="D3367" s="1" t="s">
        <v>15237</v>
      </c>
      <c r="E3367" s="1" t="s">
        <v>15238</v>
      </c>
      <c r="F3367" s="4" t="s">
        <v>17</v>
      </c>
      <c r="G3367" s="1" t="s">
        <v>18</v>
      </c>
      <c r="H3367" s="1" t="s">
        <v>19</v>
      </c>
      <c r="I3367" s="1" t="s">
        <v>20</v>
      </c>
      <c r="J3367" s="1" t="s">
        <v>15239</v>
      </c>
      <c r="K3367" s="1" t="s">
        <v>22</v>
      </c>
      <c r="L3367" s="1" t="str">
        <f>HYPERLINK("https://files.afu.se/Downloads/Transcripts/0%20-%20Government/USA%20-%20NASA/2012 08 26 - NASA - Armstrong Recalls History-Making Career_2D5U7I0yLcU - transcript (automated).pdf","Transcript Link")</f>
        <v>Transcript Link</v>
      </c>
      <c r="M3367" s="2" t="str">
        <f>HYPERLINK("https://files.afu.se/Downloads/Transcripts/0%20-%20Government/USA%20-%20NASA/2012 08 26 - NASA - Armstrong Recalls History-Making Career_2D5U7I0yLcU - transcript (automated).pdf","Transcript Link")</f>
        <v>Transcript Link</v>
      </c>
    </row>
    <row r="3368" ht="240" spans="1:13">
      <c r="A3368" s="1" t="s">
        <v>15240</v>
      </c>
      <c r="B3368" s="1" t="s">
        <v>13</v>
      </c>
      <c r="C3368" s="4" t="s">
        <v>15241</v>
      </c>
      <c r="D3368" s="1" t="s">
        <v>15242</v>
      </c>
      <c r="E3368" s="1" t="s">
        <v>15243</v>
      </c>
      <c r="F3368" s="4" t="s">
        <v>17</v>
      </c>
      <c r="G3368" s="1" t="s">
        <v>18</v>
      </c>
      <c r="H3368" s="1" t="s">
        <v>19</v>
      </c>
      <c r="I3368" s="1" t="s">
        <v>20</v>
      </c>
      <c r="J3368" s="1" t="s">
        <v>15244</v>
      </c>
      <c r="K3368" s="1" t="s">
        <v>22</v>
      </c>
      <c r="L3368" s="1" t="str">
        <f>HYPERLINK("https://files.afu.se/Downloads/Transcripts/0%20-%20Government/USA%20-%20NASA/2012 08 24 - NASA - Curiosity's First Drive on This Week @NASA_v5O3CfTu1d4 - transcript (automated).pdf","Transcript Link")</f>
        <v>Transcript Link</v>
      </c>
      <c r="M3368" s="2" t="str">
        <f>HYPERLINK("https://files.afu.se/Downloads/Transcripts/0%20-%20Government/USA%20-%20NASA/2012 08 24 - NASA - Curiosity's First Drive on This Week @NASA_v5O3CfTu1d4 - transcript (automated).pdf","Transcript Link")</f>
        <v>Transcript Link</v>
      </c>
    </row>
    <row r="3369" ht="165" spans="1:13">
      <c r="A3369" s="1" t="s">
        <v>15245</v>
      </c>
      <c r="B3369" s="1" t="s">
        <v>13</v>
      </c>
      <c r="C3369" s="4" t="s">
        <v>15246</v>
      </c>
      <c r="D3369" s="1" t="s">
        <v>15247</v>
      </c>
      <c r="E3369" s="1" t="s">
        <v>15248</v>
      </c>
      <c r="F3369" s="4" t="s">
        <v>17</v>
      </c>
      <c r="G3369" s="1" t="s">
        <v>18</v>
      </c>
      <c r="H3369" s="1" t="s">
        <v>19</v>
      </c>
      <c r="I3369" s="1" t="s">
        <v>20</v>
      </c>
      <c r="J3369" s="1" t="s">
        <v>15249</v>
      </c>
      <c r="K3369" s="1" t="s">
        <v>22</v>
      </c>
      <c r="L3369" s="1" t="str">
        <f>HYPERLINK("https://files.afu.se/Downloads/Transcripts/0%20-%20Government/USA%20-%20NASA/2012 08 23 - NASA - NASA Social for RBSP Launch_w0SaKPuocRA - transcript (automated).pdf","Transcript Link")</f>
        <v>Transcript Link</v>
      </c>
      <c r="M3369" s="2" t="str">
        <f>HYPERLINK("https://files.afu.se/Downloads/Transcripts/0%20-%20Government/USA%20-%20NASA/2012 08 23 - NASA - NASA Social for RBSP Launch_w0SaKPuocRA - transcript (automated).pdf","Transcript Link")</f>
        <v>Transcript Link</v>
      </c>
    </row>
    <row r="3370" ht="165" spans="1:13">
      <c r="A3370" s="1" t="s">
        <v>15245</v>
      </c>
      <c r="B3370" s="1" t="s">
        <v>13</v>
      </c>
      <c r="C3370" s="4" t="s">
        <v>15250</v>
      </c>
      <c r="D3370" s="1" t="s">
        <v>15251</v>
      </c>
      <c r="E3370" s="1" t="s">
        <v>15252</v>
      </c>
      <c r="F3370" s="4" t="s">
        <v>17</v>
      </c>
      <c r="G3370" s="1" t="s">
        <v>18</v>
      </c>
      <c r="H3370" s="1" t="s">
        <v>19</v>
      </c>
      <c r="I3370" s="1" t="s">
        <v>20</v>
      </c>
      <c r="J3370" s="1" t="s">
        <v>15253</v>
      </c>
      <c r="K3370" s="1" t="s">
        <v>22</v>
      </c>
      <c r="L3370" s="1" t="str">
        <f>HYPERLINK("https://files.afu.se/Downloads/Transcripts/0%20-%20Government/USA%20-%20NASA/2012 08 23 - NASA - Station Crew Member Discusses Life in Space with Japanese Media (English Translated Version)_JCYFC1ppXug - transcript (automated).pdf","Transcript Link")</f>
        <v>Transcript Link</v>
      </c>
      <c r="M3370" s="2" t="str">
        <f>HYPERLINK("https://files.afu.se/Downloads/Transcripts/0%20-%20Government/USA%20-%20NASA/2012 08 23 - NASA - Station Crew Member Discusses Life in Space with Japanese Media (English Translated Version)_JCYFC1ppXug - transcript (automated).pdf","Transcript Link")</f>
        <v>Transcript Link</v>
      </c>
    </row>
    <row r="3371" ht="165" spans="1:13">
      <c r="A3371" s="1" t="s">
        <v>15245</v>
      </c>
      <c r="B3371" s="1" t="s">
        <v>13</v>
      </c>
      <c r="C3371" s="4" t="s">
        <v>15254</v>
      </c>
      <c r="D3371" s="1" t="s">
        <v>15255</v>
      </c>
      <c r="E3371" s="1" t="s">
        <v>15256</v>
      </c>
      <c r="F3371" s="4" t="s">
        <v>17</v>
      </c>
      <c r="G3371" s="1" t="s">
        <v>18</v>
      </c>
      <c r="H3371" s="1" t="s">
        <v>19</v>
      </c>
      <c r="I3371" s="1" t="s">
        <v>20</v>
      </c>
      <c r="J3371" s="1" t="s">
        <v>15257</v>
      </c>
      <c r="K3371" s="1" t="s">
        <v>22</v>
      </c>
      <c r="L3371" s="1" t="str">
        <f>HYPERLINK("https://files.afu.se/Downloads/Transcripts/0%20-%20Government/USA%20-%20NASA/2012 08 23 - NASA - Curiosity Mission Update  Rover at Bradbury Landing_EfydyUOv9TM - transcript (automated).pdf","Transcript Link")</f>
        <v>Transcript Link</v>
      </c>
      <c r="M3371" s="2" t="str">
        <f>HYPERLINK("https://files.afu.se/Downloads/Transcripts/0%20-%20Government/USA%20-%20NASA/2012 08 23 - NASA - Curiosity Mission Update  Rover at Bradbury Landing_EfydyUOv9TM - transcript (automated).pdf","Transcript Link")</f>
        <v>Transcript Link</v>
      </c>
    </row>
    <row r="3372" ht="165" spans="1:13">
      <c r="A3372" s="1" t="s">
        <v>15258</v>
      </c>
      <c r="B3372" s="1" t="s">
        <v>13</v>
      </c>
      <c r="C3372" s="4" t="s">
        <v>15259</v>
      </c>
      <c r="D3372" s="1" t="s">
        <v>15260</v>
      </c>
      <c r="E3372" s="1" t="s">
        <v>15261</v>
      </c>
      <c r="F3372" s="4" t="s">
        <v>17</v>
      </c>
      <c r="G3372" s="1" t="s">
        <v>18</v>
      </c>
      <c r="H3372" s="1" t="s">
        <v>19</v>
      </c>
      <c r="I3372" s="1" t="s">
        <v>20</v>
      </c>
      <c r="J3372" s="1" t="s">
        <v>15262</v>
      </c>
      <c r="K3372" s="1" t="s">
        <v>22</v>
      </c>
      <c r="L3372" s="1" t="str">
        <f>HYPERLINK("https://files.afu.se/Downloads/Transcripts/0%20-%20Government/USA%20-%20NASA/2012 08 22 - NASA - Station Crew Discusses Life in Space With Social Media Followers_92qi9JBhGUI - transcript (automated).pdf","Transcript Link")</f>
        <v>Transcript Link</v>
      </c>
      <c r="M3372" s="2" t="str">
        <f>HYPERLINK("https://files.afu.se/Downloads/Transcripts/0%20-%20Government/USA%20-%20NASA/2012 08 22 - NASA - Station Crew Discusses Life in Space With Social Media Followers_92qi9JBhGUI - transcript (automated).pdf","Transcript Link")</f>
        <v>Transcript Link</v>
      </c>
    </row>
    <row r="3373" ht="165" spans="1:13">
      <c r="A3373" s="1" t="s">
        <v>15263</v>
      </c>
      <c r="B3373" s="1" t="s">
        <v>13</v>
      </c>
      <c r="C3373" s="4" t="s">
        <v>15264</v>
      </c>
      <c r="D3373" s="1" t="s">
        <v>15265</v>
      </c>
      <c r="E3373" s="1" t="s">
        <v>15266</v>
      </c>
      <c r="F3373" s="4" t="s">
        <v>17</v>
      </c>
      <c r="G3373" s="1" t="s">
        <v>18</v>
      </c>
      <c r="H3373" s="1" t="s">
        <v>19</v>
      </c>
      <c r="I3373" s="1" t="s">
        <v>20</v>
      </c>
      <c r="J3373" s="1" t="s">
        <v>15267</v>
      </c>
      <c r="K3373" s="1" t="s">
        <v>22</v>
      </c>
      <c r="L3373" s="1" t="str">
        <f>HYPERLINK("https://files.afu.se/Downloads/Transcripts/0%20-%20Government/USA%20-%20NASA/2012 08 21 - NASA - Scientists Discuss the Radiation Belt Storm Probes Mission_er8lbdGHiro - transcript (automated).pdf","Transcript Link")</f>
        <v>Transcript Link</v>
      </c>
      <c r="M3373" s="2" t="str">
        <f>HYPERLINK("https://files.afu.se/Downloads/Transcripts/0%20-%20Government/USA%20-%20NASA/2012 08 21 - NASA - Scientists Discuss the Radiation Belt Storm Probes Mission_er8lbdGHiro - transcript (automated).pdf","Transcript Link")</f>
        <v>Transcript Link</v>
      </c>
    </row>
    <row r="3374" ht="165" spans="1:13">
      <c r="A3374" s="1" t="s">
        <v>15263</v>
      </c>
      <c r="B3374" s="1" t="s">
        <v>13</v>
      </c>
      <c r="C3374" s="4" t="s">
        <v>15268</v>
      </c>
      <c r="D3374" s="1" t="s">
        <v>15269</v>
      </c>
      <c r="E3374" s="1" t="s">
        <v>15270</v>
      </c>
      <c r="F3374" s="4" t="s">
        <v>17</v>
      </c>
      <c r="G3374" s="1" t="s">
        <v>18</v>
      </c>
      <c r="H3374" s="1" t="s">
        <v>19</v>
      </c>
      <c r="I3374" s="1" t="s">
        <v>20</v>
      </c>
      <c r="J3374" s="1" t="s">
        <v>15271</v>
      </c>
      <c r="K3374" s="1" t="s">
        <v>22</v>
      </c>
      <c r="L3374" s="1" t="str">
        <f>HYPERLINK("https://files.afu.se/Downloads/Transcripts/0%20-%20Government/USA%20-%20NASA/2012 08 21 - NASA - Station Crew Conducts Spacewalk_QMMGiBffvII - transcript (automated).pdf","Transcript Link")</f>
        <v>Transcript Link</v>
      </c>
      <c r="M3374" s="2" t="str">
        <f>HYPERLINK("https://files.afu.se/Downloads/Transcripts/0%20-%20Government/USA%20-%20NASA/2012 08 21 - NASA - Station Crew Conducts Spacewalk_QMMGiBffvII - transcript (automated).pdf","Transcript Link")</f>
        <v>Transcript Link</v>
      </c>
    </row>
    <row r="3375" ht="165" spans="1:13">
      <c r="A3375" s="1" t="s">
        <v>15263</v>
      </c>
      <c r="B3375" s="1" t="s">
        <v>13</v>
      </c>
      <c r="C3375" s="4" t="s">
        <v>15272</v>
      </c>
      <c r="D3375" s="1" t="s">
        <v>15273</v>
      </c>
      <c r="E3375" s="1" t="s">
        <v>15274</v>
      </c>
      <c r="F3375" s="4" t="s">
        <v>17</v>
      </c>
      <c r="G3375" s="1" t="s">
        <v>18</v>
      </c>
      <c r="H3375" s="1" t="s">
        <v>19</v>
      </c>
      <c r="I3375" s="1" t="s">
        <v>20</v>
      </c>
      <c r="J3375" s="1" t="s">
        <v>15275</v>
      </c>
      <c r="K3375" s="1" t="s">
        <v>22</v>
      </c>
      <c r="L3375" s="1" t="str">
        <f>HYPERLINK("https://files.afu.se/Downloads/Transcripts/0%20-%20Government/USA%20-%20NASA/2012 08 21 - NASA - President Praises Curiosity Team on This Week @NASA_vAS1YUi8Jgc - transcript (automated).pdf","Transcript Link")</f>
        <v>Transcript Link</v>
      </c>
      <c r="M3375" s="2" t="str">
        <f>HYPERLINK("https://files.afu.se/Downloads/Transcripts/0%20-%20Government/USA%20-%20NASA/2012 08 21 - NASA - President Praises Curiosity Team on This Week @NASA_vAS1YUi8Jgc - transcript (automated).pdf","Transcript Link")</f>
        <v>Transcript Link</v>
      </c>
    </row>
    <row r="3376" ht="165" spans="1:13">
      <c r="A3376" s="1" t="s">
        <v>15276</v>
      </c>
      <c r="B3376" s="1" t="s">
        <v>13</v>
      </c>
      <c r="C3376" s="4" t="s">
        <v>15277</v>
      </c>
      <c r="D3376" s="1" t="s">
        <v>15278</v>
      </c>
      <c r="E3376" s="1" t="s">
        <v>15279</v>
      </c>
      <c r="F3376" s="4" t="s">
        <v>17</v>
      </c>
      <c r="G3376" s="1" t="s">
        <v>18</v>
      </c>
      <c r="H3376" s="1" t="s">
        <v>19</v>
      </c>
      <c r="I3376" s="1" t="s">
        <v>20</v>
      </c>
      <c r="J3376" s="1" t="s">
        <v>15280</v>
      </c>
      <c r="K3376" s="1" t="s">
        <v>22</v>
      </c>
      <c r="L3376" s="1" t="str">
        <f>HYPERLINK("https://files.afu.se/Downloads/Transcripts/0%20-%20Government/USA%20-%20NASA/2012 08 20 - NASA - Media Briefed on Pre-Launch Status of Radiation Belt Storm Probe Mission_9jfB3KU1UqY - transcript (automated).pdf","Transcript Link")</f>
        <v>Transcript Link</v>
      </c>
      <c r="M3376" s="2" t="str">
        <f>HYPERLINK("https://files.afu.se/Downloads/Transcripts/0%20-%20Government/USA%20-%20NASA/2012 08 20 - NASA - Media Briefed on Pre-Launch Status of Radiation Belt Storm Probe Mission_9jfB3KU1UqY - transcript (automated).pdf","Transcript Link")</f>
        <v>Transcript Link</v>
      </c>
    </row>
    <row r="3377" ht="165" spans="1:13">
      <c r="A3377" s="1" t="s">
        <v>15281</v>
      </c>
      <c r="B3377" s="1" t="s">
        <v>13</v>
      </c>
      <c r="C3377" s="4" t="s">
        <v>15282</v>
      </c>
      <c r="D3377" s="1" t="s">
        <v>15273</v>
      </c>
      <c r="E3377" s="1" t="s">
        <v>15274</v>
      </c>
      <c r="F3377" s="4" t="s">
        <v>17</v>
      </c>
      <c r="G3377" s="1" t="s">
        <v>18</v>
      </c>
      <c r="H3377" s="1" t="s">
        <v>19</v>
      </c>
      <c r="I3377" s="1" t="s">
        <v>20</v>
      </c>
      <c r="J3377" s="1" t="s">
        <v>15283</v>
      </c>
      <c r="K3377" s="1" t="s">
        <v>22</v>
      </c>
      <c r="L3377" s="1" t="str">
        <f>HYPERLINK("https://files.afu.se/Downloads/Transcripts/0%20-%20Government/USA%20-%20NASA/2012 08 17 - NASA - President Praises Curiosity Team on This Week @NASA_hnFNgqyyUi0 - transcript (automated).pdf","Transcript Link")</f>
        <v>Transcript Link</v>
      </c>
      <c r="M3377" s="2" t="str">
        <f>HYPERLINK("https://files.afu.se/Downloads/Transcripts/0%20-%20Government/USA%20-%20NASA/2012 08 17 - NASA - President Praises Curiosity Team on This Week @NASA_hnFNgqyyUi0 - transcript (automated).pdf","Transcript Link")</f>
        <v>Transcript Link</v>
      </c>
    </row>
    <row r="3378" ht="165" spans="1:13">
      <c r="A3378" s="1" t="s">
        <v>15281</v>
      </c>
      <c r="B3378" s="1" t="s">
        <v>13</v>
      </c>
      <c r="C3378" s="4" t="s">
        <v>15284</v>
      </c>
      <c r="D3378" s="1" t="s">
        <v>15285</v>
      </c>
      <c r="E3378" s="1" t="s">
        <v>15286</v>
      </c>
      <c r="F3378" s="4" t="s">
        <v>17</v>
      </c>
      <c r="G3378" s="1" t="s">
        <v>18</v>
      </c>
      <c r="H3378" s="1" t="s">
        <v>19</v>
      </c>
      <c r="I3378" s="1" t="s">
        <v>20</v>
      </c>
      <c r="J3378" s="1" t="s">
        <v>15287</v>
      </c>
      <c r="K3378" s="1" t="s">
        <v>22</v>
      </c>
      <c r="L3378" s="1" t="str">
        <f>HYPERLINK("https://files.afu.se/Downloads/Transcripts/0%20-%20Government/USA%20-%20NASA/2012 08 17 - NASA - ScienceCasts  Where Will Curiosity Go First _njp6ffI_rg4 - transcript (automated).pdf","Transcript Link")</f>
        <v>Transcript Link</v>
      </c>
      <c r="M3378" s="2" t="str">
        <f>HYPERLINK("https://files.afu.se/Downloads/Transcripts/0%20-%20Government/USA%20-%20NASA/2012 08 17 - NASA - ScienceCasts  Where Will Curiosity Go First _njp6ffI_rg4 - transcript (automated).pdf","Transcript Link")</f>
        <v>Transcript Link</v>
      </c>
    </row>
    <row r="3379" ht="409.5" spans="1:13">
      <c r="A3379" s="1" t="s">
        <v>15281</v>
      </c>
      <c r="B3379" s="1" t="s">
        <v>13</v>
      </c>
      <c r="C3379" s="4" t="s">
        <v>15288</v>
      </c>
      <c r="D3379" s="1" t="s">
        <v>15289</v>
      </c>
      <c r="E3379" s="1" t="s">
        <v>15290</v>
      </c>
      <c r="F3379" s="4" t="s">
        <v>17</v>
      </c>
      <c r="G3379" s="1" t="s">
        <v>18</v>
      </c>
      <c r="H3379" s="1" t="s">
        <v>19</v>
      </c>
      <c r="I3379" s="1" t="s">
        <v>20</v>
      </c>
      <c r="J3379" s="1" t="s">
        <v>15291</v>
      </c>
      <c r="K3379" s="1" t="s">
        <v>22</v>
      </c>
      <c r="L3379" s="1" t="str">
        <f>HYPERLINK("https://files.afu.se/Downloads/Transcripts/0%20-%20Government/USA%20-%20NASA/2012 08 17 - NASA - We're NASA and We Know It (Mars Curiosity) Satire_2KnTpm9Y77E - transcript (automated).pdf","Transcript Link")</f>
        <v>Transcript Link</v>
      </c>
      <c r="M3379" s="2" t="str">
        <f>HYPERLINK("https://files.afu.se/Downloads/Transcripts/0%20-%20Government/USA%20-%20NASA/2012 08 17 - NASA - We're NASA and We Know It (Mars Curiosity) Satire_2KnTpm9Y77E - transcript (automated).pdf","Transcript Link")</f>
        <v>Transcript Link</v>
      </c>
    </row>
    <row r="3380" ht="165" spans="1:13">
      <c r="A3380" s="1" t="s">
        <v>15292</v>
      </c>
      <c r="B3380" s="1" t="s">
        <v>13</v>
      </c>
      <c r="C3380" s="4" t="s">
        <v>15293</v>
      </c>
      <c r="D3380" s="1" t="s">
        <v>15294</v>
      </c>
      <c r="E3380" s="1" t="s">
        <v>15295</v>
      </c>
      <c r="F3380" s="4" t="s">
        <v>17</v>
      </c>
      <c r="G3380" s="1" t="s">
        <v>18</v>
      </c>
      <c r="H3380" s="1" t="s">
        <v>19</v>
      </c>
      <c r="I3380" s="1" t="s">
        <v>20</v>
      </c>
      <c r="J3380" s="1" t="s">
        <v>15296</v>
      </c>
      <c r="K3380" s="1" t="s">
        <v>22</v>
      </c>
      <c r="L3380" s="1" t="str">
        <f>HYPERLINK("https://files.afu.se/Downloads/Transcripts/0%20-%20Government/USA%20-%20NASA/2012 08 14 - NASA - Spacewalk Scoped Out for Media_56xBnFPuDBU - transcript (automated).pdf","Transcript Link")</f>
        <v>Transcript Link</v>
      </c>
      <c r="M3380" s="2" t="str">
        <f>HYPERLINK("https://files.afu.se/Downloads/Transcripts/0%20-%20Government/USA%20-%20NASA/2012 08 14 - NASA - Spacewalk Scoped Out for Media_56xBnFPuDBU - transcript (automated).pdf","Transcript Link")</f>
        <v>Transcript Link</v>
      </c>
    </row>
    <row r="3381" ht="180" spans="1:13">
      <c r="A3381" s="1" t="s">
        <v>15292</v>
      </c>
      <c r="B3381" s="1" t="s">
        <v>13</v>
      </c>
      <c r="C3381" s="4" t="s">
        <v>15297</v>
      </c>
      <c r="D3381" s="1" t="s">
        <v>15298</v>
      </c>
      <c r="E3381" s="1" t="s">
        <v>15299</v>
      </c>
      <c r="F3381" s="4" t="s">
        <v>17</v>
      </c>
      <c r="G3381" s="1" t="s">
        <v>18</v>
      </c>
      <c r="H3381" s="1" t="s">
        <v>19</v>
      </c>
      <c r="I3381" s="1" t="s">
        <v>20</v>
      </c>
      <c r="J3381" s="1" t="s">
        <v>15300</v>
      </c>
      <c r="K3381" s="1" t="s">
        <v>22</v>
      </c>
      <c r="L3381" s="1" t="str">
        <f>HYPERLINK("https://files.afu.se/Downloads/Transcripts/0%20-%20Government/USA%20-%20NASA/2012 08 14 - NASA - Curiosity Gets Ready to Rove Red Planet_YyodK2g6aok - transcript (automated).pdf","Transcript Link")</f>
        <v>Transcript Link</v>
      </c>
      <c r="M3381" s="2" t="str">
        <f>HYPERLINK("https://files.afu.se/Downloads/Transcripts/0%20-%20Government/USA%20-%20NASA/2012 08 14 - NASA - Curiosity Gets Ready to Rove Red Planet_YyodK2g6aok - transcript (automated).pdf","Transcript Link")</f>
        <v>Transcript Link</v>
      </c>
    </row>
    <row r="3382" ht="165" spans="1:13">
      <c r="A3382" s="1" t="s">
        <v>15301</v>
      </c>
      <c r="B3382" s="1" t="s">
        <v>13</v>
      </c>
      <c r="C3382" s="4" t="s">
        <v>15302</v>
      </c>
      <c r="D3382" s="1" t="s">
        <v>15303</v>
      </c>
      <c r="E3382" s="1" t="s">
        <v>15304</v>
      </c>
      <c r="F3382" s="4" t="s">
        <v>17</v>
      </c>
      <c r="G3382" s="1" t="s">
        <v>18</v>
      </c>
      <c r="H3382" s="1" t="s">
        <v>19</v>
      </c>
      <c r="I3382" s="1" t="s">
        <v>20</v>
      </c>
      <c r="J3382" s="1" t="s">
        <v>15305</v>
      </c>
      <c r="K3382" s="1" t="s">
        <v>22</v>
      </c>
      <c r="L3382" s="1" t="str">
        <f>HYPERLINK("https://files.afu.se/Downloads/Transcripts/0%20-%20Government/USA%20-%20NASA/2012 08 13 - NASA - President Obama Congratulates Curiosity Team_BvQ0PUqd7PI - transcript (automated).pdf","Transcript Link")</f>
        <v>Transcript Link</v>
      </c>
      <c r="M3382" s="2" t="str">
        <f>HYPERLINK("https://files.afu.se/Downloads/Transcripts/0%20-%20Government/USA%20-%20NASA/2012 08 13 - NASA - President Obama Congratulates Curiosity Team_BvQ0PUqd7PI - transcript (automated).pdf","Transcript Link")</f>
        <v>Transcript Link</v>
      </c>
    </row>
    <row r="3383" ht="165" spans="1:13">
      <c r="A3383" s="1" t="s">
        <v>15306</v>
      </c>
      <c r="B3383" s="1" t="s">
        <v>13</v>
      </c>
      <c r="C3383" s="4" t="s">
        <v>15307</v>
      </c>
      <c r="D3383" s="1" t="s">
        <v>15308</v>
      </c>
      <c r="E3383" s="1" t="s">
        <v>15309</v>
      </c>
      <c r="F3383" s="4" t="s">
        <v>17</v>
      </c>
      <c r="G3383" s="1" t="s">
        <v>18</v>
      </c>
      <c r="H3383" s="1" t="s">
        <v>19</v>
      </c>
      <c r="I3383" s="1" t="s">
        <v>20</v>
      </c>
      <c r="J3383" s="1" t="s">
        <v>15310</v>
      </c>
      <c r="K3383" s="1" t="s">
        <v>22</v>
      </c>
      <c r="L3383" s="1" t="str">
        <f>HYPERLINK("https://files.afu.se/Downloads/Transcripts/0%20-%20Government/USA%20-%20NASA/2012 08 10 - NASA - Shatner Shares Curiosity's Course_aItHV96NJt4 - transcript (automated).pdf","Transcript Link")</f>
        <v>Transcript Link</v>
      </c>
      <c r="M3383" s="2" t="str">
        <f>HYPERLINK("https://files.afu.se/Downloads/Transcripts/0%20-%20Government/USA%20-%20NASA/2012 08 10 - NASA - Shatner Shares Curiosity's Course_aItHV96NJt4 - transcript (automated).pdf","Transcript Link")</f>
        <v>Transcript Link</v>
      </c>
    </row>
    <row r="3384" ht="165" spans="1:13">
      <c r="A3384" s="1" t="s">
        <v>15306</v>
      </c>
      <c r="B3384" s="1" t="s">
        <v>13</v>
      </c>
      <c r="C3384" s="4" t="s">
        <v>15311</v>
      </c>
      <c r="D3384" s="1" t="s">
        <v>15312</v>
      </c>
      <c r="E3384" s="1" t="s">
        <v>15313</v>
      </c>
      <c r="F3384" s="4" t="s">
        <v>17</v>
      </c>
      <c r="G3384" s="1" t="s">
        <v>18</v>
      </c>
      <c r="H3384" s="1" t="s">
        <v>19</v>
      </c>
      <c r="I3384" s="1" t="s">
        <v>20</v>
      </c>
      <c r="J3384" s="1" t="s">
        <v>15314</v>
      </c>
      <c r="K3384" s="1" t="s">
        <v>22</v>
      </c>
      <c r="L3384" s="1" t="str">
        <f>HYPERLINK("https://files.afu.se/Downloads/Transcripts/0%20-%20Government/USA%20-%20NASA/2012 08 10 - NASA - Curiosity Sticks the Landing on This Week @NASA_PRIlOPJQqsE - transcript (automated).pdf","Transcript Link")</f>
        <v>Transcript Link</v>
      </c>
      <c r="M3384" s="2" t="str">
        <f>HYPERLINK("https://files.afu.se/Downloads/Transcripts/0%20-%20Government/USA%20-%20NASA/2012 08 10 - NASA - Curiosity Sticks the Landing on This Week @NASA_PRIlOPJQqsE - transcript (automated).pdf","Transcript Link")</f>
        <v>Transcript Link</v>
      </c>
    </row>
    <row r="3385" ht="165" spans="1:13">
      <c r="A3385" s="1" t="s">
        <v>15306</v>
      </c>
      <c r="B3385" s="1" t="s">
        <v>13</v>
      </c>
      <c r="C3385" s="4" t="s">
        <v>15315</v>
      </c>
      <c r="D3385" s="1" t="s">
        <v>15316</v>
      </c>
      <c r="E3385" s="1" t="s">
        <v>15317</v>
      </c>
      <c r="F3385" s="4" t="s">
        <v>17</v>
      </c>
      <c r="G3385" s="1" t="s">
        <v>18</v>
      </c>
      <c r="H3385" s="1" t="s">
        <v>19</v>
      </c>
      <c r="I3385" s="1" t="s">
        <v>20</v>
      </c>
      <c r="J3385" s="1" t="s">
        <v>15318</v>
      </c>
      <c r="K3385" s="1" t="s">
        <v>22</v>
      </c>
      <c r="L3385" s="1" t="str">
        <f>HYPERLINK("https://files.afu.se/Downloads/Transcripts/0%20-%20Government/USA%20-%20NASA/2012 08 10 - NASA - Curiosity Checks In on Sol 5_BArApRIjdTI - transcript (automated).pdf","Transcript Link")</f>
        <v>Transcript Link</v>
      </c>
      <c r="M3385" s="2" t="str">
        <f>HYPERLINK("https://files.afu.se/Downloads/Transcripts/0%20-%20Government/USA%20-%20NASA/2012 08 10 - NASA - Curiosity Checks In on Sol 5_BArApRIjdTI - transcript (automated).pdf","Transcript Link")</f>
        <v>Transcript Link</v>
      </c>
    </row>
    <row r="3386" ht="165" spans="1:13">
      <c r="A3386" s="1" t="s">
        <v>15306</v>
      </c>
      <c r="B3386" s="1" t="s">
        <v>13</v>
      </c>
      <c r="C3386" s="4" t="s">
        <v>15319</v>
      </c>
      <c r="D3386" s="1" t="s">
        <v>15320</v>
      </c>
      <c r="E3386" s="1" t="s">
        <v>15321</v>
      </c>
      <c r="F3386" s="4" t="s">
        <v>17</v>
      </c>
      <c r="G3386" s="1" t="s">
        <v>18</v>
      </c>
      <c r="H3386" s="1" t="s">
        <v>19</v>
      </c>
      <c r="I3386" s="1" t="s">
        <v>20</v>
      </c>
      <c r="J3386" s="1" t="s">
        <v>15322</v>
      </c>
      <c r="K3386" s="1" t="s">
        <v>22</v>
      </c>
      <c r="L3386" s="1" t="str">
        <f>HYPERLINK("https://files.afu.se/Downloads/Transcripts/0%20-%20Government/USA%20-%20NASA/2012 08 10 - NASA - Making NASA History_H5-HyE_PKZ8 - transcript (automated).pdf","Transcript Link")</f>
        <v>Transcript Link</v>
      </c>
      <c r="M3386" s="2" t="str">
        <f>HYPERLINK("https://files.afu.se/Downloads/Transcripts/0%20-%20Government/USA%20-%20NASA/2012 08 10 - NASA - Making NASA History_H5-HyE_PKZ8 - transcript (automated).pdf","Transcript Link")</f>
        <v>Transcript Link</v>
      </c>
    </row>
    <row r="3387" ht="165" spans="1:13">
      <c r="A3387" s="1" t="s">
        <v>15323</v>
      </c>
      <c r="B3387" s="1" t="s">
        <v>13</v>
      </c>
      <c r="C3387" s="4" t="s">
        <v>15324</v>
      </c>
      <c r="D3387" s="1" t="s">
        <v>15325</v>
      </c>
      <c r="E3387" s="1" t="s">
        <v>15326</v>
      </c>
      <c r="F3387" s="4" t="s">
        <v>17</v>
      </c>
      <c r="G3387" s="1" t="s">
        <v>18</v>
      </c>
      <c r="H3387" s="1" t="s">
        <v>19</v>
      </c>
      <c r="I3387" s="1" t="s">
        <v>20</v>
      </c>
      <c r="J3387" s="1" t="s">
        <v>15327</v>
      </c>
      <c r="K3387" s="1" t="s">
        <v>22</v>
      </c>
      <c r="L3387" s="1" t="str">
        <f>HYPERLINK("https://files.afu.se/Downloads/Transcripts/0%20-%20Government/USA%20-%20NASA/2012 08 09 - NASA - ScienceCasts  2012 Perseid Meteor Shower__NcaHJ0S_LA - transcript (automated).pdf","Transcript Link")</f>
        <v>Transcript Link</v>
      </c>
      <c r="M3387" s="2" t="str">
        <f>HYPERLINK("https://files.afu.se/Downloads/Transcripts/0%20-%20Government/USA%20-%20NASA/2012 08 09 - NASA - ScienceCasts  2012 Perseid Meteor Shower__NcaHJ0S_LA - transcript (automated).pdf","Transcript Link")</f>
        <v>Transcript Link</v>
      </c>
    </row>
    <row r="3388" ht="165" spans="1:13">
      <c r="A3388" s="1" t="s">
        <v>15323</v>
      </c>
      <c r="B3388" s="1" t="s">
        <v>13</v>
      </c>
      <c r="C3388" s="4" t="s">
        <v>15328</v>
      </c>
      <c r="D3388" s="1" t="s">
        <v>15329</v>
      </c>
      <c r="E3388" s="1" t="s">
        <v>15330</v>
      </c>
      <c r="F3388" s="4" t="s">
        <v>17</v>
      </c>
      <c r="G3388" s="1" t="s">
        <v>18</v>
      </c>
      <c r="H3388" s="1" t="s">
        <v>19</v>
      </c>
      <c r="I3388" s="1" t="s">
        <v>20</v>
      </c>
      <c r="J3388" s="1" t="s">
        <v>15331</v>
      </c>
      <c r="K3388" s="1" t="s">
        <v>22</v>
      </c>
      <c r="L3388" s="1" t="str">
        <f>HYPERLINK("https://files.afu.se/Downloads/Transcripts/0%20-%20Government/USA%20-%20NASA/2012 08 09 - NASA - New NASA Mission to Study Space Weather_hBfNkGs47NE - transcript (automated).pdf","Transcript Link")</f>
        <v>Transcript Link</v>
      </c>
      <c r="M3388" s="2" t="str">
        <f>HYPERLINK("https://files.afu.se/Downloads/Transcripts/0%20-%20Government/USA%20-%20NASA/2012 08 09 - NASA - New NASA Mission to Study Space Weather_hBfNkGs47NE - transcript (automated).pdf","Transcript Link")</f>
        <v>Transcript Link</v>
      </c>
    </row>
    <row r="3389" ht="165" spans="1:13">
      <c r="A3389" s="1" t="s">
        <v>15323</v>
      </c>
      <c r="B3389" s="1" t="s">
        <v>13</v>
      </c>
      <c r="C3389" s="4" t="s">
        <v>15332</v>
      </c>
      <c r="D3389" s="1" t="s">
        <v>15333</v>
      </c>
      <c r="E3389" s="1" t="s">
        <v>15334</v>
      </c>
      <c r="F3389" s="4" t="s">
        <v>17</v>
      </c>
      <c r="G3389" s="1" t="s">
        <v>18</v>
      </c>
      <c r="H3389" s="1" t="s">
        <v>19</v>
      </c>
      <c r="I3389" s="1" t="s">
        <v>20</v>
      </c>
      <c r="J3389" s="1" t="s">
        <v>15335</v>
      </c>
      <c r="K3389" s="1" t="s">
        <v>22</v>
      </c>
      <c r="L3389" s="1" t="str">
        <f>HYPERLINK("https://files.afu.se/Downloads/Transcripts/0%20-%20Government/USA%20-%20NASA/2012 08 09 - NASA - Sol 4 Status of MSL Mission_y_FH6PByZeY - transcript (automated).pdf","Transcript Link")</f>
        <v>Transcript Link</v>
      </c>
      <c r="M3389" s="2" t="str">
        <f>HYPERLINK("https://files.afu.se/Downloads/Transcripts/0%20-%20Government/USA%20-%20NASA/2012 08 09 - NASA - Sol 4 Status of MSL Mission_y_FH6PByZeY - transcript (automated).pdf","Transcript Link")</f>
        <v>Transcript Link</v>
      </c>
    </row>
    <row r="3390" ht="165" spans="1:13">
      <c r="A3390" s="1" t="s">
        <v>15323</v>
      </c>
      <c r="B3390" s="1" t="s">
        <v>13</v>
      </c>
      <c r="C3390" s="4" t="s">
        <v>15336</v>
      </c>
      <c r="D3390" s="1" t="s">
        <v>15337</v>
      </c>
      <c r="E3390" s="1" t="s">
        <v>15338</v>
      </c>
      <c r="F3390" s="4" t="s">
        <v>17</v>
      </c>
      <c r="G3390" s="1" t="s">
        <v>18</v>
      </c>
      <c r="H3390" s="1" t="s">
        <v>19</v>
      </c>
      <c r="I3390" s="1" t="s">
        <v>20</v>
      </c>
      <c r="J3390" s="1" t="s">
        <v>15339</v>
      </c>
      <c r="K3390" s="1" t="s">
        <v>22</v>
      </c>
      <c r="L3390" s="1" t="str">
        <f>HYPERLINK("https://files.afu.se/Downloads/Transcripts/0%20-%20Government/USA%20-%20NASA/2012 08 09 - NASA - Aki Chats with Young Astronauts_BzKVPnmI-8Q - transcript (automated).pdf","Transcript Link")</f>
        <v>Transcript Link</v>
      </c>
      <c r="M3390" s="2" t="str">
        <f>HYPERLINK("https://files.afu.se/Downloads/Transcripts/0%20-%20Government/USA%20-%20NASA/2012 08 09 - NASA - Aki Chats with Young Astronauts_BzKVPnmI-8Q - transcript (automated).pdf","Transcript Link")</f>
        <v>Transcript Link</v>
      </c>
    </row>
    <row r="3391" ht="165" spans="1:13">
      <c r="A3391" s="1" t="s">
        <v>15323</v>
      </c>
      <c r="B3391" s="1" t="s">
        <v>13</v>
      </c>
      <c r="C3391" s="4" t="s">
        <v>15340</v>
      </c>
      <c r="D3391" s="1" t="s">
        <v>15341</v>
      </c>
      <c r="E3391" s="1" t="s">
        <v>15342</v>
      </c>
      <c r="F3391" s="4" t="s">
        <v>17</v>
      </c>
      <c r="G3391" s="1" t="s">
        <v>18</v>
      </c>
      <c r="H3391" s="1" t="s">
        <v>19</v>
      </c>
      <c r="I3391" s="1" t="s">
        <v>20</v>
      </c>
      <c r="J3391" s="1" t="s">
        <v>15343</v>
      </c>
      <c r="K3391" s="1" t="s">
        <v>22</v>
      </c>
      <c r="L3391" s="1" t="str">
        <f>HYPERLINK("https://files.afu.se/Downloads/Transcripts/0%20-%20Government/USA%20-%20NASA/2012 08 09 - NASA - Fossum Faces Future Flyers_8x9Jp1tSkqo - transcript (automated).pdf","Transcript Link")</f>
        <v>Transcript Link</v>
      </c>
      <c r="M3391" s="2" t="str">
        <f>HYPERLINK("https://files.afu.se/Downloads/Transcripts/0%20-%20Government/USA%20-%20NASA/2012 08 09 - NASA - Fossum Faces Future Flyers_8x9Jp1tSkqo - transcript (automated).pdf","Transcript Link")</f>
        <v>Transcript Link</v>
      </c>
    </row>
    <row r="3392" ht="165" spans="1:13">
      <c r="A3392" s="1" t="s">
        <v>15344</v>
      </c>
      <c r="B3392" s="1" t="s">
        <v>13</v>
      </c>
      <c r="C3392" s="4" t="s">
        <v>15345</v>
      </c>
      <c r="D3392" s="1" t="s">
        <v>15346</v>
      </c>
      <c r="F3392" s="4" t="s">
        <v>17</v>
      </c>
      <c r="G3392" s="1" t="s">
        <v>18</v>
      </c>
      <c r="H3392" s="1" t="s">
        <v>19</v>
      </c>
      <c r="I3392" s="1" t="s">
        <v>20</v>
      </c>
      <c r="J3392" s="1" t="s">
        <v>15347</v>
      </c>
      <c r="K3392" s="1" t="s">
        <v>22</v>
      </c>
      <c r="L3392" s="1" t="str">
        <f>HYPERLINK("https://files.afu.se/Downloads/Transcripts/0%20-%20Government/USA%20-%20NASA/2012 08 08 - NASA - MSL Sol 3 Update_6f8HHQ2U2jg - transcript (automated).pdf","Transcript Link")</f>
        <v>Transcript Link</v>
      </c>
      <c r="M3392" s="2" t="str">
        <f>HYPERLINK("https://files.afu.se/Downloads/Transcripts/0%20-%20Government/USA%20-%20NASA/2012 08 08 - NASA - MSL Sol 3 Update_6f8HHQ2U2jg - transcript (automated).pdf","Transcript Link")</f>
        <v>Transcript Link</v>
      </c>
    </row>
    <row r="3393" ht="165" spans="1:13">
      <c r="A3393" s="1" t="s">
        <v>15344</v>
      </c>
      <c r="B3393" s="1" t="s">
        <v>13</v>
      </c>
      <c r="C3393" s="4" t="s">
        <v>15348</v>
      </c>
      <c r="D3393" s="1" t="s">
        <v>15349</v>
      </c>
      <c r="F3393" s="4" t="s">
        <v>17</v>
      </c>
      <c r="G3393" s="1" t="s">
        <v>18</v>
      </c>
      <c r="H3393" s="1" t="s">
        <v>19</v>
      </c>
      <c r="I3393" s="1" t="s">
        <v>20</v>
      </c>
      <c r="J3393" s="1" t="s">
        <v>15350</v>
      </c>
      <c r="K3393" s="1" t="s">
        <v>22</v>
      </c>
      <c r="L3393" s="1" t="str">
        <f>HYPERLINK("https://files.afu.se/Downloads/Transcripts/0%20-%20Government/USA%20-%20NASA/2012 08 08 - NASA - Expedition 32 InFlight Interviews with WAPA-TV and Univision_C_d6aneQ7Bg - transcript (automated).pdf","Transcript Link")</f>
        <v>Transcript Link</v>
      </c>
      <c r="M3393" s="2" t="str">
        <f>HYPERLINK("https://files.afu.se/Downloads/Transcripts/0%20-%20Government/USA%20-%20NASA/2012 08 08 - NASA - Expedition 32 InFlight Interviews with WAPA-TV and Univision_C_d6aneQ7Bg - transcript (automated).pdf","Transcript Link")</f>
        <v>Transcript Link</v>
      </c>
    </row>
    <row r="3394" ht="165" spans="1:13">
      <c r="A3394" s="1" t="s">
        <v>15351</v>
      </c>
      <c r="B3394" s="1" t="s">
        <v>13</v>
      </c>
      <c r="C3394" s="4" t="s">
        <v>15352</v>
      </c>
      <c r="D3394" s="1" t="s">
        <v>15353</v>
      </c>
      <c r="E3394" s="1" t="s">
        <v>15354</v>
      </c>
      <c r="F3394" s="4" t="s">
        <v>17</v>
      </c>
      <c r="G3394" s="1" t="s">
        <v>18</v>
      </c>
      <c r="H3394" s="1" t="s">
        <v>19</v>
      </c>
      <c r="I3394" s="1" t="s">
        <v>20</v>
      </c>
      <c r="J3394" s="1" t="s">
        <v>15355</v>
      </c>
      <c r="K3394" s="1" t="s">
        <v>22</v>
      </c>
      <c r="L3394" s="1" t="str">
        <f>HYPERLINK("https://files.afu.se/Downloads/Transcripts/0%20-%20Government/USA%20-%20NASA/2012 08 07 - NASA - First Color Pic Beamed Back by Curiosity on Sol 2_m5YtXtp5WAc - transcript (automated).pdf","Transcript Link")</f>
        <v>Transcript Link</v>
      </c>
      <c r="M3394" s="2" t="str">
        <f>HYPERLINK("https://files.afu.se/Downloads/Transcripts/0%20-%20Government/USA%20-%20NASA/2012 08 07 - NASA - First Color Pic Beamed Back by Curiosity on Sol 2_m5YtXtp5WAc - transcript (automated).pdf","Transcript Link")</f>
        <v>Transcript Link</v>
      </c>
    </row>
    <row r="3395" ht="165" spans="1:13">
      <c r="A3395" s="1" t="s">
        <v>15351</v>
      </c>
      <c r="B3395" s="1" t="s">
        <v>13</v>
      </c>
      <c r="C3395" s="4" t="s">
        <v>15356</v>
      </c>
      <c r="D3395" s="1" t="s">
        <v>15357</v>
      </c>
      <c r="E3395" s="1" t="s">
        <v>15358</v>
      </c>
      <c r="F3395" s="4" t="s">
        <v>17</v>
      </c>
      <c r="G3395" s="1" t="s">
        <v>18</v>
      </c>
      <c r="H3395" s="1" t="s">
        <v>19</v>
      </c>
      <c r="I3395" s="1" t="s">
        <v>20</v>
      </c>
      <c r="J3395" s="1" t="s">
        <v>15359</v>
      </c>
      <c r="K3395" s="1" t="s">
        <v>22</v>
      </c>
      <c r="L3395" s="1" t="str">
        <f>HYPERLINK("https://files.afu.se/Downloads/Transcripts/0%20-%20Government/USA%20-%20NASA/2012 08 07 - NASA - Curiosity Has Landed! on This Week @NASA_j3smd4INzng - transcript (automated).pdf","Transcript Link")</f>
        <v>Transcript Link</v>
      </c>
      <c r="M3395" s="2" t="str">
        <f>HYPERLINK("https://files.afu.se/Downloads/Transcripts/0%20-%20Government/USA%20-%20NASA/2012 08 07 - NASA - Curiosity Has Landed! on This Week @NASA_j3smd4INzng - transcript (automated).pdf","Transcript Link")</f>
        <v>Transcript Link</v>
      </c>
    </row>
    <row r="3396" ht="165" spans="1:13">
      <c r="A3396" s="1" t="s">
        <v>15351</v>
      </c>
      <c r="B3396" s="1" t="s">
        <v>13</v>
      </c>
      <c r="C3396" s="4" t="s">
        <v>15360</v>
      </c>
      <c r="D3396" s="1" t="s">
        <v>15361</v>
      </c>
      <c r="F3396" s="4" t="s">
        <v>17</v>
      </c>
      <c r="G3396" s="1" t="s">
        <v>18</v>
      </c>
      <c r="H3396" s="1" t="s">
        <v>19</v>
      </c>
      <c r="I3396" s="1" t="s">
        <v>20</v>
      </c>
      <c r="J3396" s="1" t="s">
        <v>15362</v>
      </c>
      <c r="K3396" s="1" t="s">
        <v>22</v>
      </c>
      <c r="L3396" s="1" t="str">
        <f>HYPERLINK("https://files.afu.se/Downloads/Transcripts/0%20-%20Government/USA%20-%20NASA/2012 08 07 - NASA - MSL Landing Recap and Sol 1 Outlook_AAA3ANe8FMs - transcript (automated).pdf","Transcript Link")</f>
        <v>Transcript Link</v>
      </c>
      <c r="M3396" s="2" t="str">
        <f>HYPERLINK("https://files.afu.se/Downloads/Transcripts/0%20-%20Government/USA%20-%20NASA/2012 08 07 - NASA - MSL Landing Recap and Sol 1 Outlook_AAA3ANe8FMs - transcript (automated).pdf","Transcript Link")</f>
        <v>Transcript Link</v>
      </c>
    </row>
    <row r="3397" ht="165" spans="1:13">
      <c r="A3397" s="1" t="s">
        <v>15351</v>
      </c>
      <c r="B3397" s="1" t="s">
        <v>13</v>
      </c>
      <c r="C3397" s="4" t="s">
        <v>15363</v>
      </c>
      <c r="D3397" s="1" t="s">
        <v>15364</v>
      </c>
      <c r="E3397" s="1" t="s">
        <v>15365</v>
      </c>
      <c r="F3397" s="4" t="s">
        <v>17</v>
      </c>
      <c r="G3397" s="1" t="s">
        <v>18</v>
      </c>
      <c r="H3397" s="1" t="s">
        <v>19</v>
      </c>
      <c r="I3397" s="1" t="s">
        <v>20</v>
      </c>
      <c r="J3397" s="1" t="s">
        <v>15366</v>
      </c>
      <c r="K3397" s="1" t="s">
        <v>22</v>
      </c>
      <c r="L3397" s="1" t="str">
        <f>HYPERLINK("https://files.afu.se/Downloads/Transcripts/0%20-%20Government/USA%20-%20NASA/2012 08 07 - NASA - Curiosity's Sol 1 Scoped for Media_drGX9SVQQRI - transcript (automated).pdf","Transcript Link")</f>
        <v>Transcript Link</v>
      </c>
      <c r="M3397" s="2" t="str">
        <f>HYPERLINK("https://files.afu.se/Downloads/Transcripts/0%20-%20Government/USA%20-%20NASA/2012 08 07 - NASA - Curiosity's Sol 1 Scoped for Media_drGX9SVQQRI - transcript (automated).pdf","Transcript Link")</f>
        <v>Transcript Link</v>
      </c>
    </row>
    <row r="3398" ht="165" spans="1:13">
      <c r="A3398" s="1" t="s">
        <v>15367</v>
      </c>
      <c r="B3398" s="1" t="s">
        <v>13</v>
      </c>
      <c r="C3398" s="4" t="s">
        <v>15368</v>
      </c>
      <c r="D3398" s="1" t="s">
        <v>15369</v>
      </c>
      <c r="E3398" s="1" t="s">
        <v>15370</v>
      </c>
      <c r="F3398" s="4" t="s">
        <v>17</v>
      </c>
      <c r="G3398" s="1" t="s">
        <v>18</v>
      </c>
      <c r="H3398" s="1" t="s">
        <v>19</v>
      </c>
      <c r="I3398" s="1" t="s">
        <v>20</v>
      </c>
      <c r="J3398" s="1" t="s">
        <v>15371</v>
      </c>
      <c r="K3398" s="1" t="s">
        <v>22</v>
      </c>
      <c r="L3398" s="1" t="str">
        <f>HYPERLINK("https://files.afu.se/Downloads/Transcripts/0%20-%20Government/USA%20-%20NASA/2012 08 06 - NASA - Curiosity has Landed_Ti_yre6dsa4 - transcript (automated).pdf","Transcript Link")</f>
        <v>Transcript Link</v>
      </c>
      <c r="M3398" s="2" t="str">
        <f>HYPERLINK("https://files.afu.se/Downloads/Transcripts/0%20-%20Government/USA%20-%20NASA/2012 08 06 - NASA - Curiosity has Landed_Ti_yre6dsa4 - transcript (automated).pdf","Transcript Link")</f>
        <v>Transcript Link</v>
      </c>
    </row>
    <row r="3399" ht="165" spans="1:13">
      <c r="A3399" s="1" t="s">
        <v>15367</v>
      </c>
      <c r="B3399" s="1" t="s">
        <v>13</v>
      </c>
      <c r="C3399" s="4" t="s">
        <v>15372</v>
      </c>
      <c r="D3399" s="1" t="s">
        <v>15373</v>
      </c>
      <c r="E3399" s="1" t="s">
        <v>15374</v>
      </c>
      <c r="F3399" s="4" t="s">
        <v>17</v>
      </c>
      <c r="G3399" s="1" t="s">
        <v>18</v>
      </c>
      <c r="H3399" s="1" t="s">
        <v>19</v>
      </c>
      <c r="I3399" s="1" t="s">
        <v>20</v>
      </c>
      <c r="J3399" s="1" t="s">
        <v>15375</v>
      </c>
      <c r="K3399" s="1" t="s">
        <v>22</v>
      </c>
      <c r="L3399" s="1" t="str">
        <f>HYPERLINK("https://files.afu.se/Downloads/Transcripts/0%20-%20Government/USA%20-%20NASA/2012 08 06 - NASA - Curiosity Rover Begins Mars Mission_FVzfDZlEwaU - transcript (automated).pdf","Transcript Link")</f>
        <v>Transcript Link</v>
      </c>
      <c r="M3399" s="2" t="str">
        <f>HYPERLINK("https://files.afu.se/Downloads/Transcripts/0%20-%20Government/USA%20-%20NASA/2012 08 06 - NASA - Curiosity Rover Begins Mars Mission_FVzfDZlEwaU - transcript (automated).pdf","Transcript Link")</f>
        <v>Transcript Link</v>
      </c>
    </row>
    <row r="3400" ht="165" spans="1:13">
      <c r="A3400" s="1" t="s">
        <v>15367</v>
      </c>
      <c r="B3400" s="1" t="s">
        <v>13</v>
      </c>
      <c r="C3400" s="4" t="s">
        <v>15376</v>
      </c>
      <c r="D3400" s="1" t="s">
        <v>15377</v>
      </c>
      <c r="E3400" s="1" t="s">
        <v>15378</v>
      </c>
      <c r="F3400" s="4" t="s">
        <v>17</v>
      </c>
      <c r="G3400" s="1" t="s">
        <v>18</v>
      </c>
      <c r="H3400" s="1" t="s">
        <v>19</v>
      </c>
      <c r="I3400" s="1" t="s">
        <v>20</v>
      </c>
      <c r="J3400" s="1" t="s">
        <v>15379</v>
      </c>
      <c r="K3400" s="1" t="s">
        <v>22</v>
      </c>
      <c r="L3400" s="1" t="str">
        <f>HYPERLINK("https://files.afu.se/Downloads/Transcripts/0%20-%20Government/USA%20-%20NASA/2012 08 06 - NASA - NASA Lands Car-Size Rover Beside Martian Mountain_wnG-rFFpP8A - transcript (automated).pdf","Transcript Link")</f>
        <v>Transcript Link</v>
      </c>
      <c r="M3400" s="2" t="str">
        <f>HYPERLINK("https://files.afu.se/Downloads/Transcripts/0%20-%20Government/USA%20-%20NASA/2012 08 06 - NASA - NASA Lands Car-Size Rover Beside Martian Mountain_wnG-rFFpP8A - transcript (automated).pdf","Transcript Link")</f>
        <v>Transcript Link</v>
      </c>
    </row>
    <row r="3401" ht="165" spans="1:13">
      <c r="A3401" s="1" t="s">
        <v>15380</v>
      </c>
      <c r="B3401" s="1" t="s">
        <v>13</v>
      </c>
      <c r="C3401" s="4" t="s">
        <v>15381</v>
      </c>
      <c r="D3401" s="1" t="s">
        <v>15382</v>
      </c>
      <c r="F3401" s="4" t="s">
        <v>17</v>
      </c>
      <c r="G3401" s="1" t="s">
        <v>18</v>
      </c>
      <c r="H3401" s="1" t="s">
        <v>19</v>
      </c>
      <c r="I3401" s="1" t="s">
        <v>20</v>
      </c>
      <c r="J3401" s="1" t="s">
        <v>15383</v>
      </c>
      <c r="K3401" s="1" t="s">
        <v>22</v>
      </c>
      <c r="L3401" s="1" t="str">
        <f>HYPERLINK("https://files.afu.se/Downloads/Transcripts/0%20-%20Government/USA%20-%20NASA/2012 08 05 - NASA - Science Chat with NASA's John Grunsfeld and JPL's Charles Elachi_imOr0y74FxI - transcript (automated).pdf","Transcript Link")</f>
        <v>Transcript Link</v>
      </c>
      <c r="M3401" s="2" t="str">
        <f>HYPERLINK("https://files.afu.se/Downloads/Transcripts/0%20-%20Government/USA%20-%20NASA/2012 08 05 - NASA - Science Chat with NASA's John Grunsfeld and JPL's Charles Elachi_imOr0y74FxI - transcript (automated).pdf","Transcript Link")</f>
        <v>Transcript Link</v>
      </c>
    </row>
    <row r="3402" ht="165" spans="1:13">
      <c r="A3402" s="1" t="s">
        <v>15380</v>
      </c>
      <c r="B3402" s="1" t="s">
        <v>13</v>
      </c>
      <c r="C3402" s="4" t="s">
        <v>15384</v>
      </c>
      <c r="D3402" s="1" t="s">
        <v>15385</v>
      </c>
      <c r="F3402" s="4" t="s">
        <v>17</v>
      </c>
      <c r="G3402" s="1" t="s">
        <v>18</v>
      </c>
      <c r="H3402" s="1" t="s">
        <v>19</v>
      </c>
      <c r="I3402" s="1" t="s">
        <v>20</v>
      </c>
      <c r="J3402" s="1" t="s">
        <v>15386</v>
      </c>
      <c r="K3402" s="1" t="s">
        <v>22</v>
      </c>
      <c r="L3402" s="1" t="str">
        <f>HYPERLINK("https://files.afu.se/Downloads/Transcripts/0%20-%20Government/USA%20-%20NASA/2012 08 05 - NASA - MSL Curiosity Pre-Landing News Conference and Rover Communication Overview_Ps01BLaO7D8 - transcript (automated).pdf","Transcript Link")</f>
        <v>Transcript Link</v>
      </c>
      <c r="M3402" s="2" t="str">
        <f>HYPERLINK("https://files.afu.se/Downloads/Transcripts/0%20-%20Government/USA%20-%20NASA/2012 08 05 - NASA - MSL Curiosity Pre-Landing News Conference and Rover Communication Overview_Ps01BLaO7D8 - transcript (automated).pdf","Transcript Link")</f>
        <v>Transcript Link</v>
      </c>
    </row>
    <row r="3403" ht="165" spans="1:13">
      <c r="A3403" s="1" t="s">
        <v>15387</v>
      </c>
      <c r="B3403" s="1" t="s">
        <v>13</v>
      </c>
      <c r="C3403" s="4" t="s">
        <v>15388</v>
      </c>
      <c r="D3403" s="1" t="s">
        <v>15389</v>
      </c>
      <c r="F3403" s="4" t="s">
        <v>17</v>
      </c>
      <c r="G3403" s="1" t="s">
        <v>18</v>
      </c>
      <c r="H3403" s="1" t="s">
        <v>19</v>
      </c>
      <c r="I3403" s="1" t="s">
        <v>20</v>
      </c>
      <c r="J3403" s="1" t="s">
        <v>15390</v>
      </c>
      <c r="K3403" s="1" t="s">
        <v>22</v>
      </c>
      <c r="L3403" s="1" t="str">
        <f>HYPERLINK("https://files.afu.se/Downloads/Transcripts/0%20-%20Government/USA%20-%20NASA/2012 08 04 - NASA - MSL Mission Status and Entry, Descent and Landing Overview_7yB9-oMj2ew - transcript (automated).pdf","Transcript Link")</f>
        <v>Transcript Link</v>
      </c>
      <c r="M3403" s="2" t="str">
        <f>HYPERLINK("https://files.afu.se/Downloads/Transcripts/0%20-%20Government/USA%20-%20NASA/2012 08 04 - NASA - MSL Mission Status and Entry, Descent and Landing Overview_7yB9-oMj2ew - transcript (automated).pdf","Transcript Link")</f>
        <v>Transcript Link</v>
      </c>
    </row>
    <row r="3404" ht="180" spans="1:13">
      <c r="A3404" s="1" t="s">
        <v>15391</v>
      </c>
      <c r="B3404" s="1" t="s">
        <v>13</v>
      </c>
      <c r="C3404" s="4" t="s">
        <v>15392</v>
      </c>
      <c r="D3404" s="1" t="s">
        <v>15393</v>
      </c>
      <c r="E3404" s="1" t="s">
        <v>15394</v>
      </c>
      <c r="F3404" s="4" t="s">
        <v>17</v>
      </c>
      <c r="G3404" s="1" t="s">
        <v>18</v>
      </c>
      <c r="H3404" s="1" t="s">
        <v>19</v>
      </c>
      <c r="I3404" s="1" t="s">
        <v>20</v>
      </c>
      <c r="J3404" s="1" t="s">
        <v>15395</v>
      </c>
      <c r="K3404" s="1" t="s">
        <v>22</v>
      </c>
      <c r="L3404" s="1" t="str">
        <f>HYPERLINK("https://files.afu.se/Downloads/Transcripts/0%20-%20Government/USA%20-%20NASA/2012 08 03 - NASA - Curiosity's Landing on This Week @NASA_DLbSvMk4Pf0 - transcript (automated).pdf","Transcript Link")</f>
        <v>Transcript Link</v>
      </c>
      <c r="M3404" s="2" t="str">
        <f>HYPERLINK("https://files.afu.se/Downloads/Transcripts/0%20-%20Government/USA%20-%20NASA/2012 08 03 - NASA - Curiosity's Landing on This Week @NASA_DLbSvMk4Pf0 - transcript (automated).pdf","Transcript Link")</f>
        <v>Transcript Link</v>
      </c>
    </row>
    <row r="3405" ht="165" spans="1:13">
      <c r="A3405" s="1" t="s">
        <v>15391</v>
      </c>
      <c r="B3405" s="1" t="s">
        <v>13</v>
      </c>
      <c r="C3405" s="4" t="s">
        <v>15396</v>
      </c>
      <c r="D3405" s="1" t="s">
        <v>15397</v>
      </c>
      <c r="E3405" s="1" t="s">
        <v>15398</v>
      </c>
      <c r="F3405" s="4" t="s">
        <v>17</v>
      </c>
      <c r="G3405" s="1" t="s">
        <v>18</v>
      </c>
      <c r="H3405" s="1" t="s">
        <v>19</v>
      </c>
      <c r="I3405" s="1" t="s">
        <v>20</v>
      </c>
      <c r="J3405" s="1" t="s">
        <v>15399</v>
      </c>
      <c r="K3405" s="1" t="s">
        <v>22</v>
      </c>
      <c r="L3405" s="1" t="str">
        <f>HYPERLINK("https://files.afu.se/Downloads/Transcripts/0%20-%20Government/USA%20-%20NASA/2012 08 03 - NASA - NASA Chooses Next-Gen Companies for Human Spaceflight_dmhSov4m1MI - transcript (automated).pdf","Transcript Link")</f>
        <v>Transcript Link</v>
      </c>
      <c r="M3405" s="2" t="str">
        <f>HYPERLINK("https://files.afu.se/Downloads/Transcripts/0%20-%20Government/USA%20-%20NASA/2012 08 03 - NASA - NASA Chooses Next-Gen Companies for Human Spaceflight_dmhSov4m1MI - transcript (automated).pdf","Transcript Link")</f>
        <v>Transcript Link</v>
      </c>
    </row>
    <row r="3406" ht="165" spans="1:13">
      <c r="A3406" s="1" t="s">
        <v>15400</v>
      </c>
      <c r="B3406" s="1" t="s">
        <v>13</v>
      </c>
      <c r="C3406" s="4" t="s">
        <v>15401</v>
      </c>
      <c r="D3406" s="1" t="s">
        <v>15402</v>
      </c>
      <c r="E3406" s="1" t="s">
        <v>15403</v>
      </c>
      <c r="F3406" s="4" t="s">
        <v>17</v>
      </c>
      <c r="G3406" s="1" t="s">
        <v>18</v>
      </c>
      <c r="H3406" s="1" t="s">
        <v>19</v>
      </c>
      <c r="I3406" s="1" t="s">
        <v>20</v>
      </c>
      <c r="J3406" s="1" t="s">
        <v>15404</v>
      </c>
      <c r="K3406" s="1" t="s">
        <v>22</v>
      </c>
      <c r="L3406" s="1" t="str">
        <f>HYPERLINK("https://files.afu.se/Downloads/Transcripts/0%20-%20Government/USA%20-%20NASA/2012 08 02 - NASA - ScienceCasts  Meteor Smoke Makes Strange Clouds_QnodZFD0-RM - transcript (automated).pdf","Transcript Link")</f>
        <v>Transcript Link</v>
      </c>
      <c r="M3406" s="2" t="str">
        <f>HYPERLINK("https://files.afu.se/Downloads/Transcripts/0%20-%20Government/USA%20-%20NASA/2012 08 02 - NASA - ScienceCasts  Meteor Smoke Makes Strange Clouds_QnodZFD0-RM - transcript (automated).pdf","Transcript Link")</f>
        <v>Transcript Link</v>
      </c>
    </row>
    <row r="3407" ht="165" spans="1:13">
      <c r="A3407" s="1" t="s">
        <v>15400</v>
      </c>
      <c r="B3407" s="1" t="s">
        <v>13</v>
      </c>
      <c r="C3407" s="4" t="s">
        <v>15405</v>
      </c>
      <c r="D3407" s="1" t="s">
        <v>15406</v>
      </c>
      <c r="E3407" s="1" t="s">
        <v>15407</v>
      </c>
      <c r="F3407" s="4" t="s">
        <v>17</v>
      </c>
      <c r="G3407" s="1" t="s">
        <v>18</v>
      </c>
      <c r="H3407" s="1" t="s">
        <v>19</v>
      </c>
      <c r="I3407" s="1" t="s">
        <v>20</v>
      </c>
      <c r="J3407" s="1" t="s">
        <v>15408</v>
      </c>
      <c r="K3407" s="1" t="s">
        <v>22</v>
      </c>
      <c r="L3407" s="1" t="str">
        <f>HYPERLINK("https://files.afu.se/Downloads/Transcripts/0%20-%20Government/USA%20-%20NASA/2012 08 02 - NASA - 2012 NASA Agency Honor Awards Ceremony_nA3rOlwOfzY - transcript (automated).pdf","Transcript Link")</f>
        <v>Transcript Link</v>
      </c>
      <c r="M3407" s="2" t="str">
        <f>HYPERLINK("https://files.afu.se/Downloads/Transcripts/0%20-%20Government/USA%20-%20NASA/2012 08 02 - NASA - 2012 NASA Agency Honor Awards Ceremony_nA3rOlwOfzY - transcript (automated).pdf","Transcript Link")</f>
        <v>Transcript Link</v>
      </c>
    </row>
    <row r="3408" ht="165" spans="1:13">
      <c r="A3408" s="1" t="s">
        <v>15400</v>
      </c>
      <c r="B3408" s="1" t="s">
        <v>13</v>
      </c>
      <c r="C3408" s="4" t="s">
        <v>15409</v>
      </c>
      <c r="D3408" s="1" t="s">
        <v>14384</v>
      </c>
      <c r="F3408" s="4" t="s">
        <v>17</v>
      </c>
      <c r="G3408" s="1" t="s">
        <v>18</v>
      </c>
      <c r="H3408" s="1" t="s">
        <v>19</v>
      </c>
      <c r="I3408" s="1" t="s">
        <v>20</v>
      </c>
      <c r="J3408" s="1" t="s">
        <v>15410</v>
      </c>
      <c r="K3408" s="1" t="s">
        <v>22</v>
      </c>
      <c r="L3408" s="1" t="str">
        <f>HYPERLINK("https://files.afu.se/Downloads/Transcripts/0%20-%20Government/USA%20-%20NASA/2012 08 02 - NASA - ISS Mission Control Interview with the Digital Learning Network_7jZslKRtZNE - transcript (automated).pdf","Transcript Link")</f>
        <v>Transcript Link</v>
      </c>
      <c r="M3408" s="2" t="str">
        <f>HYPERLINK("https://files.afu.se/Downloads/Transcripts/0%20-%20Government/USA%20-%20NASA/2012 08 02 - NASA - ISS Mission Control Interview with the Digital Learning Network_7jZslKRtZNE - transcript (automated).pdf","Transcript Link")</f>
        <v>Transcript Link</v>
      </c>
    </row>
    <row r="3409" ht="165" spans="1:13">
      <c r="A3409" s="1" t="s">
        <v>15400</v>
      </c>
      <c r="B3409" s="1" t="s">
        <v>13</v>
      </c>
      <c r="C3409" s="4" t="s">
        <v>15411</v>
      </c>
      <c r="D3409" s="1" t="s">
        <v>15412</v>
      </c>
      <c r="E3409" s="1" t="s">
        <v>15413</v>
      </c>
      <c r="F3409" s="4" t="s">
        <v>17</v>
      </c>
      <c r="G3409" s="1" t="s">
        <v>18</v>
      </c>
      <c r="H3409" s="1" t="s">
        <v>19</v>
      </c>
      <c r="I3409" s="1" t="s">
        <v>20</v>
      </c>
      <c r="J3409" s="1" t="s">
        <v>15414</v>
      </c>
      <c r="K3409" s="1" t="s">
        <v>22</v>
      </c>
      <c r="L3409" s="1" t="str">
        <f>HYPERLINK("https://files.afu.se/Downloads/Transcripts/0%20-%20Government/USA%20-%20NASA/2012 08 02 - NASA - Station Crew Member Suni Williams Discusses Life in Space with Media Representatives_q6lP8Kg9jnE - transcript (automated).pdf","Transcript Link")</f>
        <v>Transcript Link</v>
      </c>
      <c r="M3409" s="2" t="str">
        <f>HYPERLINK("https://files.afu.se/Downloads/Transcripts/0%20-%20Government/USA%20-%20NASA/2012 08 02 - NASA - Station Crew Member Suni Williams Discusses Life in Space with Media Representatives_q6lP8Kg9jnE - transcript (automated).pdf","Transcript Link")</f>
        <v>Transcript Link</v>
      </c>
    </row>
    <row r="3410" ht="165" spans="1:13">
      <c r="A3410" s="1" t="s">
        <v>15400</v>
      </c>
      <c r="B3410" s="1" t="s">
        <v>13</v>
      </c>
      <c r="C3410" s="4" t="s">
        <v>15415</v>
      </c>
      <c r="D3410" s="1" t="s">
        <v>15416</v>
      </c>
      <c r="F3410" s="4" t="s">
        <v>17</v>
      </c>
      <c r="G3410" s="1" t="s">
        <v>18</v>
      </c>
      <c r="H3410" s="1" t="s">
        <v>19</v>
      </c>
      <c r="I3410" s="1" t="s">
        <v>20</v>
      </c>
      <c r="J3410" s="1" t="s">
        <v>15417</v>
      </c>
      <c r="K3410" s="1" t="s">
        <v>22</v>
      </c>
      <c r="L3410" s="1" t="str">
        <f>HYPERLINK("https://files.afu.se/Downloads/Transcripts/0%20-%20Government/USA%20-%20NASA/2012 08 02 - NASA - MSL Mission Science Overview_KP-IR0MkZfs - transcript (automated).pdf","Transcript Link")</f>
        <v>Transcript Link</v>
      </c>
      <c r="M3410" s="2" t="str">
        <f>HYPERLINK("https://files.afu.se/Downloads/Transcripts/0%20-%20Government/USA%20-%20NASA/2012 08 02 - NASA - MSL Mission Science Overview_KP-IR0MkZfs - transcript (automated).pdf","Transcript Link")</f>
        <v>Transcript Link</v>
      </c>
    </row>
    <row r="3411" ht="165" spans="1:13">
      <c r="A3411" s="1" t="s">
        <v>15400</v>
      </c>
      <c r="B3411" s="1" t="s">
        <v>13</v>
      </c>
      <c r="C3411" s="4" t="s">
        <v>15418</v>
      </c>
      <c r="D3411" s="1" t="s">
        <v>15419</v>
      </c>
      <c r="F3411" s="4" t="s">
        <v>17</v>
      </c>
      <c r="G3411" s="1" t="s">
        <v>18</v>
      </c>
      <c r="H3411" s="1" t="s">
        <v>19</v>
      </c>
      <c r="I3411" s="1" t="s">
        <v>20</v>
      </c>
      <c r="J3411" s="1" t="s">
        <v>15420</v>
      </c>
      <c r="K3411" s="1" t="s">
        <v>22</v>
      </c>
      <c r="L3411" s="1" t="str">
        <f>HYPERLINK("https://files.afu.se/Downloads/Transcripts/0%20-%20Government/USA%20-%20NASA/2012 08 02 - NASA - MSL Mission Engineering Overview_SwXe_X4UKoM - transcript (automated).pdf","Transcript Link")</f>
        <v>Transcript Link</v>
      </c>
      <c r="M3411" s="2" t="str">
        <f>HYPERLINK("https://files.afu.se/Downloads/Transcripts/0%20-%20Government/USA%20-%20NASA/2012 08 02 - NASA - MSL Mission Engineering Overview_SwXe_X4UKoM - transcript (automated).pdf","Transcript Link")</f>
        <v>Transcript Link</v>
      </c>
    </row>
    <row r="3412" ht="240" spans="1:13">
      <c r="A3412" s="1" t="s">
        <v>15400</v>
      </c>
      <c r="B3412" s="1" t="s">
        <v>13</v>
      </c>
      <c r="C3412" s="4" t="s">
        <v>15421</v>
      </c>
      <c r="D3412" s="1" t="s">
        <v>15422</v>
      </c>
      <c r="E3412" s="1" t="s">
        <v>15423</v>
      </c>
      <c r="F3412" s="4" t="s">
        <v>17</v>
      </c>
      <c r="G3412" s="1" t="s">
        <v>18</v>
      </c>
      <c r="H3412" s="1" t="s">
        <v>19</v>
      </c>
      <c r="I3412" s="1" t="s">
        <v>20</v>
      </c>
      <c r="J3412" s="1" t="s">
        <v>15424</v>
      </c>
      <c r="K3412" s="1" t="s">
        <v>22</v>
      </c>
      <c r="L3412" s="1" t="str">
        <f>HYPERLINK("https://files.afu.se/Downloads/Transcripts/0%20-%20Government/USA%20-%20NASA/2012 08 02 - NASA - NEW RUSSIAN RESUPPLY SHIP COMPLETES EXPEDITED TRIP TO THE SPACE STATION_zyXOTYlkSVI - transcript (automated).pdf","Transcript Link")</f>
        <v>Transcript Link</v>
      </c>
      <c r="M3412" s="2" t="str">
        <f>HYPERLINK("https://files.afu.se/Downloads/Transcripts/0%20-%20Government/USA%20-%20NASA/2012 08 02 - NASA - NEW RUSSIAN RESUPPLY SHIP COMPLETES EXPEDITED TRIP TO THE SPACE STATION_zyXOTYlkSVI - transcript (automated).pdf","Transcript Link")</f>
        <v>Transcript Link</v>
      </c>
    </row>
    <row r="3413" ht="210" spans="1:13">
      <c r="A3413" s="1" t="s">
        <v>15425</v>
      </c>
      <c r="B3413" s="1" t="s">
        <v>13</v>
      </c>
      <c r="C3413" s="4" t="s">
        <v>15426</v>
      </c>
      <c r="D3413" s="1" t="s">
        <v>15427</v>
      </c>
      <c r="E3413" s="1" t="s">
        <v>15428</v>
      </c>
      <c r="F3413" s="4" t="s">
        <v>17</v>
      </c>
      <c r="G3413" s="1" t="s">
        <v>18</v>
      </c>
      <c r="H3413" s="1" t="s">
        <v>19</v>
      </c>
      <c r="I3413" s="1" t="s">
        <v>20</v>
      </c>
      <c r="J3413" s="1" t="s">
        <v>15429</v>
      </c>
      <c r="K3413" s="1" t="s">
        <v>22</v>
      </c>
      <c r="L3413" s="1" t="str">
        <f>HYPERLINK("https://files.afu.se/Downloads/Transcripts/0%20-%20Government/USA%20-%20NASA/2012 07 30 - NASA - Space Station Supply Ship Departs for the Final Time_nzYZlkHkM1M - transcript (automated).pdf","Transcript Link")</f>
        <v>Transcript Link</v>
      </c>
      <c r="M3413" s="2" t="str">
        <f>HYPERLINK("https://files.afu.se/Downloads/Transcripts/0%20-%20Government/USA%20-%20NASA/2012 07 30 - NASA - Space Station Supply Ship Departs for the Final Time_nzYZlkHkM1M - transcript (automated).pdf","Transcript Link")</f>
        <v>Transcript Link</v>
      </c>
    </row>
    <row r="3414" ht="165" spans="1:13">
      <c r="A3414" s="1" t="s">
        <v>15425</v>
      </c>
      <c r="B3414" s="1" t="s">
        <v>13</v>
      </c>
      <c r="C3414" s="4" t="s">
        <v>15430</v>
      </c>
      <c r="D3414" s="1" t="s">
        <v>15431</v>
      </c>
      <c r="E3414" s="1" t="s">
        <v>15432</v>
      </c>
      <c r="F3414" s="4" t="s">
        <v>17</v>
      </c>
      <c r="G3414" s="1" t="s">
        <v>18</v>
      </c>
      <c r="H3414" s="1" t="s">
        <v>19</v>
      </c>
      <c r="I3414" s="1" t="s">
        <v>20</v>
      </c>
      <c r="J3414" s="1" t="s">
        <v>15433</v>
      </c>
      <c r="K3414" s="1" t="s">
        <v>22</v>
      </c>
      <c r="L3414" s="1" t="str">
        <f>HYPERLINK("https://files.afu.se/Downloads/Transcripts/0%20-%20Government/USA%20-%20NASA/2012 07 30 - NASA - Shatner Hosts Curiosity's  Grand Entrance  to Mars_nttnecwEku8 - transcript (automated).pdf","Transcript Link")</f>
        <v>Transcript Link</v>
      </c>
      <c r="M3414" s="2" t="str">
        <f>HYPERLINK("https://files.afu.se/Downloads/Transcripts/0%20-%20Government/USA%20-%20NASA/2012 07 30 - NASA - Shatner Hosts Curiosity's  Grand Entrance  to Mars_nttnecwEku8 - transcript (automated).pdf","Transcript Link")</f>
        <v>Transcript Link</v>
      </c>
    </row>
    <row r="3415" ht="165" spans="1:13">
      <c r="A3415" s="1" t="s">
        <v>15425</v>
      </c>
      <c r="B3415" s="1" t="s">
        <v>13</v>
      </c>
      <c r="C3415" s="4" t="s">
        <v>15434</v>
      </c>
      <c r="D3415" s="1" t="s">
        <v>15435</v>
      </c>
      <c r="E3415" s="1" t="s">
        <v>15436</v>
      </c>
      <c r="F3415" s="4" t="s">
        <v>17</v>
      </c>
      <c r="G3415" s="1" t="s">
        <v>18</v>
      </c>
      <c r="H3415" s="1" t="s">
        <v>19</v>
      </c>
      <c r="I3415" s="1" t="s">
        <v>20</v>
      </c>
      <c r="J3415" s="1" t="s">
        <v>15437</v>
      </c>
      <c r="K3415" s="1" t="s">
        <v>22</v>
      </c>
      <c r="L3415" s="1" t="str">
        <f>HYPERLINK("https://files.afu.se/Downloads/Transcripts/0%20-%20Government/USA%20-%20NASA/2012 07 30 - NASA - Wheaton Guides Curiosity's Fans to Red Planet_7-I1CfgIyNU - transcript (automated).pdf","Transcript Link")</f>
        <v>Transcript Link</v>
      </c>
      <c r="M3415" s="2" t="str">
        <f>HYPERLINK("https://files.afu.se/Downloads/Transcripts/0%20-%20Government/USA%20-%20NASA/2012 07 30 - NASA - Wheaton Guides Curiosity's Fans to Red Planet_7-I1CfgIyNU - transcript (automated).pdf","Transcript Link")</f>
        <v>Transcript Link</v>
      </c>
    </row>
    <row r="3416" ht="165" spans="1:13">
      <c r="A3416" s="1" t="s">
        <v>15438</v>
      </c>
      <c r="B3416" s="1" t="s">
        <v>13</v>
      </c>
      <c r="C3416" s="4" t="s">
        <v>15439</v>
      </c>
      <c r="D3416" s="1" t="s">
        <v>15440</v>
      </c>
      <c r="E3416" s="1" t="s">
        <v>15441</v>
      </c>
      <c r="F3416" s="4" t="s">
        <v>17</v>
      </c>
      <c r="G3416" s="1" t="s">
        <v>18</v>
      </c>
      <c r="H3416" s="1" t="s">
        <v>19</v>
      </c>
      <c r="I3416" s="1" t="s">
        <v>20</v>
      </c>
      <c r="J3416" s="1" t="s">
        <v>15442</v>
      </c>
      <c r="K3416" s="1" t="s">
        <v>22</v>
      </c>
      <c r="L3416" s="1" t="str">
        <f>HYPERLINK("https://files.afu.se/Downloads/Transcripts/0%20-%20Government/USA%20-%20NASA/2012 07 29 - NASA - Unmanned Russian Cargo Ship Redocks to Station In Test of Upgraded Rendezvous System_pAEmnmrLjw8 - transcript (automated).pdf","Transcript Link")</f>
        <v>Transcript Link</v>
      </c>
      <c r="M3416" s="2" t="str">
        <f>HYPERLINK("https://files.afu.se/Downloads/Transcripts/0%20-%20Government/USA%20-%20NASA/2012 07 29 - NASA - Unmanned Russian Cargo Ship Redocks to Station In Test of Upgraded Rendezvous System_pAEmnmrLjw8 - transcript (automated).pdf","Transcript Link")</f>
        <v>Transcript Link</v>
      </c>
    </row>
    <row r="3417" ht="165" spans="1:13">
      <c r="A3417" s="1" t="s">
        <v>15443</v>
      </c>
      <c r="B3417" s="1" t="s">
        <v>13</v>
      </c>
      <c r="C3417" s="4" t="s">
        <v>15444</v>
      </c>
      <c r="D3417" s="1" t="s">
        <v>15445</v>
      </c>
      <c r="E3417" s="1" t="s">
        <v>15446</v>
      </c>
      <c r="F3417" s="4" t="s">
        <v>17</v>
      </c>
      <c r="G3417" s="1" t="s">
        <v>18</v>
      </c>
      <c r="H3417" s="1" t="s">
        <v>19</v>
      </c>
      <c r="I3417" s="1" t="s">
        <v>20</v>
      </c>
      <c r="J3417" s="1" t="s">
        <v>15447</v>
      </c>
      <c r="K3417" s="1" t="s">
        <v>22</v>
      </c>
      <c r="L3417" s="1" t="str">
        <f>HYPERLINK("https://files.afu.se/Downloads/Transcripts/0%20-%20Government/USA%20-%20NASA/2012 07 27 - NASA - Red Planet Rendezvous on This Week @NASA_V5RCjNGUUdg - transcript (automated).pdf","Transcript Link")</f>
        <v>Transcript Link</v>
      </c>
      <c r="M3417" s="2" t="str">
        <f>HYPERLINK("https://files.afu.se/Downloads/Transcripts/0%20-%20Government/USA%20-%20NASA/2012 07 27 - NASA - Red Planet Rendezvous on This Week @NASA_V5RCjNGUUdg - transcript (automated).pdf","Transcript Link")</f>
        <v>Transcript Link</v>
      </c>
    </row>
    <row r="3418" ht="165" spans="1:13">
      <c r="A3418" s="1" t="s">
        <v>15443</v>
      </c>
      <c r="B3418" s="1" t="s">
        <v>13</v>
      </c>
      <c r="C3418" s="4" t="s">
        <v>15448</v>
      </c>
      <c r="D3418" s="1" t="s">
        <v>15449</v>
      </c>
      <c r="E3418" s="1" t="s">
        <v>15450</v>
      </c>
      <c r="F3418" s="4" t="s">
        <v>17</v>
      </c>
      <c r="G3418" s="1" t="s">
        <v>18</v>
      </c>
      <c r="H3418" s="1" t="s">
        <v>19</v>
      </c>
      <c r="I3418" s="1" t="s">
        <v>20</v>
      </c>
      <c r="J3418" s="1" t="s">
        <v>15451</v>
      </c>
      <c r="K3418" s="1" t="s">
        <v>22</v>
      </c>
      <c r="L3418" s="1" t="str">
        <f>HYPERLINK("https://files.afu.se/Downloads/Transcripts/0%20-%20Government/USA%20-%20NASA/2012 07 27 - NASA - ScienceCasts  Mars Landing Sky Show_GPrXr_HjFiQ - transcript (automated).pdf","Transcript Link")</f>
        <v>Transcript Link</v>
      </c>
      <c r="M3418" s="2" t="str">
        <f>HYPERLINK("https://files.afu.se/Downloads/Transcripts/0%20-%20Government/USA%20-%20NASA/2012 07 27 - NASA - ScienceCasts  Mars Landing Sky Show_GPrXr_HjFiQ - transcript (automated).pdf","Transcript Link")</f>
        <v>Transcript Link</v>
      </c>
    </row>
    <row r="3419" ht="165" spans="1:13">
      <c r="A3419" s="1" t="s">
        <v>15452</v>
      </c>
      <c r="B3419" s="1" t="s">
        <v>13</v>
      </c>
      <c r="C3419" s="4" t="s">
        <v>15453</v>
      </c>
      <c r="D3419" s="1" t="s">
        <v>15454</v>
      </c>
      <c r="E3419" s="1" t="s">
        <v>15455</v>
      </c>
      <c r="F3419" s="4" t="s">
        <v>17</v>
      </c>
      <c r="G3419" s="1" t="s">
        <v>18</v>
      </c>
      <c r="H3419" s="1" t="s">
        <v>19</v>
      </c>
      <c r="I3419" s="1" t="s">
        <v>20</v>
      </c>
      <c r="J3419" s="1" t="s">
        <v>15456</v>
      </c>
      <c r="K3419" s="1" t="s">
        <v>22</v>
      </c>
      <c r="L3419" s="1" t="str">
        <f>HYPERLINK("https://files.afu.se/Downloads/Transcripts/0%20-%20Government/USA%20-%20NASA/2012 07 26 - NASA - Next Station Crew Meet Media__Hy-zGC1knc - transcript (automated).pdf","Transcript Link")</f>
        <v>Transcript Link</v>
      </c>
      <c r="M3419" s="2" t="str">
        <f>HYPERLINK("https://files.afu.se/Downloads/Transcripts/0%20-%20Government/USA%20-%20NASA/2012 07 26 - NASA - Next Station Crew Meet Media__Hy-zGC1knc - transcript (automated).pdf","Transcript Link")</f>
        <v>Transcript Link</v>
      </c>
    </row>
    <row r="3420" ht="165" spans="1:13">
      <c r="A3420" s="1" t="s">
        <v>15452</v>
      </c>
      <c r="B3420" s="1" t="s">
        <v>13</v>
      </c>
      <c r="C3420" s="4" t="s">
        <v>15457</v>
      </c>
      <c r="D3420" s="1" t="s">
        <v>15458</v>
      </c>
      <c r="E3420" s="1" t="s">
        <v>15459</v>
      </c>
      <c r="F3420" s="4" t="s">
        <v>17</v>
      </c>
      <c r="G3420" s="1" t="s">
        <v>18</v>
      </c>
      <c r="H3420" s="1" t="s">
        <v>19</v>
      </c>
      <c r="I3420" s="1" t="s">
        <v>20</v>
      </c>
      <c r="J3420" s="1" t="s">
        <v>15460</v>
      </c>
      <c r="K3420" s="1" t="s">
        <v>22</v>
      </c>
      <c r="L3420" s="1" t="str">
        <f>HYPERLINK("https://files.afu.se/Downloads/Transcripts/0%20-%20Government/USA%20-%20NASA/2012 07 26 - NASA - Next ISS Mission, Science Spotlighted_5tteRAPg2DE - transcript (automated).pdf","Transcript Link")</f>
        <v>Transcript Link</v>
      </c>
      <c r="M3420" s="2" t="str">
        <f>HYPERLINK("https://files.afu.se/Downloads/Transcripts/0%20-%20Government/USA%20-%20NASA/2012 07 26 - NASA - Next ISS Mission, Science Spotlighted_5tteRAPg2DE - transcript (automated).pdf","Transcript Link")</f>
        <v>Transcript Link</v>
      </c>
    </row>
    <row r="3421" ht="165" spans="1:13">
      <c r="A3421" s="1" t="s">
        <v>15461</v>
      </c>
      <c r="B3421" s="1" t="s">
        <v>13</v>
      </c>
      <c r="C3421" s="4" t="s">
        <v>15462</v>
      </c>
      <c r="D3421" s="1" t="s">
        <v>15463</v>
      </c>
      <c r="E3421" s="1" t="s">
        <v>15464</v>
      </c>
      <c r="F3421" s="4" t="s">
        <v>17</v>
      </c>
      <c r="G3421" s="1" t="s">
        <v>18</v>
      </c>
      <c r="H3421" s="1" t="s">
        <v>19</v>
      </c>
      <c r="I3421" s="1" t="s">
        <v>20</v>
      </c>
      <c r="J3421" s="1" t="s">
        <v>15465</v>
      </c>
      <c r="K3421" s="1" t="s">
        <v>22</v>
      </c>
      <c r="L3421" s="1" t="str">
        <f>HYPERLINK("https://files.afu.se/Downloads/Transcripts/0%20-%20Government/USA%20-%20NASA/2012 07 25 - NASA - The Joe Show  Radio Signals from Space!_rpplvjBK7do - transcript (automated).pdf","Transcript Link")</f>
        <v>Transcript Link</v>
      </c>
      <c r="M3421" s="2" t="str">
        <f>HYPERLINK("https://files.afu.se/Downloads/Transcripts/0%20-%20Government/USA%20-%20NASA/2012 07 25 - NASA - The Joe Show  Radio Signals from Space!_rpplvjBK7do - transcript (automated).pdf","Transcript Link")</f>
        <v>Transcript Link</v>
      </c>
    </row>
    <row r="3422" ht="165" spans="1:13">
      <c r="A3422" s="1" t="s">
        <v>15461</v>
      </c>
      <c r="B3422" s="1" t="s">
        <v>13</v>
      </c>
      <c r="C3422" s="4" t="s">
        <v>15466</v>
      </c>
      <c r="D3422" s="1" t="s">
        <v>15467</v>
      </c>
      <c r="E3422" s="1" t="s">
        <v>15468</v>
      </c>
      <c r="F3422" s="4" t="s">
        <v>17</v>
      </c>
      <c r="G3422" s="1" t="s">
        <v>18</v>
      </c>
      <c r="H3422" s="1" t="s">
        <v>19</v>
      </c>
      <c r="I3422" s="1" t="s">
        <v>20</v>
      </c>
      <c r="J3422" s="1" t="s">
        <v>15469</v>
      </c>
      <c r="K3422" s="1" t="s">
        <v>22</v>
      </c>
      <c r="L3422" s="1" t="str">
        <f>HYPERLINK("https://files.afu.se/Downloads/Transcripts/0%20-%20Government/USA%20-%20NASA/2012 07 25 - NASA - Landsat Celebrates 40th Anniversary_Oe34088Bw1E - transcript (automated).pdf","Transcript Link")</f>
        <v>Transcript Link</v>
      </c>
      <c r="M3422" s="2" t="str">
        <f>HYPERLINK("https://files.afu.se/Downloads/Transcripts/0%20-%20Government/USA%20-%20NASA/2012 07 25 - NASA - Landsat Celebrates 40th Anniversary_Oe34088Bw1E - transcript (automated).pdf","Transcript Link")</f>
        <v>Transcript Link</v>
      </c>
    </row>
    <row r="3423" ht="165" spans="1:13">
      <c r="A3423" s="1" t="s">
        <v>15470</v>
      </c>
      <c r="B3423" s="1" t="s">
        <v>13</v>
      </c>
      <c r="C3423" s="4" t="s">
        <v>15471</v>
      </c>
      <c r="D3423" s="1" t="s">
        <v>15472</v>
      </c>
      <c r="E3423" s="1" t="s">
        <v>15473</v>
      </c>
      <c r="F3423" s="4" t="s">
        <v>17</v>
      </c>
      <c r="G3423" s="1" t="s">
        <v>18</v>
      </c>
      <c r="H3423" s="1" t="s">
        <v>19</v>
      </c>
      <c r="I3423" s="1" t="s">
        <v>20</v>
      </c>
      <c r="J3423" s="1" t="s">
        <v>15474</v>
      </c>
      <c r="K3423" s="1" t="s">
        <v>22</v>
      </c>
      <c r="L3423" s="1" t="str">
        <f>HYPERLINK("https://files.afu.se/Downloads/Transcripts/0%20-%20Government/USA%20-%20NASA/2012 07 23 - NASA - NASA-TV's Curiosity Landing Coverage Begins Aug. 5_5Y6ElWadXbo - transcript (automated).pdf","Transcript Link")</f>
        <v>Transcript Link</v>
      </c>
      <c r="M3423" s="2" t="str">
        <f>HYPERLINK("https://files.afu.se/Downloads/Transcripts/0%20-%20Government/USA%20-%20NASA/2012 07 23 - NASA - NASA-TV's Curiosity Landing Coverage Begins Aug. 5_5Y6ElWadXbo - transcript (automated).pdf","Transcript Link")</f>
        <v>Transcript Link</v>
      </c>
    </row>
    <row r="3424" ht="165" spans="1:13">
      <c r="A3424" s="1" t="s">
        <v>15470</v>
      </c>
      <c r="B3424" s="1" t="s">
        <v>13</v>
      </c>
      <c r="C3424" s="4" t="s">
        <v>15475</v>
      </c>
      <c r="D3424" s="1" t="s">
        <v>15476</v>
      </c>
      <c r="E3424" s="1" t="s">
        <v>15477</v>
      </c>
      <c r="F3424" s="4" t="s">
        <v>17</v>
      </c>
      <c r="G3424" s="1" t="s">
        <v>18</v>
      </c>
      <c r="H3424" s="1" t="s">
        <v>19</v>
      </c>
      <c r="I3424" s="1" t="s">
        <v>20</v>
      </c>
      <c r="J3424" s="1" t="s">
        <v>15478</v>
      </c>
      <c r="K3424" s="1" t="s">
        <v>22</v>
      </c>
      <c r="L3424" s="1" t="str">
        <f>HYPERLINK("https://files.afu.se/Downloads/Transcripts/0%20-%20Government/USA%20-%20NASA/2012 07 23 - NASA - IRVE-3 Launches at Wallops_Y5SJggiT_yg - transcript (automated).pdf","Transcript Link")</f>
        <v>Transcript Link</v>
      </c>
      <c r="M3424" s="2" t="str">
        <f>HYPERLINK("https://files.afu.se/Downloads/Transcripts/0%20-%20Government/USA%20-%20NASA/2012 07 23 - NASA - IRVE-3 Launches at Wallops_Y5SJggiT_yg - transcript (automated).pdf","Transcript Link")</f>
        <v>Transcript Link</v>
      </c>
    </row>
    <row r="3425" ht="165" spans="1:13">
      <c r="A3425" s="1" t="s">
        <v>15479</v>
      </c>
      <c r="B3425" s="1" t="s">
        <v>13</v>
      </c>
      <c r="C3425" s="4" t="s">
        <v>15480</v>
      </c>
      <c r="D3425" s="1" t="s">
        <v>15481</v>
      </c>
      <c r="E3425" s="1" t="s">
        <v>15482</v>
      </c>
      <c r="F3425" s="4" t="s">
        <v>17</v>
      </c>
      <c r="G3425" s="1" t="s">
        <v>18</v>
      </c>
      <c r="H3425" s="1" t="s">
        <v>19</v>
      </c>
      <c r="I3425" s="1" t="s">
        <v>20</v>
      </c>
      <c r="J3425" s="1" t="s">
        <v>15483</v>
      </c>
      <c r="K3425" s="1" t="s">
        <v>22</v>
      </c>
      <c r="L3425" s="1" t="str">
        <f>HYPERLINK("https://files.afu.se/Downloads/Transcripts/0%20-%20Government/USA%20-%20NASA/2012 07 22 - NASA - Cargo Ship Undocks From Space Station_WAlLKdOImA0 - transcript (automated).pdf","Transcript Link")</f>
        <v>Transcript Link</v>
      </c>
      <c r="M3425" s="2" t="str">
        <f>HYPERLINK("https://files.afu.se/Downloads/Transcripts/0%20-%20Government/USA%20-%20NASA/2012 07 22 - NASA - Cargo Ship Undocks From Space Station_WAlLKdOImA0 - transcript (automated).pdf","Transcript Link")</f>
        <v>Transcript Link</v>
      </c>
    </row>
    <row r="3426" ht="165" spans="1:13">
      <c r="A3426" s="1" t="s">
        <v>15484</v>
      </c>
      <c r="B3426" s="1" t="s">
        <v>13</v>
      </c>
      <c r="C3426" s="4" t="s">
        <v>15485</v>
      </c>
      <c r="D3426" s="1" t="s">
        <v>14069</v>
      </c>
      <c r="E3426" s="1" t="s">
        <v>15486</v>
      </c>
      <c r="F3426" s="4" t="s">
        <v>17</v>
      </c>
      <c r="G3426" s="1" t="s">
        <v>18</v>
      </c>
      <c r="H3426" s="1" t="s">
        <v>19</v>
      </c>
      <c r="I3426" s="1" t="s">
        <v>20</v>
      </c>
      <c r="J3426" s="1" t="s">
        <v>15487</v>
      </c>
      <c r="K3426" s="1" t="s">
        <v>22</v>
      </c>
      <c r="L3426" s="1" t="str">
        <f>HYPERLINK("https://files.afu.se/Downloads/Transcripts/0%20-%20Government/USA%20-%20NASA/2012 07 21 - NASA - Cargo Ship Launches to ISS_uK3ZeYEr4DU - transcript (automated).pdf","Transcript Link")</f>
        <v>Transcript Link</v>
      </c>
      <c r="M3426" s="2" t="str">
        <f>HYPERLINK("https://files.afu.se/Downloads/Transcripts/0%20-%20Government/USA%20-%20NASA/2012 07 21 - NASA - Cargo Ship Launches to ISS_uK3ZeYEr4DU - transcript (automated).pdf","Transcript Link")</f>
        <v>Transcript Link</v>
      </c>
    </row>
    <row r="3427" ht="165" spans="1:13">
      <c r="A3427" s="1" t="s">
        <v>15488</v>
      </c>
      <c r="B3427" s="1" t="s">
        <v>13</v>
      </c>
      <c r="C3427" s="4" t="s">
        <v>15489</v>
      </c>
      <c r="D3427" s="1" t="s">
        <v>15490</v>
      </c>
      <c r="E3427" s="1" t="s">
        <v>15491</v>
      </c>
      <c r="F3427" s="4" t="s">
        <v>17</v>
      </c>
      <c r="G3427" s="1" t="s">
        <v>18</v>
      </c>
      <c r="H3427" s="1" t="s">
        <v>19</v>
      </c>
      <c r="I3427" s="1" t="s">
        <v>20</v>
      </c>
      <c r="J3427" s="1" t="s">
        <v>15492</v>
      </c>
      <c r="K3427" s="1" t="s">
        <v>22</v>
      </c>
      <c r="L3427" s="1" t="str">
        <f>HYPERLINK("https://files.afu.se/Downloads/Transcripts/0%20-%20Government/USA%20-%20NASA/2012 07 20 - NASA - Countdown to Curiosity on This Week @NASA_EmjnFbTLvZ8 - transcript (automated).pdf","Transcript Link")</f>
        <v>Transcript Link</v>
      </c>
      <c r="M3427" s="2" t="str">
        <f>HYPERLINK("https://files.afu.se/Downloads/Transcripts/0%20-%20Government/USA%20-%20NASA/2012 07 20 - NASA - Countdown to Curiosity on This Week @NASA_EmjnFbTLvZ8 - transcript (automated).pdf","Transcript Link")</f>
        <v>Transcript Link</v>
      </c>
    </row>
    <row r="3428" ht="165" spans="1:13">
      <c r="A3428" s="1" t="s">
        <v>15493</v>
      </c>
      <c r="B3428" s="1" t="s">
        <v>13</v>
      </c>
      <c r="C3428" s="4" t="s">
        <v>15494</v>
      </c>
      <c r="D3428" s="1" t="s">
        <v>15495</v>
      </c>
      <c r="E3428" s="1" t="s">
        <v>15496</v>
      </c>
      <c r="F3428" s="4" t="s">
        <v>17</v>
      </c>
      <c r="G3428" s="1" t="s">
        <v>18</v>
      </c>
      <c r="H3428" s="1" t="s">
        <v>19</v>
      </c>
      <c r="I3428" s="1" t="s">
        <v>20</v>
      </c>
      <c r="J3428" s="1" t="s">
        <v>15497</v>
      </c>
      <c r="K3428" s="1" t="s">
        <v>22</v>
      </c>
      <c r="L3428" s="1" t="str">
        <f>HYPERLINK("https://files.afu.se/Downloads/Transcripts/0%20-%20Government/USA%20-%20NASA/2012 07 19 - NASA - ScienceCasts  A Taste of Solar Maximum_Q2hOv6fcL48 - transcript (automated).pdf","Transcript Link")</f>
        <v>Transcript Link</v>
      </c>
      <c r="M3428" s="2" t="str">
        <f>HYPERLINK("https://files.afu.se/Downloads/Transcripts/0%20-%20Government/USA%20-%20NASA/2012 07 19 - NASA - ScienceCasts  A Taste of Solar Maximum_Q2hOv6fcL48 - transcript (automated).pdf","Transcript Link")</f>
        <v>Transcript Link</v>
      </c>
    </row>
    <row r="3429" ht="165" spans="1:13">
      <c r="A3429" s="1" t="s">
        <v>15493</v>
      </c>
      <c r="B3429" s="1" t="s">
        <v>13</v>
      </c>
      <c r="C3429" s="4" t="s">
        <v>15498</v>
      </c>
      <c r="D3429" s="1" t="s">
        <v>15499</v>
      </c>
      <c r="F3429" s="4" t="s">
        <v>17</v>
      </c>
      <c r="G3429" s="1" t="s">
        <v>18</v>
      </c>
      <c r="H3429" s="1" t="s">
        <v>19</v>
      </c>
      <c r="I3429" s="1" t="s">
        <v>20</v>
      </c>
      <c r="J3429" s="1" t="s">
        <v>15500</v>
      </c>
      <c r="K3429" s="1" t="s">
        <v>22</v>
      </c>
      <c r="L3429" s="1" t="str">
        <f>HYPERLINK("https://files.afu.se/Downloads/Transcripts/0%20-%20Government/USA%20-%20NASA/2012 07 19 - NASA - ISS MC DLN 071912_gG0wj5C9k4I - transcript (automated).pdf","Transcript Link")</f>
        <v>Transcript Link</v>
      </c>
      <c r="M3429" s="2" t="str">
        <f>HYPERLINK("https://files.afu.se/Downloads/Transcripts/0%20-%20Government/USA%20-%20NASA/2012 07 19 - NASA - ISS MC DLN 071912_gG0wj5C9k4I - transcript (automated).pdf","Transcript Link")</f>
        <v>Transcript Link</v>
      </c>
    </row>
    <row r="3430" ht="165" spans="1:13">
      <c r="A3430" s="1" t="s">
        <v>15493</v>
      </c>
      <c r="B3430" s="1" t="s">
        <v>13</v>
      </c>
      <c r="C3430" s="4" t="s">
        <v>15501</v>
      </c>
      <c r="D3430" s="1" t="s">
        <v>15502</v>
      </c>
      <c r="E3430" s="1" t="s">
        <v>15503</v>
      </c>
      <c r="F3430" s="4" t="s">
        <v>17</v>
      </c>
      <c r="G3430" s="1" t="s">
        <v>18</v>
      </c>
      <c r="H3430" s="1" t="s">
        <v>19</v>
      </c>
      <c r="I3430" s="1" t="s">
        <v>20</v>
      </c>
      <c r="J3430" s="1" t="s">
        <v>15504</v>
      </c>
      <c r="K3430" s="1" t="s">
        <v>22</v>
      </c>
      <c r="L3430" s="1" t="str">
        <f>HYPERLINK("https://files.afu.se/Downloads/Transcripts/0%20-%20Government/USA%20-%20NASA/2012 07 19 - NASA - Aki Hosts Station Chat_zpY94hwNmlo - transcript (automated).pdf","Transcript Link")</f>
        <v>Transcript Link</v>
      </c>
      <c r="M3430" s="2" t="str">
        <f>HYPERLINK("https://files.afu.se/Downloads/Transcripts/0%20-%20Government/USA%20-%20NASA/2012 07 19 - NASA - Aki Hosts Station Chat_zpY94hwNmlo - transcript (automated).pdf","Transcript Link")</f>
        <v>Transcript Link</v>
      </c>
    </row>
    <row r="3431" ht="165" spans="1:13">
      <c r="A3431" s="1" t="s">
        <v>15505</v>
      </c>
      <c r="B3431" s="1" t="s">
        <v>13</v>
      </c>
      <c r="C3431" s="4" t="s">
        <v>15506</v>
      </c>
      <c r="D3431" s="1" t="s">
        <v>15507</v>
      </c>
      <c r="E3431" s="1" t="s">
        <v>15508</v>
      </c>
      <c r="F3431" s="4" t="s">
        <v>17</v>
      </c>
      <c r="G3431" s="1" t="s">
        <v>18</v>
      </c>
      <c r="H3431" s="1" t="s">
        <v>19</v>
      </c>
      <c r="I3431" s="1" t="s">
        <v>20</v>
      </c>
      <c r="J3431" s="1" t="s">
        <v>15509</v>
      </c>
      <c r="K3431" s="1" t="s">
        <v>22</v>
      </c>
      <c r="L3431" s="1" t="str">
        <f>HYPERLINK("https://files.afu.se/Downloads/Transcripts/0%20-%20Government/USA%20-%20NASA/2012 07 17 - NASA - Expedition 32 Crew Shows  Up  at Station_gyLsqZY1j78 - transcript (automated).pdf","Transcript Link")</f>
        <v>Transcript Link</v>
      </c>
      <c r="M3431" s="2" t="str">
        <f>HYPERLINK("https://files.afu.se/Downloads/Transcripts/0%20-%20Government/USA%20-%20NASA/2012 07 17 - NASA - Expedition 32 Crew Shows  Up  at Station_gyLsqZY1j78 - transcript (automated).pdf","Transcript Link")</f>
        <v>Transcript Link</v>
      </c>
    </row>
    <row r="3432" ht="165" spans="1:13">
      <c r="A3432" s="1" t="s">
        <v>15505</v>
      </c>
      <c r="B3432" s="1" t="s">
        <v>13</v>
      </c>
      <c r="C3432" s="4" t="s">
        <v>15510</v>
      </c>
      <c r="D3432" s="1" t="s">
        <v>15511</v>
      </c>
      <c r="E3432" s="1" t="s">
        <v>15512</v>
      </c>
      <c r="F3432" s="4" t="s">
        <v>17</v>
      </c>
      <c r="G3432" s="1" t="s">
        <v>18</v>
      </c>
      <c r="H3432" s="1" t="s">
        <v>19</v>
      </c>
      <c r="I3432" s="1" t="s">
        <v>20</v>
      </c>
      <c r="J3432" s="1" t="s">
        <v>15513</v>
      </c>
      <c r="K3432" s="1" t="s">
        <v>22</v>
      </c>
      <c r="L3432" s="1" t="str">
        <f>HYPERLINK("https://files.afu.se/Downloads/Transcripts/0%20-%20Government/USA%20-%20NASA/2012 07 17 - NASA - Warm Greetings for New ISS Residents_5AY-uDGEfpg - transcript (automated).pdf","Transcript Link")</f>
        <v>Transcript Link</v>
      </c>
      <c r="M3432" s="2" t="str">
        <f>HYPERLINK("https://files.afu.se/Downloads/Transcripts/0%20-%20Government/USA%20-%20NASA/2012 07 17 - NASA - Warm Greetings for New ISS Residents_5AY-uDGEfpg - transcript (automated).pdf","Transcript Link")</f>
        <v>Transcript Link</v>
      </c>
    </row>
    <row r="3433" ht="165" spans="1:13">
      <c r="A3433" s="1" t="s">
        <v>15505</v>
      </c>
      <c r="B3433" s="1" t="s">
        <v>13</v>
      </c>
      <c r="C3433" s="4" t="s">
        <v>15514</v>
      </c>
      <c r="D3433" s="1" t="s">
        <v>15515</v>
      </c>
      <c r="E3433" s="1" t="s">
        <v>15516</v>
      </c>
      <c r="F3433" s="4" t="s">
        <v>17</v>
      </c>
      <c r="G3433" s="1" t="s">
        <v>18</v>
      </c>
      <c r="H3433" s="1" t="s">
        <v>19</v>
      </c>
      <c r="I3433" s="1" t="s">
        <v>20</v>
      </c>
      <c r="J3433" s="1" t="s">
        <v>15517</v>
      </c>
      <c r="K3433" s="1" t="s">
        <v>22</v>
      </c>
      <c r="L3433" s="1" t="str">
        <f>HYPERLINK("https://files.afu.se/Downloads/Transcripts/0%20-%20Government/USA%20-%20NASA/2012 07 17 - NASA - New Crew Arrives at ISS_v2GO7DDAJuw - transcript (automated).pdf","Transcript Link")</f>
        <v>Transcript Link</v>
      </c>
      <c r="M3433" s="2" t="str">
        <f>HYPERLINK("https://files.afu.se/Downloads/Transcripts/0%20-%20Government/USA%20-%20NASA/2012 07 17 - NASA - New Crew Arrives at ISS_v2GO7DDAJuw - transcript (automated).pdf","Transcript Link")</f>
        <v>Transcript Link</v>
      </c>
    </row>
    <row r="3434" ht="165" spans="1:13">
      <c r="A3434" s="1" t="s">
        <v>15518</v>
      </c>
      <c r="B3434" s="1" t="s">
        <v>13</v>
      </c>
      <c r="C3434" s="4" t="s">
        <v>15519</v>
      </c>
      <c r="D3434" s="1" t="s">
        <v>15520</v>
      </c>
      <c r="E3434" s="1" t="s">
        <v>15521</v>
      </c>
      <c r="F3434" s="4" t="s">
        <v>17</v>
      </c>
      <c r="G3434" s="1" t="s">
        <v>18</v>
      </c>
      <c r="H3434" s="1" t="s">
        <v>19</v>
      </c>
      <c r="I3434" s="1" t="s">
        <v>20</v>
      </c>
      <c r="J3434" s="1" t="s">
        <v>15522</v>
      </c>
      <c r="K3434" s="1" t="s">
        <v>22</v>
      </c>
      <c r="L3434" s="1" t="str">
        <f>HYPERLINK("https://files.afu.se/Downloads/Transcripts/0%20-%20Government/USA%20-%20NASA/2012 07 16 - NASA - NASA Rover on Course for Mars Landing_l9BRqeqJ2X0 - transcript (automated).pdf","Transcript Link")</f>
        <v>Transcript Link</v>
      </c>
      <c r="M3434" s="2" t="str">
        <f>HYPERLINK("https://files.afu.se/Downloads/Transcripts/0%20-%20Government/USA%20-%20NASA/2012 07 16 - NASA - NASA Rover on Course for Mars Landing_l9BRqeqJ2X0 - transcript (automated).pdf","Transcript Link")</f>
        <v>Transcript Link</v>
      </c>
    </row>
    <row r="3435" ht="285" spans="1:13">
      <c r="A3435" s="1" t="s">
        <v>15518</v>
      </c>
      <c r="B3435" s="1" t="s">
        <v>13</v>
      </c>
      <c r="C3435" s="4" t="s">
        <v>15523</v>
      </c>
      <c r="D3435" s="1" t="s">
        <v>15524</v>
      </c>
      <c r="E3435" s="1" t="s">
        <v>15525</v>
      </c>
      <c r="F3435" s="4" t="s">
        <v>17</v>
      </c>
      <c r="G3435" s="1" t="s">
        <v>18</v>
      </c>
      <c r="H3435" s="1" t="s">
        <v>19</v>
      </c>
      <c r="I3435" s="1" t="s">
        <v>20</v>
      </c>
      <c r="J3435" s="1" t="s">
        <v>15526</v>
      </c>
      <c r="K3435" s="1" t="s">
        <v>22</v>
      </c>
      <c r="L3435" s="1" t="str">
        <f>HYPERLINK("https://files.afu.se/Downloads/Transcripts/0%20-%20Government/USA%20-%20NASA/2012 07 16 - NASA - New Crew to Station on This Week @ NASA_yWm1RgWd7AA - transcript (automated).pdf","Transcript Link")</f>
        <v>Transcript Link</v>
      </c>
      <c r="M3435" s="2" t="str">
        <f>HYPERLINK("https://files.afu.se/Downloads/Transcripts/0%20-%20Government/USA%20-%20NASA/2012 07 16 - NASA - New Crew to Station on This Week @ NASA_yWm1RgWd7AA - transcript (automated).pdf","Transcript Link")</f>
        <v>Transcript Link</v>
      </c>
    </row>
    <row r="3436" ht="210" spans="1:13">
      <c r="A3436" s="1" t="s">
        <v>15527</v>
      </c>
      <c r="B3436" s="1" t="s">
        <v>13</v>
      </c>
      <c r="C3436" s="4" t="s">
        <v>15528</v>
      </c>
      <c r="D3436" s="1" t="s">
        <v>15529</v>
      </c>
      <c r="E3436" s="1" t="s">
        <v>15530</v>
      </c>
      <c r="F3436" s="4" t="s">
        <v>17</v>
      </c>
      <c r="G3436" s="1" t="s">
        <v>18</v>
      </c>
      <c r="H3436" s="1" t="s">
        <v>19</v>
      </c>
      <c r="I3436" s="1" t="s">
        <v>20</v>
      </c>
      <c r="J3436" s="1" t="s">
        <v>15531</v>
      </c>
      <c r="K3436" s="1" t="s">
        <v>22</v>
      </c>
      <c r="L3436" s="1" t="str">
        <f>HYPERLINK("https://files.afu.se/Downloads/Transcripts/0%20-%20Government/USA%20-%20NASA/2012 07 15 - NASA - Expedition 32 33 Launches to the International Space Station_rmQD-j9QADE - transcript (automated).pdf","Transcript Link")</f>
        <v>Transcript Link</v>
      </c>
      <c r="M3436" s="2" t="str">
        <f>HYPERLINK("https://files.afu.se/Downloads/Transcripts/0%20-%20Government/USA%20-%20NASA/2012 07 15 - NASA - Expedition 32 33 Launches to the International Space Station_rmQD-j9QADE - transcript (automated).pdf","Transcript Link")</f>
        <v>Transcript Link</v>
      </c>
    </row>
    <row r="3437" ht="165" spans="1:13">
      <c r="A3437" s="1" t="s">
        <v>15527</v>
      </c>
      <c r="B3437" s="1" t="s">
        <v>13</v>
      </c>
      <c r="C3437" s="4" t="s">
        <v>15532</v>
      </c>
      <c r="D3437" s="1" t="s">
        <v>13705</v>
      </c>
      <c r="E3437" s="1" t="s">
        <v>15533</v>
      </c>
      <c r="F3437" s="4" t="s">
        <v>17</v>
      </c>
      <c r="G3437" s="1" t="s">
        <v>18</v>
      </c>
      <c r="H3437" s="1" t="s">
        <v>19</v>
      </c>
      <c r="I3437" s="1" t="s">
        <v>20</v>
      </c>
      <c r="J3437" s="1" t="s">
        <v>15534</v>
      </c>
      <c r="K3437" s="1" t="s">
        <v>22</v>
      </c>
      <c r="L3437" s="1" t="str">
        <f>HYPERLINK("https://files.afu.se/Downloads/Transcripts/0%20-%20Government/USA%20-%20NASA/2012 07 15 - NASA - Soyuz Launches to Space Station_zqDZAYUT34E - transcript (automated).pdf","Transcript Link")</f>
        <v>Transcript Link</v>
      </c>
      <c r="M3437" s="2" t="str">
        <f>HYPERLINK("https://files.afu.se/Downloads/Transcripts/0%20-%20Government/USA%20-%20NASA/2012 07 15 - NASA - Soyuz Launches to Space Station_zqDZAYUT34E - transcript (automated).pdf","Transcript Link")</f>
        <v>Transcript Link</v>
      </c>
    </row>
    <row r="3438" ht="285" spans="1:13">
      <c r="A3438" s="1" t="s">
        <v>15535</v>
      </c>
      <c r="B3438" s="1" t="s">
        <v>13</v>
      </c>
      <c r="C3438" s="4" t="s">
        <v>15536</v>
      </c>
      <c r="D3438" s="1" t="s">
        <v>15537</v>
      </c>
      <c r="E3438" s="1" t="s">
        <v>15538</v>
      </c>
      <c r="F3438" s="4" t="s">
        <v>17</v>
      </c>
      <c r="G3438" s="1" t="s">
        <v>18</v>
      </c>
      <c r="H3438" s="1" t="s">
        <v>19</v>
      </c>
      <c r="I3438" s="1" t="s">
        <v>20</v>
      </c>
      <c r="J3438" s="1" t="s">
        <v>15539</v>
      </c>
      <c r="K3438" s="1" t="s">
        <v>22</v>
      </c>
      <c r="L3438" s="1" t="str">
        <f>HYPERLINK("https://files.afu.se/Downloads/Transcripts/0%20-%20Government/USA%20-%20NASA/2012 07 13 - NASA - Soyuz TMA-05M Rocket is Blessed; Expedition 32 33 Crew Meets with Officials_RAQ0eIz3gP0 - transcript (automated).pdf","Transcript Link")</f>
        <v>Transcript Link</v>
      </c>
      <c r="M3438" s="2" t="str">
        <f>HYPERLINK("https://files.afu.se/Downloads/Transcripts/0%20-%20Government/USA%20-%20NASA/2012 07 13 - NASA - Soyuz TMA-05M Rocket is Blessed; Expedition 32 33 Crew Meets with Officials_RAQ0eIz3gP0 - transcript (automated).pdf","Transcript Link")</f>
        <v>Transcript Link</v>
      </c>
    </row>
    <row r="3439" ht="315" spans="1:13">
      <c r="A3439" s="1" t="s">
        <v>15535</v>
      </c>
      <c r="B3439" s="1" t="s">
        <v>13</v>
      </c>
      <c r="C3439" s="4" t="s">
        <v>15540</v>
      </c>
      <c r="D3439" s="1" t="s">
        <v>15541</v>
      </c>
      <c r="E3439" s="1" t="s">
        <v>15542</v>
      </c>
      <c r="F3439" s="4" t="s">
        <v>17</v>
      </c>
      <c r="G3439" s="1" t="s">
        <v>18</v>
      </c>
      <c r="H3439" s="1" t="s">
        <v>19</v>
      </c>
      <c r="I3439" s="1" t="s">
        <v>20</v>
      </c>
      <c r="J3439" s="1" t="s">
        <v>15543</v>
      </c>
      <c r="K3439" s="1" t="s">
        <v>22</v>
      </c>
      <c r="L3439" s="1" t="str">
        <f>HYPERLINK("https://files.afu.se/Downloads/Transcripts/0%20-%20Government/USA%20-%20NASA/2012 07 13 - NASA - Soyuz Crew Primed for Launch on This Week @ NASA_hNdZafWo_Q8 - transcript (automated).pdf","Transcript Link")</f>
        <v>Transcript Link</v>
      </c>
      <c r="M3439" s="2" t="str">
        <f>HYPERLINK("https://files.afu.se/Downloads/Transcripts/0%20-%20Government/USA%20-%20NASA/2012 07 13 - NASA - Soyuz Crew Primed for Launch on This Week @ NASA_hNdZafWo_Q8 - transcript (automated).pdf","Transcript Link")</f>
        <v>Transcript Link</v>
      </c>
    </row>
    <row r="3440" ht="225" spans="1:13">
      <c r="A3440" s="1" t="s">
        <v>15544</v>
      </c>
      <c r="B3440" s="1" t="s">
        <v>13</v>
      </c>
      <c r="C3440" s="4" t="s">
        <v>15545</v>
      </c>
      <c r="D3440" s="1" t="s">
        <v>15546</v>
      </c>
      <c r="E3440" s="1" t="s">
        <v>15547</v>
      </c>
      <c r="F3440" s="4" t="s">
        <v>17</v>
      </c>
      <c r="G3440" s="1" t="s">
        <v>18</v>
      </c>
      <c r="H3440" s="1" t="s">
        <v>19</v>
      </c>
      <c r="I3440" s="1" t="s">
        <v>20</v>
      </c>
      <c r="J3440" s="1" t="s">
        <v>15548</v>
      </c>
      <c r="K3440" s="1" t="s">
        <v>22</v>
      </c>
      <c r="L3440" s="1" t="str">
        <f>HYPERLINK("https://files.afu.se/Downloads/Transcripts/0%20-%20Government/USA%20-%20NASA/2012 07 12 - NASA - The Expedition 32 33 Soyuz Rocket Moves to Its Launch Pad_oWQ1dkaMJik - transcript (automated).pdf","Transcript Link")</f>
        <v>Transcript Link</v>
      </c>
      <c r="M3440" s="2" t="str">
        <f>HYPERLINK("https://files.afu.se/Downloads/Transcripts/0%20-%20Government/USA%20-%20NASA/2012 07 12 - NASA - The Expedition 32 33 Soyuz Rocket Moves to Its Launch Pad_oWQ1dkaMJik - transcript (automated).pdf","Transcript Link")</f>
        <v>Transcript Link</v>
      </c>
    </row>
    <row r="3441" ht="165" spans="1:13">
      <c r="A3441" s="1" t="s">
        <v>15544</v>
      </c>
      <c r="B3441" s="1" t="s">
        <v>13</v>
      </c>
      <c r="C3441" s="4" t="s">
        <v>15549</v>
      </c>
      <c r="D3441" s="1" t="s">
        <v>15550</v>
      </c>
      <c r="E3441" s="1" t="s">
        <v>15551</v>
      </c>
      <c r="F3441" s="4" t="s">
        <v>17</v>
      </c>
      <c r="G3441" s="1" t="s">
        <v>18</v>
      </c>
      <c r="H3441" s="1" t="s">
        <v>19</v>
      </c>
      <c r="I3441" s="1" t="s">
        <v>20</v>
      </c>
      <c r="J3441" s="1" t="s">
        <v>15552</v>
      </c>
      <c r="K3441" s="1" t="s">
        <v>22</v>
      </c>
      <c r="L3441" s="1" t="str">
        <f>HYPERLINK("https://files.afu.se/Downloads/Transcripts/0%20-%20Government/USA%20-%20NASA/2012 07 12 - NASA - ScienceCasts  The First Extraterrestrial Marathon_18utCxIQydY - transcript (automated).pdf","Transcript Link")</f>
        <v>Transcript Link</v>
      </c>
      <c r="M3441" s="2" t="str">
        <f>HYPERLINK("https://files.afu.se/Downloads/Transcripts/0%20-%20Government/USA%20-%20NASA/2012 07 12 - NASA - ScienceCasts  The First Extraterrestrial Marathon_18utCxIQydY - transcript (automated).pdf","Transcript Link")</f>
        <v>Transcript Link</v>
      </c>
    </row>
    <row r="3442" ht="210" spans="1:13">
      <c r="A3442" s="1" t="s">
        <v>15544</v>
      </c>
      <c r="B3442" s="1" t="s">
        <v>13</v>
      </c>
      <c r="C3442" s="4" t="s">
        <v>15553</v>
      </c>
      <c r="D3442" s="1" t="s">
        <v>15554</v>
      </c>
      <c r="E3442" s="1" t="s">
        <v>15555</v>
      </c>
      <c r="F3442" s="4" t="s">
        <v>17</v>
      </c>
      <c r="G3442" s="1" t="s">
        <v>18</v>
      </c>
      <c r="H3442" s="1" t="s">
        <v>19</v>
      </c>
      <c r="I3442" s="1" t="s">
        <v>20</v>
      </c>
      <c r="J3442" s="1" t="s">
        <v>15556</v>
      </c>
      <c r="K3442" s="1" t="s">
        <v>22</v>
      </c>
      <c r="L3442" s="1" t="str">
        <f>HYPERLINK("https://files.afu.se/Downloads/Transcripts/0%20-%20Government/USA%20-%20NASA/2012 07 12 - NASA - ISS Flight Controller Talks Space With Students_0N_H3iysqfM - transcript (automated).pdf","Transcript Link")</f>
        <v>Transcript Link</v>
      </c>
      <c r="M3442" s="2" t="str">
        <f>HYPERLINK("https://files.afu.se/Downloads/Transcripts/0%20-%20Government/USA%20-%20NASA/2012 07 12 - NASA - ISS Flight Controller Talks Space With Students_0N_H3iysqfM - transcript (automated).pdf","Transcript Link")</f>
        <v>Transcript Link</v>
      </c>
    </row>
    <row r="3443" ht="165" spans="1:13">
      <c r="A3443" s="1" t="s">
        <v>15557</v>
      </c>
      <c r="B3443" s="1" t="s">
        <v>13</v>
      </c>
      <c r="C3443" s="4" t="s">
        <v>15558</v>
      </c>
      <c r="D3443" s="1" t="s">
        <v>15559</v>
      </c>
      <c r="E3443" s="1" t="s">
        <v>15560</v>
      </c>
      <c r="F3443" s="4" t="s">
        <v>17</v>
      </c>
      <c r="G3443" s="1" t="s">
        <v>18</v>
      </c>
      <c r="H3443" s="1" t="s">
        <v>19</v>
      </c>
      <c r="I3443" s="1" t="s">
        <v>20</v>
      </c>
      <c r="J3443" s="1" t="s">
        <v>15561</v>
      </c>
      <c r="K3443" s="1" t="s">
        <v>22</v>
      </c>
      <c r="L3443" s="1" t="str">
        <f>HYPERLINK("https://files.afu.se/Downloads/Transcripts/0%20-%20Government/USA%20-%20NASA/2012 07 11 - NASA - Expedition 32 Soyuz TMA-05M Spacecraft Joins Its Booster Rocket_lAzxABXvREY - transcript (automated).pdf","Transcript Link")</f>
        <v>Transcript Link</v>
      </c>
      <c r="M3443" s="2" t="str">
        <f>HYPERLINK("https://files.afu.se/Downloads/Transcripts/0%20-%20Government/USA%20-%20NASA/2012 07 11 - NASA - Expedition 32 Soyuz TMA-05M Spacecraft Joins Its Booster Rocket_lAzxABXvREY - transcript (automated).pdf","Transcript Link")</f>
        <v>Transcript Link</v>
      </c>
    </row>
    <row r="3444" ht="195" spans="1:13">
      <c r="A3444" s="1" t="s">
        <v>15562</v>
      </c>
      <c r="B3444" s="1" t="s">
        <v>13</v>
      </c>
      <c r="C3444" s="4" t="s">
        <v>15563</v>
      </c>
      <c r="D3444" s="1" t="s">
        <v>15564</v>
      </c>
      <c r="E3444" s="1" t="s">
        <v>15565</v>
      </c>
      <c r="F3444" s="4" t="s">
        <v>17</v>
      </c>
      <c r="G3444" s="1" t="s">
        <v>18</v>
      </c>
      <c r="H3444" s="1" t="s">
        <v>19</v>
      </c>
      <c r="I3444" s="1" t="s">
        <v>20</v>
      </c>
      <c r="J3444" s="1" t="s">
        <v>15566</v>
      </c>
      <c r="K3444" s="1" t="s">
        <v>22</v>
      </c>
      <c r="L3444" s="1" t="str">
        <f>HYPERLINK("https://files.afu.se/Downloads/Transcripts/0%20-%20Government/USA%20-%20NASA/2012 07 10 - NASA - Expedition 32 33 Crew Prepares for Launch in Kazakhstan_5LEEA7QCEgQ - transcript (automated).pdf","Transcript Link")</f>
        <v>Transcript Link</v>
      </c>
      <c r="M3444" s="2" t="str">
        <f>HYPERLINK("https://files.afu.se/Downloads/Transcripts/0%20-%20Government/USA%20-%20NASA/2012 07 10 - NASA - Expedition 32 33 Crew Prepares for Launch in Kazakhstan_5LEEA7QCEgQ - transcript (automated).pdf","Transcript Link")</f>
        <v>Transcript Link</v>
      </c>
    </row>
    <row r="3445" ht="165" spans="1:13">
      <c r="A3445" s="1" t="s">
        <v>15567</v>
      </c>
      <c r="B3445" s="1" t="s">
        <v>13</v>
      </c>
      <c r="C3445" s="4" t="s">
        <v>15568</v>
      </c>
      <c r="D3445" s="1" t="s">
        <v>15569</v>
      </c>
      <c r="F3445" s="4" t="s">
        <v>17</v>
      </c>
      <c r="G3445" s="1" t="s">
        <v>18</v>
      </c>
      <c r="H3445" s="1" t="s">
        <v>19</v>
      </c>
      <c r="I3445" s="1" t="s">
        <v>20</v>
      </c>
      <c r="J3445" s="1" t="s">
        <v>15570</v>
      </c>
      <c r="K3445" s="1" t="s">
        <v>22</v>
      </c>
      <c r="L3445" s="1" t="str">
        <f>HYPERLINK("https://files.afu.se/Downloads/Transcripts/0%20-%20Government/USA%20-%20NASA/2012 07 09 - NASA - Establishing a New Gateway to Space_3GxBZAQoFms - transcript (automated).pdf","Transcript Link")</f>
        <v>Transcript Link</v>
      </c>
      <c r="M3445" s="2" t="str">
        <f>HYPERLINK("https://files.afu.se/Downloads/Transcripts/0%20-%20Government/USA%20-%20NASA/2012 07 09 - NASA - Establishing a New Gateway to Space_3GxBZAQoFms - transcript (automated).pdf","Transcript Link")</f>
        <v>Transcript Link</v>
      </c>
    </row>
    <row r="3446" ht="240" spans="1:13">
      <c r="A3446" s="1" t="s">
        <v>15571</v>
      </c>
      <c r="B3446" s="1" t="s">
        <v>13</v>
      </c>
      <c r="C3446" s="4" t="s">
        <v>15572</v>
      </c>
      <c r="D3446" s="1" t="s">
        <v>15573</v>
      </c>
      <c r="E3446" s="1" t="s">
        <v>15574</v>
      </c>
      <c r="F3446" s="4" t="s">
        <v>17</v>
      </c>
      <c r="G3446" s="1" t="s">
        <v>18</v>
      </c>
      <c r="H3446" s="1" t="s">
        <v>19</v>
      </c>
      <c r="I3446" s="1" t="s">
        <v>20</v>
      </c>
      <c r="J3446" s="1" t="s">
        <v>15575</v>
      </c>
      <c r="K3446" s="1" t="s">
        <v>22</v>
      </c>
      <c r="L3446" s="1" t="str">
        <f>HYPERLINK("https://files.afu.se/Downloads/Transcripts/0%20-%20Government/USA%20-%20NASA/2012 07 06 - NASA - Next Expedition Crew on Deck on This Week @NASA_ZtBnRe0B2pQ - transcript (automated).pdf","Transcript Link")</f>
        <v>Transcript Link</v>
      </c>
      <c r="M3446" s="2" t="str">
        <f>HYPERLINK("https://files.afu.se/Downloads/Transcripts/0%20-%20Government/USA%20-%20NASA/2012 07 06 - NASA - Next Expedition Crew on Deck on This Week @NASA_ZtBnRe0B2pQ - transcript (automated).pdf","Transcript Link")</f>
        <v>Transcript Link</v>
      </c>
    </row>
    <row r="3447" ht="300" spans="1:13">
      <c r="A3447" s="1" t="s">
        <v>15576</v>
      </c>
      <c r="B3447" s="1" t="s">
        <v>13</v>
      </c>
      <c r="C3447" s="4" t="s">
        <v>15577</v>
      </c>
      <c r="D3447" s="1" t="s">
        <v>15578</v>
      </c>
      <c r="E3447" s="1" t="s">
        <v>15579</v>
      </c>
      <c r="F3447" s="4" t="s">
        <v>17</v>
      </c>
      <c r="G3447" s="1" t="s">
        <v>18</v>
      </c>
      <c r="H3447" s="1" t="s">
        <v>19</v>
      </c>
      <c r="I3447" s="1" t="s">
        <v>20</v>
      </c>
      <c r="J3447" s="1" t="s">
        <v>15580</v>
      </c>
      <c r="K3447" s="1" t="s">
        <v>22</v>
      </c>
      <c r="L3447" s="1" t="str">
        <f>HYPERLINK("https://files.afu.se/Downloads/Transcripts/0%20-%20Government/USA%20-%20NASA/2012 07 05 - NASA - Virginia Students Speak with Space Station Resident_HbtUXk8kmD0 - transcript (automated).pdf","Transcript Link")</f>
        <v>Transcript Link</v>
      </c>
      <c r="M3447" s="2" t="str">
        <f>HYPERLINK("https://files.afu.se/Downloads/Transcripts/0%20-%20Government/USA%20-%20NASA/2012 07 05 - NASA - Virginia Students Speak with Space Station Resident_HbtUXk8kmD0 - transcript (automated).pdf","Transcript Link")</f>
        <v>Transcript Link</v>
      </c>
    </row>
    <row r="3448" ht="165" spans="1:13">
      <c r="A3448" s="1" t="s">
        <v>15581</v>
      </c>
      <c r="B3448" s="1" t="s">
        <v>13</v>
      </c>
      <c r="C3448" s="4" t="s">
        <v>15582</v>
      </c>
      <c r="D3448" s="1" t="s">
        <v>15583</v>
      </c>
      <c r="E3448" s="1" t="s">
        <v>15584</v>
      </c>
      <c r="F3448" s="4" t="s">
        <v>17</v>
      </c>
      <c r="G3448" s="1" t="s">
        <v>18</v>
      </c>
      <c r="H3448" s="1" t="s">
        <v>19</v>
      </c>
      <c r="I3448" s="1" t="s">
        <v>20</v>
      </c>
      <c r="J3448" s="1" t="s">
        <v>15585</v>
      </c>
      <c r="K3448" s="1" t="s">
        <v>22</v>
      </c>
      <c r="L3448" s="1" t="str">
        <f>HYPERLINK("https://files.afu.se/Downloads/Transcripts/0%20-%20Government/USA%20-%20NASA/2012 07 03 - NASA - ScienceCasts  A Good Reason to Wake Up at Dawn_ZCSaFwWYRqo - transcript (automated).pdf","Transcript Link")</f>
        <v>Transcript Link</v>
      </c>
      <c r="M3448" s="2" t="str">
        <f>HYPERLINK("https://files.afu.se/Downloads/Transcripts/0%20-%20Government/USA%20-%20NASA/2012 07 03 - NASA - ScienceCasts  A Good Reason to Wake Up at Dawn_ZCSaFwWYRqo - transcript (automated).pdf","Transcript Link")</f>
        <v>Transcript Link</v>
      </c>
    </row>
    <row r="3449" ht="165" spans="1:13">
      <c r="A3449" s="1" t="s">
        <v>15586</v>
      </c>
      <c r="B3449" s="1" t="s">
        <v>13</v>
      </c>
      <c r="C3449" s="4" t="s">
        <v>15587</v>
      </c>
      <c r="D3449" s="1" t="s">
        <v>15588</v>
      </c>
      <c r="E3449" s="1" t="s">
        <v>15589</v>
      </c>
      <c r="F3449" s="4" t="s">
        <v>17</v>
      </c>
      <c r="G3449" s="1" t="s">
        <v>18</v>
      </c>
      <c r="H3449" s="1" t="s">
        <v>19</v>
      </c>
      <c r="I3449" s="1" t="s">
        <v>20</v>
      </c>
      <c r="J3449" s="1" t="s">
        <v>15590</v>
      </c>
      <c r="K3449" s="1" t="s">
        <v>22</v>
      </c>
      <c r="L3449" s="1" t="str">
        <f>HYPERLINK("https://files.afu.se/Downloads/Transcripts/0%20-%20Government/USA%20-%20NASA/2012 07 02 - NASA - Expedition 32 33 Crew Departs for Kazakh Launch Site_yLdAtQGjxHA - transcript (automated).pdf","Transcript Link")</f>
        <v>Transcript Link</v>
      </c>
      <c r="M3449" s="2" t="str">
        <f>HYPERLINK("https://files.afu.se/Downloads/Transcripts/0%20-%20Government/USA%20-%20NASA/2012 07 02 - NASA - Expedition 32 33 Crew Departs for Kazakh Launch Site_yLdAtQGjxHA - transcript (automated).pdf","Transcript Link")</f>
        <v>Transcript Link</v>
      </c>
    </row>
    <row r="3450" ht="225" spans="1:13">
      <c r="A3450" s="1" t="s">
        <v>15586</v>
      </c>
      <c r="B3450" s="1" t="s">
        <v>13</v>
      </c>
      <c r="C3450" s="4" t="s">
        <v>15591</v>
      </c>
      <c r="D3450" s="1" t="s">
        <v>15592</v>
      </c>
      <c r="E3450" s="1" t="s">
        <v>15593</v>
      </c>
      <c r="F3450" s="4" t="s">
        <v>17</v>
      </c>
      <c r="G3450" s="1" t="s">
        <v>18</v>
      </c>
      <c r="H3450" s="1" t="s">
        <v>19</v>
      </c>
      <c r="I3450" s="1" t="s">
        <v>20</v>
      </c>
      <c r="J3450" s="1" t="s">
        <v>15594</v>
      </c>
      <c r="K3450" s="1" t="s">
        <v>22</v>
      </c>
      <c r="L3450" s="1" t="str">
        <f>HYPERLINK("https://files.afu.se/Downloads/Transcripts/0%20-%20Government/USA%20-%20NASA/2012 07 02 - NASA - NASA Chat  First Space-Bound Orion Arrives at Kennedy_uKsEgWfVQrA - transcript (automated).pdf","Transcript Link")</f>
        <v>Transcript Link</v>
      </c>
      <c r="M3450" s="2" t="str">
        <f>HYPERLINK("https://files.afu.se/Downloads/Transcripts/0%20-%20Government/USA%20-%20NASA/2012 07 02 - NASA - NASA Chat  First Space-Bound Orion Arrives at Kennedy_uKsEgWfVQrA - transcript (automated).pdf","Transcript Link")</f>
        <v>Transcript Link</v>
      </c>
    </row>
    <row r="3451" ht="240" spans="1:13">
      <c r="A3451" s="1" t="s">
        <v>15586</v>
      </c>
      <c r="B3451" s="1" t="s">
        <v>13</v>
      </c>
      <c r="C3451" s="4" t="s">
        <v>15595</v>
      </c>
      <c r="D3451" s="1" t="s">
        <v>15596</v>
      </c>
      <c r="E3451" s="1" t="s">
        <v>15597</v>
      </c>
      <c r="F3451" s="4" t="s">
        <v>17</v>
      </c>
      <c r="G3451" s="1" t="s">
        <v>18</v>
      </c>
      <c r="H3451" s="1" t="s">
        <v>19</v>
      </c>
      <c r="I3451" s="1" t="s">
        <v>20</v>
      </c>
      <c r="J3451" s="1" t="s">
        <v>15598</v>
      </c>
      <c r="K3451" s="1" t="s">
        <v>22</v>
      </c>
      <c r="L3451" s="1" t="str">
        <f>HYPERLINK("https://files.afu.se/Downloads/Transcripts/0%20-%20Government/USA%20-%20NASA/2012 07 02 - NASA - Orion Crew Module Arrives at Kennedy_8Kf30kd5Gow - transcript (automated).pdf","Transcript Link")</f>
        <v>Transcript Link</v>
      </c>
      <c r="M3451" s="2" t="str">
        <f>HYPERLINK("https://files.afu.se/Downloads/Transcripts/0%20-%20Government/USA%20-%20NASA/2012 07 02 - NASA - Orion Crew Module Arrives at Kennedy_8Kf30kd5Gow - transcript (automated).pdf","Transcript Link")</f>
        <v>Transcript Link</v>
      </c>
    </row>
    <row r="3452" ht="285" spans="1:13">
      <c r="A3452" s="1" t="s">
        <v>15586</v>
      </c>
      <c r="B3452" s="1" t="s">
        <v>13</v>
      </c>
      <c r="C3452" s="4" t="s">
        <v>15599</v>
      </c>
      <c r="D3452" s="1" t="s">
        <v>15600</v>
      </c>
      <c r="E3452" s="1" t="s">
        <v>15601</v>
      </c>
      <c r="F3452" s="4" t="s">
        <v>17</v>
      </c>
      <c r="G3452" s="1" t="s">
        <v>18</v>
      </c>
      <c r="H3452" s="1" t="s">
        <v>19</v>
      </c>
      <c r="I3452" s="1" t="s">
        <v>20</v>
      </c>
      <c r="J3452" s="1" t="s">
        <v>15602</v>
      </c>
      <c r="K3452" s="1" t="s">
        <v>22</v>
      </c>
      <c r="L3452" s="1" t="str">
        <f>HYPERLINK("https://files.afu.se/Downloads/Transcripts/0%20-%20Government/USA%20-%20NASA/2012 07 02 - NASA - Expedition 31 Returns on This Week @NASA_EAairXMp51s - transcript (automated).pdf","Transcript Link")</f>
        <v>Transcript Link</v>
      </c>
      <c r="M3452" s="2" t="str">
        <f>HYPERLINK("https://files.afu.se/Downloads/Transcripts/0%20-%20Government/USA%20-%20NASA/2012 07 02 - NASA - Expedition 31 Returns on This Week @NASA_EAairXMp51s - transcript (automated).pdf","Transcript Link")</f>
        <v>Transcript Link</v>
      </c>
    </row>
    <row r="3453" ht="225" spans="1:13">
      <c r="A3453" s="1" t="s">
        <v>15603</v>
      </c>
      <c r="B3453" s="1" t="s">
        <v>13</v>
      </c>
      <c r="C3453" s="4" t="s">
        <v>15604</v>
      </c>
      <c r="D3453" s="1" t="s">
        <v>15605</v>
      </c>
      <c r="E3453" s="1" t="s">
        <v>15606</v>
      </c>
      <c r="F3453" s="4" t="s">
        <v>17</v>
      </c>
      <c r="G3453" s="1" t="s">
        <v>18</v>
      </c>
      <c r="H3453" s="1" t="s">
        <v>19</v>
      </c>
      <c r="I3453" s="1" t="s">
        <v>20</v>
      </c>
      <c r="J3453" s="1" t="s">
        <v>15607</v>
      </c>
      <c r="K3453" s="1" t="s">
        <v>22</v>
      </c>
      <c r="L3453" s="1" t="str">
        <f>HYPERLINK("https://files.afu.se/Downloads/Transcripts/0%20-%20Government/USA%20-%20NASA/2012 07 01 - NASA - Expedition 31 Crew Welcomed Warmly in Kazakhstan and Russia_j3scLxYeskg - transcript (automated).pdf","Transcript Link")</f>
        <v>Transcript Link</v>
      </c>
      <c r="M3453" s="2" t="str">
        <f>HYPERLINK("https://files.afu.se/Downloads/Transcripts/0%20-%20Government/USA%20-%20NASA/2012 07 01 - NASA - Expedition 31 Crew Welcomed Warmly in Kazakhstan and Russia_j3scLxYeskg - transcript (automated).pdf","Transcript Link")</f>
        <v>Transcript Link</v>
      </c>
    </row>
    <row r="3454" ht="165" spans="1:13">
      <c r="A3454" s="1" t="s">
        <v>15603</v>
      </c>
      <c r="B3454" s="1" t="s">
        <v>13</v>
      </c>
      <c r="C3454" s="4" t="s">
        <v>15608</v>
      </c>
      <c r="D3454" s="1" t="s">
        <v>15609</v>
      </c>
      <c r="E3454" s="1" t="s">
        <v>15610</v>
      </c>
      <c r="F3454" s="4" t="s">
        <v>17</v>
      </c>
      <c r="G3454" s="1" t="s">
        <v>18</v>
      </c>
      <c r="H3454" s="1" t="s">
        <v>19</v>
      </c>
      <c r="I3454" s="1" t="s">
        <v>20</v>
      </c>
      <c r="J3454" s="1" t="s">
        <v>15611</v>
      </c>
      <c r="K3454" s="1" t="s">
        <v>22</v>
      </c>
      <c r="L3454" s="1" t="str">
        <f>HYPERLINK("https://files.afu.se/Downloads/Transcripts/0%20-%20Government/USA%20-%20NASA/2012 07 01 - NASA - Expedition 31 Crew Lands Safely in Kazakhstan_N2d9IZKKVnw - transcript (automated).pdf","Transcript Link")</f>
        <v>Transcript Link</v>
      </c>
      <c r="M3454" s="2" t="str">
        <f>HYPERLINK("https://files.afu.se/Downloads/Transcripts/0%20-%20Government/USA%20-%20NASA/2012 07 01 - NASA - Expedition 31 Crew Lands Safely in Kazakhstan_N2d9IZKKVnw - transcript (automated).pdf","Transcript Link")</f>
        <v>Transcript Link</v>
      </c>
    </row>
    <row r="3455" ht="165" spans="1:13">
      <c r="A3455" s="1" t="s">
        <v>15603</v>
      </c>
      <c r="B3455" s="1" t="s">
        <v>13</v>
      </c>
      <c r="C3455" s="4" t="s">
        <v>15612</v>
      </c>
      <c r="D3455" s="1" t="s">
        <v>15613</v>
      </c>
      <c r="E3455" s="1" t="s">
        <v>15614</v>
      </c>
      <c r="F3455" s="4" t="s">
        <v>17</v>
      </c>
      <c r="G3455" s="1" t="s">
        <v>18</v>
      </c>
      <c r="H3455" s="1" t="s">
        <v>19</v>
      </c>
      <c r="I3455" s="1" t="s">
        <v>20</v>
      </c>
      <c r="J3455" s="1" t="s">
        <v>15615</v>
      </c>
      <c r="K3455" s="1" t="s">
        <v>22</v>
      </c>
      <c r="L3455" s="1" t="str">
        <f>HYPERLINK("https://files.afu.se/Downloads/Transcripts/0%20-%20Government/USA%20-%20NASA/2012 07 01 - NASA - Space Travelers Make Safe Return to Earth_CfSxv-bX1-Q - transcript (automated).pdf","Transcript Link")</f>
        <v>Transcript Link</v>
      </c>
      <c r="M3455" s="2" t="str">
        <f>HYPERLINK("https://files.afu.se/Downloads/Transcripts/0%20-%20Government/USA%20-%20NASA/2012 07 01 - NASA - Space Travelers Make Safe Return to Earth_CfSxv-bX1-Q - transcript (automated).pdf","Transcript Link")</f>
        <v>Transcript Link</v>
      </c>
    </row>
    <row r="3456" ht="165" spans="1:13">
      <c r="A3456" s="1" t="s">
        <v>15603</v>
      </c>
      <c r="B3456" s="1" t="s">
        <v>13</v>
      </c>
      <c r="C3456" s="4" t="s">
        <v>15616</v>
      </c>
      <c r="D3456" s="1" t="s">
        <v>15617</v>
      </c>
      <c r="E3456" s="1" t="s">
        <v>15618</v>
      </c>
      <c r="F3456" s="4" t="s">
        <v>17</v>
      </c>
      <c r="G3456" s="1" t="s">
        <v>18</v>
      </c>
      <c r="H3456" s="1" t="s">
        <v>19</v>
      </c>
      <c r="I3456" s="1" t="s">
        <v>20</v>
      </c>
      <c r="J3456" s="1" t="s">
        <v>15619</v>
      </c>
      <c r="K3456" s="1" t="s">
        <v>22</v>
      </c>
      <c r="L3456" s="1" t="str">
        <f>HYPERLINK("https://files.afu.se/Downloads/Transcripts/0%20-%20Government/USA%20-%20NASA/2012 07 01 - NASA - Soyuz Undocks; Crew Heads Home_2UQcK2xG570 - transcript (automated).pdf","Transcript Link")</f>
        <v>Transcript Link</v>
      </c>
      <c r="M3456" s="2" t="str">
        <f>HYPERLINK("https://files.afu.se/Downloads/Transcripts/0%20-%20Government/USA%20-%20NASA/2012 07 01 - NASA - Soyuz Undocks; Crew Heads Home_2UQcK2xG570 - transcript (automated).pdf","Transcript Link")</f>
        <v>Transcript Link</v>
      </c>
    </row>
    <row r="3457" ht="165" spans="1:13">
      <c r="A3457" s="1" t="s">
        <v>15603</v>
      </c>
      <c r="B3457" s="1" t="s">
        <v>13</v>
      </c>
      <c r="C3457" s="4" t="s">
        <v>15620</v>
      </c>
      <c r="D3457" s="1" t="s">
        <v>15621</v>
      </c>
      <c r="E3457" s="1" t="s">
        <v>15622</v>
      </c>
      <c r="F3457" s="4" t="s">
        <v>17</v>
      </c>
      <c r="G3457" s="1" t="s">
        <v>18</v>
      </c>
      <c r="H3457" s="1" t="s">
        <v>19</v>
      </c>
      <c r="I3457" s="1" t="s">
        <v>20</v>
      </c>
      <c r="J3457" s="1" t="s">
        <v>15623</v>
      </c>
      <c r="K3457" s="1" t="s">
        <v>22</v>
      </c>
      <c r="L3457" s="1" t="str">
        <f>HYPERLINK("https://files.afu.se/Downloads/Transcripts/0%20-%20Government/USA%20-%20NASA/2012 07 01 - NASA - ISS Crew Bids Fond Farewell_-ce76c4MKv0 - transcript (automated).pdf","Transcript Link")</f>
        <v>Transcript Link</v>
      </c>
      <c r="M3457" s="2" t="str">
        <f>HYPERLINK("https://files.afu.se/Downloads/Transcripts/0%20-%20Government/USA%20-%20NASA/2012 07 01 - NASA - ISS Crew Bids Fond Farewell_-ce76c4MKv0 - transcript (automated).pdf","Transcript Link")</f>
        <v>Transcript Link</v>
      </c>
    </row>
    <row r="3458" ht="210" spans="1:13">
      <c r="A3458" s="1" t="s">
        <v>15624</v>
      </c>
      <c r="B3458" s="1" t="s">
        <v>13</v>
      </c>
      <c r="C3458" s="4" t="s">
        <v>15625</v>
      </c>
      <c r="D3458" s="1" t="s">
        <v>15626</v>
      </c>
      <c r="E3458" s="1" t="s">
        <v>15627</v>
      </c>
      <c r="F3458" s="4" t="s">
        <v>17</v>
      </c>
      <c r="G3458" s="1" t="s">
        <v>18</v>
      </c>
      <c r="H3458" s="1" t="s">
        <v>19</v>
      </c>
      <c r="I3458" s="1" t="s">
        <v>20</v>
      </c>
      <c r="J3458" s="1" t="s">
        <v>15628</v>
      </c>
      <c r="K3458" s="1" t="s">
        <v>22</v>
      </c>
      <c r="L3458" s="1" t="str">
        <f>HYPERLINK("https://files.afu.se/Downloads/Transcripts/0%20-%20Government/USA%20-%20NASA/2012 06 29 - NASA - ISS Command Changes Hands_ztHfT4if35c - transcript (automated).pdf","Transcript Link")</f>
        <v>Transcript Link</v>
      </c>
      <c r="M3458" s="2" t="str">
        <f>HYPERLINK("https://files.afu.se/Downloads/Transcripts/0%20-%20Government/USA%20-%20NASA/2012 06 29 - NASA - ISS Command Changes Hands_ztHfT4if35c - transcript (automated).pdf","Transcript Link")</f>
        <v>Transcript Link</v>
      </c>
    </row>
    <row r="3459" ht="165" spans="1:13">
      <c r="A3459" s="1" t="s">
        <v>15624</v>
      </c>
      <c r="B3459" s="1" t="s">
        <v>13</v>
      </c>
      <c r="C3459" s="4" t="s">
        <v>15629</v>
      </c>
      <c r="D3459" s="1" t="s">
        <v>15630</v>
      </c>
      <c r="E3459" s="1" t="s">
        <v>15631</v>
      </c>
      <c r="F3459" s="4" t="s">
        <v>17</v>
      </c>
      <c r="G3459" s="1" t="s">
        <v>18</v>
      </c>
      <c r="H3459" s="1" t="s">
        <v>19</v>
      </c>
      <c r="I3459" s="1" t="s">
        <v>20</v>
      </c>
      <c r="J3459" s="1" t="s">
        <v>15632</v>
      </c>
      <c r="K3459" s="1" t="s">
        <v>22</v>
      </c>
      <c r="L3459" s="1" t="str">
        <f>HYPERLINK("https://files.afu.se/Downloads/Transcripts/0%20-%20Government/USA%20-%20NASA/2012 06 29 - NASA - Wallops Hosts Antares Tour on This Week @NASA_xr_NGtq34c0 - transcript (automated).pdf","Transcript Link")</f>
        <v>Transcript Link</v>
      </c>
      <c r="M3459" s="2" t="str">
        <f>HYPERLINK("https://files.afu.se/Downloads/Transcripts/0%20-%20Government/USA%20-%20NASA/2012 06 29 - NASA - Wallops Hosts Antares Tour on This Week @NASA_xr_NGtq34c0 - transcript (automated).pdf","Transcript Link")</f>
        <v>Transcript Link</v>
      </c>
    </row>
    <row r="3460" ht="165" spans="1:13">
      <c r="A3460" s="1" t="s">
        <v>15624</v>
      </c>
      <c r="B3460" s="1" t="s">
        <v>13</v>
      </c>
      <c r="C3460" s="4" t="s">
        <v>15633</v>
      </c>
      <c r="D3460" s="1" t="s">
        <v>15634</v>
      </c>
      <c r="F3460" s="4" t="s">
        <v>17</v>
      </c>
      <c r="G3460" s="1" t="s">
        <v>18</v>
      </c>
      <c r="H3460" s="1" t="s">
        <v>19</v>
      </c>
      <c r="I3460" s="1" t="s">
        <v>20</v>
      </c>
      <c r="J3460" s="1" t="s">
        <v>15635</v>
      </c>
      <c r="K3460" s="1" t="s">
        <v>22</v>
      </c>
      <c r="L3460" s="1" t="str">
        <f>HYPERLINK("https://files.afu.se/Downloads/Transcripts/0%20-%20Government/USA%20-%20NASA/2012 06 29 - NASA - NASA Administrator Bolden at Annual John Glenn Lecture_EuH3U2_YQqA - transcript (automated).pdf","Transcript Link")</f>
        <v>Transcript Link</v>
      </c>
      <c r="M3460" s="2" t="str">
        <f>HYPERLINK("https://files.afu.se/Downloads/Transcripts/0%20-%20Government/USA%20-%20NASA/2012 06 29 - NASA - NASA Administrator Bolden at Annual John Glenn Lecture_EuH3U2_YQqA - transcript (automated).pdf","Transcript Link")</f>
        <v>Transcript Link</v>
      </c>
    </row>
    <row r="3461" ht="165" spans="1:13">
      <c r="A3461" s="1" t="s">
        <v>15624</v>
      </c>
      <c r="B3461" s="1" t="s">
        <v>13</v>
      </c>
      <c r="C3461" s="4" t="s">
        <v>15636</v>
      </c>
      <c r="D3461" s="1" t="s">
        <v>15637</v>
      </c>
      <c r="E3461" s="1" t="s">
        <v>15638</v>
      </c>
      <c r="F3461" s="4" t="s">
        <v>17</v>
      </c>
      <c r="G3461" s="1" t="s">
        <v>18</v>
      </c>
      <c r="H3461" s="1" t="s">
        <v>19</v>
      </c>
      <c r="I3461" s="1" t="s">
        <v>20</v>
      </c>
      <c r="J3461" s="1" t="s">
        <v>15639</v>
      </c>
      <c r="K3461" s="1" t="s">
        <v>22</v>
      </c>
      <c r="L3461" s="1" t="str">
        <f>HYPERLINK("https://files.afu.se/Downloads/Transcripts/0%20-%20Government/USA%20-%20NASA/2012 06 29 - NASA - ScienceCasts  Hidden Magnetic Portals Around Earth_Xj8vaLhR0s0 - transcript (automated).pdf","Transcript Link")</f>
        <v>Transcript Link</v>
      </c>
      <c r="M3461" s="2" t="str">
        <f>HYPERLINK("https://files.afu.se/Downloads/Transcripts/0%20-%20Government/USA%20-%20NASA/2012 06 29 - NASA - ScienceCasts  Hidden Magnetic Portals Around Earth_Xj8vaLhR0s0 - transcript (automated).pdf","Transcript Link")</f>
        <v>Transcript Link</v>
      </c>
    </row>
    <row r="3462" ht="165" spans="1:13">
      <c r="A3462" s="1" t="s">
        <v>15640</v>
      </c>
      <c r="B3462" s="1" t="s">
        <v>13</v>
      </c>
      <c r="C3462" s="4" t="s">
        <v>15641</v>
      </c>
      <c r="D3462" s="1" t="s">
        <v>15642</v>
      </c>
      <c r="E3462" s="1" t="s">
        <v>15643</v>
      </c>
      <c r="F3462" s="4" t="s">
        <v>17</v>
      </c>
      <c r="G3462" s="1" t="s">
        <v>18</v>
      </c>
      <c r="H3462" s="1" t="s">
        <v>19</v>
      </c>
      <c r="I3462" s="1" t="s">
        <v>20</v>
      </c>
      <c r="J3462" s="1" t="s">
        <v>15644</v>
      </c>
      <c r="K3462" s="1" t="s">
        <v>22</v>
      </c>
      <c r="L3462" s="1" t="str">
        <f>HYPERLINK("https://files.afu.se/Downloads/Transcripts/0%20-%20Government/USA%20-%20NASA/2012 06 28 - NASA - Station Trio  Talks Science  with Chronicle, NPR_9DchwNOmxbw - transcript (automated).pdf","Transcript Link")</f>
        <v>Transcript Link</v>
      </c>
      <c r="M3462" s="2" t="str">
        <f>HYPERLINK("https://files.afu.se/Downloads/Transcripts/0%20-%20Government/USA%20-%20NASA/2012 06 28 - NASA - Station Trio  Talks Science  with Chronicle, NPR_9DchwNOmxbw - transcript (automated).pdf","Transcript Link")</f>
        <v>Transcript Link</v>
      </c>
    </row>
    <row r="3463" ht="165" spans="1:13">
      <c r="A3463" s="1" t="s">
        <v>15645</v>
      </c>
      <c r="B3463" s="1" t="s">
        <v>13</v>
      </c>
      <c r="C3463" s="4" t="s">
        <v>15646</v>
      </c>
      <c r="D3463" s="1" t="s">
        <v>15647</v>
      </c>
      <c r="E3463" s="1" t="s">
        <v>15648</v>
      </c>
      <c r="F3463" s="4" t="s">
        <v>17</v>
      </c>
      <c r="G3463" s="1" t="s">
        <v>18</v>
      </c>
      <c r="H3463" s="1" t="s">
        <v>19</v>
      </c>
      <c r="I3463" s="1" t="s">
        <v>20</v>
      </c>
      <c r="J3463" s="1" t="s">
        <v>15649</v>
      </c>
      <c r="K3463" s="1" t="s">
        <v>22</v>
      </c>
      <c r="L3463" s="1" t="str">
        <f>HYPERLINK("https://files.afu.se/Downloads/Transcripts/0%20-%20Government/USA%20-%20NASA/2012 06 26 - NASA - ScienceCasts  Voyager 1 at the Final Frontier_YeXkZZ55dKM - transcript (automated).pdf","Transcript Link")</f>
        <v>Transcript Link</v>
      </c>
      <c r="M3463" s="2" t="str">
        <f>HYPERLINK("https://files.afu.se/Downloads/Transcripts/0%20-%20Government/USA%20-%20NASA/2012 06 26 - NASA - ScienceCasts  Voyager 1 at the Final Frontier_YeXkZZ55dKM - transcript (automated).pdf","Transcript Link")</f>
        <v>Transcript Link</v>
      </c>
    </row>
    <row r="3464" ht="165" spans="1:13">
      <c r="A3464" s="1" t="s">
        <v>15645</v>
      </c>
      <c r="B3464" s="1" t="s">
        <v>13</v>
      </c>
      <c r="C3464" s="4" t="s">
        <v>15650</v>
      </c>
      <c r="D3464" s="1" t="s">
        <v>15651</v>
      </c>
      <c r="E3464" s="1" t="s">
        <v>15652</v>
      </c>
      <c r="F3464" s="4" t="s">
        <v>17</v>
      </c>
      <c r="G3464" s="1" t="s">
        <v>18</v>
      </c>
      <c r="H3464" s="1" t="s">
        <v>19</v>
      </c>
      <c r="I3464" s="1" t="s">
        <v>20</v>
      </c>
      <c r="J3464" s="1" t="s">
        <v>15653</v>
      </c>
      <c r="K3464" s="1" t="s">
        <v>22</v>
      </c>
      <c r="L3464" s="1" t="str">
        <f>HYPERLINK("https://files.afu.se/Downloads/Transcripts/0%20-%20Government/USA%20-%20NASA/2012 06 26 - NASA - ISS Crew  Meets  with Philadelphia Area Students_TaJgR26EhEc - transcript (automated).pdf","Transcript Link")</f>
        <v>Transcript Link</v>
      </c>
      <c r="M3464" s="2" t="str">
        <f>HYPERLINK("https://files.afu.se/Downloads/Transcripts/0%20-%20Government/USA%20-%20NASA/2012 06 26 - NASA - ISS Crew  Meets  with Philadelphia Area Students_TaJgR26EhEc - transcript (automated).pdf","Transcript Link")</f>
        <v>Transcript Link</v>
      </c>
    </row>
    <row r="3465" ht="165" spans="1:13">
      <c r="A3465" s="1" t="s">
        <v>15654</v>
      </c>
      <c r="B3465" s="1" t="s">
        <v>13</v>
      </c>
      <c r="C3465" s="4" t="s">
        <v>15655</v>
      </c>
      <c r="D3465" s="1" t="s">
        <v>15656</v>
      </c>
      <c r="E3465" s="1" t="s">
        <v>15657</v>
      </c>
      <c r="F3465" s="4" t="s">
        <v>17</v>
      </c>
      <c r="G3465" s="1" t="s">
        <v>18</v>
      </c>
      <c r="H3465" s="1" t="s">
        <v>19</v>
      </c>
      <c r="I3465" s="1" t="s">
        <v>20</v>
      </c>
      <c r="J3465" s="1" t="s">
        <v>15658</v>
      </c>
      <c r="K3465" s="1" t="s">
        <v>22</v>
      </c>
      <c r="L3465" s="1" t="str">
        <f>HYPERLINK("https://files.afu.se/Downloads/Transcripts/0%20-%20Government/USA%20-%20NASA/2012 06 23 - NASA - Next ISS Crew Meets Media, Pays Homage at Red Square_GHu6KVvpfP8 - transcript (automated).pdf","Transcript Link")</f>
        <v>Transcript Link</v>
      </c>
      <c r="M3465" s="2" t="str">
        <f>HYPERLINK("https://files.afu.se/Downloads/Transcripts/0%20-%20Government/USA%20-%20NASA/2012 06 23 - NASA - Next ISS Crew Meets Media, Pays Homage at Red Square_GHu6KVvpfP8 - transcript (automated).pdf","Transcript Link")</f>
        <v>Transcript Link</v>
      </c>
    </row>
    <row r="3466" ht="165" spans="1:13">
      <c r="A3466" s="1" t="s">
        <v>15659</v>
      </c>
      <c r="B3466" s="1" t="s">
        <v>13</v>
      </c>
      <c r="C3466" s="4" t="s">
        <v>15660</v>
      </c>
      <c r="D3466" s="1" t="s">
        <v>15661</v>
      </c>
      <c r="E3466" s="1" t="s">
        <v>15662</v>
      </c>
      <c r="F3466" s="4" t="s">
        <v>17</v>
      </c>
      <c r="G3466" s="1" t="s">
        <v>18</v>
      </c>
      <c r="H3466" s="1" t="s">
        <v>19</v>
      </c>
      <c r="I3466" s="1" t="s">
        <v>20</v>
      </c>
      <c r="J3466" s="1" t="s">
        <v>15663</v>
      </c>
      <c r="K3466" s="1" t="s">
        <v>22</v>
      </c>
      <c r="L3466" s="1" t="str">
        <f>HYPERLINK("https://files.afu.se/Downloads/Transcripts/0%20-%20Government/USA%20-%20NASA/2012 06 22 - NASA - Bolden and Metcalf-Lindenburger on Title IX_bVGXe9SllJ8 - transcript (automated).pdf","Transcript Link")</f>
        <v>Transcript Link</v>
      </c>
      <c r="M3466" s="2" t="str">
        <f>HYPERLINK("https://files.afu.se/Downloads/Transcripts/0%20-%20Government/USA%20-%20NASA/2012 06 22 - NASA - Bolden and Metcalf-Lindenburger on Title IX_bVGXe9SllJ8 - transcript (automated).pdf","Transcript Link")</f>
        <v>Transcript Link</v>
      </c>
    </row>
    <row r="3467" ht="165" spans="1:13">
      <c r="A3467" s="1" t="s">
        <v>15659</v>
      </c>
      <c r="B3467" s="1" t="s">
        <v>13</v>
      </c>
      <c r="C3467" s="4" t="s">
        <v>15664</v>
      </c>
      <c r="D3467" s="1" t="s">
        <v>15665</v>
      </c>
      <c r="E3467" s="1" t="s">
        <v>15666</v>
      </c>
      <c r="F3467" s="4" t="s">
        <v>17</v>
      </c>
      <c r="G3467" s="1" t="s">
        <v>18</v>
      </c>
      <c r="H3467" s="1" t="s">
        <v>19</v>
      </c>
      <c r="I3467" s="1" t="s">
        <v>20</v>
      </c>
      <c r="J3467" s="1" t="s">
        <v>15667</v>
      </c>
      <c r="K3467" s="1" t="s">
        <v>22</v>
      </c>
      <c r="L3467" s="1" t="str">
        <f>HYPERLINK("https://files.afu.se/Downloads/Transcripts/0%20-%20Government/USA%20-%20NASA/2012 06 22 - NASA - ISS Day on the Hill on This Week @NASA_jmpKqZLLNfw - transcript (automated).pdf","Transcript Link")</f>
        <v>Transcript Link</v>
      </c>
      <c r="M3467" s="2" t="str">
        <f>HYPERLINK("https://files.afu.se/Downloads/Transcripts/0%20-%20Government/USA%20-%20NASA/2012 06 22 - NASA - ISS Day on the Hill on This Week @NASA_jmpKqZLLNfw - transcript (automated).pdf","Transcript Link")</f>
        <v>Transcript Link</v>
      </c>
    </row>
    <row r="3468" ht="165" spans="1:13">
      <c r="A3468" s="1" t="s">
        <v>15659</v>
      </c>
      <c r="B3468" s="1" t="s">
        <v>13</v>
      </c>
      <c r="C3468" s="4" t="s">
        <v>15668</v>
      </c>
      <c r="D3468" s="1" t="s">
        <v>15669</v>
      </c>
      <c r="E3468" s="1" t="s">
        <v>15670</v>
      </c>
      <c r="F3468" s="4" t="s">
        <v>17</v>
      </c>
      <c r="G3468" s="1" t="s">
        <v>18</v>
      </c>
      <c r="H3468" s="1" t="s">
        <v>19</v>
      </c>
      <c r="I3468" s="1" t="s">
        <v>20</v>
      </c>
      <c r="J3468" s="1" t="s">
        <v>15671</v>
      </c>
      <c r="K3468" s="1" t="s">
        <v>22</v>
      </c>
      <c r="L3468" s="1" t="str">
        <f>HYPERLINK("https://files.afu.se/Downloads/Transcripts/0%20-%20Government/USA%20-%20NASA/2012 06 22 - NASA - Challenges of Getting to Mars  Curiosity's Seven Minutes of Terror_OHwUrxzrvtg - transcript (automated).pdf","Transcript Link")</f>
        <v>Transcript Link</v>
      </c>
      <c r="M3468" s="2" t="str">
        <f>HYPERLINK("https://files.afu.se/Downloads/Transcripts/0%20-%20Government/USA%20-%20NASA/2012 06 22 - NASA - Challenges of Getting to Mars  Curiosity's Seven Minutes of Terror_OHwUrxzrvtg - transcript (automated).pdf","Transcript Link")</f>
        <v>Transcript Link</v>
      </c>
    </row>
    <row r="3469" ht="270" spans="1:13">
      <c r="A3469" s="1" t="s">
        <v>15672</v>
      </c>
      <c r="B3469" s="1" t="s">
        <v>13</v>
      </c>
      <c r="C3469" s="4" t="s">
        <v>15673</v>
      </c>
      <c r="D3469" s="1" t="s">
        <v>15674</v>
      </c>
      <c r="E3469" s="1" t="s">
        <v>15675</v>
      </c>
      <c r="F3469" s="4" t="s">
        <v>17</v>
      </c>
      <c r="G3469" s="1" t="s">
        <v>18</v>
      </c>
      <c r="H3469" s="1" t="s">
        <v>19</v>
      </c>
      <c r="I3469" s="1" t="s">
        <v>20</v>
      </c>
      <c r="J3469" s="1" t="s">
        <v>15676</v>
      </c>
      <c r="K3469" s="1" t="s">
        <v>22</v>
      </c>
      <c r="L3469" s="1" t="str">
        <f>HYPERLINK("https://files.afu.se/Downloads/Transcripts/0%20-%20Government/USA%20-%20NASA/2012 06 20 - NASA - Bolden Calls Underwater NEEMO 16 Crew_2_MIwbPo7T8 - transcript (automated).pdf","Transcript Link")</f>
        <v>Transcript Link</v>
      </c>
      <c r="M3469" s="2" t="str">
        <f>HYPERLINK("https://files.afu.se/Downloads/Transcripts/0%20-%20Government/USA%20-%20NASA/2012 06 20 - NASA - Bolden Calls Underwater NEEMO 16 Crew_2_MIwbPo7T8 - transcript (automated).pdf","Transcript Link")</f>
        <v>Transcript Link</v>
      </c>
    </row>
    <row r="3470" ht="180" spans="1:13">
      <c r="A3470" s="1" t="s">
        <v>15672</v>
      </c>
      <c r="B3470" s="1" t="s">
        <v>13</v>
      </c>
      <c r="C3470" s="4" t="s">
        <v>15677</v>
      </c>
      <c r="D3470" s="1" t="s">
        <v>15678</v>
      </c>
      <c r="E3470" s="1" t="s">
        <v>15679</v>
      </c>
      <c r="F3470" s="4" t="s">
        <v>17</v>
      </c>
      <c r="G3470" s="1" t="s">
        <v>18</v>
      </c>
      <c r="H3470" s="1" t="s">
        <v>19</v>
      </c>
      <c r="I3470" s="1" t="s">
        <v>20</v>
      </c>
      <c r="J3470" s="1" t="s">
        <v>15680</v>
      </c>
      <c r="K3470" s="1" t="s">
        <v>22</v>
      </c>
      <c r="L3470" s="1" t="str">
        <f>HYPERLINK("https://files.afu.se/Downloads/Transcripts/0%20-%20Government/USA%20-%20NASA/2012 06 20 - NASA - Next Station Crew Undergoes Final Training Before Launch_G-aRfB4yh9E - transcript (automated).pdf","Transcript Link")</f>
        <v>Transcript Link</v>
      </c>
      <c r="M3470" s="2" t="str">
        <f>HYPERLINK("https://files.afu.se/Downloads/Transcripts/0%20-%20Government/USA%20-%20NASA/2012 06 20 - NASA - Next Station Crew Undergoes Final Training Before Launch_G-aRfB4yh9E - transcript (automated).pdf","Transcript Link")</f>
        <v>Transcript Link</v>
      </c>
    </row>
    <row r="3471" ht="165" spans="1:13">
      <c r="A3471" s="1" t="s">
        <v>15681</v>
      </c>
      <c r="B3471" s="1" t="s">
        <v>13</v>
      </c>
      <c r="C3471" s="4" t="s">
        <v>15682</v>
      </c>
      <c r="D3471" s="1" t="s">
        <v>15683</v>
      </c>
      <c r="E3471" s="1" t="s">
        <v>15684</v>
      </c>
      <c r="F3471" s="4" t="s">
        <v>17</v>
      </c>
      <c r="G3471" s="1" t="s">
        <v>18</v>
      </c>
      <c r="H3471" s="1" t="s">
        <v>19</v>
      </c>
      <c r="I3471" s="1" t="s">
        <v>20</v>
      </c>
      <c r="J3471" s="1" t="s">
        <v>15685</v>
      </c>
      <c r="K3471" s="1" t="s">
        <v>22</v>
      </c>
      <c r="L3471" s="1" t="str">
        <f>HYPERLINK("https://files.afu.se/Downloads/Transcripts/0%20-%20Government/USA%20-%20NASA/2012 06 19 - NASA - Don, Joe and Andre Discuss ISS Life and Science_K_UAs12NnLo - transcript (automated).pdf","Transcript Link")</f>
        <v>Transcript Link</v>
      </c>
      <c r="M3471" s="2" t="str">
        <f>HYPERLINK("https://files.afu.se/Downloads/Transcripts/0%20-%20Government/USA%20-%20NASA/2012 06 19 - NASA - Don, Joe and Andre Discuss ISS Life and Science_K_UAs12NnLo - transcript (automated).pdf","Transcript Link")</f>
        <v>Transcript Link</v>
      </c>
    </row>
    <row r="3472" ht="165" spans="1:13">
      <c r="A3472" s="1" t="s">
        <v>15686</v>
      </c>
      <c r="B3472" s="1" t="s">
        <v>13</v>
      </c>
      <c r="C3472" s="4" t="s">
        <v>15687</v>
      </c>
      <c r="D3472" s="1" t="s">
        <v>15688</v>
      </c>
      <c r="E3472" s="1" t="s">
        <v>15689</v>
      </c>
      <c r="F3472" s="4" t="s">
        <v>17</v>
      </c>
      <c r="G3472" s="1" t="s">
        <v>18</v>
      </c>
      <c r="H3472" s="1" t="s">
        <v>19</v>
      </c>
      <c r="I3472" s="1" t="s">
        <v>20</v>
      </c>
      <c r="J3472" s="1" t="s">
        <v>15690</v>
      </c>
      <c r="K3472" s="1" t="s">
        <v>22</v>
      </c>
      <c r="L3472" s="1" t="str">
        <f>HYPERLINK("https://files.afu.se/Downloads/Transcripts/0%20-%20Government/USA%20-%20NASA/2012 06 18 - NASA - Kuipers Counting Down to Return_tbTzBiz3gUI - transcript (automated).pdf","Transcript Link")</f>
        <v>Transcript Link</v>
      </c>
      <c r="M3472" s="2" t="str">
        <f>HYPERLINK("https://files.afu.se/Downloads/Transcripts/0%20-%20Government/USA%20-%20NASA/2012 06 18 - NASA - Kuipers Counting Down to Return_tbTzBiz3gUI - transcript (automated).pdf","Transcript Link")</f>
        <v>Transcript Link</v>
      </c>
    </row>
    <row r="3473" ht="255" spans="1:13">
      <c r="A3473" s="1" t="s">
        <v>15691</v>
      </c>
      <c r="B3473" s="1" t="s">
        <v>13</v>
      </c>
      <c r="C3473" s="4" t="s">
        <v>15692</v>
      </c>
      <c r="D3473" s="1" t="s">
        <v>15693</v>
      </c>
      <c r="E3473" s="1" t="s">
        <v>15694</v>
      </c>
      <c r="F3473" s="4" t="s">
        <v>17</v>
      </c>
      <c r="G3473" s="1" t="s">
        <v>18</v>
      </c>
      <c r="H3473" s="1" t="s">
        <v>19</v>
      </c>
      <c r="I3473" s="1" t="s">
        <v>20</v>
      </c>
      <c r="J3473" s="1" t="s">
        <v>15695</v>
      </c>
      <c r="K3473" s="1" t="s">
        <v>22</v>
      </c>
      <c r="L3473" s="1" t="str">
        <f>HYPERLINK("https://files.afu.se/Downloads/Transcripts/0%20-%20Government/USA%20-%20NASA/2012 06 16 - NASA - NASA Robotics Challenge  On  at WPI_EDH5VApZ958 - transcript (automated).pdf","Transcript Link")</f>
        <v>Transcript Link</v>
      </c>
      <c r="M3473" s="2" t="str">
        <f>HYPERLINK("https://files.afu.se/Downloads/Transcripts/0%20-%20Government/USA%20-%20NASA/2012 06 16 - NASA - NASA Robotics Challenge  On  at WPI_EDH5VApZ958 - transcript (automated).pdf","Transcript Link")</f>
        <v>Transcript Link</v>
      </c>
    </row>
    <row r="3474" ht="165" spans="1:13">
      <c r="A3474" s="1" t="s">
        <v>15691</v>
      </c>
      <c r="B3474" s="1" t="s">
        <v>13</v>
      </c>
      <c r="C3474" s="4" t="s">
        <v>15696</v>
      </c>
      <c r="D3474" s="1" t="s">
        <v>15697</v>
      </c>
      <c r="E3474" s="1" t="s">
        <v>15698</v>
      </c>
      <c r="F3474" s="4" t="s">
        <v>17</v>
      </c>
      <c r="G3474" s="1" t="s">
        <v>18</v>
      </c>
      <c r="H3474" s="1" t="s">
        <v>19</v>
      </c>
      <c r="I3474" s="1" t="s">
        <v>20</v>
      </c>
      <c r="J3474" s="1" t="s">
        <v>15699</v>
      </c>
      <c r="K3474" s="1" t="s">
        <v>22</v>
      </c>
      <c r="L3474" s="1" t="str">
        <f>HYPERLINK("https://files.afu.se/Downloads/Transcripts/0%20-%20Government/USA%20-%20NASA/2012 06 16 - NASA - Bolden's Two Stops at SpaceX on This Week @NASA_ClPTuL2heX0 - transcript (automated).pdf","Transcript Link")</f>
        <v>Transcript Link</v>
      </c>
      <c r="M3474" s="2" t="str">
        <f>HYPERLINK("https://files.afu.se/Downloads/Transcripts/0%20-%20Government/USA%20-%20NASA/2012 06 16 - NASA - Bolden's Two Stops at SpaceX on This Week @NASA_ClPTuL2heX0 - transcript (automated).pdf","Transcript Link")</f>
        <v>Transcript Link</v>
      </c>
    </row>
    <row r="3475" ht="165" spans="1:13">
      <c r="A3475" s="1" t="s">
        <v>15700</v>
      </c>
      <c r="B3475" s="1" t="s">
        <v>13</v>
      </c>
      <c r="C3475" s="4" t="s">
        <v>15701</v>
      </c>
      <c r="D3475" s="1" t="s">
        <v>15702</v>
      </c>
      <c r="E3475" s="1" t="s">
        <v>15703</v>
      </c>
      <c r="F3475" s="4" t="s">
        <v>17</v>
      </c>
      <c r="G3475" s="1" t="s">
        <v>18</v>
      </c>
      <c r="H3475" s="1" t="s">
        <v>19</v>
      </c>
      <c r="I3475" s="1" t="s">
        <v>20</v>
      </c>
      <c r="J3475" s="1" t="s">
        <v>15704</v>
      </c>
      <c r="K3475" s="1" t="s">
        <v>22</v>
      </c>
      <c r="L3475" s="1" t="str">
        <f>HYPERLINK("https://files.afu.se/Downloads/Transcripts/0%20-%20Government/USA%20-%20NASA/2012 06 15 - NASA - Bolden Visits SpaceX on This Week @NASA_CQ8VpelbNZU - transcript (automated).pdf","Transcript Link")</f>
        <v>Transcript Link</v>
      </c>
      <c r="M3475" s="2" t="str">
        <f>HYPERLINK("https://files.afu.se/Downloads/Transcripts/0%20-%20Government/USA%20-%20NASA/2012 06 15 - NASA - Bolden Visits SpaceX on This Week @NASA_CQ8VpelbNZU - transcript (automated).pdf","Transcript Link")</f>
        <v>Transcript Link</v>
      </c>
    </row>
    <row r="3476" ht="165" spans="1:13">
      <c r="A3476" s="1" t="s">
        <v>15700</v>
      </c>
      <c r="B3476" s="1" t="s">
        <v>13</v>
      </c>
      <c r="C3476" s="4" t="s">
        <v>15705</v>
      </c>
      <c r="D3476" s="1" t="s">
        <v>15706</v>
      </c>
      <c r="E3476" s="1" t="s">
        <v>15707</v>
      </c>
      <c r="F3476" s="4" t="s">
        <v>17</v>
      </c>
      <c r="G3476" s="1" t="s">
        <v>18</v>
      </c>
      <c r="H3476" s="1" t="s">
        <v>19</v>
      </c>
      <c r="I3476" s="1" t="s">
        <v>20</v>
      </c>
      <c r="J3476" s="1" t="s">
        <v>15708</v>
      </c>
      <c r="K3476" s="1" t="s">
        <v>22</v>
      </c>
      <c r="L3476" s="1" t="str">
        <f>HYPERLINK("https://files.afu.se/Downloads/Transcripts/0%20-%20Government/USA%20-%20NASA/2012 06 15 - NASA - ScienceCasts  Why Won't the Supernova Explode _qiYes-vFB9M - transcript (automated).pdf","Transcript Link")</f>
        <v>Transcript Link</v>
      </c>
      <c r="M3476" s="2" t="str">
        <f>HYPERLINK("https://files.afu.se/Downloads/Transcripts/0%20-%20Government/USA%20-%20NASA/2012 06 15 - NASA - ScienceCasts  Why Won't the Supernova Explode _qiYes-vFB9M - transcript (automated).pdf","Transcript Link")</f>
        <v>Transcript Link</v>
      </c>
    </row>
    <row r="3477" ht="165" spans="1:13">
      <c r="A3477" s="1" t="s">
        <v>15709</v>
      </c>
      <c r="B3477" s="1" t="s">
        <v>13</v>
      </c>
      <c r="C3477" s="4" t="s">
        <v>15710</v>
      </c>
      <c r="D3477" s="1" t="s">
        <v>15711</v>
      </c>
      <c r="E3477" s="1" t="s">
        <v>15712</v>
      </c>
      <c r="F3477" s="4" t="s">
        <v>17</v>
      </c>
      <c r="G3477" s="1" t="s">
        <v>18</v>
      </c>
      <c r="H3477" s="1" t="s">
        <v>19</v>
      </c>
      <c r="I3477" s="1" t="s">
        <v>20</v>
      </c>
      <c r="J3477" s="1" t="s">
        <v>15713</v>
      </c>
      <c r="K3477" s="1" t="s">
        <v>22</v>
      </c>
      <c r="L3477" s="1" t="str">
        <f>HYPERLINK("https://files.afu.se/Downloads/Transcripts/0%20-%20Government/USA%20-%20NASA/2012 06 09 - NASA - ScienceCasts  Andromeda vs. the Milky Way  Astronomers Predict a Titanic Collision_B26s6f-wtOg - transcript (automated).pdf","Transcript Link")</f>
        <v>Transcript Link</v>
      </c>
      <c r="M3477" s="2" t="str">
        <f>HYPERLINK("https://files.afu.se/Downloads/Transcripts/0%20-%20Government/USA%20-%20NASA/2012 06 09 - NASA - ScienceCasts  Andromeda vs. the Milky Way  Astronomers Predict a Titanic Collision_B26s6f-wtOg - transcript (automated).pdf","Transcript Link")</f>
        <v>Transcript Link</v>
      </c>
    </row>
    <row r="3478" ht="195" spans="1:13">
      <c r="A3478" s="1" t="s">
        <v>15714</v>
      </c>
      <c r="B3478" s="1" t="s">
        <v>13</v>
      </c>
      <c r="C3478" s="4" t="s">
        <v>15715</v>
      </c>
      <c r="D3478" s="1" t="s">
        <v>15716</v>
      </c>
      <c r="E3478" s="1" t="s">
        <v>15717</v>
      </c>
      <c r="F3478" s="4" t="s">
        <v>17</v>
      </c>
      <c r="G3478" s="1" t="s">
        <v>18</v>
      </c>
      <c r="H3478" s="1" t="s">
        <v>19</v>
      </c>
      <c r="I3478" s="1" t="s">
        <v>20</v>
      </c>
      <c r="J3478" s="1" t="s">
        <v>15718</v>
      </c>
      <c r="K3478" s="1" t="s">
        <v>22</v>
      </c>
      <c r="L3478" s="1" t="str">
        <f>HYPERLINK("https://files.afu.se/Downloads/Transcripts/0%20-%20Government/USA%20-%20NASA/2012 06 08 - NASA - A Last in our Lifetime event on This Week @NASA_tHzFkiUIZxc - transcript (automated).pdf","Transcript Link")</f>
        <v>Transcript Link</v>
      </c>
      <c r="M3478" s="2" t="str">
        <f>HYPERLINK("https://files.afu.se/Downloads/Transcripts/0%20-%20Government/USA%20-%20NASA/2012 06 08 - NASA - A Last in our Lifetime event on This Week @NASA_tHzFkiUIZxc - transcript (automated).pdf","Transcript Link")</f>
        <v>Transcript Link</v>
      </c>
    </row>
    <row r="3479" ht="300" spans="1:13">
      <c r="A3479" s="1" t="s">
        <v>15714</v>
      </c>
      <c r="B3479" s="1" t="s">
        <v>13</v>
      </c>
      <c r="C3479" s="4" t="s">
        <v>15719</v>
      </c>
      <c r="D3479" s="1" t="s">
        <v>15720</v>
      </c>
      <c r="E3479" s="1" t="s">
        <v>15721</v>
      </c>
      <c r="F3479" s="4" t="s">
        <v>17</v>
      </c>
      <c r="G3479" s="1" t="s">
        <v>18</v>
      </c>
      <c r="H3479" s="1" t="s">
        <v>19</v>
      </c>
      <c r="I3479" s="1" t="s">
        <v>20</v>
      </c>
      <c r="J3479" s="1" t="s">
        <v>15722</v>
      </c>
      <c r="K3479" s="1" t="s">
        <v>22</v>
      </c>
      <c r="L3479" s="1" t="str">
        <f>HYPERLINK("https://files.afu.se/Downloads/Transcripts/0%20-%20Government/USA%20-%20NASA/2012 06 08 - NASA - Girl Scouts Rock @NASA to celebrate the big 100!_ZKKwosuuUK4 - transcript (automated).pdf","Transcript Link")</f>
        <v>Transcript Link</v>
      </c>
      <c r="M3479" s="2" t="str">
        <f>HYPERLINK("https://files.afu.se/Downloads/Transcripts/0%20-%20Government/USA%20-%20NASA/2012 06 08 - NASA - Girl Scouts Rock @NASA to celebrate the big 100!_ZKKwosuuUK4 - transcript (automated).pdf","Transcript Link")</f>
        <v>Transcript Link</v>
      </c>
    </row>
    <row r="3480" ht="165" spans="1:13">
      <c r="A3480" s="1" t="s">
        <v>15723</v>
      </c>
      <c r="B3480" s="1" t="s">
        <v>13</v>
      </c>
      <c r="C3480" s="4" t="s">
        <v>15724</v>
      </c>
      <c r="D3480" s="1" t="s">
        <v>15725</v>
      </c>
      <c r="E3480" s="1" t="s">
        <v>15726</v>
      </c>
      <c r="F3480" s="4" t="s">
        <v>17</v>
      </c>
      <c r="G3480" s="1" t="s">
        <v>18</v>
      </c>
      <c r="H3480" s="1" t="s">
        <v>19</v>
      </c>
      <c r="I3480" s="1" t="s">
        <v>20</v>
      </c>
      <c r="J3480" s="1" t="s">
        <v>15727</v>
      </c>
      <c r="K3480" s="1" t="s">
        <v>22</v>
      </c>
      <c r="L3480" s="1" t="str">
        <f>HYPERLINK("https://files.afu.se/Downloads/Transcripts/0%20-%20Government/USA%20-%20NASA/2012 06 07 - NASA - NASA Reaches Out to South Dakota Students_4YW8Wj-_vlg - transcript (automated).pdf","Transcript Link")</f>
        <v>Transcript Link</v>
      </c>
      <c r="M3480" s="2" t="str">
        <f>HYPERLINK("https://files.afu.se/Downloads/Transcripts/0%20-%20Government/USA%20-%20NASA/2012 06 07 - NASA - NASA Reaches Out to South Dakota Students_4YW8Wj-_vlg - transcript (automated).pdf","Transcript Link")</f>
        <v>Transcript Link</v>
      </c>
    </row>
    <row r="3481" ht="165" spans="1:13">
      <c r="A3481" s="1" t="s">
        <v>15723</v>
      </c>
      <c r="B3481" s="1" t="s">
        <v>13</v>
      </c>
      <c r="C3481" s="4" t="s">
        <v>15728</v>
      </c>
      <c r="D3481" s="1" t="s">
        <v>15729</v>
      </c>
      <c r="E3481" s="1" t="s">
        <v>15730</v>
      </c>
      <c r="F3481" s="4" t="s">
        <v>17</v>
      </c>
      <c r="G3481" s="1" t="s">
        <v>18</v>
      </c>
      <c r="H3481" s="1" t="s">
        <v>19</v>
      </c>
      <c r="I3481" s="1" t="s">
        <v>20</v>
      </c>
      <c r="J3481" s="1" t="s">
        <v>15731</v>
      </c>
      <c r="K3481" s="1" t="s">
        <v>22</v>
      </c>
      <c r="L3481" s="1" t="str">
        <f>HYPERLINK("https://files.afu.se/Downloads/Transcripts/0%20-%20Government/USA%20-%20NASA/2012 06 07 - NASA - Kuipers Chats with Countrymen's Media_2O_zvBMVHe0 - transcript (automated).pdf","Transcript Link")</f>
        <v>Transcript Link</v>
      </c>
      <c r="M3481" s="2" t="str">
        <f>HYPERLINK("https://files.afu.se/Downloads/Transcripts/0%20-%20Government/USA%20-%20NASA/2012 06 07 - NASA - Kuipers Chats with Countrymen's Media_2O_zvBMVHe0 - transcript (automated).pdf","Transcript Link")</f>
        <v>Transcript Link</v>
      </c>
    </row>
    <row r="3482" ht="165" spans="1:13">
      <c r="A3482" s="1" t="s">
        <v>15732</v>
      </c>
      <c r="B3482" s="1" t="s">
        <v>13</v>
      </c>
      <c r="C3482" s="4" t="s">
        <v>15733</v>
      </c>
      <c r="D3482" s="1" t="s">
        <v>15734</v>
      </c>
      <c r="E3482" s="1" t="s">
        <v>15735</v>
      </c>
      <c r="F3482" s="4" t="s">
        <v>17</v>
      </c>
      <c r="G3482" s="1" t="s">
        <v>18</v>
      </c>
      <c r="H3482" s="1" t="s">
        <v>19</v>
      </c>
      <c r="I3482" s="1" t="s">
        <v>20</v>
      </c>
      <c r="J3482" s="1" t="s">
        <v>15736</v>
      </c>
      <c r="K3482" s="1" t="s">
        <v>22</v>
      </c>
      <c r="L3482" s="1" t="str">
        <f>HYPERLINK("https://files.afu.se/Downloads/Transcripts/0%20-%20Government/USA%20-%20NASA/2012 06 06 - NASA - California Students Speak with Station Crew_DwTbASTyk8E - transcript (automated).pdf","Transcript Link")</f>
        <v>Transcript Link</v>
      </c>
      <c r="M3482" s="2" t="str">
        <f>HYPERLINK("https://files.afu.se/Downloads/Transcripts/0%20-%20Government/USA%20-%20NASA/2012 06 06 - NASA - California Students Speak with Station Crew_DwTbASTyk8E - transcript (automated).pdf","Transcript Link")</f>
        <v>Transcript Link</v>
      </c>
    </row>
    <row r="3483" ht="165" spans="1:13">
      <c r="A3483" s="1" t="s">
        <v>15732</v>
      </c>
      <c r="B3483" s="1" t="s">
        <v>13</v>
      </c>
      <c r="C3483" s="4" t="s">
        <v>15737</v>
      </c>
      <c r="D3483" s="1" t="s">
        <v>15738</v>
      </c>
      <c r="E3483" s="1" t="s">
        <v>15739</v>
      </c>
      <c r="F3483" s="4" t="s">
        <v>17</v>
      </c>
      <c r="G3483" s="1" t="s">
        <v>18</v>
      </c>
      <c r="H3483" s="1" t="s">
        <v>19</v>
      </c>
      <c r="I3483" s="1" t="s">
        <v>20</v>
      </c>
      <c r="J3483" s="1" t="s">
        <v>15740</v>
      </c>
      <c r="K3483" s="1" t="s">
        <v>22</v>
      </c>
      <c r="L3483" s="1" t="str">
        <f>HYPERLINK("https://files.afu.se/Downloads/Transcripts/0%20-%20Government/USA%20-%20NASA/2012 06 06 - NASA - 2012 Venus Transit  The End_uOhC99DMQ1M - transcript (automated).pdf","Transcript Link")</f>
        <v>Transcript Link</v>
      </c>
      <c r="M3483" s="2" t="str">
        <f>HYPERLINK("https://files.afu.se/Downloads/Transcripts/0%20-%20Government/USA%20-%20NASA/2012 06 06 - NASA - 2012 Venus Transit  The End_uOhC99DMQ1M - transcript (automated).pdf","Transcript Link")</f>
        <v>Transcript Link</v>
      </c>
    </row>
    <row r="3484" ht="165" spans="1:13">
      <c r="A3484" s="1" t="s">
        <v>15732</v>
      </c>
      <c r="B3484" s="1" t="s">
        <v>13</v>
      </c>
      <c r="C3484" s="4" t="s">
        <v>15741</v>
      </c>
      <c r="D3484" s="1" t="s">
        <v>15742</v>
      </c>
      <c r="E3484" s="1" t="s">
        <v>15743</v>
      </c>
      <c r="F3484" s="4" t="s">
        <v>17</v>
      </c>
      <c r="G3484" s="1" t="s">
        <v>18</v>
      </c>
      <c r="H3484" s="1" t="s">
        <v>19</v>
      </c>
      <c r="I3484" s="1" t="s">
        <v>20</v>
      </c>
      <c r="J3484" s="1" t="s">
        <v>15744</v>
      </c>
      <c r="K3484" s="1" t="s">
        <v>22</v>
      </c>
      <c r="L3484" s="1" t="str">
        <f>HYPERLINK("https://files.afu.se/Downloads/Transcripts/0%20-%20Government/USA%20-%20NASA/2012 06 06 - NASA - 2012 Venus Transit  What Might We Learn_ugV4q1VRDMQ - transcript (automated).pdf","Transcript Link")</f>
        <v>Transcript Link</v>
      </c>
      <c r="M3484" s="2" t="str">
        <f>HYPERLINK("https://files.afu.se/Downloads/Transcripts/0%20-%20Government/USA%20-%20NASA/2012 06 06 - NASA - 2012 Venus Transit  What Might We Learn_ugV4q1VRDMQ - transcript (automated).pdf","Transcript Link")</f>
        <v>Transcript Link</v>
      </c>
    </row>
    <row r="3485" ht="165" spans="1:13">
      <c r="A3485" s="1" t="s">
        <v>15732</v>
      </c>
      <c r="B3485" s="1" t="s">
        <v>13</v>
      </c>
      <c r="C3485" s="4" t="s">
        <v>15745</v>
      </c>
      <c r="D3485" s="1" t="s">
        <v>15746</v>
      </c>
      <c r="E3485" s="1" t="s">
        <v>15747</v>
      </c>
      <c r="F3485" s="4" t="s">
        <v>17</v>
      </c>
      <c r="G3485" s="1" t="s">
        <v>18</v>
      </c>
      <c r="H3485" s="1" t="s">
        <v>19</v>
      </c>
      <c r="I3485" s="1" t="s">
        <v>20</v>
      </c>
      <c r="J3485" s="1" t="s">
        <v>15748</v>
      </c>
      <c r="K3485" s="1" t="s">
        <v>22</v>
      </c>
      <c r="L3485" s="1" t="str">
        <f>HYPERLINK("https://files.afu.se/Downloads/Transcripts/0%20-%20Government/USA%20-%20NASA/2012 06 06 - NASA - NASA Solar Experts Discuss Venus Transit_RdPWfM8_HR0 - transcript (automated).pdf","Transcript Link")</f>
        <v>Transcript Link</v>
      </c>
      <c r="M3485" s="2" t="str">
        <f>HYPERLINK("https://files.afu.se/Downloads/Transcripts/0%20-%20Government/USA%20-%20NASA/2012 06 06 - NASA - NASA Solar Experts Discuss Venus Transit_RdPWfM8_HR0 - transcript (automated).pdf","Transcript Link")</f>
        <v>Transcript Link</v>
      </c>
    </row>
    <row r="3486" ht="165" spans="1:13">
      <c r="A3486" s="1" t="s">
        <v>15732</v>
      </c>
      <c r="B3486" s="1" t="s">
        <v>13</v>
      </c>
      <c r="C3486" s="4" t="s">
        <v>15749</v>
      </c>
      <c r="D3486" s="1" t="s">
        <v>15750</v>
      </c>
      <c r="E3486" s="1" t="s">
        <v>15751</v>
      </c>
      <c r="F3486" s="4" t="s">
        <v>17</v>
      </c>
      <c r="G3486" s="1" t="s">
        <v>18</v>
      </c>
      <c r="H3486" s="1" t="s">
        <v>19</v>
      </c>
      <c r="I3486" s="1" t="s">
        <v>20</v>
      </c>
      <c r="J3486" s="1" t="s">
        <v>15752</v>
      </c>
      <c r="K3486" s="1" t="s">
        <v>22</v>
      </c>
      <c r="L3486" s="1" t="str">
        <f>HYPERLINK("https://files.afu.se/Downloads/Transcripts/0%20-%20Government/USA%20-%20NASA/2012 06 06 - NASA - NASA TV Hosts 2012 Venus Transit_oNrX6oESbaU - transcript (automated).pdf","Transcript Link")</f>
        <v>Transcript Link</v>
      </c>
      <c r="M3486" s="2" t="str">
        <f>HYPERLINK("https://files.afu.se/Downloads/Transcripts/0%20-%20Government/USA%20-%20NASA/2012 06 06 - NASA - NASA TV Hosts 2012 Venus Transit_oNrX6oESbaU - transcript (automated).pdf","Transcript Link")</f>
        <v>Transcript Link</v>
      </c>
    </row>
    <row r="3487" ht="165" spans="1:13">
      <c r="A3487" s="1" t="s">
        <v>15753</v>
      </c>
      <c r="B3487" s="1" t="s">
        <v>13</v>
      </c>
      <c r="C3487" s="4" t="s">
        <v>15754</v>
      </c>
      <c r="D3487" s="1" t="s">
        <v>15755</v>
      </c>
      <c r="E3487" s="1" t="s">
        <v>15756</v>
      </c>
      <c r="F3487" s="4" t="s">
        <v>17</v>
      </c>
      <c r="G3487" s="1" t="s">
        <v>18</v>
      </c>
      <c r="H3487" s="1" t="s">
        <v>19</v>
      </c>
      <c r="I3487" s="1" t="s">
        <v>20</v>
      </c>
      <c r="J3487" s="1" t="s">
        <v>15757</v>
      </c>
      <c r="K3487" s="1" t="s">
        <v>22</v>
      </c>
      <c r="L3487" s="1" t="str">
        <f>HYPERLINK("https://files.afu.se/Downloads/Transcripts/0%20-%20Government/USA%20-%20NASA/2012 06 01 - NASA - Dragon's Back on This Week @NASA_wgwlh0nA2yI - transcript (automated).pdf","Transcript Link")</f>
        <v>Transcript Link</v>
      </c>
      <c r="M3487" s="2" t="str">
        <f>HYPERLINK("https://files.afu.se/Downloads/Transcripts/0%20-%20Government/USA%20-%20NASA/2012 06 01 - NASA - Dragon's Back on This Week @NASA_wgwlh0nA2yI - transcript (automated).pdf","Transcript Link")</f>
        <v>Transcript Link</v>
      </c>
    </row>
    <row r="3488" ht="165" spans="1:13">
      <c r="A3488" s="1" t="s">
        <v>15758</v>
      </c>
      <c r="B3488" s="1" t="s">
        <v>13</v>
      </c>
      <c r="C3488" s="4" t="s">
        <v>15759</v>
      </c>
      <c r="D3488" s="1" t="s">
        <v>15760</v>
      </c>
      <c r="E3488" s="1" t="s">
        <v>15761</v>
      </c>
      <c r="F3488" s="4" t="s">
        <v>17</v>
      </c>
      <c r="G3488" s="1" t="s">
        <v>18</v>
      </c>
      <c r="H3488" s="1" t="s">
        <v>19</v>
      </c>
      <c r="I3488" s="1" t="s">
        <v>20</v>
      </c>
      <c r="J3488" s="1" t="s">
        <v>15762</v>
      </c>
      <c r="K3488" s="1" t="s">
        <v>22</v>
      </c>
      <c r="L3488" s="1" t="str">
        <f>HYPERLINK("https://files.afu.se/Downloads/Transcripts/0%20-%20Government/USA%20-%20NASA/2012 05 31 - NASA - ScienceCasts  ISS Transit of Venus_hDEc7HKP0oY - transcript (automated).pdf","Transcript Link")</f>
        <v>Transcript Link</v>
      </c>
      <c r="M3488" s="2" t="str">
        <f>HYPERLINK("https://files.afu.se/Downloads/Transcripts/0%20-%20Government/USA%20-%20NASA/2012 05 31 - NASA - ScienceCasts  ISS Transit of Venus_hDEc7HKP0oY - transcript (automated).pdf","Transcript Link")</f>
        <v>Transcript Link</v>
      </c>
    </row>
    <row r="3489" ht="165" spans="1:13">
      <c r="A3489" s="1" t="s">
        <v>15758</v>
      </c>
      <c r="B3489" s="1" t="s">
        <v>13</v>
      </c>
      <c r="C3489" s="4" t="s">
        <v>15763</v>
      </c>
      <c r="D3489" s="1" t="s">
        <v>15764</v>
      </c>
      <c r="E3489" s="1" t="s">
        <v>15765</v>
      </c>
      <c r="F3489" s="4" t="s">
        <v>17</v>
      </c>
      <c r="G3489" s="1" t="s">
        <v>18</v>
      </c>
      <c r="H3489" s="1" t="s">
        <v>19</v>
      </c>
      <c r="I3489" s="1" t="s">
        <v>20</v>
      </c>
      <c r="J3489" s="1" t="s">
        <v>15766</v>
      </c>
      <c r="K3489" s="1" t="s">
        <v>22</v>
      </c>
      <c r="L3489" s="1" t="str">
        <f>HYPERLINK("https://files.afu.se/Downloads/Transcripts/0%20-%20Government/USA%20-%20NASA/2012 05 31 - NASA - Dragon  Flown Home!_9Z7RXVym9DY - transcript (automated).pdf","Transcript Link")</f>
        <v>Transcript Link</v>
      </c>
      <c r="M3489" s="2" t="str">
        <f>HYPERLINK("https://files.afu.se/Downloads/Transcripts/0%20-%20Government/USA%20-%20NASA/2012 05 31 - NASA - Dragon  Flown Home!_9Z7RXVym9DY - transcript (automated).pdf","Transcript Link")</f>
        <v>Transcript Link</v>
      </c>
    </row>
    <row r="3490" ht="165" spans="1:13">
      <c r="A3490" s="1" t="s">
        <v>15758</v>
      </c>
      <c r="B3490" s="1" t="s">
        <v>13</v>
      </c>
      <c r="C3490" s="4" t="s">
        <v>15767</v>
      </c>
      <c r="D3490" s="1" t="s">
        <v>15768</v>
      </c>
      <c r="E3490" s="1" t="s">
        <v>15769</v>
      </c>
      <c r="F3490" s="4" t="s">
        <v>17</v>
      </c>
      <c r="G3490" s="1" t="s">
        <v>18</v>
      </c>
      <c r="H3490" s="1" t="s">
        <v>19</v>
      </c>
      <c r="I3490" s="1" t="s">
        <v>20</v>
      </c>
      <c r="J3490" s="1" t="s">
        <v>15770</v>
      </c>
      <c r="K3490" s="1" t="s">
        <v>22</v>
      </c>
      <c r="L3490" s="1" t="str">
        <f>HYPERLINK("https://files.afu.se/Downloads/Transcripts/0%20-%20Government/USA%20-%20NASA/2012 05 31 - NASA - Hubble Watchers Predict Galactic Collision_f-LUKIUvc30 - transcript (automated).pdf","Transcript Link")</f>
        <v>Transcript Link</v>
      </c>
      <c r="M3490" s="2" t="str">
        <f>HYPERLINK("https://files.afu.se/Downloads/Transcripts/0%20-%20Government/USA%20-%20NASA/2012 05 31 - NASA - Hubble Watchers Predict Galactic Collision_f-LUKIUvc30 - transcript (automated).pdf","Transcript Link")</f>
        <v>Transcript Link</v>
      </c>
    </row>
    <row r="3491" ht="165" spans="1:13">
      <c r="A3491" s="1" t="s">
        <v>15758</v>
      </c>
      <c r="B3491" s="1" t="s">
        <v>13</v>
      </c>
      <c r="C3491" s="4" t="s">
        <v>15771</v>
      </c>
      <c r="D3491" s="1" t="s">
        <v>15772</v>
      </c>
      <c r="E3491" s="1" t="s">
        <v>15773</v>
      </c>
      <c r="F3491" s="4" t="s">
        <v>17</v>
      </c>
      <c r="G3491" s="1" t="s">
        <v>18</v>
      </c>
      <c r="H3491" s="1" t="s">
        <v>19</v>
      </c>
      <c r="I3491" s="1" t="s">
        <v>20</v>
      </c>
      <c r="J3491" s="1" t="s">
        <v>15774</v>
      </c>
      <c r="K3491" s="1" t="s">
        <v>22</v>
      </c>
      <c r="L3491" s="1" t="str">
        <f>HYPERLINK("https://files.afu.se/Downloads/Transcripts/0%20-%20Government/USA%20-%20NASA/2012 05 31 - NASA - SpaceX Dragon Splashes Down_es3ZYd85XbA - transcript (automated).pdf","Transcript Link")</f>
        <v>Transcript Link</v>
      </c>
      <c r="M3491" s="2" t="str">
        <f>HYPERLINK("https://files.afu.se/Downloads/Transcripts/0%20-%20Government/USA%20-%20NASA/2012 05 31 - NASA - SpaceX Dragon Splashes Down_es3ZYd85XbA - transcript (automated).pdf","Transcript Link")</f>
        <v>Transcript Link</v>
      </c>
    </row>
    <row r="3492" ht="165" spans="1:13">
      <c r="A3492" s="1" t="s">
        <v>15758</v>
      </c>
      <c r="B3492" s="1" t="s">
        <v>13</v>
      </c>
      <c r="C3492" s="4" t="s">
        <v>15775</v>
      </c>
      <c r="D3492" s="1" t="s">
        <v>15776</v>
      </c>
      <c r="E3492" s="1" t="s">
        <v>15777</v>
      </c>
      <c r="F3492" s="4" t="s">
        <v>17</v>
      </c>
      <c r="G3492" s="1" t="s">
        <v>18</v>
      </c>
      <c r="H3492" s="1" t="s">
        <v>19</v>
      </c>
      <c r="I3492" s="1" t="s">
        <v>20</v>
      </c>
      <c r="J3492" s="1" t="s">
        <v>15778</v>
      </c>
      <c r="K3492" s="1" t="s">
        <v>22</v>
      </c>
      <c r="L3492" s="1" t="str">
        <f>HYPERLINK("https://files.afu.se/Downloads/Transcripts/0%20-%20Government/USA%20-%20NASA/2012 05 31 - NASA - Station Begins Dragon's Release for Flight Home_G6zoyY_ToQ0 - transcript (automated).pdf","Transcript Link")</f>
        <v>Transcript Link</v>
      </c>
      <c r="M3492" s="2" t="str">
        <f>HYPERLINK("https://files.afu.se/Downloads/Transcripts/0%20-%20Government/USA%20-%20NASA/2012 05 31 - NASA - Station Begins Dragon's Release for Flight Home_G6zoyY_ToQ0 - transcript (automated).pdf","Transcript Link")</f>
        <v>Transcript Link</v>
      </c>
    </row>
    <row r="3493" ht="165" spans="1:13">
      <c r="A3493" s="1" t="s">
        <v>15779</v>
      </c>
      <c r="B3493" s="1" t="s">
        <v>13</v>
      </c>
      <c r="C3493" s="4" t="s">
        <v>15780</v>
      </c>
      <c r="D3493" s="1" t="s">
        <v>15781</v>
      </c>
      <c r="E3493" s="1" t="s">
        <v>15782</v>
      </c>
      <c r="F3493" s="4" t="s">
        <v>17</v>
      </c>
      <c r="G3493" s="1" t="s">
        <v>18</v>
      </c>
      <c r="H3493" s="1" t="s">
        <v>19</v>
      </c>
      <c r="I3493" s="1" t="s">
        <v>20</v>
      </c>
      <c r="J3493" s="1" t="s">
        <v>15783</v>
      </c>
      <c r="K3493" s="1" t="s">
        <v>22</v>
      </c>
      <c r="L3493" s="1" t="str">
        <f>HYPERLINK("https://files.afu.se/Downloads/Transcripts/0%20-%20Government/USA%20-%20NASA/2012 05 30 - NASA - NuSTAR to Hunt for Black Holes_m2bUMAvBgW4 - transcript (automated).pdf","Transcript Link")</f>
        <v>Transcript Link</v>
      </c>
      <c r="M3493" s="2" t="str">
        <f>HYPERLINK("https://files.afu.se/Downloads/Transcripts/0%20-%20Government/USA%20-%20NASA/2012 05 30 - NASA - NuSTAR to Hunt for Black Holes_m2bUMAvBgW4 - transcript (automated).pdf","Transcript Link")</f>
        <v>Transcript Link</v>
      </c>
    </row>
    <row r="3494" ht="165" spans="1:13">
      <c r="A3494" s="1" t="s">
        <v>15779</v>
      </c>
      <c r="B3494" s="1" t="s">
        <v>13</v>
      </c>
      <c r="C3494" s="4" t="s">
        <v>15784</v>
      </c>
      <c r="D3494" s="1" t="s">
        <v>15785</v>
      </c>
      <c r="E3494" s="1" t="s">
        <v>15786</v>
      </c>
      <c r="F3494" s="4" t="s">
        <v>17</v>
      </c>
      <c r="G3494" s="1" t="s">
        <v>18</v>
      </c>
      <c r="H3494" s="1" t="s">
        <v>19</v>
      </c>
      <c r="I3494" s="1" t="s">
        <v>20</v>
      </c>
      <c r="J3494" s="1" t="s">
        <v>15787</v>
      </c>
      <c r="K3494" s="1" t="s">
        <v>22</v>
      </c>
      <c r="L3494" s="1" t="str">
        <f>HYPERLINK("https://files.afu.se/Downloads/Transcripts/0%20-%20Government/USA%20-%20NASA/2012 05 30 - NASA - Dragon Gets Ready for Return_uIrM2F0k_NE - transcript (automated).pdf","Transcript Link")</f>
        <v>Transcript Link</v>
      </c>
      <c r="M3494" s="2" t="str">
        <f>HYPERLINK("https://files.afu.se/Downloads/Transcripts/0%20-%20Government/USA%20-%20NASA/2012 05 30 - NASA - Dragon Gets Ready for Return_uIrM2F0k_NE - transcript (automated).pdf","Transcript Link")</f>
        <v>Transcript Link</v>
      </c>
    </row>
    <row r="3495" ht="165" spans="1:13">
      <c r="A3495" s="1" t="s">
        <v>15788</v>
      </c>
      <c r="B3495" s="1" t="s">
        <v>13</v>
      </c>
      <c r="C3495" s="4" t="s">
        <v>15789</v>
      </c>
      <c r="D3495" s="1" t="s">
        <v>15790</v>
      </c>
      <c r="E3495" s="1" t="s">
        <v>15791</v>
      </c>
      <c r="F3495" s="4" t="s">
        <v>17</v>
      </c>
      <c r="G3495" s="1" t="s">
        <v>18</v>
      </c>
      <c r="H3495" s="1" t="s">
        <v>19</v>
      </c>
      <c r="I3495" s="1" t="s">
        <v>20</v>
      </c>
      <c r="J3495" s="1" t="s">
        <v>15792</v>
      </c>
      <c r="K3495" s="1" t="s">
        <v>22</v>
      </c>
      <c r="L3495" s="1" t="str">
        <f>HYPERLINK("https://files.afu.se/Downloads/Transcripts/0%20-%20Government/USA%20-%20NASA/2012 05 29 - NASA - Kuipers Queried Via Social Media_JqBI-Sz4pAA - transcript (automated).pdf","Transcript Link")</f>
        <v>Transcript Link</v>
      </c>
      <c r="M3495" s="2" t="str">
        <f>HYPERLINK("https://files.afu.se/Downloads/Transcripts/0%20-%20Government/USA%20-%20NASA/2012 05 29 - NASA - Kuipers Queried Via Social Media_JqBI-Sz4pAA - transcript (automated).pdf","Transcript Link")</f>
        <v>Transcript Link</v>
      </c>
    </row>
    <row r="3496" ht="165" spans="1:13">
      <c r="A3496" s="1" t="s">
        <v>15793</v>
      </c>
      <c r="B3496" s="1" t="s">
        <v>13</v>
      </c>
      <c r="C3496" s="4" t="s">
        <v>15794</v>
      </c>
      <c r="D3496" s="1" t="s">
        <v>15795</v>
      </c>
      <c r="E3496" s="1" t="s">
        <v>15796</v>
      </c>
      <c r="F3496" s="4" t="s">
        <v>17</v>
      </c>
      <c r="G3496" s="1" t="s">
        <v>18</v>
      </c>
      <c r="H3496" s="1" t="s">
        <v>19</v>
      </c>
      <c r="I3496" s="1" t="s">
        <v>20</v>
      </c>
      <c r="J3496" s="1" t="s">
        <v>15797</v>
      </c>
      <c r="K3496" s="1" t="s">
        <v>22</v>
      </c>
      <c r="L3496" s="1" t="str">
        <f>HYPERLINK("https://files.afu.se/Downloads/Transcripts/0%20-%20Government/USA%20-%20NASA/2012 05 26 - NASA - Enter The Dragon on This Week @NASA_mZcwWCWDW6Q - transcript (automated).pdf","Transcript Link")</f>
        <v>Transcript Link</v>
      </c>
      <c r="M3496" s="2" t="str">
        <f>HYPERLINK("https://files.afu.se/Downloads/Transcripts/0%20-%20Government/USA%20-%20NASA/2012 05 26 - NASA - Enter The Dragon on This Week @NASA_mZcwWCWDW6Q - transcript (automated).pdf","Transcript Link")</f>
        <v>Transcript Link</v>
      </c>
    </row>
    <row r="3497" ht="180" spans="1:13">
      <c r="A3497" s="1" t="s">
        <v>15793</v>
      </c>
      <c r="B3497" s="1" t="s">
        <v>13</v>
      </c>
      <c r="C3497" s="4" t="s">
        <v>15798</v>
      </c>
      <c r="D3497" s="1" t="s">
        <v>15799</v>
      </c>
      <c r="E3497" s="1" t="s">
        <v>15800</v>
      </c>
      <c r="F3497" s="4" t="s">
        <v>17</v>
      </c>
      <c r="G3497" s="1" t="s">
        <v>18</v>
      </c>
      <c r="H3497" s="1" t="s">
        <v>19</v>
      </c>
      <c r="I3497" s="1" t="s">
        <v>20</v>
      </c>
      <c r="J3497" s="1" t="s">
        <v>15801</v>
      </c>
      <c r="K3497" s="1" t="s">
        <v>22</v>
      </c>
      <c r="L3497" s="1" t="str">
        <f>HYPERLINK("https://files.afu.se/Downloads/Transcripts/0%20-%20Government/USA%20-%20NASA/2012 05 26 - NASA - ISS Crew Discusses Dragon Arrival_sRP1DEpgTSI - transcript (automated).pdf","Transcript Link")</f>
        <v>Transcript Link</v>
      </c>
      <c r="M3497" s="2" t="str">
        <f>HYPERLINK("https://files.afu.se/Downloads/Transcripts/0%20-%20Government/USA%20-%20NASA/2012 05 26 - NASA - ISS Crew Discusses Dragon Arrival_sRP1DEpgTSI - transcript (automated).pdf","Transcript Link")</f>
        <v>Transcript Link</v>
      </c>
    </row>
    <row r="3498" ht="165" spans="1:13">
      <c r="A3498" s="1" t="s">
        <v>15793</v>
      </c>
      <c r="B3498" s="1" t="s">
        <v>13</v>
      </c>
      <c r="C3498" s="4" t="s">
        <v>15802</v>
      </c>
      <c r="D3498" s="1" t="s">
        <v>15803</v>
      </c>
      <c r="E3498" s="1" t="s">
        <v>15804</v>
      </c>
      <c r="F3498" s="4" t="s">
        <v>17</v>
      </c>
      <c r="G3498" s="1" t="s">
        <v>18</v>
      </c>
      <c r="H3498" s="1" t="s">
        <v>19</v>
      </c>
      <c r="I3498" s="1" t="s">
        <v>20</v>
      </c>
      <c r="J3498" s="1" t="s">
        <v>15805</v>
      </c>
      <c r="K3498" s="1" t="s">
        <v>22</v>
      </c>
      <c r="L3498" s="1" t="str">
        <f>HYPERLINK("https://files.afu.se/Downloads/Transcripts/0%20-%20Government/USA%20-%20NASA/2012 05 26 - NASA - Dragon Hatch Opened to ISS_QCZwUohCp1o - transcript (automated).pdf","Transcript Link")</f>
        <v>Transcript Link</v>
      </c>
      <c r="M3498" s="2" t="str">
        <f>HYPERLINK("https://files.afu.se/Downloads/Transcripts/0%20-%20Government/USA%20-%20NASA/2012 05 26 - NASA - Dragon Hatch Opened to ISS_QCZwUohCp1o - transcript (automated).pdf","Transcript Link")</f>
        <v>Transcript Link</v>
      </c>
    </row>
    <row r="3499" ht="165" spans="1:13">
      <c r="A3499" s="1" t="s">
        <v>15806</v>
      </c>
      <c r="B3499" s="1" t="s">
        <v>13</v>
      </c>
      <c r="C3499" s="4" t="s">
        <v>15807</v>
      </c>
      <c r="D3499" s="1" t="s">
        <v>15808</v>
      </c>
      <c r="E3499" s="1" t="s">
        <v>15809</v>
      </c>
      <c r="F3499" s="4" t="s">
        <v>17</v>
      </c>
      <c r="G3499" s="1" t="s">
        <v>18</v>
      </c>
      <c r="H3499" s="1" t="s">
        <v>19</v>
      </c>
      <c r="I3499" s="1" t="s">
        <v>20</v>
      </c>
      <c r="J3499" s="1" t="s">
        <v>15810</v>
      </c>
      <c r="K3499" s="1" t="s">
        <v>22</v>
      </c>
      <c r="L3499" s="1" t="str">
        <f>HYPERLINK("https://files.afu.se/Downloads/Transcripts/0%20-%20Government/USA%20-%20NASA/2012 05 25 - NASA - Grappled and Berthed on This Week @NASA_98Wbzf7a_4o - transcript (automated).pdf","Transcript Link")</f>
        <v>Transcript Link</v>
      </c>
      <c r="M3499" s="2" t="str">
        <f>HYPERLINK("https://files.afu.se/Downloads/Transcripts/0%20-%20Government/USA%20-%20NASA/2012 05 25 - NASA - Grappled and Berthed on This Week @NASA_98Wbzf7a_4o - transcript (automated).pdf","Transcript Link")</f>
        <v>Transcript Link</v>
      </c>
    </row>
    <row r="3500" ht="165" spans="1:13">
      <c r="A3500" s="1" t="s">
        <v>15806</v>
      </c>
      <c r="B3500" s="1" t="s">
        <v>13</v>
      </c>
      <c r="C3500" s="4" t="s">
        <v>15811</v>
      </c>
      <c r="D3500" s="1" t="s">
        <v>15812</v>
      </c>
      <c r="E3500" s="1" t="s">
        <v>15813</v>
      </c>
      <c r="F3500" s="4" t="s">
        <v>17</v>
      </c>
      <c r="G3500" s="1" t="s">
        <v>18</v>
      </c>
      <c r="H3500" s="1" t="s">
        <v>19</v>
      </c>
      <c r="I3500" s="1" t="s">
        <v>20</v>
      </c>
      <c r="J3500" s="1" t="s">
        <v>15814</v>
      </c>
      <c r="K3500" s="1" t="s">
        <v>22</v>
      </c>
      <c r="L3500" s="1" t="str">
        <f>HYPERLINK("https://files.afu.se/Downloads/Transcripts/0%20-%20Government/USA%20-%20NASA/2012 05 25 - NASA - NASA Administrator Congratulates ISS Crew on SpaceX Milestone_J3Smw7rz1FU - transcript (automated).pdf","Transcript Link")</f>
        <v>Transcript Link</v>
      </c>
      <c r="M3500" s="2" t="str">
        <f>HYPERLINK("https://files.afu.se/Downloads/Transcripts/0%20-%20Government/USA%20-%20NASA/2012 05 25 - NASA - NASA Administrator Congratulates ISS Crew on SpaceX Milestone_J3Smw7rz1FU - transcript (automated).pdf","Transcript Link")</f>
        <v>Transcript Link</v>
      </c>
    </row>
    <row r="3501" ht="195" spans="1:13">
      <c r="A3501" s="1" t="s">
        <v>15806</v>
      </c>
      <c r="B3501" s="1" t="s">
        <v>13</v>
      </c>
      <c r="C3501" s="4" t="s">
        <v>15815</v>
      </c>
      <c r="D3501" s="1" t="s">
        <v>15816</v>
      </c>
      <c r="E3501" s="1" t="s">
        <v>15817</v>
      </c>
      <c r="F3501" s="4" t="s">
        <v>17</v>
      </c>
      <c r="G3501" s="1" t="s">
        <v>18</v>
      </c>
      <c r="H3501" s="1" t="s">
        <v>19</v>
      </c>
      <c r="I3501" s="1" t="s">
        <v>20</v>
      </c>
      <c r="J3501" s="1" t="s">
        <v>15818</v>
      </c>
      <c r="K3501" s="1" t="s">
        <v>22</v>
      </c>
      <c r="L3501" s="1" t="str">
        <f>HYPERLINK("https://files.afu.se/Downloads/Transcripts/0%20-%20Government/USA%20-%20NASA/2012 05 25 - NASA - SpaceX Capsule Grappled, Berthed to ISS_mTdxIS8J_NI - transcript (automated).pdf","Transcript Link")</f>
        <v>Transcript Link</v>
      </c>
      <c r="M3501" s="2" t="str">
        <f>HYPERLINK("https://files.afu.se/Downloads/Transcripts/0%20-%20Government/USA%20-%20NASA/2012 05 25 - NASA - SpaceX Capsule Grappled, Berthed to ISS_mTdxIS8J_NI - transcript (automated).pdf","Transcript Link")</f>
        <v>Transcript Link</v>
      </c>
    </row>
    <row r="3502" ht="165" spans="1:13">
      <c r="A3502" s="1" t="s">
        <v>15806</v>
      </c>
      <c r="B3502" s="1" t="s">
        <v>13</v>
      </c>
      <c r="C3502" s="4" t="s">
        <v>15819</v>
      </c>
      <c r="D3502" s="1" t="s">
        <v>15820</v>
      </c>
      <c r="E3502" s="1" t="s">
        <v>15821</v>
      </c>
      <c r="F3502" s="4" t="s">
        <v>17</v>
      </c>
      <c r="G3502" s="1" t="s">
        <v>18</v>
      </c>
      <c r="H3502" s="1" t="s">
        <v>19</v>
      </c>
      <c r="I3502" s="1" t="s">
        <v>20</v>
      </c>
      <c r="J3502" s="1" t="s">
        <v>15822</v>
      </c>
      <c r="K3502" s="1" t="s">
        <v>22</v>
      </c>
      <c r="L3502" s="1" t="str">
        <f>HYPERLINK("https://files.afu.se/Downloads/Transcripts/0%20-%20Government/USA%20-%20NASA/2012 05 25 - NASA - SpaceX Progress Updated for Media_YjuvIlskUf4 - transcript (automated).pdf","Transcript Link")</f>
        <v>Transcript Link</v>
      </c>
      <c r="M3502" s="2" t="str">
        <f>HYPERLINK("https://files.afu.se/Downloads/Transcripts/0%20-%20Government/USA%20-%20NASA/2012 05 25 - NASA - SpaceX Progress Updated for Media_YjuvIlskUf4 - transcript (automated).pdf","Transcript Link")</f>
        <v>Transcript Link</v>
      </c>
    </row>
    <row r="3503" ht="165" spans="1:13">
      <c r="A3503" s="1" t="s">
        <v>15823</v>
      </c>
      <c r="B3503" s="1" t="s">
        <v>13</v>
      </c>
      <c r="C3503" s="4" t="s">
        <v>15824</v>
      </c>
      <c r="D3503" s="1" t="s">
        <v>15825</v>
      </c>
      <c r="E3503" s="1" t="s">
        <v>15826</v>
      </c>
      <c r="F3503" s="4" t="s">
        <v>17</v>
      </c>
      <c r="G3503" s="1" t="s">
        <v>18</v>
      </c>
      <c r="H3503" s="1" t="s">
        <v>19</v>
      </c>
      <c r="I3503" s="1" t="s">
        <v>20</v>
      </c>
      <c r="J3503" s="1" t="s">
        <v>15827</v>
      </c>
      <c r="K3503" s="1" t="s">
        <v>22</v>
      </c>
      <c r="L3503" s="1" t="str">
        <f>HYPERLINK("https://files.afu.se/Downloads/Transcripts/0%20-%20Government/USA%20-%20NASA/2012 05 24 - NASA - ScienceCasts  Partial Eclipse of the Strawberry Moon_ggISl9UZc6o - transcript (automated).pdf","Transcript Link")</f>
        <v>Transcript Link</v>
      </c>
      <c r="M3503" s="2" t="str">
        <f>HYPERLINK("https://files.afu.se/Downloads/Transcripts/0%20-%20Government/USA%20-%20NASA/2012 05 24 - NASA - ScienceCasts  Partial Eclipse of the Strawberry Moon_ggISl9UZc6o - transcript (automated).pdf","Transcript Link")</f>
        <v>Transcript Link</v>
      </c>
    </row>
    <row r="3504" ht="165" spans="1:13">
      <c r="A3504" s="1" t="s">
        <v>15823</v>
      </c>
      <c r="B3504" s="1" t="s">
        <v>13</v>
      </c>
      <c r="C3504" s="4" t="s">
        <v>15828</v>
      </c>
      <c r="D3504" s="1" t="s">
        <v>15829</v>
      </c>
      <c r="E3504" s="1" t="s">
        <v>15830</v>
      </c>
      <c r="F3504" s="4" t="s">
        <v>17</v>
      </c>
      <c r="G3504" s="1" t="s">
        <v>18</v>
      </c>
      <c r="H3504" s="1" t="s">
        <v>19</v>
      </c>
      <c r="I3504" s="1" t="s">
        <v>20</v>
      </c>
      <c r="J3504" s="1" t="s">
        <v>15831</v>
      </c>
      <c r="K3504" s="1" t="s">
        <v>22</v>
      </c>
      <c r="L3504" s="1" t="str">
        <f>HYPERLINK("https://files.afu.se/Downloads/Transcripts/0%20-%20Government/USA%20-%20NASA/2012 05 24 - NASA - SpaceX Mission Moving On_rFBxUz9ROuk - transcript (automated).pdf","Transcript Link")</f>
        <v>Transcript Link</v>
      </c>
      <c r="M3504" s="2" t="str">
        <f>HYPERLINK("https://files.afu.se/Downloads/Transcripts/0%20-%20Government/USA%20-%20NASA/2012 05 24 - NASA - SpaceX Mission Moving On_rFBxUz9ROuk - transcript (automated).pdf","Transcript Link")</f>
        <v>Transcript Link</v>
      </c>
    </row>
    <row r="3505" ht="165" spans="1:13">
      <c r="A3505" s="1" t="s">
        <v>15823</v>
      </c>
      <c r="B3505" s="1" t="s">
        <v>13</v>
      </c>
      <c r="C3505" s="4" t="s">
        <v>15832</v>
      </c>
      <c r="D3505" s="1" t="s">
        <v>15833</v>
      </c>
      <c r="E3505" s="1" t="s">
        <v>15834</v>
      </c>
      <c r="F3505" s="4" t="s">
        <v>17</v>
      </c>
      <c r="G3505" s="1" t="s">
        <v>18</v>
      </c>
      <c r="H3505" s="1" t="s">
        <v>19</v>
      </c>
      <c r="I3505" s="1" t="s">
        <v>20</v>
      </c>
      <c r="J3505" s="1" t="s">
        <v>15835</v>
      </c>
      <c r="K3505" s="1" t="s">
        <v>22</v>
      </c>
      <c r="L3505" s="1" t="str">
        <f>HYPERLINK("https://files.afu.se/Downloads/Transcripts/0%20-%20Government/USA%20-%20NASA/2012 05 24 - NASA - SpaceX Flies Under ISS_jtN2FNpf0lw - transcript (automated).pdf","Transcript Link")</f>
        <v>Transcript Link</v>
      </c>
      <c r="M3505" s="2" t="str">
        <f>HYPERLINK("https://files.afu.se/Downloads/Transcripts/0%20-%20Government/USA%20-%20NASA/2012 05 24 - NASA - SpaceX Flies Under ISS_jtN2FNpf0lw - transcript (automated).pdf","Transcript Link")</f>
        <v>Transcript Link</v>
      </c>
    </row>
    <row r="3506" ht="165" spans="1:13">
      <c r="A3506" s="1" t="s">
        <v>15836</v>
      </c>
      <c r="B3506" s="1" t="s">
        <v>13</v>
      </c>
      <c r="C3506" s="4" t="s">
        <v>15837</v>
      </c>
      <c r="D3506" s="1" t="s">
        <v>15838</v>
      </c>
      <c r="E3506" s="1" t="s">
        <v>15839</v>
      </c>
      <c r="F3506" s="4" t="s">
        <v>17</v>
      </c>
      <c r="G3506" s="1" t="s">
        <v>18</v>
      </c>
      <c r="H3506" s="1" t="s">
        <v>19</v>
      </c>
      <c r="I3506" s="1" t="s">
        <v>20</v>
      </c>
      <c r="J3506" s="1" t="s">
        <v>15840</v>
      </c>
      <c r="K3506" s="1" t="s">
        <v>22</v>
      </c>
      <c r="L3506" s="1" t="str">
        <f>HYPERLINK("https://files.afu.se/Downloads/Transcripts/0%20-%20Government/USA%20-%20NASA/2012 05 23 - NASA - Who Is Alex Trebek _MO-nVZ-QZJk - transcript (automated).pdf","Transcript Link")</f>
        <v>Transcript Link</v>
      </c>
      <c r="M3506" s="2" t="str">
        <f>HYPERLINK("https://files.afu.se/Downloads/Transcripts/0%20-%20Government/USA%20-%20NASA/2012 05 23 - NASA - Who Is Alex Trebek _MO-nVZ-QZJk - transcript (automated).pdf","Transcript Link")</f>
        <v>Transcript Link</v>
      </c>
    </row>
    <row r="3507" ht="165" spans="1:13">
      <c r="A3507" s="1" t="s">
        <v>15841</v>
      </c>
      <c r="B3507" s="1" t="s">
        <v>13</v>
      </c>
      <c r="C3507" s="4" t="s">
        <v>15842</v>
      </c>
      <c r="D3507" s="1" t="s">
        <v>15843</v>
      </c>
      <c r="E3507" s="1" t="s">
        <v>15844</v>
      </c>
      <c r="F3507" s="4" t="s">
        <v>17</v>
      </c>
      <c r="G3507" s="1" t="s">
        <v>18</v>
      </c>
      <c r="H3507" s="1" t="s">
        <v>19</v>
      </c>
      <c r="I3507" s="1" t="s">
        <v>20</v>
      </c>
      <c r="J3507" s="1" t="s">
        <v>15845</v>
      </c>
      <c r="K3507" s="1" t="s">
        <v>22</v>
      </c>
      <c r="L3507" s="1" t="str">
        <f>HYPERLINK("https://files.afu.se/Downloads/Transcripts/0%20-%20Government/USA%20-%20NASA/2012 05 22 - NASA - Scott Carpenter &amp; Aurora 7_6xqOUWjLHao - transcript (automated).pdf","Transcript Link")</f>
        <v>Transcript Link</v>
      </c>
      <c r="M3507" s="2" t="str">
        <f>HYPERLINK("https://files.afu.se/Downloads/Transcripts/0%20-%20Government/USA%20-%20NASA/2012 05 22 - NASA - Scott Carpenter &amp; Aurora 7_6xqOUWjLHao - transcript (automated).pdf","Transcript Link")</f>
        <v>Transcript Link</v>
      </c>
    </row>
    <row r="3508" ht="240" spans="1:13">
      <c r="A3508" s="1" t="s">
        <v>15841</v>
      </c>
      <c r="B3508" s="1" t="s">
        <v>13</v>
      </c>
      <c r="C3508" s="4" t="s">
        <v>15846</v>
      </c>
      <c r="D3508" s="1" t="s">
        <v>15847</v>
      </c>
      <c r="E3508" s="1" t="s">
        <v>15848</v>
      </c>
      <c r="F3508" s="4" t="s">
        <v>17</v>
      </c>
      <c r="G3508" s="1" t="s">
        <v>18</v>
      </c>
      <c r="H3508" s="1" t="s">
        <v>19</v>
      </c>
      <c r="I3508" s="1" t="s">
        <v>20</v>
      </c>
      <c r="J3508" s="1" t="s">
        <v>15849</v>
      </c>
      <c r="K3508" s="1" t="s">
        <v>22</v>
      </c>
      <c r="L3508" s="1" t="str">
        <f>HYPERLINK("https://files.afu.se/Downloads/Transcripts/0%20-%20Government/USA%20-%20NASA/2012 05 22 - NASA - NASA Asian-American History Month Profile -- Suren Singhal_L8mpKnCm1JM - transcript (automated).pdf","Transcript Link")</f>
        <v>Transcript Link</v>
      </c>
      <c r="M3508" s="2" t="str">
        <f>HYPERLINK("https://files.afu.se/Downloads/Transcripts/0%20-%20Government/USA%20-%20NASA/2012 05 22 - NASA - NASA Asian-American History Month Profile -- Suren Singhal_L8mpKnCm1JM - transcript (automated).pdf","Transcript Link")</f>
        <v>Transcript Link</v>
      </c>
    </row>
    <row r="3509" ht="210" spans="1:13">
      <c r="A3509" s="1" t="s">
        <v>15841</v>
      </c>
      <c r="B3509" s="1" t="s">
        <v>13</v>
      </c>
      <c r="C3509" s="4" t="s">
        <v>15850</v>
      </c>
      <c r="D3509" s="1" t="s">
        <v>15851</v>
      </c>
      <c r="E3509" s="1" t="s">
        <v>15852</v>
      </c>
      <c r="F3509" s="4" t="s">
        <v>17</v>
      </c>
      <c r="G3509" s="1" t="s">
        <v>18</v>
      </c>
      <c r="H3509" s="1" t="s">
        <v>19</v>
      </c>
      <c r="I3509" s="1" t="s">
        <v>20</v>
      </c>
      <c r="J3509" s="1" t="s">
        <v>15853</v>
      </c>
      <c r="K3509" s="1" t="s">
        <v>22</v>
      </c>
      <c r="L3509" s="1" t="str">
        <f>HYPERLINK("https://files.afu.se/Downloads/Transcripts/0%20-%20Government/USA%20-%20NASA/2012 05 22 - NASA - NASA Asian-American History Month Profile -- Fran Lawas-Grodek_NZU1ak6BdnY - transcript (automated).pdf","Transcript Link")</f>
        <v>Transcript Link</v>
      </c>
      <c r="M3509" s="2" t="str">
        <f>HYPERLINK("https://files.afu.se/Downloads/Transcripts/0%20-%20Government/USA%20-%20NASA/2012 05 22 - NASA - NASA Asian-American History Month Profile -- Fran Lawas-Grodek_NZU1ak6BdnY - transcript (automated).pdf","Transcript Link")</f>
        <v>Transcript Link</v>
      </c>
    </row>
    <row r="3510" ht="345" spans="1:13">
      <c r="A3510" s="1" t="s">
        <v>15841</v>
      </c>
      <c r="B3510" s="1" t="s">
        <v>13</v>
      </c>
      <c r="C3510" s="4" t="s">
        <v>15854</v>
      </c>
      <c r="D3510" s="1" t="s">
        <v>15855</v>
      </c>
      <c r="E3510" s="1" t="s">
        <v>15856</v>
      </c>
      <c r="F3510" s="4" t="s">
        <v>17</v>
      </c>
      <c r="G3510" s="1" t="s">
        <v>18</v>
      </c>
      <c r="H3510" s="1" t="s">
        <v>19</v>
      </c>
      <c r="I3510" s="1" t="s">
        <v>20</v>
      </c>
      <c r="J3510" s="1" t="s">
        <v>15857</v>
      </c>
      <c r="K3510" s="1" t="s">
        <v>22</v>
      </c>
      <c r="L3510" s="1" t="str">
        <f>HYPERLINK("https://files.afu.se/Downloads/Transcripts/0%20-%20Government/USA%20-%20NASA/2012 05 22 - NASA - Falcon 9 and Dragon Soar on This Week @NASA_Mww8LPoGhgE - transcript (automated).pdf","Transcript Link")</f>
        <v>Transcript Link</v>
      </c>
      <c r="M3510" s="2" t="str">
        <f>HYPERLINK("https://files.afu.se/Downloads/Transcripts/0%20-%20Government/USA%20-%20NASA/2012 05 22 - NASA - Falcon 9 and Dragon Soar on This Week @NASA_Mww8LPoGhgE - transcript (automated).pdf","Transcript Link")</f>
        <v>Transcript Link</v>
      </c>
    </row>
    <row r="3511" ht="210" spans="1:13">
      <c r="A3511" s="1" t="s">
        <v>15841</v>
      </c>
      <c r="B3511" s="1" t="s">
        <v>13</v>
      </c>
      <c r="C3511" s="4" t="s">
        <v>15858</v>
      </c>
      <c r="D3511" s="1" t="s">
        <v>15859</v>
      </c>
      <c r="E3511" s="1" t="s">
        <v>15860</v>
      </c>
      <c r="F3511" s="4" t="s">
        <v>17</v>
      </c>
      <c r="G3511" s="1" t="s">
        <v>18</v>
      </c>
      <c r="H3511" s="1" t="s">
        <v>19</v>
      </c>
      <c r="I3511" s="1" t="s">
        <v>20</v>
      </c>
      <c r="J3511" s="1" t="s">
        <v>15861</v>
      </c>
      <c r="K3511" s="1" t="s">
        <v>22</v>
      </c>
      <c r="L3511" s="1" t="str">
        <f>HYPERLINK("https://files.afu.se/Downloads/Transcripts/0%20-%20Government/USA%20-%20NASA/2012 05 22 - NASA - SPACEX NASA DISCUSS LAUNCH OF FALCON 9 ROCKET AND DRAGON CAPSULE_hJNNiYPyAeQ - transcript (automated).pdf","Transcript Link")</f>
        <v>Transcript Link</v>
      </c>
      <c r="M3511" s="2" t="str">
        <f>HYPERLINK("https://files.afu.se/Downloads/Transcripts/0%20-%20Government/USA%20-%20NASA/2012 05 22 - NASA - SPACEX NASA DISCUSS LAUNCH OF FALCON 9 ROCKET AND DRAGON CAPSULE_hJNNiYPyAeQ - transcript (automated).pdf","Transcript Link")</f>
        <v>Transcript Link</v>
      </c>
    </row>
    <row r="3512" ht="165" spans="1:13">
      <c r="A3512" s="1" t="s">
        <v>15841</v>
      </c>
      <c r="B3512" s="1" t="s">
        <v>13</v>
      </c>
      <c r="C3512" s="4" t="s">
        <v>15862</v>
      </c>
      <c r="D3512" s="1" t="s">
        <v>15863</v>
      </c>
      <c r="E3512" s="1" t="s">
        <v>15864</v>
      </c>
      <c r="F3512" s="4" t="s">
        <v>17</v>
      </c>
      <c r="G3512" s="1" t="s">
        <v>18</v>
      </c>
      <c r="H3512" s="1" t="s">
        <v>19</v>
      </c>
      <c r="I3512" s="1" t="s">
        <v>20</v>
      </c>
      <c r="J3512" s="1" t="s">
        <v>15865</v>
      </c>
      <c r="K3512" s="1" t="s">
        <v>22</v>
      </c>
      <c r="L3512" s="1" t="str">
        <f>HYPERLINK("https://files.afu.se/Downloads/Transcripts/0%20-%20Government/USA%20-%20NASA/2012 05 22 - NASA - NASA ADMINISTRATOR TALKS WITH MEDIA AFTER SPACEX LAUNCH_-0wRJGGPBUk - transcript (automated).pdf","Transcript Link")</f>
        <v>Transcript Link</v>
      </c>
      <c r="M3512" s="2" t="str">
        <f>HYPERLINK("https://files.afu.se/Downloads/Transcripts/0%20-%20Government/USA%20-%20NASA/2012 05 22 - NASA - NASA ADMINISTRATOR TALKS WITH MEDIA AFTER SPACEX LAUNCH_-0wRJGGPBUk - transcript (automated).pdf","Transcript Link")</f>
        <v>Transcript Link</v>
      </c>
    </row>
    <row r="3513" ht="240" spans="1:13">
      <c r="A3513" s="1" t="s">
        <v>15841</v>
      </c>
      <c r="B3513" s="1" t="s">
        <v>13</v>
      </c>
      <c r="C3513" s="4" t="s">
        <v>15866</v>
      </c>
      <c r="D3513" s="1" t="s">
        <v>15867</v>
      </c>
      <c r="E3513" s="1" t="s">
        <v>15868</v>
      </c>
      <c r="F3513" s="4" t="s">
        <v>17</v>
      </c>
      <c r="G3513" s="1" t="s">
        <v>18</v>
      </c>
      <c r="H3513" s="1" t="s">
        <v>19</v>
      </c>
      <c r="I3513" s="1" t="s">
        <v>20</v>
      </c>
      <c r="J3513" s="1" t="s">
        <v>15869</v>
      </c>
      <c r="K3513" s="1" t="s">
        <v>22</v>
      </c>
      <c r="L3513" s="1" t="str">
        <f>HYPERLINK("https://files.afu.se/Downloads/Transcripts/0%20-%20Government/USA%20-%20NASA/2012 05 22 - NASA - SPACEX LAUNCHES DEMONSTRATION FLIGHT TOWARDS ISS_ZHjPMg-Lin8 - transcript (automated).pdf","Transcript Link")</f>
        <v>Transcript Link</v>
      </c>
      <c r="M3513" s="2" t="str">
        <f>HYPERLINK("https://files.afu.se/Downloads/Transcripts/0%20-%20Government/USA%20-%20NASA/2012 05 22 - NASA - SPACEX LAUNCHES DEMONSTRATION FLIGHT TOWARDS ISS_ZHjPMg-Lin8 - transcript (automated).pdf","Transcript Link")</f>
        <v>Transcript Link</v>
      </c>
    </row>
    <row r="3514" ht="315" spans="1:13">
      <c r="A3514" s="1" t="s">
        <v>15870</v>
      </c>
      <c r="B3514" s="1" t="s">
        <v>13</v>
      </c>
      <c r="C3514" s="4" t="s">
        <v>15871</v>
      </c>
      <c r="D3514" s="1" t="s">
        <v>15872</v>
      </c>
      <c r="E3514" s="1" t="s">
        <v>15873</v>
      </c>
      <c r="F3514" s="4" t="s">
        <v>17</v>
      </c>
      <c r="G3514" s="1" t="s">
        <v>18</v>
      </c>
      <c r="H3514" s="1" t="s">
        <v>19</v>
      </c>
      <c r="I3514" s="1" t="s">
        <v>20</v>
      </c>
      <c r="J3514" s="1" t="s">
        <v>15874</v>
      </c>
      <c r="K3514" s="1" t="s">
        <v>22</v>
      </c>
      <c r="L3514" s="1" t="str">
        <f>HYPERLINK("https://files.afu.se/Downloads/Transcripts/0%20-%20Government/USA%20-%20NASA/2012 05 19 - NASA - Dragon's Demo on This Week @NASA_tUNkX94TRgU - transcript (automated).pdf","Transcript Link")</f>
        <v>Transcript Link</v>
      </c>
      <c r="M3514" s="2" t="str">
        <f>HYPERLINK("https://files.afu.se/Downloads/Transcripts/0%20-%20Government/USA%20-%20NASA/2012 05 19 - NASA - Dragon's Demo on This Week @NASA_tUNkX94TRgU - transcript (automated).pdf","Transcript Link")</f>
        <v>Transcript Link</v>
      </c>
    </row>
    <row r="3515" ht="165" spans="1:13">
      <c r="A3515" s="1" t="s">
        <v>15870</v>
      </c>
      <c r="B3515" s="1" t="s">
        <v>13</v>
      </c>
      <c r="C3515" s="4" t="s">
        <v>15875</v>
      </c>
      <c r="D3515" s="1" t="s">
        <v>15876</v>
      </c>
      <c r="E3515" s="1" t="s">
        <v>15877</v>
      </c>
      <c r="F3515" s="4" t="s">
        <v>17</v>
      </c>
      <c r="G3515" s="1" t="s">
        <v>18</v>
      </c>
      <c r="H3515" s="1" t="s">
        <v>19</v>
      </c>
      <c r="I3515" s="1" t="s">
        <v>20</v>
      </c>
      <c r="J3515" s="1" t="s">
        <v>15878</v>
      </c>
      <c r="K3515" s="1" t="s">
        <v>22</v>
      </c>
      <c r="L3515" s="1" t="str">
        <f>HYPERLINK("https://files.afu.se/Downloads/Transcripts/0%20-%20Government/USA%20-%20NASA/2012 05 19 - NASA - SPACEX NASA DISCUSS LAUNCH ABORT OF FALCON 9 ROCKET_nV_JqBOeXMk - transcript (automated).pdf","Transcript Link")</f>
        <v>Transcript Link</v>
      </c>
      <c r="M3515" s="2" t="str">
        <f>HYPERLINK("https://files.afu.se/Downloads/Transcripts/0%20-%20Government/USA%20-%20NASA/2012 05 19 - NASA - SPACEX NASA DISCUSS LAUNCH ABORT OF FALCON 9 ROCKET_nV_JqBOeXMk - transcript (automated).pdf","Transcript Link")</f>
        <v>Transcript Link</v>
      </c>
    </row>
    <row r="3516" ht="165" spans="1:13">
      <c r="A3516" s="1" t="s">
        <v>15870</v>
      </c>
      <c r="B3516" s="1" t="s">
        <v>13</v>
      </c>
      <c r="C3516" s="4" t="s">
        <v>15879</v>
      </c>
      <c r="D3516" s="1" t="s">
        <v>15880</v>
      </c>
      <c r="E3516" s="1" t="s">
        <v>15881</v>
      </c>
      <c r="F3516" s="4" t="s">
        <v>17</v>
      </c>
      <c r="G3516" s="1" t="s">
        <v>18</v>
      </c>
      <c r="H3516" s="1" t="s">
        <v>19</v>
      </c>
      <c r="I3516" s="1" t="s">
        <v>20</v>
      </c>
      <c r="J3516" s="1" t="s">
        <v>15882</v>
      </c>
      <c r="K3516" s="1" t="s">
        <v>22</v>
      </c>
      <c r="L3516" s="1" t="str">
        <f>HYPERLINK("https://files.afu.se/Downloads/Transcripts/0%20-%20Government/USA%20-%20NASA/2012 05 19 - NASA - SPACEX ABORTS LAUNCH OF FALCON 9 ROCKET_szlGrFBclXQ - transcript (automated).pdf","Transcript Link")</f>
        <v>Transcript Link</v>
      </c>
      <c r="M3516" s="2" t="str">
        <f>HYPERLINK("https://files.afu.se/Downloads/Transcripts/0%20-%20Government/USA%20-%20NASA/2012 05 19 - NASA - SPACEX ABORTS LAUNCH OF FALCON 9 ROCKET_szlGrFBclXQ - transcript (automated).pdf","Transcript Link")</f>
        <v>Transcript Link</v>
      </c>
    </row>
    <row r="3517" ht="270" spans="1:13">
      <c r="A3517" s="1" t="s">
        <v>15883</v>
      </c>
      <c r="B3517" s="1" t="s">
        <v>13</v>
      </c>
      <c r="C3517" s="4" t="s">
        <v>15884</v>
      </c>
      <c r="D3517" s="1" t="s">
        <v>15885</v>
      </c>
      <c r="E3517" s="1" t="s">
        <v>15886</v>
      </c>
      <c r="F3517" s="4" t="s">
        <v>17</v>
      </c>
      <c r="G3517" s="1" t="s">
        <v>18</v>
      </c>
      <c r="H3517" s="1" t="s">
        <v>19</v>
      </c>
      <c r="I3517" s="1" t="s">
        <v>20</v>
      </c>
      <c r="J3517" s="1" t="s">
        <v>15887</v>
      </c>
      <c r="K3517" s="1" t="s">
        <v>22</v>
      </c>
      <c r="L3517" s="1" t="str">
        <f>HYPERLINK("https://files.afu.se/Downloads/Transcripts/0%20-%20Government/USA%20-%20NASA/2012 05 18 - NASA - New Expedition Crew and Dragon's Demo Flight on This Week @NASA_HHgHW4ZqrjA - transcript (automated).pdf","Transcript Link")</f>
        <v>Transcript Link</v>
      </c>
      <c r="M3517" s="2" t="str">
        <f>HYPERLINK("https://files.afu.se/Downloads/Transcripts/0%20-%20Government/USA%20-%20NASA/2012 05 18 - NASA - New Expedition Crew and Dragon's Demo Flight on This Week @NASA_HHgHW4ZqrjA - transcript (automated).pdf","Transcript Link")</f>
        <v>Transcript Link</v>
      </c>
    </row>
    <row r="3518" ht="225" spans="1:13">
      <c r="A3518" s="1" t="s">
        <v>15883</v>
      </c>
      <c r="B3518" s="1" t="s">
        <v>13</v>
      </c>
      <c r="C3518" s="4" t="s">
        <v>15888</v>
      </c>
      <c r="D3518" s="1" t="s">
        <v>15889</v>
      </c>
      <c r="E3518" s="1" t="s">
        <v>15890</v>
      </c>
      <c r="F3518" s="4" t="s">
        <v>17</v>
      </c>
      <c r="G3518" s="1" t="s">
        <v>18</v>
      </c>
      <c r="H3518" s="1" t="s">
        <v>19</v>
      </c>
      <c r="I3518" s="1" t="s">
        <v>20</v>
      </c>
      <c r="J3518" s="1" t="s">
        <v>15891</v>
      </c>
      <c r="K3518" s="1" t="s">
        <v>22</v>
      </c>
      <c r="L3518" s="1" t="str">
        <f>HYPERLINK("https://files.afu.se/Downloads/Transcripts/0%20-%20Government/USA%20-%20NASA/2012 05 18 - NASA - NASA Spacex Discuss Upcoming Launch and Mission To ISS_r_xvzwPni5I - transcript (automated).pdf","Transcript Link")</f>
        <v>Transcript Link</v>
      </c>
      <c r="M3518" s="2" t="str">
        <f>HYPERLINK("https://files.afu.se/Downloads/Transcripts/0%20-%20Government/USA%20-%20NASA/2012 05 18 - NASA - NASA Spacex Discuss Upcoming Launch and Mission To ISS_r_xvzwPni5I - transcript (automated).pdf","Transcript Link")</f>
        <v>Transcript Link</v>
      </c>
    </row>
    <row r="3519" ht="165" spans="1:13">
      <c r="A3519" s="1" t="s">
        <v>15883</v>
      </c>
      <c r="B3519" s="1" t="s">
        <v>13</v>
      </c>
      <c r="C3519" s="4" t="s">
        <v>15892</v>
      </c>
      <c r="D3519" s="1" t="s">
        <v>15893</v>
      </c>
      <c r="E3519" s="1" t="s">
        <v>15894</v>
      </c>
      <c r="F3519" s="4" t="s">
        <v>17</v>
      </c>
      <c r="G3519" s="1" t="s">
        <v>18</v>
      </c>
      <c r="H3519" s="1" t="s">
        <v>19</v>
      </c>
      <c r="I3519" s="1" t="s">
        <v>20</v>
      </c>
      <c r="J3519" s="1" t="s">
        <v>15895</v>
      </c>
      <c r="K3519" s="1" t="s">
        <v>22</v>
      </c>
      <c r="L3519" s="1" t="str">
        <f>HYPERLINK("https://files.afu.se/Downloads/Transcripts/0%20-%20Government/USA%20-%20NASA/2012 05 18 - NASA - NASA SpaceX Hold NASA Social for Falcon 9 Launch_jjutZLmKchs - transcript (automated).pdf","Transcript Link")</f>
        <v>Transcript Link</v>
      </c>
      <c r="M3519" s="2" t="str">
        <f>HYPERLINK("https://files.afu.se/Downloads/Transcripts/0%20-%20Government/USA%20-%20NASA/2012 05 18 - NASA - NASA SpaceX Hold NASA Social for Falcon 9 Launch_jjutZLmKchs - transcript (automated).pdf","Transcript Link")</f>
        <v>Transcript Link</v>
      </c>
    </row>
    <row r="3520" ht="165" spans="1:13">
      <c r="A3520" s="1" t="s">
        <v>15896</v>
      </c>
      <c r="B3520" s="1" t="s">
        <v>13</v>
      </c>
      <c r="C3520" s="4" t="s">
        <v>15897</v>
      </c>
      <c r="D3520" s="1" t="s">
        <v>15898</v>
      </c>
      <c r="E3520" s="1" t="s">
        <v>15899</v>
      </c>
      <c r="F3520" s="4" t="s">
        <v>17</v>
      </c>
      <c r="G3520" s="1" t="s">
        <v>18</v>
      </c>
      <c r="H3520" s="1" t="s">
        <v>19</v>
      </c>
      <c r="I3520" s="1" t="s">
        <v>20</v>
      </c>
      <c r="J3520" s="1" t="s">
        <v>15900</v>
      </c>
      <c r="K3520" s="1" t="s">
        <v>22</v>
      </c>
      <c r="L3520" s="1" t="str">
        <f>HYPERLINK("https://files.afu.se/Downloads/Transcripts/0%20-%20Government/USA%20-%20NASA/2012 05 17 - NASA - ScienceCasts  The 2012 Transit of Venus_CAb4RgqwW30 - transcript (automated).pdf","Transcript Link")</f>
        <v>Transcript Link</v>
      </c>
      <c r="M3520" s="2" t="str">
        <f>HYPERLINK("https://files.afu.se/Downloads/Transcripts/0%20-%20Government/USA%20-%20NASA/2012 05 17 - NASA - ScienceCasts  The 2012 Transit of Venus_CAb4RgqwW30 - transcript (automated).pdf","Transcript Link")</f>
        <v>Transcript Link</v>
      </c>
    </row>
    <row r="3521" ht="165" spans="1:13">
      <c r="A3521" s="1" t="s">
        <v>15896</v>
      </c>
      <c r="B3521" s="1" t="s">
        <v>13</v>
      </c>
      <c r="C3521" s="4" t="s">
        <v>15901</v>
      </c>
      <c r="D3521" s="1" t="s">
        <v>15902</v>
      </c>
      <c r="E3521" s="1" t="s">
        <v>15903</v>
      </c>
      <c r="F3521" s="4" t="s">
        <v>17</v>
      </c>
      <c r="G3521" s="1" t="s">
        <v>18</v>
      </c>
      <c r="H3521" s="1" t="s">
        <v>19</v>
      </c>
      <c r="I3521" s="1" t="s">
        <v>20</v>
      </c>
      <c r="J3521" s="1" t="s">
        <v>15904</v>
      </c>
      <c r="K3521" s="1" t="s">
        <v>22</v>
      </c>
      <c r="L3521" s="1" t="str">
        <f>HYPERLINK("https://files.afu.se/Downloads/Transcripts/0%20-%20Government/USA%20-%20NASA/2012 05 17 - NASA - Station Hatch Opens on Space Travelling Trio_Qr6JkzUzBgk - transcript (automated).pdf","Transcript Link")</f>
        <v>Transcript Link</v>
      </c>
      <c r="M3521" s="2" t="str">
        <f>HYPERLINK("https://files.afu.se/Downloads/Transcripts/0%20-%20Government/USA%20-%20NASA/2012 05 17 - NASA - Station Hatch Opens on Space Travelling Trio_Qr6JkzUzBgk - transcript (automated).pdf","Transcript Link")</f>
        <v>Transcript Link</v>
      </c>
    </row>
    <row r="3522" ht="165" spans="1:13">
      <c r="A3522" s="1" t="s">
        <v>15896</v>
      </c>
      <c r="B3522" s="1" t="s">
        <v>13</v>
      </c>
      <c r="C3522" s="4" t="s">
        <v>15905</v>
      </c>
      <c r="D3522" s="1" t="s">
        <v>15906</v>
      </c>
      <c r="E3522" s="1" t="s">
        <v>15907</v>
      </c>
      <c r="F3522" s="4" t="s">
        <v>17</v>
      </c>
      <c r="G3522" s="1" t="s">
        <v>18</v>
      </c>
      <c r="H3522" s="1" t="s">
        <v>19</v>
      </c>
      <c r="I3522" s="1" t="s">
        <v>20</v>
      </c>
      <c r="J3522" s="1" t="s">
        <v>15908</v>
      </c>
      <c r="K3522" s="1" t="s">
        <v>22</v>
      </c>
      <c r="L3522" s="1" t="str">
        <f>HYPERLINK("https://files.afu.se/Downloads/Transcripts/0%20-%20Government/USA%20-%20NASA/2012 05 17 - NASA - New Crewmates Arrive at ISS_neZkBzaGeOY - transcript (automated).pdf","Transcript Link")</f>
        <v>Transcript Link</v>
      </c>
      <c r="M3522" s="2" t="str">
        <f>HYPERLINK("https://files.afu.se/Downloads/Transcripts/0%20-%20Government/USA%20-%20NASA/2012 05 17 - NASA - New Crewmates Arrive at ISS_neZkBzaGeOY - transcript (automated).pdf","Transcript Link")</f>
        <v>Transcript Link</v>
      </c>
    </row>
    <row r="3523" ht="165" spans="1:13">
      <c r="A3523" s="1" t="s">
        <v>15909</v>
      </c>
      <c r="B3523" s="1" t="s">
        <v>13</v>
      </c>
      <c r="C3523" s="4" t="s">
        <v>15910</v>
      </c>
      <c r="D3523" s="1" t="s">
        <v>15911</v>
      </c>
      <c r="E3523" s="1" t="s">
        <v>15912</v>
      </c>
      <c r="F3523" s="4" t="s">
        <v>17</v>
      </c>
      <c r="G3523" s="1" t="s">
        <v>18</v>
      </c>
      <c r="H3523" s="1" t="s">
        <v>19</v>
      </c>
      <c r="I3523" s="1" t="s">
        <v>20</v>
      </c>
      <c r="J3523" s="1" t="s">
        <v>15913</v>
      </c>
      <c r="K3523" s="1" t="s">
        <v>22</v>
      </c>
      <c r="L3523" s="1" t="str">
        <f>HYPERLINK("https://files.afu.se/Downloads/Transcripts/0%20-%20Government/USA%20-%20NASA/2012 05 16 - NASA - Station Crew Speaks with European YouTubers_9QsjlRxwarw - transcript (automated).pdf","Transcript Link")</f>
        <v>Transcript Link</v>
      </c>
      <c r="M3523" s="2" t="str">
        <f>HYPERLINK("https://files.afu.se/Downloads/Transcripts/0%20-%20Government/USA%20-%20NASA/2012 05 16 - NASA - Station Crew Speaks with European YouTubers_9QsjlRxwarw - transcript (automated).pdf","Transcript Link")</f>
        <v>Transcript Link</v>
      </c>
    </row>
    <row r="3524" ht="210" spans="1:13">
      <c r="A3524" s="1" t="s">
        <v>15914</v>
      </c>
      <c r="B3524" s="1" t="s">
        <v>13</v>
      </c>
      <c r="C3524" s="4" t="s">
        <v>15915</v>
      </c>
      <c r="D3524" s="1" t="s">
        <v>15916</v>
      </c>
      <c r="E3524" s="1" t="s">
        <v>15917</v>
      </c>
      <c r="F3524" s="4" t="s">
        <v>17</v>
      </c>
      <c r="G3524" s="1" t="s">
        <v>18</v>
      </c>
      <c r="H3524" s="1" t="s">
        <v>19</v>
      </c>
      <c r="I3524" s="1" t="s">
        <v>20</v>
      </c>
      <c r="J3524" s="1" t="s">
        <v>15918</v>
      </c>
      <c r="K3524" s="1" t="s">
        <v>22</v>
      </c>
      <c r="L3524" s="1" t="str">
        <f>HYPERLINK("https://files.afu.se/Downloads/Transcripts/0%20-%20Government/USA%20-%20NASA/2012 05 15 - NASA - New Crew to Space Station on This Week @NASA_WGJXvDcBut8 - transcript (automated).pdf","Transcript Link")</f>
        <v>Transcript Link</v>
      </c>
      <c r="M3524" s="2" t="str">
        <f>HYPERLINK("https://files.afu.se/Downloads/Transcripts/0%20-%20Government/USA%20-%20NASA/2012 05 15 - NASA - New Crew to Space Station on This Week @NASA_WGJXvDcBut8 - transcript (automated).pdf","Transcript Link")</f>
        <v>Transcript Link</v>
      </c>
    </row>
    <row r="3525" ht="165" spans="1:13">
      <c r="A3525" s="1" t="s">
        <v>15914</v>
      </c>
      <c r="B3525" s="1" t="s">
        <v>13</v>
      </c>
      <c r="C3525" s="4" t="s">
        <v>15919</v>
      </c>
      <c r="D3525" s="1" t="s">
        <v>15920</v>
      </c>
      <c r="E3525" s="1" t="s">
        <v>15921</v>
      </c>
      <c r="F3525" s="4" t="s">
        <v>17</v>
      </c>
      <c r="G3525" s="1" t="s">
        <v>18</v>
      </c>
      <c r="H3525" s="1" t="s">
        <v>19</v>
      </c>
      <c r="I3525" s="1" t="s">
        <v>20</v>
      </c>
      <c r="J3525" s="1" t="s">
        <v>15922</v>
      </c>
      <c r="K3525" s="1" t="s">
        <v>22</v>
      </c>
      <c r="L3525" s="1" t="str">
        <f>HYPERLINK("https://files.afu.se/Downloads/Transcripts/0%20-%20Government/USA%20-%20NASA/2012 05 15 - NASA - Karen Gundy-Burlet_QGewghzJ48Q - transcript (automated).pdf","Transcript Link")</f>
        <v>Transcript Link</v>
      </c>
      <c r="M3525" s="2" t="str">
        <f>HYPERLINK("https://files.afu.se/Downloads/Transcripts/0%20-%20Government/USA%20-%20NASA/2012 05 15 - NASA - Karen Gundy-Burlet_QGewghzJ48Q - transcript (automated).pdf","Transcript Link")</f>
        <v>Transcript Link</v>
      </c>
    </row>
    <row r="3526" ht="165" spans="1:13">
      <c r="A3526" s="1" t="s">
        <v>15914</v>
      </c>
      <c r="B3526" s="1" t="s">
        <v>13</v>
      </c>
      <c r="C3526" s="4" t="s">
        <v>15923</v>
      </c>
      <c r="D3526" s="1" t="s">
        <v>15924</v>
      </c>
      <c r="E3526" s="1" t="s">
        <v>15925</v>
      </c>
      <c r="F3526" s="4" t="s">
        <v>17</v>
      </c>
      <c r="G3526" s="1" t="s">
        <v>18</v>
      </c>
      <c r="H3526" s="1" t="s">
        <v>19</v>
      </c>
      <c r="I3526" s="1" t="s">
        <v>20</v>
      </c>
      <c r="J3526" s="1" t="s">
        <v>15926</v>
      </c>
      <c r="K3526" s="1" t="s">
        <v>22</v>
      </c>
      <c r="L3526" s="1" t="str">
        <f>HYPERLINK("https://files.afu.se/Downloads/Transcripts/0%20-%20Government/USA%20-%20NASA/2012 05 15 - NASA - Julie Kramer White_UaZX1vuSe2M - transcript (automated).pdf","Transcript Link")</f>
        <v>Transcript Link</v>
      </c>
      <c r="M3526" s="2" t="str">
        <f>HYPERLINK("https://files.afu.se/Downloads/Transcripts/0%20-%20Government/USA%20-%20NASA/2012 05 15 - NASA - Julie Kramer White_UaZX1vuSe2M - transcript (automated).pdf","Transcript Link")</f>
        <v>Transcript Link</v>
      </c>
    </row>
    <row r="3527" ht="225" spans="1:13">
      <c r="A3527" s="1" t="s">
        <v>15914</v>
      </c>
      <c r="B3527" s="1" t="s">
        <v>13</v>
      </c>
      <c r="C3527" s="4" t="s">
        <v>15927</v>
      </c>
      <c r="D3527" s="1" t="s">
        <v>15928</v>
      </c>
      <c r="E3527" s="1" t="s">
        <v>15929</v>
      </c>
      <c r="F3527" s="4" t="s">
        <v>17</v>
      </c>
      <c r="G3527" s="1" t="s">
        <v>18</v>
      </c>
      <c r="H3527" s="1" t="s">
        <v>19</v>
      </c>
      <c r="I3527" s="1" t="s">
        <v>20</v>
      </c>
      <c r="J3527" s="1" t="s">
        <v>15930</v>
      </c>
      <c r="K3527" s="1" t="s">
        <v>22</v>
      </c>
      <c r="L3527" s="1" t="str">
        <f>HYPERLINK("https://files.afu.se/Downloads/Transcripts/0%20-%20Government/USA%20-%20NASA/2012 05 15 - NASA - Expedition 31 Trio Blasts Off for International Space Station_k64UY0vRPIE - transcript (automated).pdf","Transcript Link")</f>
        <v>Transcript Link</v>
      </c>
      <c r="M3527" s="2" t="str">
        <f>HYPERLINK("https://files.afu.se/Downloads/Transcripts/0%20-%20Government/USA%20-%20NASA/2012 05 15 - NASA - Expedition 31 Trio Blasts Off for International Space Station_k64UY0vRPIE - transcript (automated).pdf","Transcript Link")</f>
        <v>Transcript Link</v>
      </c>
    </row>
    <row r="3528" ht="180" spans="1:13">
      <c r="A3528" s="1" t="s">
        <v>15931</v>
      </c>
      <c r="B3528" s="1" t="s">
        <v>13</v>
      </c>
      <c r="C3528" s="4" t="s">
        <v>15932</v>
      </c>
      <c r="D3528" s="1" t="s">
        <v>15933</v>
      </c>
      <c r="E3528" s="1" t="s">
        <v>15934</v>
      </c>
      <c r="F3528" s="4" t="s">
        <v>17</v>
      </c>
      <c r="G3528" s="1" t="s">
        <v>18</v>
      </c>
      <c r="H3528" s="1" t="s">
        <v>19</v>
      </c>
      <c r="I3528" s="1" t="s">
        <v>20</v>
      </c>
      <c r="J3528" s="1" t="s">
        <v>15935</v>
      </c>
      <c r="K3528" s="1" t="s">
        <v>22</v>
      </c>
      <c r="L3528" s="1" t="str">
        <f>HYPERLINK("https://files.afu.se/Downloads/Transcripts/0%20-%20Government/USA%20-%20NASA/2012 05 14 - NASA - EXPEDITION 31 CREW MEETS OFFICIALS AND REPORTERS AS LAUNCH APPROACHES_6EpKaP18Leo - transcript (automated).pdf","Transcript Link")</f>
        <v>Transcript Link</v>
      </c>
      <c r="M3528" s="2" t="str">
        <f>HYPERLINK("https://files.afu.se/Downloads/Transcripts/0%20-%20Government/USA%20-%20NASA/2012 05 14 - NASA - EXPEDITION 31 CREW MEETS OFFICIALS AND REPORTERS AS LAUNCH APPROACHES_6EpKaP18Leo - transcript (automated).pdf","Transcript Link")</f>
        <v>Transcript Link</v>
      </c>
    </row>
    <row r="3529" ht="165" spans="1:13">
      <c r="A3529" s="1" t="s">
        <v>15931</v>
      </c>
      <c r="B3529" s="1" t="s">
        <v>13</v>
      </c>
      <c r="C3529" s="4" t="s">
        <v>15936</v>
      </c>
      <c r="D3529" s="1" t="s">
        <v>15937</v>
      </c>
      <c r="E3529" s="1" t="s">
        <v>15938</v>
      </c>
      <c r="F3529" s="4" t="s">
        <v>17</v>
      </c>
      <c r="G3529" s="1" t="s">
        <v>18</v>
      </c>
      <c r="H3529" s="1" t="s">
        <v>19</v>
      </c>
      <c r="I3529" s="1" t="s">
        <v>20</v>
      </c>
      <c r="J3529" s="1" t="s">
        <v>15939</v>
      </c>
      <c r="K3529" s="1" t="s">
        <v>22</v>
      </c>
      <c r="L3529" s="1" t="str">
        <f>HYPERLINK("https://files.afu.se/Downloads/Transcripts/0%20-%20Government/USA%20-%20NASA/2012 05 14 - NASA - Space Shuttle Enterprise Removed from 747 Carrier Aircraft_DBw9Mas5HdM - transcript (automated).pdf","Transcript Link")</f>
        <v>Transcript Link</v>
      </c>
      <c r="M3529" s="2" t="str">
        <f>HYPERLINK("https://files.afu.se/Downloads/Transcripts/0%20-%20Government/USA%20-%20NASA/2012 05 14 - NASA - Space Shuttle Enterprise Removed from 747 Carrier Aircraft_DBw9Mas5HdM - transcript (automated).pdf","Transcript Link")</f>
        <v>Transcript Link</v>
      </c>
    </row>
    <row r="3530" ht="225" spans="1:13">
      <c r="A3530" s="1" t="s">
        <v>15940</v>
      </c>
      <c r="B3530" s="1" t="s">
        <v>13</v>
      </c>
      <c r="C3530" s="4" t="s">
        <v>15941</v>
      </c>
      <c r="D3530" s="1" t="s">
        <v>15942</v>
      </c>
      <c r="E3530" s="1" t="s">
        <v>15943</v>
      </c>
      <c r="F3530" s="4" t="s">
        <v>17</v>
      </c>
      <c r="G3530" s="1" t="s">
        <v>18</v>
      </c>
      <c r="H3530" s="1" t="s">
        <v>19</v>
      </c>
      <c r="I3530" s="1" t="s">
        <v>20</v>
      </c>
      <c r="J3530" s="1" t="s">
        <v>15944</v>
      </c>
      <c r="K3530" s="1" t="s">
        <v>22</v>
      </c>
      <c r="L3530" s="1" t="str">
        <f>HYPERLINK("https://files.afu.se/Downloads/Transcripts/0%20-%20Government/USA%20-%20NASA/2012 05 13 - NASA - THE EXPEDITION 31 SOYUZ ROCKET MOVES TO ITS LAUNCH PAD_FUwZPaw4F9A - transcript (automated).pdf","Transcript Link")</f>
        <v>Transcript Link</v>
      </c>
      <c r="M3530" s="2" t="str">
        <f>HYPERLINK("https://files.afu.se/Downloads/Transcripts/0%20-%20Government/USA%20-%20NASA/2012 05 13 - NASA - THE EXPEDITION 31 SOYUZ ROCKET MOVES TO ITS LAUNCH PAD_FUwZPaw4F9A - transcript (automated).pdf","Transcript Link")</f>
        <v>Transcript Link</v>
      </c>
    </row>
    <row r="3531" ht="180" spans="1:13">
      <c r="A3531" s="1" t="s">
        <v>15945</v>
      </c>
      <c r="B3531" s="1" t="s">
        <v>13</v>
      </c>
      <c r="C3531" s="4" t="s">
        <v>15946</v>
      </c>
      <c r="D3531" s="1" t="s">
        <v>15947</v>
      </c>
      <c r="E3531" s="1" t="s">
        <v>15948</v>
      </c>
      <c r="F3531" s="4" t="s">
        <v>17</v>
      </c>
      <c r="G3531" s="1" t="s">
        <v>18</v>
      </c>
      <c r="H3531" s="1" t="s">
        <v>19</v>
      </c>
      <c r="I3531" s="1" t="s">
        <v>20</v>
      </c>
      <c r="J3531" s="1" t="s">
        <v>15949</v>
      </c>
      <c r="K3531" s="1" t="s">
        <v>22</v>
      </c>
      <c r="L3531" s="1" t="str">
        <f>HYPERLINK("https://files.afu.se/Downloads/Transcripts/0%20-%20Government/USA%20-%20NASA/2012 05 11 - NASA - Latest Update on New Space Station Crew on This Week @NASA_nS3tEzaTSlM - transcript (automated).pdf","Transcript Link")</f>
        <v>Transcript Link</v>
      </c>
      <c r="M3531" s="2" t="str">
        <f>HYPERLINK("https://files.afu.se/Downloads/Transcripts/0%20-%20Government/USA%20-%20NASA/2012 05 11 - NASA - Latest Update on New Space Station Crew on This Week @NASA_nS3tEzaTSlM - transcript (automated).pdf","Transcript Link")</f>
        <v>Transcript Link</v>
      </c>
    </row>
    <row r="3532" ht="195" spans="1:13">
      <c r="A3532" s="1" t="s">
        <v>15945</v>
      </c>
      <c r="B3532" s="1" t="s">
        <v>13</v>
      </c>
      <c r="C3532" s="4" t="s">
        <v>15950</v>
      </c>
      <c r="D3532" s="1" t="s">
        <v>15951</v>
      </c>
      <c r="E3532" s="1" t="s">
        <v>15952</v>
      </c>
      <c r="F3532" s="4" t="s">
        <v>17</v>
      </c>
      <c r="G3532" s="1" t="s">
        <v>18</v>
      </c>
      <c r="H3532" s="1" t="s">
        <v>19</v>
      </c>
      <c r="I3532" s="1" t="s">
        <v>20</v>
      </c>
      <c r="J3532" s="1" t="s">
        <v>15953</v>
      </c>
      <c r="K3532" s="1" t="s">
        <v>22</v>
      </c>
      <c r="L3532" s="1" t="str">
        <f>HYPERLINK("https://files.afu.se/Downloads/Transcripts/0%20-%20Government/USA%20-%20NASA/2012 05 11 - NASA - NASA Asian-American History Month Profile -- Janejit Gensler_7Apu0brG69g - transcript (automated).pdf","Transcript Link")</f>
        <v>Transcript Link</v>
      </c>
      <c r="M3532" s="2" t="str">
        <f>HYPERLINK("https://files.afu.se/Downloads/Transcripts/0%20-%20Government/USA%20-%20NASA/2012 05 11 - NASA - NASA Asian-American History Month Profile -- Janejit Gensler_7Apu0brG69g - transcript (automated).pdf","Transcript Link")</f>
        <v>Transcript Link</v>
      </c>
    </row>
    <row r="3533" ht="285" spans="1:13">
      <c r="A3533" s="1" t="s">
        <v>15945</v>
      </c>
      <c r="B3533" s="1" t="s">
        <v>13</v>
      </c>
      <c r="C3533" s="4" t="s">
        <v>15954</v>
      </c>
      <c r="D3533" s="1" t="s">
        <v>15955</v>
      </c>
      <c r="E3533" s="1" t="s">
        <v>15956</v>
      </c>
      <c r="F3533" s="4" t="s">
        <v>17</v>
      </c>
      <c r="G3533" s="1" t="s">
        <v>18</v>
      </c>
      <c r="H3533" s="1" t="s">
        <v>19</v>
      </c>
      <c r="I3533" s="1" t="s">
        <v>20</v>
      </c>
      <c r="J3533" s="1" t="s">
        <v>15957</v>
      </c>
      <c r="K3533" s="1" t="s">
        <v>22</v>
      </c>
      <c r="L3533" s="1" t="str">
        <f>HYPERLINK("https://files.afu.se/Downloads/Transcripts/0%20-%20Government/USA%20-%20NASA/2012 05 11 - NASA - NASA Asian-American History Month Profile -- Daphne Dador_THigU1Q2D7Y - transcript (automated).pdf","Transcript Link")</f>
        <v>Transcript Link</v>
      </c>
      <c r="M3533" s="2" t="str">
        <f>HYPERLINK("https://files.afu.se/Downloads/Transcripts/0%20-%20Government/USA%20-%20NASA/2012 05 11 - NASA - NASA Asian-American History Month Profile -- Daphne Dador_THigU1Q2D7Y - transcript (automated).pdf","Transcript Link")</f>
        <v>Transcript Link</v>
      </c>
    </row>
    <row r="3534" ht="210" spans="1:13">
      <c r="A3534" s="1" t="s">
        <v>15945</v>
      </c>
      <c r="B3534" s="1" t="s">
        <v>13</v>
      </c>
      <c r="C3534" s="4" t="s">
        <v>15958</v>
      </c>
      <c r="D3534" s="1" t="s">
        <v>15959</v>
      </c>
      <c r="E3534" s="1" t="s">
        <v>15960</v>
      </c>
      <c r="F3534" s="4" t="s">
        <v>17</v>
      </c>
      <c r="G3534" s="1" t="s">
        <v>18</v>
      </c>
      <c r="H3534" s="1" t="s">
        <v>19</v>
      </c>
      <c r="I3534" s="1" t="s">
        <v>20</v>
      </c>
      <c r="J3534" s="1" t="s">
        <v>15961</v>
      </c>
      <c r="K3534" s="1" t="s">
        <v>22</v>
      </c>
      <c r="L3534" s="1" t="str">
        <f>HYPERLINK("https://files.afu.se/Downloads/Transcripts/0%20-%20Government/USA%20-%20NASA/2012 05 11 - NASA - NASA Asian-American History Month Profile -- Allen Chen__0G2V6-m70E - transcript (automated).pdf","Transcript Link")</f>
        <v>Transcript Link</v>
      </c>
      <c r="M3534" s="2" t="str">
        <f>HYPERLINK("https://files.afu.se/Downloads/Transcripts/0%20-%20Government/USA%20-%20NASA/2012 05 11 - NASA - NASA Asian-American History Month Profile -- Allen Chen__0G2V6-m70E - transcript (automated).pdf","Transcript Link")</f>
        <v>Transcript Link</v>
      </c>
    </row>
    <row r="3535" ht="165" spans="1:13">
      <c r="A3535" s="1" t="s">
        <v>15945</v>
      </c>
      <c r="B3535" s="1" t="s">
        <v>13</v>
      </c>
      <c r="C3535" s="4" t="s">
        <v>15962</v>
      </c>
      <c r="D3535" s="1" t="s">
        <v>15963</v>
      </c>
      <c r="E3535" s="1" t="s">
        <v>15964</v>
      </c>
      <c r="F3535" s="4" t="s">
        <v>17</v>
      </c>
      <c r="G3535" s="1" t="s">
        <v>18</v>
      </c>
      <c r="H3535" s="1" t="s">
        <v>19</v>
      </c>
      <c r="I3535" s="1" t="s">
        <v>20</v>
      </c>
      <c r="J3535" s="1" t="s">
        <v>15965</v>
      </c>
      <c r="K3535" s="1" t="s">
        <v>22</v>
      </c>
      <c r="L3535" s="1" t="str">
        <f>HYPERLINK("https://files.afu.se/Downloads/Transcripts/0%20-%20Government/USA%20-%20NASA/2012 05 11 - NASA - ScienceCasts  Don't Judge a Moon by its Cover_TAsHOqVswEw - transcript (automated).pdf","Transcript Link")</f>
        <v>Transcript Link</v>
      </c>
      <c r="M3535" s="2" t="str">
        <f>HYPERLINK("https://files.afu.se/Downloads/Transcripts/0%20-%20Government/USA%20-%20NASA/2012 05 11 - NASA - ScienceCasts  Don't Judge a Moon by its Cover_TAsHOqVswEw - transcript (automated).pdf","Transcript Link")</f>
        <v>Transcript Link</v>
      </c>
    </row>
    <row r="3536" ht="165" spans="1:13">
      <c r="A3536" s="1" t="s">
        <v>15945</v>
      </c>
      <c r="B3536" s="1" t="s">
        <v>13</v>
      </c>
      <c r="C3536" s="4" t="s">
        <v>15966</v>
      </c>
      <c r="D3536" s="1" t="s">
        <v>15967</v>
      </c>
      <c r="E3536" s="1" t="s">
        <v>15968</v>
      </c>
      <c r="F3536" s="4" t="s">
        <v>17</v>
      </c>
      <c r="G3536" s="1" t="s">
        <v>18</v>
      </c>
      <c r="H3536" s="1" t="s">
        <v>19</v>
      </c>
      <c r="I3536" s="1" t="s">
        <v>20</v>
      </c>
      <c r="J3536" s="1" t="s">
        <v>15969</v>
      </c>
      <c r="K3536" s="1" t="s">
        <v>22</v>
      </c>
      <c r="L3536" s="1" t="str">
        <f>HYPERLINK("https://files.afu.se/Downloads/Transcripts/0%20-%20Government/USA%20-%20NASA/2012 05 11 - NASA - Next ISS Crew Prepares for Launch in Kazakhstan__Mpm1UPnJ4M - transcript (automated).pdf","Transcript Link")</f>
        <v>Transcript Link</v>
      </c>
      <c r="M3536" s="2" t="str">
        <f>HYPERLINK("https://files.afu.se/Downloads/Transcripts/0%20-%20Government/USA%20-%20NASA/2012 05 11 - NASA - Next ISS Crew Prepares for Launch in Kazakhstan__Mpm1UPnJ4M - transcript (automated).pdf","Transcript Link")</f>
        <v>Transcript Link</v>
      </c>
    </row>
    <row r="3537" ht="165" spans="1:13">
      <c r="A3537" s="1" t="s">
        <v>15970</v>
      </c>
      <c r="B3537" s="1" t="s">
        <v>13</v>
      </c>
      <c r="C3537" s="4" t="s">
        <v>15971</v>
      </c>
      <c r="D3537" s="1" t="s">
        <v>15972</v>
      </c>
      <c r="E3537" s="1" t="s">
        <v>15973</v>
      </c>
      <c r="F3537" s="4" t="s">
        <v>17</v>
      </c>
      <c r="G3537" s="1" t="s">
        <v>18</v>
      </c>
      <c r="H3537" s="1" t="s">
        <v>19</v>
      </c>
      <c r="I3537" s="1" t="s">
        <v>20</v>
      </c>
      <c r="J3537" s="1" t="s">
        <v>15974</v>
      </c>
      <c r="K3537" s="1" t="s">
        <v>22</v>
      </c>
      <c r="L3537" s="1" t="str">
        <f>HYPERLINK("https://files.afu.se/Downloads/Transcripts/0%20-%20Government/USA%20-%20NASA/2012 05 10 - NASA - NASA's Dawn Defines Vesta's Role in Solar System History_JNIbuEqRPTU - transcript (automated).pdf","Transcript Link")</f>
        <v>Transcript Link</v>
      </c>
      <c r="M3537" s="2" t="str">
        <f>HYPERLINK("https://files.afu.se/Downloads/Transcripts/0%20-%20Government/USA%20-%20NASA/2012 05 10 - NASA - NASA's Dawn Defines Vesta's Role in Solar System History_JNIbuEqRPTU - transcript (automated).pdf","Transcript Link")</f>
        <v>Transcript Link</v>
      </c>
    </row>
    <row r="3538" ht="165" spans="1:13">
      <c r="A3538" s="1" t="s">
        <v>15970</v>
      </c>
      <c r="B3538" s="1" t="s">
        <v>13</v>
      </c>
      <c r="C3538" s="4" t="s">
        <v>15975</v>
      </c>
      <c r="D3538" s="1" t="s">
        <v>15976</v>
      </c>
      <c r="E3538" s="1" t="s">
        <v>15977</v>
      </c>
      <c r="F3538" s="4" t="s">
        <v>17</v>
      </c>
      <c r="G3538" s="1" t="s">
        <v>18</v>
      </c>
      <c r="H3538" s="1" t="s">
        <v>19</v>
      </c>
      <c r="I3538" s="1" t="s">
        <v>20</v>
      </c>
      <c r="J3538" s="1" t="s">
        <v>15978</v>
      </c>
      <c r="K3538" s="1" t="s">
        <v>22</v>
      </c>
      <c r="L3538" s="1" t="str">
        <f>HYPERLINK("https://files.afu.se/Downloads/Transcripts/0%20-%20Government/USA%20-%20NASA/2012 05 10 - NASA - Expedition 31 Crew Prepares for Launch in Kazakhstan_EYOl9PdBrfw - transcript (automated).pdf","Transcript Link")</f>
        <v>Transcript Link</v>
      </c>
      <c r="M3538" s="2" t="str">
        <f>HYPERLINK("https://files.afu.se/Downloads/Transcripts/0%20-%20Government/USA%20-%20NASA/2012 05 10 - NASA - Expedition 31 Crew Prepares for Launch in Kazakhstan_EYOl9PdBrfw - transcript (automated).pdf","Transcript Link")</f>
        <v>Transcript Link</v>
      </c>
    </row>
    <row r="3539" ht="195" spans="1:13">
      <c r="A3539" s="1" t="s">
        <v>15970</v>
      </c>
      <c r="B3539" s="1" t="s">
        <v>13</v>
      </c>
      <c r="C3539" s="4" t="s">
        <v>15979</v>
      </c>
      <c r="D3539" s="1" t="s">
        <v>15980</v>
      </c>
      <c r="E3539" s="1" t="s">
        <v>15981</v>
      </c>
      <c r="F3539" s="4" t="s">
        <v>17</v>
      </c>
      <c r="G3539" s="1" t="s">
        <v>18</v>
      </c>
      <c r="H3539" s="1" t="s">
        <v>19</v>
      </c>
      <c r="I3539" s="1" t="s">
        <v>20</v>
      </c>
      <c r="J3539" s="1" t="s">
        <v>15982</v>
      </c>
      <c r="K3539" s="1" t="s">
        <v>22</v>
      </c>
      <c r="L3539" s="1" t="str">
        <f>HYPERLINK("https://files.afu.se/Downloads/Transcripts/0%20-%20Government/USA%20-%20NASA/2012 05 10 - NASA - NASA Flight Controller Talks Space With Students__Iz4pNRU_2s - transcript (automated).pdf","Transcript Link")</f>
        <v>Transcript Link</v>
      </c>
      <c r="M3539" s="2" t="str">
        <f>HYPERLINK("https://files.afu.se/Downloads/Transcripts/0%20-%20Government/USA%20-%20NASA/2012 05 10 - NASA - NASA Flight Controller Talks Space With Students__Iz4pNRU_2s - transcript (automated).pdf","Transcript Link")</f>
        <v>Transcript Link</v>
      </c>
    </row>
    <row r="3540" ht="285" spans="1:13">
      <c r="A3540" s="1" t="s">
        <v>15970</v>
      </c>
      <c r="B3540" s="1" t="s">
        <v>13</v>
      </c>
      <c r="C3540" s="4" t="s">
        <v>15983</v>
      </c>
      <c r="D3540" s="1" t="s">
        <v>15984</v>
      </c>
      <c r="E3540" s="1" t="s">
        <v>15985</v>
      </c>
      <c r="F3540" s="4" t="s">
        <v>17</v>
      </c>
      <c r="G3540" s="1" t="s">
        <v>18</v>
      </c>
      <c r="H3540" s="1" t="s">
        <v>19</v>
      </c>
      <c r="I3540" s="1" t="s">
        <v>20</v>
      </c>
      <c r="J3540" s="1" t="s">
        <v>15986</v>
      </c>
      <c r="K3540" s="1" t="s">
        <v>22</v>
      </c>
      <c r="L3540" s="1" t="str">
        <f>HYPERLINK("https://files.afu.se/Downloads/Transcripts/0%20-%20Government/USA%20-%20NASA/2012 05 10 - NASA - Astronaut Dan Burbank Conducts Satellite Interviews_TPW6kRJQCfE - transcript (automated).pdf","Transcript Link")</f>
        <v>Transcript Link</v>
      </c>
      <c r="M3540" s="2" t="str">
        <f>HYPERLINK("https://files.afu.se/Downloads/Transcripts/0%20-%20Government/USA%20-%20NASA/2012 05 10 - NASA - Astronaut Dan Burbank Conducts Satellite Interviews_TPW6kRJQCfE - transcript (automated).pdf","Transcript Link")</f>
        <v>Transcript Link</v>
      </c>
    </row>
    <row r="3541" ht="165" spans="1:13">
      <c r="A3541" s="1" t="s">
        <v>15987</v>
      </c>
      <c r="B3541" s="1" t="s">
        <v>13</v>
      </c>
      <c r="C3541" s="4" t="s">
        <v>15988</v>
      </c>
      <c r="D3541" s="1" t="s">
        <v>15989</v>
      </c>
      <c r="E3541" s="1" t="s">
        <v>15990</v>
      </c>
      <c r="F3541" s="4" t="s">
        <v>17</v>
      </c>
      <c r="G3541" s="1" t="s">
        <v>18</v>
      </c>
      <c r="H3541" s="1" t="s">
        <v>19</v>
      </c>
      <c r="I3541" s="1" t="s">
        <v>20</v>
      </c>
      <c r="J3541" s="1" t="s">
        <v>15991</v>
      </c>
      <c r="K3541" s="1" t="s">
        <v>22</v>
      </c>
      <c r="L3541" s="1" t="str">
        <f>HYPERLINK("https://files.afu.se/Downloads/Transcripts/0%20-%20Government/USA%20-%20NASA/2012 05 08 - NASA - Station Crew Member Discusses View Of Earth From Space_eCXJMCSyZbw - transcript (automated).pdf","Transcript Link")</f>
        <v>Transcript Link</v>
      </c>
      <c r="M3541" s="2" t="str">
        <f>HYPERLINK("https://files.afu.se/Downloads/Transcripts/0%20-%20Government/USA%20-%20NASA/2012 05 08 - NASA - Station Crew Member Discusses View Of Earth From Space_eCXJMCSyZbw - transcript (automated).pdf","Transcript Link")</f>
        <v>Transcript Link</v>
      </c>
    </row>
    <row r="3542" ht="405" spans="1:13">
      <c r="A3542" s="1" t="s">
        <v>15992</v>
      </c>
      <c r="B3542" s="1" t="s">
        <v>13</v>
      </c>
      <c r="C3542" s="4" t="s">
        <v>15993</v>
      </c>
      <c r="D3542" s="1" t="s">
        <v>15994</v>
      </c>
      <c r="E3542" s="1" t="s">
        <v>15995</v>
      </c>
      <c r="F3542" s="4" t="s">
        <v>17</v>
      </c>
      <c r="G3542" s="1" t="s">
        <v>18</v>
      </c>
      <c r="H3542" s="1" t="s">
        <v>19</v>
      </c>
      <c r="I3542" s="1" t="s">
        <v>20</v>
      </c>
      <c r="J3542" s="1" t="s">
        <v>15996</v>
      </c>
      <c r="K3542" s="1" t="s">
        <v>22</v>
      </c>
      <c r="L3542" s="1" t="str">
        <f>HYPERLINK("https://files.afu.se/Downloads/Transcripts/0%20-%20Government/USA%20-%20NASA/2012 05 07 - NASA - Shuttle Veterans named to Hall of Fame on This Week @NASA_OoFaRCkegIQ - transcript (automated).pdf","Transcript Link")</f>
        <v>Transcript Link</v>
      </c>
      <c r="M3542" s="2" t="str">
        <f>HYPERLINK("https://files.afu.se/Downloads/Transcripts/0%20-%20Government/USA%20-%20NASA/2012 05 07 - NASA - Shuttle Veterans named to Hall of Fame on This Week @NASA_OoFaRCkegIQ - transcript (automated).pdf","Transcript Link")</f>
        <v>Transcript Link</v>
      </c>
    </row>
    <row r="3543" ht="240" spans="1:13">
      <c r="A3543" s="1" t="s">
        <v>15997</v>
      </c>
      <c r="B3543" s="1" t="s">
        <v>13</v>
      </c>
      <c r="C3543" s="4" t="s">
        <v>15998</v>
      </c>
      <c r="D3543" s="1" t="s">
        <v>15999</v>
      </c>
      <c r="E3543" s="1" t="s">
        <v>16000</v>
      </c>
      <c r="F3543" s="4" t="s">
        <v>17</v>
      </c>
      <c r="G3543" s="1" t="s">
        <v>18</v>
      </c>
      <c r="H3543" s="1" t="s">
        <v>19</v>
      </c>
      <c r="I3543" s="1" t="s">
        <v>20</v>
      </c>
      <c r="J3543" s="1" t="s">
        <v>16001</v>
      </c>
      <c r="K3543" s="1" t="s">
        <v>22</v>
      </c>
      <c r="L3543" s="1" t="str">
        <f>HYPERLINK("https://files.afu.se/Downloads/Transcripts/0%20-%20Government/USA%20-%20NASA/2012 05 05 - NASA - 2012 U.S. Astronaut Hall of Fame Induction_RVfr4uZSqZ4 - transcript (automated).pdf","Transcript Link")</f>
        <v>Transcript Link</v>
      </c>
      <c r="M3543" s="2" t="str">
        <f>HYPERLINK("https://files.afu.se/Downloads/Transcripts/0%20-%20Government/USA%20-%20NASA/2012 05 05 - NASA - 2012 U.S. Astronaut Hall of Fame Induction_RVfr4uZSqZ4 - transcript (automated).pdf","Transcript Link")</f>
        <v>Transcript Link</v>
      </c>
    </row>
    <row r="3544" ht="255" spans="1:13">
      <c r="A3544" s="1" t="s">
        <v>16002</v>
      </c>
      <c r="B3544" s="1" t="s">
        <v>13</v>
      </c>
      <c r="C3544" s="4" t="s">
        <v>16003</v>
      </c>
      <c r="D3544" s="1" t="s">
        <v>16004</v>
      </c>
      <c r="E3544" s="1" t="s">
        <v>16005</v>
      </c>
      <c r="F3544" s="4" t="s">
        <v>17</v>
      </c>
      <c r="G3544" s="1" t="s">
        <v>18</v>
      </c>
      <c r="H3544" s="1" t="s">
        <v>19</v>
      </c>
      <c r="I3544" s="1" t="s">
        <v>20</v>
      </c>
      <c r="J3544" s="1" t="s">
        <v>16006</v>
      </c>
      <c r="K3544" s="1" t="s">
        <v>22</v>
      </c>
      <c r="L3544" s="1" t="str">
        <f>HYPERLINK("https://files.afu.se/Downloads/Transcripts/0%20-%20Government/USA%20-%20NASA/2012 05 04 - NASA - SpaceX Rocket Test Fired on This Week @NASA_q99Lv66eiVk - transcript (automated).pdf","Transcript Link")</f>
        <v>Transcript Link</v>
      </c>
      <c r="M3544" s="2" t="str">
        <f>HYPERLINK("https://files.afu.se/Downloads/Transcripts/0%20-%20Government/USA%20-%20NASA/2012 05 04 - NASA - SpaceX Rocket Test Fired on This Week @NASA_q99Lv66eiVk - transcript (automated).pdf","Transcript Link")</f>
        <v>Transcript Link</v>
      </c>
    </row>
    <row r="3545" ht="165" spans="1:13">
      <c r="A3545" s="1" t="s">
        <v>16002</v>
      </c>
      <c r="B3545" s="1" t="s">
        <v>13</v>
      </c>
      <c r="C3545" s="4" t="s">
        <v>16007</v>
      </c>
      <c r="D3545" s="1" t="s">
        <v>16008</v>
      </c>
      <c r="E3545" s="1" t="s">
        <v>16009</v>
      </c>
      <c r="F3545" s="4" t="s">
        <v>17</v>
      </c>
      <c r="G3545" s="1" t="s">
        <v>18</v>
      </c>
      <c r="H3545" s="1" t="s">
        <v>19</v>
      </c>
      <c r="I3545" s="1" t="s">
        <v>20</v>
      </c>
      <c r="J3545" s="1" t="s">
        <v>16010</v>
      </c>
      <c r="K3545" s="1" t="s">
        <v>22</v>
      </c>
      <c r="L3545" s="1" t="str">
        <f>HYPERLINK("https://files.afu.se/Downloads/Transcripts/0%20-%20Government/USA%20-%20NASA/2012 05 04 - NASA - Station Crew Discusses Life In Space With News Media_VLkKadCo0Mk - transcript (automated).pdf","Transcript Link")</f>
        <v>Transcript Link</v>
      </c>
      <c r="M3545" s="2" t="str">
        <f>HYPERLINK("https://files.afu.se/Downloads/Transcripts/0%20-%20Government/USA%20-%20NASA/2012 05 04 - NASA - Station Crew Discusses Life In Space With News Media_VLkKadCo0Mk - transcript (automated).pdf","Transcript Link")</f>
        <v>Transcript Link</v>
      </c>
    </row>
    <row r="3546" ht="165" spans="1:13">
      <c r="A3546" s="1" t="s">
        <v>16011</v>
      </c>
      <c r="B3546" s="1" t="s">
        <v>13</v>
      </c>
      <c r="C3546" s="4" t="s">
        <v>16012</v>
      </c>
      <c r="D3546" s="1" t="s">
        <v>16013</v>
      </c>
      <c r="E3546" s="1" t="s">
        <v>16014</v>
      </c>
      <c r="F3546" s="4" t="s">
        <v>17</v>
      </c>
      <c r="G3546" s="1" t="s">
        <v>18</v>
      </c>
      <c r="H3546" s="1" t="s">
        <v>19</v>
      </c>
      <c r="I3546" s="1" t="s">
        <v>20</v>
      </c>
      <c r="J3546" s="1" t="s">
        <v>16015</v>
      </c>
      <c r="K3546" s="1" t="s">
        <v>22</v>
      </c>
      <c r="L3546" s="1" t="str">
        <f>HYPERLINK("https://files.afu.se/Downloads/Transcripts/0%20-%20Government/USA%20-%20NASA/2012 05 03 - NASA - ScienceCasts  A Star Turns Inside Out_s2Ho8seXwQg - transcript (automated).pdf","Transcript Link")</f>
        <v>Transcript Link</v>
      </c>
      <c r="M3546" s="2" t="str">
        <f>HYPERLINK("https://files.afu.se/Downloads/Transcripts/0%20-%20Government/USA%20-%20NASA/2012 05 03 - NASA - ScienceCasts  A Star Turns Inside Out_s2Ho8seXwQg - transcript (automated).pdf","Transcript Link")</f>
        <v>Transcript Link</v>
      </c>
    </row>
    <row r="3547" ht="180" spans="1:13">
      <c r="A3547" s="1" t="s">
        <v>16011</v>
      </c>
      <c r="B3547" s="1" t="s">
        <v>13</v>
      </c>
      <c r="C3547" s="4" t="s">
        <v>16016</v>
      </c>
      <c r="D3547" s="1" t="s">
        <v>16017</v>
      </c>
      <c r="E3547" s="1" t="s">
        <v>16018</v>
      </c>
      <c r="F3547" s="4" t="s">
        <v>17</v>
      </c>
      <c r="G3547" s="1" t="s">
        <v>18</v>
      </c>
      <c r="H3547" s="1" t="s">
        <v>19</v>
      </c>
      <c r="I3547" s="1" t="s">
        <v>20</v>
      </c>
      <c r="J3547" s="1" t="s">
        <v>16019</v>
      </c>
      <c r="K3547" s="1" t="s">
        <v>22</v>
      </c>
      <c r="L3547" s="1" t="str">
        <f>HYPERLINK("https://files.afu.se/Downloads/Transcripts/0%20-%20Government/USA%20-%20NASA/2012 05 03 - NASA - NASA Spacewalk Trainer Talks Space With Students_ugdWb4k4fws - transcript (automated).pdf","Transcript Link")</f>
        <v>Transcript Link</v>
      </c>
      <c r="M3547" s="2" t="str">
        <f>HYPERLINK("https://files.afu.se/Downloads/Transcripts/0%20-%20Government/USA%20-%20NASA/2012 05 03 - NASA - NASA Spacewalk Trainer Talks Space With Students_ugdWb4k4fws - transcript (automated).pdf","Transcript Link")</f>
        <v>Transcript Link</v>
      </c>
    </row>
    <row r="3548" ht="330" spans="1:13">
      <c r="A3548" s="1" t="s">
        <v>16020</v>
      </c>
      <c r="B3548" s="1" t="s">
        <v>13</v>
      </c>
      <c r="C3548" s="4" t="s">
        <v>16021</v>
      </c>
      <c r="D3548" s="1" t="s">
        <v>16022</v>
      </c>
      <c r="E3548" s="1" t="s">
        <v>16023</v>
      </c>
      <c r="F3548" s="4" t="s">
        <v>17</v>
      </c>
      <c r="G3548" s="1" t="s">
        <v>18</v>
      </c>
      <c r="H3548" s="1" t="s">
        <v>19</v>
      </c>
      <c r="I3548" s="1" t="s">
        <v>20</v>
      </c>
      <c r="J3548" s="1" t="s">
        <v>16024</v>
      </c>
      <c r="K3548" s="1" t="s">
        <v>22</v>
      </c>
      <c r="L3548" s="1" t="str">
        <f>HYPERLINK("https://files.afu.se/Downloads/Transcripts/0%20-%20Government/USA%20-%20NASA/2012 05 02 - NASA - Change of Command aboard Space Station On This Week @NASA_qm6B3s12VLI - transcript (automated).pdf","Transcript Link")</f>
        <v>Transcript Link</v>
      </c>
      <c r="M3548" s="2" t="str">
        <f>HYPERLINK("https://files.afu.se/Downloads/Transcripts/0%20-%20Government/USA%20-%20NASA/2012 05 02 - NASA - Change of Command aboard Space Station On This Week @NASA_qm6B3s12VLI - transcript (automated).pdf","Transcript Link")</f>
        <v>Transcript Link</v>
      </c>
    </row>
    <row r="3549" ht="165" spans="1:13">
      <c r="A3549" s="1" t="s">
        <v>16020</v>
      </c>
      <c r="B3549" s="1" t="s">
        <v>13</v>
      </c>
      <c r="C3549" s="4" t="s">
        <v>16025</v>
      </c>
      <c r="D3549" s="1" t="s">
        <v>16026</v>
      </c>
      <c r="E3549" s="1" t="s">
        <v>16027</v>
      </c>
      <c r="F3549" s="4" t="s">
        <v>17</v>
      </c>
      <c r="G3549" s="1" t="s">
        <v>18</v>
      </c>
      <c r="H3549" s="1" t="s">
        <v>19</v>
      </c>
      <c r="I3549" s="1" t="s">
        <v>20</v>
      </c>
      <c r="J3549" s="1" t="s">
        <v>16028</v>
      </c>
      <c r="K3549" s="1" t="s">
        <v>22</v>
      </c>
      <c r="L3549" s="1" t="str">
        <f>HYPERLINK("https://files.afu.se/Downloads/Transcripts/0%20-%20Government/USA%20-%20NASA/2012 05 02 - NASA - Inside the International Space Station Episode 4 Chapter 3 - Comet Lovejoy_3SET3iOVw5g - transcript (automated).pdf","Transcript Link")</f>
        <v>Transcript Link</v>
      </c>
      <c r="M3549" s="2" t="str">
        <f>HYPERLINK("https://files.afu.se/Downloads/Transcripts/0%20-%20Government/USA%20-%20NASA/2012 05 02 - NASA - Inside the International Space Station Episode 4 Chapter 3 - Comet Lovejoy_3SET3iOVw5g - transcript (automated).pdf","Transcript Link")</f>
        <v>Transcript Link</v>
      </c>
    </row>
    <row r="3550" ht="165" spans="1:13">
      <c r="A3550" s="1" t="s">
        <v>16020</v>
      </c>
      <c r="B3550" s="1" t="s">
        <v>13</v>
      </c>
      <c r="C3550" s="4" t="s">
        <v>16029</v>
      </c>
      <c r="D3550" s="1" t="s">
        <v>16030</v>
      </c>
      <c r="E3550" s="1" t="s">
        <v>16031</v>
      </c>
      <c r="F3550" s="4" t="s">
        <v>17</v>
      </c>
      <c r="G3550" s="1" t="s">
        <v>18</v>
      </c>
      <c r="H3550" s="1" t="s">
        <v>19</v>
      </c>
      <c r="I3550" s="1" t="s">
        <v>20</v>
      </c>
      <c r="J3550" s="1" t="s">
        <v>16032</v>
      </c>
      <c r="K3550" s="1" t="s">
        <v>22</v>
      </c>
      <c r="L3550" s="1" t="str">
        <f>HYPERLINK("https://files.afu.se/Downloads/Transcripts/0%20-%20Government/USA%20-%20NASA/2012 05 02 - NASA - Expedition 31 Crew Departs for Kazakh Launch Site_W-fBBKvtN7g - transcript (automated).pdf","Transcript Link")</f>
        <v>Transcript Link</v>
      </c>
      <c r="M3550" s="2" t="str">
        <f>HYPERLINK("https://files.afu.se/Downloads/Transcripts/0%20-%20Government/USA%20-%20NASA/2012 05 02 - NASA - Expedition 31 Crew Departs for Kazakh Launch Site_W-fBBKvtN7g - transcript (automated).pdf","Transcript Link")</f>
        <v>Transcript Link</v>
      </c>
    </row>
    <row r="3551" ht="165" spans="1:13">
      <c r="A3551" s="1" t="s">
        <v>16033</v>
      </c>
      <c r="B3551" s="1" t="s">
        <v>13</v>
      </c>
      <c r="C3551" s="4" t="s">
        <v>16034</v>
      </c>
      <c r="D3551" s="1" t="s">
        <v>16008</v>
      </c>
      <c r="E3551" s="1" t="s">
        <v>16035</v>
      </c>
      <c r="F3551" s="4" t="s">
        <v>17</v>
      </c>
      <c r="G3551" s="1" t="s">
        <v>18</v>
      </c>
      <c r="H3551" s="1" t="s">
        <v>19</v>
      </c>
      <c r="I3551" s="1" t="s">
        <v>20</v>
      </c>
      <c r="J3551" s="1" t="s">
        <v>16036</v>
      </c>
      <c r="K3551" s="1" t="s">
        <v>22</v>
      </c>
      <c r="L3551" s="1" t="str">
        <f>HYPERLINK("https://files.afu.se/Downloads/Transcripts/0%20-%20Government/USA%20-%20NASA/2012 05 01 - NASA - Station Crew Discusses Life In Space With News Media_xSlNgPG-TkI - transcript (automated).pdf","Transcript Link")</f>
        <v>Transcript Link</v>
      </c>
      <c r="M3551" s="2" t="str">
        <f>HYPERLINK("https://files.afu.se/Downloads/Transcripts/0%20-%20Government/USA%20-%20NASA/2012 05 01 - NASA - Station Crew Discusses Life In Space With News Media_xSlNgPG-TkI - transcript (automated).pdf","Transcript Link")</f>
        <v>Transcript Link</v>
      </c>
    </row>
    <row r="3552" ht="195" spans="1:13">
      <c r="A3552" s="1" t="s">
        <v>16037</v>
      </c>
      <c r="B3552" s="1" t="s">
        <v>13</v>
      </c>
      <c r="C3552" s="4" t="s">
        <v>16038</v>
      </c>
      <c r="D3552" s="1" t="s">
        <v>16039</v>
      </c>
      <c r="E3552" s="1" t="s">
        <v>16040</v>
      </c>
      <c r="F3552" s="4" t="s">
        <v>17</v>
      </c>
      <c r="G3552" s="1" t="s">
        <v>18</v>
      </c>
      <c r="H3552" s="1" t="s">
        <v>19</v>
      </c>
      <c r="I3552" s="1" t="s">
        <v>20</v>
      </c>
      <c r="J3552" s="1" t="s">
        <v>16041</v>
      </c>
      <c r="K3552" s="1" t="s">
        <v>22</v>
      </c>
      <c r="L3552" s="1" t="str">
        <f>HYPERLINK("https://files.afu.se/Downloads/Transcripts/0%20-%20Government/USA%20-%20NASA/2012 04 30 - NASA - Spacex Falcon 9 Rocket Performs Launch Dress Rehearsal_E0pckVd6EjA - transcript (automated).pdf","Transcript Link")</f>
        <v>Transcript Link</v>
      </c>
      <c r="M3552" s="2" t="str">
        <f>HYPERLINK("https://files.afu.se/Downloads/Transcripts/0%20-%20Government/USA%20-%20NASA/2012 04 30 - NASA - Spacex Falcon 9 Rocket Performs Launch Dress Rehearsal_E0pckVd6EjA - transcript (automated).pdf","Transcript Link")</f>
        <v>Transcript Link</v>
      </c>
    </row>
    <row r="3553" ht="180" spans="1:13">
      <c r="A3553" s="1" t="s">
        <v>16042</v>
      </c>
      <c r="B3553" s="1" t="s">
        <v>13</v>
      </c>
      <c r="C3553" s="4" t="s">
        <v>16043</v>
      </c>
      <c r="D3553" s="1" t="s">
        <v>16044</v>
      </c>
      <c r="E3553" s="1" t="s">
        <v>16045</v>
      </c>
      <c r="F3553" s="4" t="s">
        <v>17</v>
      </c>
      <c r="G3553" s="1" t="s">
        <v>18</v>
      </c>
      <c r="H3553" s="1" t="s">
        <v>19</v>
      </c>
      <c r="I3553" s="1" t="s">
        <v>20</v>
      </c>
      <c r="J3553" s="1" t="s">
        <v>16046</v>
      </c>
      <c r="K3553" s="1" t="s">
        <v>22</v>
      </c>
      <c r="L3553" s="1" t="str">
        <f>HYPERLINK("https://files.afu.se/Downloads/Transcripts/0%20-%20Government/USA%20-%20NASA/2012 04 28 - NASA - NASA Transports Space Shuttle Enterprise to New York_zZ7QP7cb0Sw - transcript (automated).pdf","Transcript Link")</f>
        <v>Transcript Link</v>
      </c>
      <c r="M3553" s="2" t="str">
        <f>HYPERLINK("https://files.afu.se/Downloads/Transcripts/0%20-%20Government/USA%20-%20NASA/2012 04 28 - NASA - NASA Transports Space Shuttle Enterprise to New York_zZ7QP7cb0Sw - transcript (automated).pdf","Transcript Link")</f>
        <v>Transcript Link</v>
      </c>
    </row>
    <row r="3554" ht="195" spans="1:13">
      <c r="A3554" s="1" t="s">
        <v>16042</v>
      </c>
      <c r="B3554" s="1" t="s">
        <v>13</v>
      </c>
      <c r="C3554" s="4" t="s">
        <v>16047</v>
      </c>
      <c r="D3554" s="1" t="s">
        <v>16048</v>
      </c>
      <c r="E3554" s="1" t="s">
        <v>16049</v>
      </c>
      <c r="F3554" s="4" t="s">
        <v>17</v>
      </c>
      <c r="G3554" s="1" t="s">
        <v>18</v>
      </c>
      <c r="H3554" s="1" t="s">
        <v>19</v>
      </c>
      <c r="I3554" s="1" t="s">
        <v>20</v>
      </c>
      <c r="J3554" s="1" t="s">
        <v>16050</v>
      </c>
      <c r="K3554" s="1" t="s">
        <v>22</v>
      </c>
      <c r="L3554" s="1" t="str">
        <f>HYPERLINK("https://files.afu.se/Downloads/Transcripts/0%20-%20Government/USA%20-%20NASA/2012 04 28 - NASA - Warm Welcome in Kazakhstan and Russia for Expedition 30_S-qGgpljcso - transcript (automated).pdf","Transcript Link")</f>
        <v>Transcript Link</v>
      </c>
      <c r="M3554" s="2" t="str">
        <f>HYPERLINK("https://files.afu.se/Downloads/Transcripts/0%20-%20Government/USA%20-%20NASA/2012 04 28 - NASA - Warm Welcome in Kazakhstan and Russia for Expedition 30_S-qGgpljcso - transcript (automated).pdf","Transcript Link")</f>
        <v>Transcript Link</v>
      </c>
    </row>
    <row r="3555" ht="330" spans="1:13">
      <c r="A3555" s="1" t="s">
        <v>16042</v>
      </c>
      <c r="B3555" s="1" t="s">
        <v>13</v>
      </c>
      <c r="C3555" s="4" t="s">
        <v>16051</v>
      </c>
      <c r="D3555" s="1" t="s">
        <v>16022</v>
      </c>
      <c r="E3555" s="1" t="s">
        <v>16023</v>
      </c>
      <c r="F3555" s="4" t="s">
        <v>17</v>
      </c>
      <c r="G3555" s="1" t="s">
        <v>18</v>
      </c>
      <c r="H3555" s="1" t="s">
        <v>19</v>
      </c>
      <c r="I3555" s="1" t="s">
        <v>20</v>
      </c>
      <c r="J3555" s="1" t="s">
        <v>16052</v>
      </c>
      <c r="K3555" s="1" t="s">
        <v>22</v>
      </c>
      <c r="L3555" s="1" t="str">
        <f>HYPERLINK("https://files.afu.se/Downloads/Transcripts/0%20-%20Government/USA%20-%20NASA/2012 04 28 - NASA - Change of Command aboard Space Station On This Week @NASA_2YOqEaEDh9M - transcript (automated).pdf","Transcript Link")</f>
        <v>Transcript Link</v>
      </c>
      <c r="M3555" s="2" t="str">
        <f>HYPERLINK("https://files.afu.se/Downloads/Transcripts/0%20-%20Government/USA%20-%20NASA/2012 04 28 - NASA - Change of Command aboard Space Station On This Week @NASA_2YOqEaEDh9M - transcript (automated).pdf","Transcript Link")</f>
        <v>Transcript Link</v>
      </c>
    </row>
    <row r="3556" ht="165" spans="1:13">
      <c r="A3556" s="1" t="s">
        <v>16053</v>
      </c>
      <c r="B3556" s="1" t="s">
        <v>13</v>
      </c>
      <c r="C3556" s="4" t="s">
        <v>16054</v>
      </c>
      <c r="D3556" s="1" t="s">
        <v>16055</v>
      </c>
      <c r="E3556" s="1" t="s">
        <v>16056</v>
      </c>
      <c r="F3556" s="4" t="s">
        <v>17</v>
      </c>
      <c r="G3556" s="1" t="s">
        <v>18</v>
      </c>
      <c r="H3556" s="1" t="s">
        <v>19</v>
      </c>
      <c r="I3556" s="1" t="s">
        <v>20</v>
      </c>
      <c r="J3556" s="1" t="s">
        <v>16057</v>
      </c>
      <c r="K3556" s="1" t="s">
        <v>22</v>
      </c>
      <c r="L3556" s="1" t="str">
        <f>HYPERLINK("https://files.afu.se/Downloads/Transcripts/0%20-%20Government/USA%20-%20NASA/2012 04 27 - NASA - ScienceCasts  Amateur Scientists Discover Galactic Bubbles_-JyETCfuq8Q - transcript (automated).pdf","Transcript Link")</f>
        <v>Transcript Link</v>
      </c>
      <c r="M3556" s="2" t="str">
        <f>HYPERLINK("https://files.afu.se/Downloads/Transcripts/0%20-%20Government/USA%20-%20NASA/2012 04 27 - NASA - ScienceCasts  Amateur Scientists Discover Galactic Bubbles_-JyETCfuq8Q - transcript (automated).pdf","Transcript Link")</f>
        <v>Transcript Link</v>
      </c>
    </row>
    <row r="3557" ht="165" spans="1:13">
      <c r="A3557" s="1" t="s">
        <v>16053</v>
      </c>
      <c r="B3557" s="1" t="s">
        <v>13</v>
      </c>
      <c r="C3557" s="4" t="s">
        <v>16058</v>
      </c>
      <c r="D3557" s="1" t="s">
        <v>16059</v>
      </c>
      <c r="E3557" s="1" t="s">
        <v>16060</v>
      </c>
      <c r="F3557" s="4" t="s">
        <v>17</v>
      </c>
      <c r="G3557" s="1" t="s">
        <v>18</v>
      </c>
      <c r="H3557" s="1" t="s">
        <v>19</v>
      </c>
      <c r="I3557" s="1" t="s">
        <v>20</v>
      </c>
      <c r="J3557" s="1" t="s">
        <v>16061</v>
      </c>
      <c r="K3557" s="1" t="s">
        <v>22</v>
      </c>
      <c r="L3557" s="1" t="str">
        <f>HYPERLINK("https://files.afu.se/Downloads/Transcripts/0%20-%20Government/USA%20-%20NASA/2012 04 27 - NASA - Expedition 30 Crew Returns to Earth_T266Q8as4UA - transcript (automated).pdf","Transcript Link")</f>
        <v>Transcript Link</v>
      </c>
      <c r="M3557" s="2" t="str">
        <f>HYPERLINK("https://files.afu.se/Downloads/Transcripts/0%20-%20Government/USA%20-%20NASA/2012 04 27 - NASA - Expedition 30 Crew Returns to Earth_T266Q8as4UA - transcript (automated).pdf","Transcript Link")</f>
        <v>Transcript Link</v>
      </c>
    </row>
    <row r="3558" ht="165" spans="1:13">
      <c r="A3558" s="1" t="s">
        <v>16053</v>
      </c>
      <c r="B3558" s="1" t="s">
        <v>13</v>
      </c>
      <c r="C3558" s="4" t="s">
        <v>16062</v>
      </c>
      <c r="D3558" s="1" t="s">
        <v>16063</v>
      </c>
      <c r="E3558" s="1" t="s">
        <v>16064</v>
      </c>
      <c r="F3558" s="4" t="s">
        <v>17</v>
      </c>
      <c r="G3558" s="1" t="s">
        <v>18</v>
      </c>
      <c r="H3558" s="1" t="s">
        <v>19</v>
      </c>
      <c r="I3558" s="1" t="s">
        <v>20</v>
      </c>
      <c r="J3558" s="1" t="s">
        <v>16065</v>
      </c>
      <c r="K3558" s="1" t="s">
        <v>22</v>
      </c>
      <c r="L3558" s="1" t="str">
        <f>HYPERLINK("https://files.afu.se/Downloads/Transcripts/0%20-%20Government/USA%20-%20NASA/2012 04 27 - NASA - Expedition 30 Crew Lands Safely in Kazakhstan_LoFCtYvxyHQ - transcript (automated).pdf","Transcript Link")</f>
        <v>Transcript Link</v>
      </c>
      <c r="M3558" s="2" t="str">
        <f>HYPERLINK("https://files.afu.se/Downloads/Transcripts/0%20-%20Government/USA%20-%20NASA/2012 04 27 - NASA - Expedition 30 Crew Lands Safely in Kazakhstan_LoFCtYvxyHQ - transcript (automated).pdf","Transcript Link")</f>
        <v>Transcript Link</v>
      </c>
    </row>
    <row r="3559" ht="165" spans="1:13">
      <c r="A3559" s="1" t="s">
        <v>16053</v>
      </c>
      <c r="B3559" s="1" t="s">
        <v>13</v>
      </c>
      <c r="C3559" s="4" t="s">
        <v>16066</v>
      </c>
      <c r="D3559" s="1" t="s">
        <v>16067</v>
      </c>
      <c r="E3559" s="1" t="s">
        <v>16068</v>
      </c>
      <c r="F3559" s="4" t="s">
        <v>17</v>
      </c>
      <c r="G3559" s="1" t="s">
        <v>18</v>
      </c>
      <c r="H3559" s="1" t="s">
        <v>19</v>
      </c>
      <c r="I3559" s="1" t="s">
        <v>20</v>
      </c>
      <c r="J3559" s="1" t="s">
        <v>16069</v>
      </c>
      <c r="K3559" s="1" t="s">
        <v>22</v>
      </c>
      <c r="L3559" s="1" t="str">
        <f>HYPERLINK("https://files.afu.se/Downloads/Transcripts/0%20-%20Government/USA%20-%20NASA/2012 04 27 - NASA - Expedition 30 Crew Leaves Space Station__iJJIFnjaIc - transcript (automated).pdf","Transcript Link")</f>
        <v>Transcript Link</v>
      </c>
      <c r="M3559" s="2" t="str">
        <f>HYPERLINK("https://files.afu.se/Downloads/Transcripts/0%20-%20Government/USA%20-%20NASA/2012 04 27 - NASA - Expedition 30 Crew Leaves Space Station__iJJIFnjaIc - transcript (automated).pdf","Transcript Link")</f>
        <v>Transcript Link</v>
      </c>
    </row>
    <row r="3560" ht="165" spans="1:13">
      <c r="A3560" s="1" t="s">
        <v>16053</v>
      </c>
      <c r="B3560" s="1" t="s">
        <v>13</v>
      </c>
      <c r="C3560" s="4" t="s">
        <v>16070</v>
      </c>
      <c r="D3560" s="1" t="s">
        <v>16071</v>
      </c>
      <c r="E3560" s="1" t="s">
        <v>16072</v>
      </c>
      <c r="F3560" s="4" t="s">
        <v>17</v>
      </c>
      <c r="G3560" s="1" t="s">
        <v>18</v>
      </c>
      <c r="H3560" s="1" t="s">
        <v>19</v>
      </c>
      <c r="I3560" s="1" t="s">
        <v>20</v>
      </c>
      <c r="J3560" s="1" t="s">
        <v>16073</v>
      </c>
      <c r="K3560" s="1" t="s">
        <v>22</v>
      </c>
      <c r="L3560" s="1" t="str">
        <f>HYPERLINK("https://files.afu.se/Downloads/Transcripts/0%20-%20Government/USA%20-%20NASA/2012 04 27 - NASA - Expedition 30 prepares to leave Space Station_-XeSM3C1NRM - transcript (automated).pdf","Transcript Link")</f>
        <v>Transcript Link</v>
      </c>
      <c r="M3560" s="2" t="str">
        <f>HYPERLINK("https://files.afu.se/Downloads/Transcripts/0%20-%20Government/USA%20-%20NASA/2012 04 27 - NASA - Expedition 30 prepares to leave Space Station_-XeSM3C1NRM - transcript (automated).pdf","Transcript Link")</f>
        <v>Transcript Link</v>
      </c>
    </row>
    <row r="3561" ht="195" spans="1:13">
      <c r="A3561" s="1" t="s">
        <v>16053</v>
      </c>
      <c r="B3561" s="1" t="s">
        <v>13</v>
      </c>
      <c r="C3561" s="4" t="s">
        <v>16074</v>
      </c>
      <c r="D3561" s="1" t="s">
        <v>13210</v>
      </c>
      <c r="E3561" s="1" t="s">
        <v>16075</v>
      </c>
      <c r="F3561" s="4" t="s">
        <v>17</v>
      </c>
      <c r="G3561" s="1" t="s">
        <v>18</v>
      </c>
      <c r="H3561" s="1" t="s">
        <v>19</v>
      </c>
      <c r="I3561" s="1" t="s">
        <v>20</v>
      </c>
      <c r="J3561" s="1" t="s">
        <v>16076</v>
      </c>
      <c r="K3561" s="1" t="s">
        <v>22</v>
      </c>
      <c r="L3561" s="1" t="str">
        <f>HYPERLINK("https://files.afu.se/Downloads/Transcripts/0%20-%20Government/USA%20-%20NASA/2012 04 27 - NASA - NASA Flight Controller Talks Space with Students_VvgIBVaauHs - transcript (automated).pdf","Transcript Link")</f>
        <v>Transcript Link</v>
      </c>
      <c r="M3561" s="2" t="str">
        <f>HYPERLINK("https://files.afu.se/Downloads/Transcripts/0%20-%20Government/USA%20-%20NASA/2012 04 27 - NASA - NASA Flight Controller Talks Space with Students_VvgIBVaauHs - transcript (automated).pdf","Transcript Link")</f>
        <v>Transcript Link</v>
      </c>
    </row>
    <row r="3562" ht="180" spans="1:13">
      <c r="A3562" s="1" t="s">
        <v>16077</v>
      </c>
      <c r="B3562" s="1" t="s">
        <v>13</v>
      </c>
      <c r="C3562" s="4" t="s">
        <v>16078</v>
      </c>
      <c r="D3562" s="1" t="s">
        <v>16079</v>
      </c>
      <c r="E3562" s="1" t="s">
        <v>16080</v>
      </c>
      <c r="F3562" s="4" t="s">
        <v>17</v>
      </c>
      <c r="G3562" s="1" t="s">
        <v>18</v>
      </c>
      <c r="H3562" s="1" t="s">
        <v>19</v>
      </c>
      <c r="I3562" s="1" t="s">
        <v>20</v>
      </c>
      <c r="J3562" s="1" t="s">
        <v>16081</v>
      </c>
      <c r="K3562" s="1" t="s">
        <v>22</v>
      </c>
      <c r="L3562" s="1" t="str">
        <f>HYPERLINK("https://files.afu.se/Downloads/Transcripts/0%20-%20Government/USA%20-%20NASA/2012 04 25 - NASA - Expedition 30 Hands Over the Space Station to Expedition 3_2i19UVw_Si4 - transcript (automated).pdf","Transcript Link")</f>
        <v>Transcript Link</v>
      </c>
      <c r="M3562" s="2" t="str">
        <f>HYPERLINK("https://files.afu.se/Downloads/Transcripts/0%20-%20Government/USA%20-%20NASA/2012 04 25 - NASA - Expedition 30 Hands Over the Space Station to Expedition 3_2i19UVw_Si4 - transcript (automated).pdf","Transcript Link")</f>
        <v>Transcript Link</v>
      </c>
    </row>
    <row r="3563" ht="210" spans="1:13">
      <c r="A3563" s="1" t="s">
        <v>16077</v>
      </c>
      <c r="B3563" s="1" t="s">
        <v>13</v>
      </c>
      <c r="C3563" s="4" t="s">
        <v>16082</v>
      </c>
      <c r="D3563" s="1" t="s">
        <v>16083</v>
      </c>
      <c r="E3563" s="1" t="s">
        <v>16084</v>
      </c>
      <c r="F3563" s="4" t="s">
        <v>17</v>
      </c>
      <c r="G3563" s="1" t="s">
        <v>18</v>
      </c>
      <c r="H3563" s="1" t="s">
        <v>19</v>
      </c>
      <c r="I3563" s="1" t="s">
        <v>20</v>
      </c>
      <c r="J3563" s="1" t="s">
        <v>16085</v>
      </c>
      <c r="K3563" s="1" t="s">
        <v>22</v>
      </c>
      <c r="L3563" s="1" t="str">
        <f>HYPERLINK("https://files.afu.se/Downloads/Transcripts/0%20-%20Government/USA%20-%20NASA/2012 04 25 - NASA - Expedition 31 Crew Meets the Media and Conducts Traditional Ceremonies_1iD9zPNL5U0 - transcript (automated).pdf","Transcript Link")</f>
        <v>Transcript Link</v>
      </c>
      <c r="M3563" s="2" t="str">
        <f>HYPERLINK("https://files.afu.se/Downloads/Transcripts/0%20-%20Government/USA%20-%20NASA/2012 04 25 - NASA - Expedition 31 Crew Meets the Media and Conducts Traditional Ceremonies_1iD9zPNL5U0 - transcript (automated).pdf","Transcript Link")</f>
        <v>Transcript Link</v>
      </c>
    </row>
    <row r="3564" ht="165" spans="1:13">
      <c r="A3564" s="1" t="s">
        <v>16077</v>
      </c>
      <c r="B3564" s="1" t="s">
        <v>13</v>
      </c>
      <c r="C3564" s="4" t="s">
        <v>16086</v>
      </c>
      <c r="D3564" s="1" t="s">
        <v>16087</v>
      </c>
      <c r="E3564" s="1" t="s">
        <v>16088</v>
      </c>
      <c r="F3564" s="4" t="s">
        <v>17</v>
      </c>
      <c r="G3564" s="1" t="s">
        <v>18</v>
      </c>
      <c r="H3564" s="1" t="s">
        <v>19</v>
      </c>
      <c r="I3564" s="1" t="s">
        <v>20</v>
      </c>
      <c r="J3564" s="1" t="s">
        <v>16089</v>
      </c>
      <c r="K3564" s="1" t="s">
        <v>22</v>
      </c>
      <c r="L3564" s="1" t="str">
        <f>HYPERLINK("https://files.afu.se/Downloads/Transcripts/0%20-%20Government/USA%20-%20NASA/2012 04 25 - NASA - Tar Heels Talk  Space' with ISS Crew_pBPUBHyArxk - transcript (automated).pdf","Transcript Link")</f>
        <v>Transcript Link</v>
      </c>
      <c r="M3564" s="2" t="str">
        <f>HYPERLINK("https://files.afu.se/Downloads/Transcripts/0%20-%20Government/USA%20-%20NASA/2012 04 25 - NASA - Tar Heels Talk  Space' with ISS Crew_pBPUBHyArxk - transcript (automated).pdf","Transcript Link")</f>
        <v>Transcript Link</v>
      </c>
    </row>
    <row r="3565" ht="195" spans="1:13">
      <c r="A3565" s="1" t="s">
        <v>16090</v>
      </c>
      <c r="B3565" s="1" t="s">
        <v>13</v>
      </c>
      <c r="C3565" s="4" t="s">
        <v>16091</v>
      </c>
      <c r="D3565" s="1" t="s">
        <v>16092</v>
      </c>
      <c r="E3565" s="1" t="s">
        <v>16093</v>
      </c>
      <c r="F3565" s="4" t="s">
        <v>17</v>
      </c>
      <c r="G3565" s="1" t="s">
        <v>18</v>
      </c>
      <c r="H3565" s="1" t="s">
        <v>19</v>
      </c>
      <c r="I3565" s="1" t="s">
        <v>20</v>
      </c>
      <c r="J3565" s="1" t="s">
        <v>16094</v>
      </c>
      <c r="K3565" s="1" t="s">
        <v>22</v>
      </c>
      <c r="L3565" s="1" t="str">
        <f>HYPERLINK("https://files.afu.se/Downloads/Transcripts/0%20-%20Government/USA%20-%20NASA/2012 04 24 - NASA - Expedition 31 32 Crew's Final Training at Star City_Ga-ZNd2ZgDQ - transcript (automated).pdf","Transcript Link")</f>
        <v>Transcript Link</v>
      </c>
      <c r="M3565" s="2" t="str">
        <f>HYPERLINK("https://files.afu.se/Downloads/Transcripts/0%20-%20Government/USA%20-%20NASA/2012 04 24 - NASA - Expedition 31 32 Crew's Final Training at Star City_Ga-ZNd2ZgDQ - transcript (automated).pdf","Transcript Link")</f>
        <v>Transcript Link</v>
      </c>
    </row>
    <row r="3566" ht="165" spans="1:13">
      <c r="A3566" s="1" t="s">
        <v>16090</v>
      </c>
      <c r="B3566" s="1" t="s">
        <v>13</v>
      </c>
      <c r="C3566" s="4" t="s">
        <v>16095</v>
      </c>
      <c r="D3566" s="1" t="s">
        <v>16096</v>
      </c>
      <c r="E3566" s="1" t="s">
        <v>16097</v>
      </c>
      <c r="F3566" s="4" t="s">
        <v>17</v>
      </c>
      <c r="G3566" s="1" t="s">
        <v>18</v>
      </c>
      <c r="H3566" s="1" t="s">
        <v>19</v>
      </c>
      <c r="I3566" s="1" t="s">
        <v>20</v>
      </c>
      <c r="J3566" s="1" t="s">
        <v>16098</v>
      </c>
      <c r="K3566" s="1" t="s">
        <v>22</v>
      </c>
      <c r="L3566" s="1" t="str">
        <f>HYPERLINK("https://files.afu.se/Downloads/Transcripts/0%20-%20Government/USA%20-%20NASA/2012 04 24 - NASA - Andre Answers Students on  Spaceship Earth _4eM1sFzVWfA - transcript (automated).pdf","Transcript Link")</f>
        <v>Transcript Link</v>
      </c>
      <c r="M3566" s="2" t="str">
        <f>HYPERLINK("https://files.afu.se/Downloads/Transcripts/0%20-%20Government/USA%20-%20NASA/2012 04 24 - NASA - Andre Answers Students on  Spaceship Earth _4eM1sFzVWfA - transcript (automated).pdf","Transcript Link")</f>
        <v>Transcript Link</v>
      </c>
    </row>
    <row r="3567" ht="165" spans="1:13">
      <c r="A3567" s="1" t="s">
        <v>16099</v>
      </c>
      <c r="B3567" s="1" t="s">
        <v>13</v>
      </c>
      <c r="C3567" s="4" t="s">
        <v>16100</v>
      </c>
      <c r="D3567" s="1" t="s">
        <v>16101</v>
      </c>
      <c r="E3567" s="1" t="s">
        <v>16102</v>
      </c>
      <c r="F3567" s="4" t="s">
        <v>17</v>
      </c>
      <c r="G3567" s="1" t="s">
        <v>18</v>
      </c>
      <c r="H3567" s="1" t="s">
        <v>19</v>
      </c>
      <c r="I3567" s="1" t="s">
        <v>20</v>
      </c>
      <c r="J3567" s="1" t="s">
        <v>16103</v>
      </c>
      <c r="K3567" s="1" t="s">
        <v>22</v>
      </c>
      <c r="L3567" s="1" t="str">
        <f>HYPERLINK("https://files.afu.se/Downloads/Transcripts/0%20-%20Government/USA%20-%20NASA/2012 04 23 - NASA - NASA Celebrates Earth Day 2012 in the Washington Area_Kfp29h20y-o - transcript (automated).pdf","Transcript Link")</f>
        <v>Transcript Link</v>
      </c>
      <c r="M3567" s="2" t="str">
        <f>HYPERLINK("https://files.afu.se/Downloads/Transcripts/0%20-%20Government/USA%20-%20NASA/2012 04 23 - NASA - NASA Celebrates Earth Day 2012 in the Washington Area_Kfp29h20y-o - transcript (automated).pdf","Transcript Link")</f>
        <v>Transcript Link</v>
      </c>
    </row>
    <row r="3568" ht="165" spans="1:13">
      <c r="A3568" s="1" t="s">
        <v>16099</v>
      </c>
      <c r="B3568" s="1" t="s">
        <v>13</v>
      </c>
      <c r="C3568" s="4" t="s">
        <v>16104</v>
      </c>
      <c r="D3568" s="1" t="s">
        <v>16105</v>
      </c>
      <c r="E3568" s="1" t="s">
        <v>16106</v>
      </c>
      <c r="F3568" s="4" t="s">
        <v>17</v>
      </c>
      <c r="G3568" s="1" t="s">
        <v>18</v>
      </c>
      <c r="H3568" s="1" t="s">
        <v>19</v>
      </c>
      <c r="I3568" s="1" t="s">
        <v>20</v>
      </c>
      <c r="J3568" s="1" t="s">
        <v>16107</v>
      </c>
      <c r="K3568" s="1" t="s">
        <v>22</v>
      </c>
      <c r="L3568" s="1" t="str">
        <f>HYPERLINK("https://files.afu.se/Downloads/Transcripts/0%20-%20Government/USA%20-%20NASA/2012 04 23 - NASA - Discovery's Final Journey_CYPB3XwUI3U - transcript (automated).pdf","Transcript Link")</f>
        <v>Transcript Link</v>
      </c>
      <c r="M3568" s="2" t="str">
        <f>HYPERLINK("https://files.afu.se/Downloads/Transcripts/0%20-%20Government/USA%20-%20NASA/2012 04 23 - NASA - Discovery's Final Journey_CYPB3XwUI3U - transcript (automated).pdf","Transcript Link")</f>
        <v>Transcript Link</v>
      </c>
    </row>
    <row r="3569" ht="165" spans="1:13">
      <c r="A3569" s="1" t="s">
        <v>16099</v>
      </c>
      <c r="B3569" s="1" t="s">
        <v>13</v>
      </c>
      <c r="C3569" s="4" t="s">
        <v>16108</v>
      </c>
      <c r="D3569" s="1" t="s">
        <v>13046</v>
      </c>
      <c r="E3569" s="1" t="s">
        <v>16109</v>
      </c>
      <c r="F3569" s="4" t="s">
        <v>17</v>
      </c>
      <c r="G3569" s="1" t="s">
        <v>18</v>
      </c>
      <c r="H3569" s="1" t="s">
        <v>19</v>
      </c>
      <c r="I3569" s="1" t="s">
        <v>20</v>
      </c>
      <c r="J3569" s="1" t="s">
        <v>16110</v>
      </c>
      <c r="K3569" s="1" t="s">
        <v>22</v>
      </c>
      <c r="L3569" s="1" t="str">
        <f>HYPERLINK("https://files.afu.se/Downloads/Transcripts/0%20-%20Government/USA%20-%20NASA/2012 04 23 - NASA - NASA Astronaut Talks Space with Students_zKynhsqvgCA - transcript (automated).pdf","Transcript Link")</f>
        <v>Transcript Link</v>
      </c>
      <c r="M3569" s="2" t="str">
        <f>HYPERLINK("https://files.afu.se/Downloads/Transcripts/0%20-%20Government/USA%20-%20NASA/2012 04 23 - NASA - NASA Astronaut Talks Space with Students_zKynhsqvgCA - transcript (automated).pdf","Transcript Link")</f>
        <v>Transcript Link</v>
      </c>
    </row>
    <row r="3570" ht="165" spans="1:13">
      <c r="A3570" s="1" t="s">
        <v>16111</v>
      </c>
      <c r="B3570" s="1" t="s">
        <v>13</v>
      </c>
      <c r="C3570" s="4" t="s">
        <v>16112</v>
      </c>
      <c r="D3570" s="1" t="s">
        <v>16113</v>
      </c>
      <c r="E3570" s="1" t="s">
        <v>16114</v>
      </c>
      <c r="F3570" s="4" t="s">
        <v>17</v>
      </c>
      <c r="G3570" s="1" t="s">
        <v>18</v>
      </c>
      <c r="H3570" s="1" t="s">
        <v>19</v>
      </c>
      <c r="I3570" s="1" t="s">
        <v>20</v>
      </c>
      <c r="J3570" s="1" t="s">
        <v>16115</v>
      </c>
      <c r="K3570" s="1" t="s">
        <v>22</v>
      </c>
      <c r="L3570" s="1" t="str">
        <f>HYPERLINK("https://files.afu.se/Downloads/Transcripts/0%20-%20Government/USA%20-%20NASA/2012 04 22 - NASA - Russian Cargo Ship Docks to Space Station_-aDM0gVZXrs - transcript (automated).pdf","Transcript Link")</f>
        <v>Transcript Link</v>
      </c>
      <c r="M3570" s="2" t="str">
        <f>HYPERLINK("https://files.afu.se/Downloads/Transcripts/0%20-%20Government/USA%20-%20NASA/2012 04 22 - NASA - Russian Cargo Ship Docks to Space Station_-aDM0gVZXrs - transcript (automated).pdf","Transcript Link")</f>
        <v>Transcript Link</v>
      </c>
    </row>
    <row r="3571" ht="165" spans="1:13">
      <c r="A3571" s="1" t="s">
        <v>16116</v>
      </c>
      <c r="B3571" s="1" t="s">
        <v>13</v>
      </c>
      <c r="C3571" s="4" t="s">
        <v>16117</v>
      </c>
      <c r="D3571" s="1" t="s">
        <v>16118</v>
      </c>
      <c r="E3571" s="1" t="s">
        <v>16119</v>
      </c>
      <c r="F3571" s="4" t="s">
        <v>17</v>
      </c>
      <c r="G3571" s="1" t="s">
        <v>18</v>
      </c>
      <c r="H3571" s="1" t="s">
        <v>19</v>
      </c>
      <c r="I3571" s="1" t="s">
        <v>20</v>
      </c>
      <c r="J3571" s="1" t="s">
        <v>16120</v>
      </c>
      <c r="K3571" s="1" t="s">
        <v>22</v>
      </c>
      <c r="L3571" s="1" t="str">
        <f>HYPERLINK("https://files.afu.se/Downloads/Transcripts/0%20-%20Government/USA%20-%20NASA/2012 04 21 - NASA - Discovery Travels to Space on This Week @NASA_UeK37okqAMU - transcript (automated).pdf","Transcript Link")</f>
        <v>Transcript Link</v>
      </c>
      <c r="M3571" s="2" t="str">
        <f>HYPERLINK("https://files.afu.se/Downloads/Transcripts/0%20-%20Government/USA%20-%20NASA/2012 04 21 - NASA - Discovery Travels to Space on This Week @NASA_UeK37okqAMU - transcript (automated).pdf","Transcript Link")</f>
        <v>Transcript Link</v>
      </c>
    </row>
    <row r="3572" ht="165" spans="1:13">
      <c r="A3572" s="1" t="s">
        <v>16121</v>
      </c>
      <c r="B3572" s="1" t="s">
        <v>13</v>
      </c>
      <c r="C3572" s="4" t="s">
        <v>16122</v>
      </c>
      <c r="D3572" s="1" t="s">
        <v>16123</v>
      </c>
      <c r="E3572" s="1" t="s">
        <v>16124</v>
      </c>
      <c r="F3572" s="4" t="s">
        <v>17</v>
      </c>
      <c r="G3572" s="1" t="s">
        <v>18</v>
      </c>
      <c r="H3572" s="1" t="s">
        <v>19</v>
      </c>
      <c r="I3572" s="1" t="s">
        <v>20</v>
      </c>
      <c r="J3572" s="1" t="s">
        <v>16125</v>
      </c>
      <c r="K3572" s="1" t="s">
        <v>22</v>
      </c>
      <c r="L3572" s="1" t="str">
        <f>HYPERLINK("https://files.afu.se/Downloads/Transcripts/0%20-%20Government/USA%20-%20NASA/2012 04 20 - NASA - Russian Cargo Ship Launches to Space Station_Jmyq3TfYMsk - transcript (automated).pdf","Transcript Link")</f>
        <v>Transcript Link</v>
      </c>
      <c r="M3572" s="2" t="str">
        <f>HYPERLINK("https://files.afu.se/Downloads/Transcripts/0%20-%20Government/USA%20-%20NASA/2012 04 20 - NASA - Russian Cargo Ship Launches to Space Station_Jmyq3TfYMsk - transcript (automated).pdf","Transcript Link")</f>
        <v>Transcript Link</v>
      </c>
    </row>
    <row r="3573" ht="165" spans="1:13">
      <c r="A3573" s="1" t="s">
        <v>16121</v>
      </c>
      <c r="B3573" s="1" t="s">
        <v>13</v>
      </c>
      <c r="C3573" s="4" t="s">
        <v>16126</v>
      </c>
      <c r="D3573" s="1" t="s">
        <v>16127</v>
      </c>
      <c r="E3573" s="1" t="s">
        <v>16128</v>
      </c>
      <c r="F3573" s="4" t="s">
        <v>17</v>
      </c>
      <c r="G3573" s="1" t="s">
        <v>18</v>
      </c>
      <c r="H3573" s="1" t="s">
        <v>19</v>
      </c>
      <c r="I3573" s="1" t="s">
        <v>20</v>
      </c>
      <c r="J3573" s="1" t="s">
        <v>16129</v>
      </c>
      <c r="K3573" s="1" t="s">
        <v>22</v>
      </c>
      <c r="L3573" s="1" t="str">
        <f>HYPERLINK("https://files.afu.se/Downloads/Transcripts/0%20-%20Government/USA%20-%20NASA/2012 04 20 - NASA - Discovery De-Mated from Shuttle Carrier_r-kWEUp7WFM - transcript (automated).pdf","Transcript Link")</f>
        <v>Transcript Link</v>
      </c>
      <c r="M3573" s="2" t="str">
        <f>HYPERLINK("https://files.afu.se/Downloads/Transcripts/0%20-%20Government/USA%20-%20NASA/2012 04 20 - NASA - Discovery De-Mated from Shuttle Carrier_r-kWEUp7WFM - transcript (automated).pdf","Transcript Link")</f>
        <v>Transcript Link</v>
      </c>
    </row>
    <row r="3574" ht="165" spans="1:13">
      <c r="A3574" s="1" t="s">
        <v>16121</v>
      </c>
      <c r="B3574" s="1" t="s">
        <v>13</v>
      </c>
      <c r="C3574" s="4" t="s">
        <v>16130</v>
      </c>
      <c r="D3574" s="1" t="s">
        <v>16131</v>
      </c>
      <c r="F3574" s="4" t="s">
        <v>17</v>
      </c>
      <c r="G3574" s="1" t="s">
        <v>18</v>
      </c>
      <c r="H3574" s="1" t="s">
        <v>19</v>
      </c>
      <c r="I3574" s="1" t="s">
        <v>20</v>
      </c>
      <c r="J3574" s="1" t="s">
        <v>16132</v>
      </c>
      <c r="K3574" s="1" t="s">
        <v>22</v>
      </c>
      <c r="L3574" s="1" t="str">
        <f>HYPERLINK("https://files.afu.se/Downloads/Transcripts/0%20-%20Government/USA%20-%20NASA/2012 04 20 - NASA - NASA Transfers Space Shuttle to NASM_QSULwrdHF_g - transcript (automated).pdf","Transcript Link")</f>
        <v>Transcript Link</v>
      </c>
      <c r="M3574" s="2" t="str">
        <f>HYPERLINK("https://files.afu.se/Downloads/Transcripts/0%20-%20Government/USA%20-%20NASA/2012 04 20 - NASA - NASA Transfers Space Shuttle to NASM_QSULwrdHF_g - transcript (automated).pdf","Transcript Link")</f>
        <v>Transcript Link</v>
      </c>
    </row>
    <row r="3575" ht="165" spans="1:13">
      <c r="A3575" s="1" t="s">
        <v>16121</v>
      </c>
      <c r="B3575" s="1" t="s">
        <v>13</v>
      </c>
      <c r="C3575" s="4" t="s">
        <v>16133</v>
      </c>
      <c r="D3575" s="1" t="s">
        <v>16134</v>
      </c>
      <c r="E3575" s="1" t="s">
        <v>16135</v>
      </c>
      <c r="F3575" s="4" t="s">
        <v>17</v>
      </c>
      <c r="G3575" s="1" t="s">
        <v>18</v>
      </c>
      <c r="H3575" s="1" t="s">
        <v>19</v>
      </c>
      <c r="I3575" s="1" t="s">
        <v>20</v>
      </c>
      <c r="J3575" s="1" t="s">
        <v>16136</v>
      </c>
      <c r="K3575" s="1" t="s">
        <v>22</v>
      </c>
      <c r="L3575" s="1" t="str">
        <f>HYPERLINK("https://files.afu.se/Downloads/Transcripts/0%20-%20Government/USA%20-%20NASA/2012 04 20 - NASA - ScienceCasts  Here Comes Solar Maximum_UD5VViT08ME - transcript (automated).pdf","Transcript Link")</f>
        <v>Transcript Link</v>
      </c>
      <c r="M3575" s="2" t="str">
        <f>HYPERLINK("https://files.afu.se/Downloads/Transcripts/0%20-%20Government/USA%20-%20NASA/2012 04 20 - NASA - ScienceCasts  Here Comes Solar Maximum_UD5VViT08ME - transcript (automated).pdf","Transcript Link")</f>
        <v>Transcript Link</v>
      </c>
    </row>
    <row r="3576" ht="165" spans="1:13">
      <c r="A3576" s="1" t="s">
        <v>16137</v>
      </c>
      <c r="B3576" s="1" t="s">
        <v>13</v>
      </c>
      <c r="C3576" s="4" t="s">
        <v>16138</v>
      </c>
      <c r="D3576" s="1" t="s">
        <v>16139</v>
      </c>
      <c r="E3576" s="1" t="s">
        <v>16140</v>
      </c>
      <c r="F3576" s="4" t="s">
        <v>17</v>
      </c>
      <c r="G3576" s="1" t="s">
        <v>18</v>
      </c>
      <c r="H3576" s="1" t="s">
        <v>19</v>
      </c>
      <c r="I3576" s="1" t="s">
        <v>20</v>
      </c>
      <c r="J3576" s="1" t="s">
        <v>16141</v>
      </c>
      <c r="K3576" s="1" t="s">
        <v>22</v>
      </c>
      <c r="L3576" s="1" t="str">
        <f>HYPERLINK("https://files.afu.se/Downloads/Transcripts/0%20-%20Government/USA%20-%20NASA/2012 04 19 - NASA - Space Shuttle Enterprise makes way for Discovery at Smithsonian_SAaV9rBSJ98 - transcript (automated).pdf","Transcript Link")</f>
        <v>Transcript Link</v>
      </c>
      <c r="M3576" s="2" t="str">
        <f>HYPERLINK("https://files.afu.se/Downloads/Transcripts/0%20-%20Government/USA%20-%20NASA/2012 04 19 - NASA - Space Shuttle Enterprise makes way for Discovery at Smithsonian_SAaV9rBSJ98 - transcript (automated).pdf","Transcript Link")</f>
        <v>Transcript Link</v>
      </c>
    </row>
    <row r="3577" ht="165" spans="1:13">
      <c r="A3577" s="1" t="s">
        <v>16137</v>
      </c>
      <c r="B3577" s="1" t="s">
        <v>13</v>
      </c>
      <c r="C3577" s="4" t="s">
        <v>16142</v>
      </c>
      <c r="D3577" s="1" t="s">
        <v>16143</v>
      </c>
      <c r="E3577" s="1" t="s">
        <v>16144</v>
      </c>
      <c r="F3577" s="4" t="s">
        <v>17</v>
      </c>
      <c r="G3577" s="1" t="s">
        <v>18</v>
      </c>
      <c r="H3577" s="1" t="s">
        <v>19</v>
      </c>
      <c r="I3577" s="1" t="s">
        <v>20</v>
      </c>
      <c r="J3577" s="1" t="s">
        <v>16145</v>
      </c>
      <c r="K3577" s="1" t="s">
        <v>22</v>
      </c>
      <c r="L3577" s="1" t="str">
        <f>HYPERLINK("https://files.afu.se/Downloads/Transcripts/0%20-%20Government/USA%20-%20NASA/2012 04 19 - NASA - Russian Cargo Ship Leaves Space Station_hyVYX9VsWVo - transcript (automated).pdf","Transcript Link")</f>
        <v>Transcript Link</v>
      </c>
      <c r="M3577" s="2" t="str">
        <f>HYPERLINK("https://files.afu.se/Downloads/Transcripts/0%20-%20Government/USA%20-%20NASA/2012 04 19 - NASA - Russian Cargo Ship Leaves Space Station_hyVYX9VsWVo - transcript (automated).pdf","Transcript Link")</f>
        <v>Transcript Link</v>
      </c>
    </row>
    <row r="3578" ht="345" spans="1:13">
      <c r="A3578" s="1" t="s">
        <v>16137</v>
      </c>
      <c r="B3578" s="1" t="s">
        <v>13</v>
      </c>
      <c r="C3578" s="4" t="s">
        <v>16146</v>
      </c>
      <c r="D3578" s="1" t="s">
        <v>16147</v>
      </c>
      <c r="E3578" s="1" t="s">
        <v>16148</v>
      </c>
      <c r="F3578" s="4" t="s">
        <v>17</v>
      </c>
      <c r="G3578" s="1" t="s">
        <v>18</v>
      </c>
      <c r="H3578" s="1" t="s">
        <v>19</v>
      </c>
      <c r="I3578" s="1" t="s">
        <v>20</v>
      </c>
      <c r="J3578" s="1" t="s">
        <v>16149</v>
      </c>
      <c r="K3578" s="1" t="s">
        <v>22</v>
      </c>
      <c r="L3578" s="1" t="str">
        <f>HYPERLINK("https://files.afu.se/Downloads/Transcripts/0%20-%20Government/USA%20-%20NASA/2012 04 19 - NASA - Discovery Arrives on This Week @ NASA_sbYrQrVPA24 - transcript (automated).pdf","Transcript Link")</f>
        <v>Transcript Link</v>
      </c>
      <c r="M3578" s="2" t="str">
        <f>HYPERLINK("https://files.afu.se/Downloads/Transcripts/0%20-%20Government/USA%20-%20NASA/2012 04 19 - NASA - Discovery Arrives on This Week @ NASA_sbYrQrVPA24 - transcript (automated).pdf","Transcript Link")</f>
        <v>Transcript Link</v>
      </c>
    </row>
    <row r="3579" ht="165" spans="1:13">
      <c r="A3579" s="1" t="s">
        <v>16150</v>
      </c>
      <c r="B3579" s="1" t="s">
        <v>13</v>
      </c>
      <c r="C3579" s="4" t="s">
        <v>16151</v>
      </c>
      <c r="D3579" s="1" t="s">
        <v>16152</v>
      </c>
      <c r="E3579" s="1" t="s">
        <v>16153</v>
      </c>
      <c r="F3579" s="4" t="s">
        <v>17</v>
      </c>
      <c r="G3579" s="1" t="s">
        <v>18</v>
      </c>
      <c r="H3579" s="1" t="s">
        <v>19</v>
      </c>
      <c r="I3579" s="1" t="s">
        <v>20</v>
      </c>
      <c r="J3579" s="1" t="s">
        <v>16154</v>
      </c>
      <c r="K3579" s="1" t="s">
        <v>22</v>
      </c>
      <c r="L3579" s="1" t="str">
        <f>HYPERLINK("https://files.afu.se/Downloads/Transcripts/0%20-%20Government/USA%20-%20NASA/2012 04 17 - NASA - Discovery Flyovers Delight D.C. Area as Seen from a T-38 Chase Aircraft_07oW8O_9Mw0 - transcript (automated).pdf","Transcript Link")</f>
        <v>Transcript Link</v>
      </c>
      <c r="M3579" s="2" t="str">
        <f>HYPERLINK("https://files.afu.se/Downloads/Transcripts/0%20-%20Government/USA%20-%20NASA/2012 04 17 - NASA - Discovery Flyovers Delight D.C. Area as Seen from a T-38 Chase Aircraft_07oW8O_9Mw0 - transcript (automated).pdf","Transcript Link")</f>
        <v>Transcript Link</v>
      </c>
    </row>
    <row r="3580" ht="165" spans="1:13">
      <c r="A3580" s="1" t="s">
        <v>16150</v>
      </c>
      <c r="B3580" s="1" t="s">
        <v>13</v>
      </c>
      <c r="C3580" s="4" t="s">
        <v>16155</v>
      </c>
      <c r="D3580" s="1" t="s">
        <v>16156</v>
      </c>
      <c r="E3580" s="1" t="s">
        <v>16153</v>
      </c>
      <c r="F3580" s="4" t="s">
        <v>17</v>
      </c>
      <c r="G3580" s="1" t="s">
        <v>18</v>
      </c>
      <c r="H3580" s="1" t="s">
        <v>19</v>
      </c>
      <c r="I3580" s="1" t="s">
        <v>20</v>
      </c>
      <c r="J3580" s="1" t="s">
        <v>16157</v>
      </c>
      <c r="K3580" s="1" t="s">
        <v>22</v>
      </c>
      <c r="L3580" s="1" t="str">
        <f>HYPERLINK("https://files.afu.se/Downloads/Transcripts/0%20-%20Government/USA%20-%20NASA/2012 04 17 - NASA - Discovery Flyovers Delight D.C. Area as Seen from a T-38 Jet_GL_snhngIKU - transcript (automated).pdf","Transcript Link")</f>
        <v>Transcript Link</v>
      </c>
      <c r="M3580" s="2" t="str">
        <f>HYPERLINK("https://files.afu.se/Downloads/Transcripts/0%20-%20Government/USA%20-%20NASA/2012 04 17 - NASA - Discovery Flyovers Delight D.C. Area as Seen from a T-38 Jet_GL_snhngIKU - transcript (automated).pdf","Transcript Link")</f>
        <v>Transcript Link</v>
      </c>
    </row>
    <row r="3581" ht="165" spans="1:13">
      <c r="A3581" s="1" t="s">
        <v>16150</v>
      </c>
      <c r="B3581" s="1" t="s">
        <v>13</v>
      </c>
      <c r="C3581" s="4" t="s">
        <v>16158</v>
      </c>
      <c r="D3581" s="1" t="s">
        <v>16159</v>
      </c>
      <c r="E3581" s="1" t="s">
        <v>16153</v>
      </c>
      <c r="F3581" s="4" t="s">
        <v>17</v>
      </c>
      <c r="G3581" s="1" t="s">
        <v>18</v>
      </c>
      <c r="H3581" s="1" t="s">
        <v>19</v>
      </c>
      <c r="I3581" s="1" t="s">
        <v>20</v>
      </c>
      <c r="J3581" s="1" t="s">
        <v>16160</v>
      </c>
      <c r="K3581" s="1" t="s">
        <v>22</v>
      </c>
      <c r="L3581" s="1" t="str">
        <f>HYPERLINK("https://files.afu.se/Downloads/Transcripts/0%20-%20Government/USA%20-%20NASA/2012 04 17 - NASA - Discovery Flyovers Delight D.C. Area as Seen from a National Park Service Helicopter_V1bVxVTiZGE - transcript (automated).pdf","Transcript Link")</f>
        <v>Transcript Link</v>
      </c>
      <c r="M3581" s="2" t="str">
        <f>HYPERLINK("https://files.afu.se/Downloads/Transcripts/0%20-%20Government/USA%20-%20NASA/2012 04 17 - NASA - Discovery Flyovers Delight D.C. Area as Seen from a National Park Service Helicopter_V1bVxVTiZGE - transcript (automated).pdf","Transcript Link")</f>
        <v>Transcript Link</v>
      </c>
    </row>
    <row r="3582" ht="165" spans="1:13">
      <c r="A3582" s="1" t="s">
        <v>16150</v>
      </c>
      <c r="B3582" s="1" t="s">
        <v>13</v>
      </c>
      <c r="C3582" s="4" t="s">
        <v>16161</v>
      </c>
      <c r="D3582" s="1" t="s">
        <v>16162</v>
      </c>
      <c r="E3582" s="1" t="s">
        <v>16153</v>
      </c>
      <c r="F3582" s="4" t="s">
        <v>17</v>
      </c>
      <c r="G3582" s="1" t="s">
        <v>18</v>
      </c>
      <c r="H3582" s="1" t="s">
        <v>19</v>
      </c>
      <c r="I3582" s="1" t="s">
        <v>20</v>
      </c>
      <c r="J3582" s="1" t="s">
        <v>16163</v>
      </c>
      <c r="K3582" s="1" t="s">
        <v>22</v>
      </c>
      <c r="L3582" s="1" t="str">
        <f>HYPERLINK("https://files.afu.se/Downloads/Transcripts/0%20-%20Government/USA%20-%20NASA/2012 04 17 - NASA - Discovery Flyovers Delight D.C. Area as Seen From Goddard Space Flight Center_nL7pBbvHLhY - transcript (automated).pdf","Transcript Link")</f>
        <v>Transcript Link</v>
      </c>
      <c r="M3582" s="2" t="str">
        <f>HYPERLINK("https://files.afu.se/Downloads/Transcripts/0%20-%20Government/USA%20-%20NASA/2012 04 17 - NASA - Discovery Flyovers Delight D.C. Area as Seen From Goddard Space Flight Center_nL7pBbvHLhY - transcript (automated).pdf","Transcript Link")</f>
        <v>Transcript Link</v>
      </c>
    </row>
    <row r="3583" ht="165" spans="1:13">
      <c r="A3583" s="1" t="s">
        <v>16150</v>
      </c>
      <c r="B3583" s="1" t="s">
        <v>13</v>
      </c>
      <c r="C3583" s="4" t="s">
        <v>16164</v>
      </c>
      <c r="D3583" s="1" t="s">
        <v>16165</v>
      </c>
      <c r="E3583" s="1" t="s">
        <v>16153</v>
      </c>
      <c r="F3583" s="4" t="s">
        <v>17</v>
      </c>
      <c r="G3583" s="1" t="s">
        <v>18</v>
      </c>
      <c r="H3583" s="1" t="s">
        <v>19</v>
      </c>
      <c r="I3583" s="1" t="s">
        <v>20</v>
      </c>
      <c r="J3583" s="1" t="s">
        <v>16166</v>
      </c>
      <c r="K3583" s="1" t="s">
        <v>22</v>
      </c>
      <c r="L3583" s="1" t="str">
        <f>HYPERLINK("https://files.afu.se/Downloads/Transcripts/0%20-%20Government/USA%20-%20NASA/2012 04 17 - NASA - Discovery Flyovers Delight D.C. Area as Seen From Hains Point_4M7pePzV_cE - transcript (automated).pdf","Transcript Link")</f>
        <v>Transcript Link</v>
      </c>
      <c r="M3583" s="2" t="str">
        <f>HYPERLINK("https://files.afu.se/Downloads/Transcripts/0%20-%20Government/USA%20-%20NASA/2012 04 17 - NASA - Discovery Flyovers Delight D.C. Area as Seen From Hains Point_4M7pePzV_cE - transcript (automated).pdf","Transcript Link")</f>
        <v>Transcript Link</v>
      </c>
    </row>
    <row r="3584" ht="165" spans="1:13">
      <c r="A3584" s="1" t="s">
        <v>16150</v>
      </c>
      <c r="B3584" s="1" t="s">
        <v>13</v>
      </c>
      <c r="C3584" s="4" t="s">
        <v>16167</v>
      </c>
      <c r="D3584" s="1" t="s">
        <v>16168</v>
      </c>
      <c r="E3584" s="1" t="s">
        <v>16153</v>
      </c>
      <c r="F3584" s="4" t="s">
        <v>17</v>
      </c>
      <c r="G3584" s="1" t="s">
        <v>18</v>
      </c>
      <c r="H3584" s="1" t="s">
        <v>19</v>
      </c>
      <c r="I3584" s="1" t="s">
        <v>20</v>
      </c>
      <c r="J3584" s="1" t="s">
        <v>16169</v>
      </c>
      <c r="K3584" s="1" t="s">
        <v>22</v>
      </c>
      <c r="L3584" s="1" t="str">
        <f>HYPERLINK("https://files.afu.se/Downloads/Transcripts/0%20-%20Government/USA%20-%20NASA/2012 04 17 - NASA - Discovery Flyovers Delight D.C. Area as Seen From the Canadian Embassy_xYTY_yHr9rY - transcript (automated).pdf","Transcript Link")</f>
        <v>Transcript Link</v>
      </c>
      <c r="M3584" s="2" t="str">
        <f>HYPERLINK("https://files.afu.se/Downloads/Transcripts/0%20-%20Government/USA%20-%20NASA/2012 04 17 - NASA - Discovery Flyovers Delight D.C. Area as Seen From the Canadian Embassy_xYTY_yHr9rY - transcript (automated).pdf","Transcript Link")</f>
        <v>Transcript Link</v>
      </c>
    </row>
    <row r="3585" ht="165" spans="1:13">
      <c r="A3585" s="1" t="s">
        <v>16150</v>
      </c>
      <c r="B3585" s="1" t="s">
        <v>13</v>
      </c>
      <c r="C3585" s="4" t="s">
        <v>16170</v>
      </c>
      <c r="D3585" s="1" t="s">
        <v>16171</v>
      </c>
      <c r="E3585" s="1" t="s">
        <v>16172</v>
      </c>
      <c r="F3585" s="4" t="s">
        <v>17</v>
      </c>
      <c r="G3585" s="1" t="s">
        <v>18</v>
      </c>
      <c r="H3585" s="1" t="s">
        <v>19</v>
      </c>
      <c r="I3585" s="1" t="s">
        <v>20</v>
      </c>
      <c r="J3585" s="1" t="s">
        <v>16173</v>
      </c>
      <c r="K3585" s="1" t="s">
        <v>22</v>
      </c>
      <c r="L3585" s="1" t="str">
        <f>HYPERLINK("https://files.afu.se/Downloads/Transcripts/0%20-%20Government/USA%20-%20NASA/2012 04 17 - NASA - Discovery Departs Kennedy Space Center Enroute to Washington D.C._2bPA5G0X5Fo - transcript (automated).pdf","Transcript Link")</f>
        <v>Transcript Link</v>
      </c>
      <c r="M3585" s="2" t="str">
        <f>HYPERLINK("https://files.afu.se/Downloads/Transcripts/0%20-%20Government/USA%20-%20NASA/2012 04 17 - NASA - Discovery Departs Kennedy Space Center Enroute to Washington D.C._2bPA5G0X5Fo - transcript (automated).pdf","Transcript Link")</f>
        <v>Transcript Link</v>
      </c>
    </row>
    <row r="3586" ht="165" spans="1:13">
      <c r="A3586" s="1" t="s">
        <v>16150</v>
      </c>
      <c r="B3586" s="1" t="s">
        <v>13</v>
      </c>
      <c r="C3586" s="4" t="s">
        <v>16174</v>
      </c>
      <c r="D3586" s="1" t="s">
        <v>16175</v>
      </c>
      <c r="E3586" s="1" t="s">
        <v>16153</v>
      </c>
      <c r="F3586" s="4" t="s">
        <v>17</v>
      </c>
      <c r="G3586" s="1" t="s">
        <v>18</v>
      </c>
      <c r="H3586" s="1" t="s">
        <v>19</v>
      </c>
      <c r="I3586" s="1" t="s">
        <v>20</v>
      </c>
      <c r="J3586" s="1" t="s">
        <v>16176</v>
      </c>
      <c r="K3586" s="1" t="s">
        <v>22</v>
      </c>
      <c r="L3586" s="1" t="str">
        <f>HYPERLINK("https://files.afu.se/Downloads/Transcripts/0%20-%20Government/USA%20-%20NASA/2012 04 17 - NASA - Discovery Flyovers Delight D.C. Area as Seen From Top of the Town, Rosslyn, VA_XcumBFCxu3E - transcript (automated).pdf","Transcript Link")</f>
        <v>Transcript Link</v>
      </c>
      <c r="M3586" s="2" t="str">
        <f>HYPERLINK("https://files.afu.se/Downloads/Transcripts/0%20-%20Government/USA%20-%20NASA/2012 04 17 - NASA - Discovery Flyovers Delight D.C. Area as Seen From Top of the Town, Rosslyn, VA_XcumBFCxu3E - transcript (automated).pdf","Transcript Link")</f>
        <v>Transcript Link</v>
      </c>
    </row>
    <row r="3587" ht="165" spans="1:13">
      <c r="A3587" s="1" t="s">
        <v>16150</v>
      </c>
      <c r="B3587" s="1" t="s">
        <v>13</v>
      </c>
      <c r="C3587" s="4" t="s">
        <v>16177</v>
      </c>
      <c r="D3587" s="1" t="s">
        <v>16178</v>
      </c>
      <c r="E3587" s="1" t="s">
        <v>16153</v>
      </c>
      <c r="F3587" s="4" t="s">
        <v>17</v>
      </c>
      <c r="G3587" s="1" t="s">
        <v>18</v>
      </c>
      <c r="H3587" s="1" t="s">
        <v>19</v>
      </c>
      <c r="I3587" s="1" t="s">
        <v>20</v>
      </c>
      <c r="J3587" s="1" t="s">
        <v>16179</v>
      </c>
      <c r="K3587" s="1" t="s">
        <v>22</v>
      </c>
      <c r="L3587" s="1" t="str">
        <f>HYPERLINK("https://files.afu.se/Downloads/Transcripts/0%20-%20Government/USA%20-%20NASA/2012 04 17 - NASA - Discovery Flyovers Delight D.C. Area as Seen From the National Mall_KZIkkfWpvzA - transcript (automated).pdf","Transcript Link")</f>
        <v>Transcript Link</v>
      </c>
      <c r="M3587" s="2" t="str">
        <f>HYPERLINK("https://files.afu.se/Downloads/Transcripts/0%20-%20Government/USA%20-%20NASA/2012 04 17 - NASA - Discovery Flyovers Delight D.C. Area as Seen From the National Mall_KZIkkfWpvzA - transcript (automated).pdf","Transcript Link")</f>
        <v>Transcript Link</v>
      </c>
    </row>
    <row r="3588" ht="165" spans="1:13">
      <c r="A3588" s="1" t="s">
        <v>16150</v>
      </c>
      <c r="B3588" s="1" t="s">
        <v>13</v>
      </c>
      <c r="C3588" s="4" t="s">
        <v>16180</v>
      </c>
      <c r="D3588" s="1" t="s">
        <v>16181</v>
      </c>
      <c r="E3588" s="1" t="s">
        <v>16153</v>
      </c>
      <c r="F3588" s="4" t="s">
        <v>17</v>
      </c>
      <c r="G3588" s="1" t="s">
        <v>18</v>
      </c>
      <c r="H3588" s="1" t="s">
        <v>19</v>
      </c>
      <c r="I3588" s="1" t="s">
        <v>20</v>
      </c>
      <c r="J3588" s="1" t="s">
        <v>16182</v>
      </c>
      <c r="K3588" s="1" t="s">
        <v>22</v>
      </c>
      <c r="L3588" s="1" t="str">
        <f>HYPERLINK("https://files.afu.se/Downloads/Transcripts/0%20-%20Government/USA%20-%20NASA/2012 04 17 - NASA - Discovery Flyovers Delight D.C. Area as Seen at Dulles Airport_pCiX21pLOsY - transcript (automated).pdf","Transcript Link")</f>
        <v>Transcript Link</v>
      </c>
      <c r="M3588" s="2" t="str">
        <f>HYPERLINK("https://files.afu.se/Downloads/Transcripts/0%20-%20Government/USA%20-%20NASA/2012 04 17 - NASA - Discovery Flyovers Delight D.C. Area as Seen at Dulles Airport_pCiX21pLOsY - transcript (automated).pdf","Transcript Link")</f>
        <v>Transcript Link</v>
      </c>
    </row>
    <row r="3589" ht="165" spans="1:13">
      <c r="A3589" s="1" t="s">
        <v>16150</v>
      </c>
      <c r="B3589" s="1" t="s">
        <v>13</v>
      </c>
      <c r="C3589" s="4" t="s">
        <v>16183</v>
      </c>
      <c r="D3589" s="1" t="s">
        <v>16184</v>
      </c>
      <c r="E3589" s="1" t="s">
        <v>16153</v>
      </c>
      <c r="F3589" s="4" t="s">
        <v>17</v>
      </c>
      <c r="G3589" s="1" t="s">
        <v>18</v>
      </c>
      <c r="H3589" s="1" t="s">
        <v>19</v>
      </c>
      <c r="I3589" s="1" t="s">
        <v>20</v>
      </c>
      <c r="J3589" s="1" t="s">
        <v>16185</v>
      </c>
      <c r="K3589" s="1" t="s">
        <v>22</v>
      </c>
      <c r="L3589" s="1" t="str">
        <f>HYPERLINK("https://files.afu.se/Downloads/Transcripts/0%20-%20Government/USA%20-%20NASA/2012 04 17 - NASA - Discovery Flyovers Delight D.C. Area as Seen From NASA Headquarters_4pE2y5dtY_Q - transcript (automated).pdf","Transcript Link")</f>
        <v>Transcript Link</v>
      </c>
      <c r="M3589" s="2" t="str">
        <f>HYPERLINK("https://files.afu.se/Downloads/Transcripts/0%20-%20Government/USA%20-%20NASA/2012 04 17 - NASA - Discovery Flyovers Delight D.C. Area as Seen From NASA Headquarters_4pE2y5dtY_Q - transcript (automated).pdf","Transcript Link")</f>
        <v>Transcript Link</v>
      </c>
    </row>
    <row r="3590" ht="165" spans="1:13">
      <c r="A3590" s="1" t="s">
        <v>16150</v>
      </c>
      <c r="B3590" s="1" t="s">
        <v>13</v>
      </c>
      <c r="C3590" s="4" t="s">
        <v>16186</v>
      </c>
      <c r="D3590" s="1" t="s">
        <v>16187</v>
      </c>
      <c r="E3590" s="1" t="s">
        <v>16188</v>
      </c>
      <c r="F3590" s="4" t="s">
        <v>17</v>
      </c>
      <c r="G3590" s="1" t="s">
        <v>18</v>
      </c>
      <c r="H3590" s="1" t="s">
        <v>19</v>
      </c>
      <c r="I3590" s="1" t="s">
        <v>20</v>
      </c>
      <c r="J3590" s="1" t="s">
        <v>16189</v>
      </c>
      <c r="K3590" s="1" t="s">
        <v>22</v>
      </c>
      <c r="L3590" s="1" t="str">
        <f>HYPERLINK("https://files.afu.se/Downloads/Transcripts/0%20-%20Government/USA%20-%20NASA/2012 04 17 - NASA - Discovery Arrival Ceremony at Dulles_WbRVKpJ0ZsU - transcript (automated).pdf","Transcript Link")</f>
        <v>Transcript Link</v>
      </c>
      <c r="M3590" s="2" t="str">
        <f>HYPERLINK("https://files.afu.se/Downloads/Transcripts/0%20-%20Government/USA%20-%20NASA/2012 04 17 - NASA - Discovery Arrival Ceremony at Dulles_WbRVKpJ0ZsU - transcript (automated).pdf","Transcript Link")</f>
        <v>Transcript Link</v>
      </c>
    </row>
    <row r="3591" ht="165" spans="1:13">
      <c r="A3591" s="1" t="s">
        <v>16150</v>
      </c>
      <c r="B3591" s="1" t="s">
        <v>13</v>
      </c>
      <c r="C3591" s="4" t="s">
        <v>16190</v>
      </c>
      <c r="D3591" s="1" t="s">
        <v>16191</v>
      </c>
      <c r="E3591" s="1" t="s">
        <v>16192</v>
      </c>
      <c r="F3591" s="4" t="s">
        <v>17</v>
      </c>
      <c r="G3591" s="1" t="s">
        <v>18</v>
      </c>
      <c r="H3591" s="1" t="s">
        <v>19</v>
      </c>
      <c r="I3591" s="1" t="s">
        <v>20</v>
      </c>
      <c r="J3591" s="1" t="s">
        <v>16193</v>
      </c>
      <c r="K3591" s="1" t="s">
        <v>22</v>
      </c>
      <c r="L3591" s="1" t="str">
        <f>HYPERLINK("https://files.afu.se/Downloads/Transcripts/0%20-%20Government/USA%20-%20NASA/2012 04 17 - NASA - Shuttle Discovery Lands at Dulles_caKrNA1l1MI - transcript (automated).pdf","Transcript Link")</f>
        <v>Transcript Link</v>
      </c>
      <c r="M3591" s="2" t="str">
        <f>HYPERLINK("https://files.afu.se/Downloads/Transcripts/0%20-%20Government/USA%20-%20NASA/2012 04 17 - NASA - Shuttle Discovery Lands at Dulles_caKrNA1l1MI - transcript (automated).pdf","Transcript Link")</f>
        <v>Transcript Link</v>
      </c>
    </row>
    <row r="3592" ht="165" spans="1:13">
      <c r="A3592" s="1" t="s">
        <v>16150</v>
      </c>
      <c r="B3592" s="1" t="s">
        <v>13</v>
      </c>
      <c r="C3592" s="4" t="s">
        <v>16194</v>
      </c>
      <c r="D3592" s="1" t="s">
        <v>16195</v>
      </c>
      <c r="E3592" s="1" t="s">
        <v>16196</v>
      </c>
      <c r="F3592" s="4" t="s">
        <v>17</v>
      </c>
      <c r="G3592" s="1" t="s">
        <v>18</v>
      </c>
      <c r="H3592" s="1" t="s">
        <v>19</v>
      </c>
      <c r="I3592" s="1" t="s">
        <v>20</v>
      </c>
      <c r="J3592" s="1" t="s">
        <v>16197</v>
      </c>
      <c r="K3592" s="1" t="s">
        <v>22</v>
      </c>
      <c r="L3592" s="1" t="str">
        <f>HYPERLINK("https://files.afu.se/Downloads/Transcripts/0%20-%20Government/USA%20-%20NASA/2012 04 17 - NASA - Discovery Arrival At Dulles Airport_jyoMwKcWjko - transcript (automated).pdf","Transcript Link")</f>
        <v>Transcript Link</v>
      </c>
      <c r="M3592" s="2" t="str">
        <f>HYPERLINK("https://files.afu.se/Downloads/Transcripts/0%20-%20Government/USA%20-%20NASA/2012 04 17 - NASA - Discovery Arrival At Dulles Airport_jyoMwKcWjko - transcript (automated).pdf","Transcript Link")</f>
        <v>Transcript Link</v>
      </c>
    </row>
    <row r="3593" ht="165" spans="1:13">
      <c r="A3593" s="1" t="s">
        <v>16150</v>
      </c>
      <c r="B3593" s="1" t="s">
        <v>13</v>
      </c>
      <c r="C3593" s="4" t="s">
        <v>16198</v>
      </c>
      <c r="D3593" s="1" t="s">
        <v>16199</v>
      </c>
      <c r="E3593" s="1" t="s">
        <v>16200</v>
      </c>
      <c r="F3593" s="4" t="s">
        <v>17</v>
      </c>
      <c r="G3593" s="1" t="s">
        <v>18</v>
      </c>
      <c r="H3593" s="1" t="s">
        <v>19</v>
      </c>
      <c r="I3593" s="1" t="s">
        <v>20</v>
      </c>
      <c r="J3593" s="1" t="s">
        <v>16201</v>
      </c>
      <c r="K3593" s="1" t="s">
        <v>22</v>
      </c>
      <c r="L3593" s="1" t="str">
        <f>HYPERLINK("https://files.afu.se/Downloads/Transcripts/0%20-%20Government/USA%20-%20NASA/2012 04 17 - NASA - NASA Features FameLab Finalists_bgYFgAMJskg - transcript (automated).pdf","Transcript Link")</f>
        <v>Transcript Link</v>
      </c>
      <c r="M3593" s="2" t="str">
        <f>HYPERLINK("https://files.afu.se/Downloads/Transcripts/0%20-%20Government/USA%20-%20NASA/2012 04 17 - NASA - NASA Features FameLab Finalists_bgYFgAMJskg - transcript (automated).pdf","Transcript Link")</f>
        <v>Transcript Link</v>
      </c>
    </row>
    <row r="3594" ht="165" spans="1:13">
      <c r="A3594" s="1" t="s">
        <v>16202</v>
      </c>
      <c r="B3594" s="1" t="s">
        <v>13</v>
      </c>
      <c r="C3594" s="4" t="s">
        <v>16203</v>
      </c>
      <c r="D3594" s="1" t="s">
        <v>16204</v>
      </c>
      <c r="E3594" s="1" t="s">
        <v>16205</v>
      </c>
      <c r="F3594" s="4" t="s">
        <v>17</v>
      </c>
      <c r="G3594" s="1" t="s">
        <v>18</v>
      </c>
      <c r="H3594" s="1" t="s">
        <v>19</v>
      </c>
      <c r="I3594" s="1" t="s">
        <v>20</v>
      </c>
      <c r="J3594" s="1" t="s">
        <v>16206</v>
      </c>
      <c r="K3594" s="1" t="s">
        <v>22</v>
      </c>
      <c r="L3594" s="1" t="str">
        <f>HYPERLINK("https://files.afu.se/Downloads/Transcripts/0%20-%20Government/USA%20-%20NASA/2012 04 15 - NASA - Shuttle Discovery Attached to Shuttle Carrier Aircraft_DdWUWZuOStc - transcript (automated).pdf","Transcript Link")</f>
        <v>Transcript Link</v>
      </c>
      <c r="M3594" s="2" t="str">
        <f>HYPERLINK("https://files.afu.se/Downloads/Transcripts/0%20-%20Government/USA%20-%20NASA/2012 04 15 - NASA - Shuttle Discovery Attached to Shuttle Carrier Aircraft_DdWUWZuOStc - transcript (automated).pdf","Transcript Link")</f>
        <v>Transcript Link</v>
      </c>
    </row>
    <row r="3595" ht="210" spans="1:13">
      <c r="A3595" s="1" t="s">
        <v>16207</v>
      </c>
      <c r="B3595" s="1" t="s">
        <v>13</v>
      </c>
      <c r="C3595" s="4" t="s">
        <v>16208</v>
      </c>
      <c r="D3595" s="1" t="s">
        <v>16209</v>
      </c>
      <c r="E3595" s="1" t="s">
        <v>16210</v>
      </c>
      <c r="F3595" s="4" t="s">
        <v>17</v>
      </c>
      <c r="G3595" s="1" t="s">
        <v>18</v>
      </c>
      <c r="H3595" s="1" t="s">
        <v>19</v>
      </c>
      <c r="I3595" s="1" t="s">
        <v>20</v>
      </c>
      <c r="J3595" s="1" t="s">
        <v>16211</v>
      </c>
      <c r="K3595" s="1" t="s">
        <v>22</v>
      </c>
      <c r="L3595" s="1" t="str">
        <f>HYPERLINK("https://files.afu.se/Downloads/Transcripts/0%20-%20Government/USA%20-%20NASA/2012 04 14 - NASA - NASA Kicks-Off 2012 Great Moonbuggy Race_6dcyiPK-vx4 - transcript (automated).pdf","Transcript Link")</f>
        <v>Transcript Link</v>
      </c>
      <c r="M3595" s="2" t="str">
        <f>HYPERLINK("https://files.afu.se/Downloads/Transcripts/0%20-%20Government/USA%20-%20NASA/2012 04 14 - NASA - NASA Kicks-Off 2012 Great Moonbuggy Race_6dcyiPK-vx4 - transcript (automated).pdf","Transcript Link")</f>
        <v>Transcript Link</v>
      </c>
    </row>
    <row r="3596" ht="270" spans="1:13">
      <c r="A3596" s="1" t="s">
        <v>16212</v>
      </c>
      <c r="B3596" s="1" t="s">
        <v>13</v>
      </c>
      <c r="C3596" s="4" t="s">
        <v>16213</v>
      </c>
      <c r="D3596" s="1" t="s">
        <v>16214</v>
      </c>
      <c r="E3596" s="1" t="s">
        <v>16215</v>
      </c>
      <c r="F3596" s="4" t="s">
        <v>17</v>
      </c>
      <c r="G3596" s="1" t="s">
        <v>18</v>
      </c>
      <c r="H3596" s="1" t="s">
        <v>19</v>
      </c>
      <c r="I3596" s="1" t="s">
        <v>20</v>
      </c>
      <c r="J3596" s="1" t="s">
        <v>16216</v>
      </c>
      <c r="K3596" s="1" t="s">
        <v>22</v>
      </c>
      <c r="L3596" s="1" t="str">
        <f>HYPERLINK("https://files.afu.se/Downloads/Transcripts/0%20-%20Government/USA%20-%20NASA/2012 04 13 - NASA - Discovery Ferry Preps on This Week @ NASA_mL4JUPpJw1s - transcript (automated).pdf","Transcript Link")</f>
        <v>Transcript Link</v>
      </c>
      <c r="M3596" s="2" t="str">
        <f>HYPERLINK("https://files.afu.se/Downloads/Transcripts/0%20-%20Government/USA%20-%20NASA/2012 04 13 - NASA - Discovery Ferry Preps on This Week @ NASA_mL4JUPpJw1s - transcript (automated).pdf","Transcript Link")</f>
        <v>Transcript Link</v>
      </c>
    </row>
    <row r="3597" ht="165" spans="1:13">
      <c r="A3597" s="1" t="s">
        <v>16212</v>
      </c>
      <c r="B3597" s="1" t="s">
        <v>13</v>
      </c>
      <c r="C3597" s="4" t="s">
        <v>16217</v>
      </c>
      <c r="D3597" s="1" t="s">
        <v>16218</v>
      </c>
      <c r="E3597" s="1" t="s">
        <v>16219</v>
      </c>
      <c r="F3597" s="4" t="s">
        <v>17</v>
      </c>
      <c r="G3597" s="1" t="s">
        <v>18</v>
      </c>
      <c r="H3597" s="1" t="s">
        <v>19</v>
      </c>
      <c r="I3597" s="1" t="s">
        <v>20</v>
      </c>
      <c r="J3597" s="1" t="s">
        <v>16220</v>
      </c>
      <c r="K3597" s="1" t="s">
        <v>22</v>
      </c>
      <c r="L3597" s="1" t="str">
        <f>HYPERLINK("https://files.afu.se/Downloads/Transcripts/0%20-%20Government/USA%20-%20NASA/2012 04 13 - NASA - Station Crew Discusses Science with National Public Radio_p0heftXWkVU - transcript (automated).pdf","Transcript Link")</f>
        <v>Transcript Link</v>
      </c>
      <c r="M3597" s="2" t="str">
        <f>HYPERLINK("https://files.afu.se/Downloads/Transcripts/0%20-%20Government/USA%20-%20NASA/2012 04 13 - NASA - Station Crew Discusses Science with National Public Radio_p0heftXWkVU - transcript (automated).pdf","Transcript Link")</f>
        <v>Transcript Link</v>
      </c>
    </row>
    <row r="3598" ht="165" spans="1:13">
      <c r="A3598" s="1" t="s">
        <v>16212</v>
      </c>
      <c r="B3598" s="1" t="s">
        <v>13</v>
      </c>
      <c r="C3598" s="4" t="s">
        <v>16221</v>
      </c>
      <c r="D3598" s="1" t="s">
        <v>16222</v>
      </c>
      <c r="E3598" s="1" t="s">
        <v>16223</v>
      </c>
      <c r="F3598" s="4" t="s">
        <v>17</v>
      </c>
      <c r="G3598" s="1" t="s">
        <v>18</v>
      </c>
      <c r="H3598" s="1" t="s">
        <v>19</v>
      </c>
      <c r="I3598" s="1" t="s">
        <v>20</v>
      </c>
      <c r="J3598" s="1" t="s">
        <v>16224</v>
      </c>
      <c r="K3598" s="1" t="s">
        <v>22</v>
      </c>
      <c r="L3598" s="1" t="str">
        <f>HYPERLINK("https://files.afu.se/Downloads/Transcripts/0%20-%20Government/USA%20-%20NASA/2012 04 13 - NASA - NASA Astronaut Talks Space With Students_i0QBYlU3st0 - transcript (automated).pdf","Transcript Link")</f>
        <v>Transcript Link</v>
      </c>
      <c r="M3598" s="2" t="str">
        <f>HYPERLINK("https://files.afu.se/Downloads/Transcripts/0%20-%20Government/USA%20-%20NASA/2012 04 13 - NASA - NASA Astronaut Talks Space With Students_i0QBYlU3st0 - transcript (automated).pdf","Transcript Link")</f>
        <v>Transcript Link</v>
      </c>
    </row>
    <row r="3599" ht="165" spans="1:13">
      <c r="A3599" s="1" t="s">
        <v>16225</v>
      </c>
      <c r="B3599" s="1" t="s">
        <v>13</v>
      </c>
      <c r="C3599" s="4" t="s">
        <v>16226</v>
      </c>
      <c r="D3599" s="1" t="s">
        <v>16227</v>
      </c>
      <c r="E3599" s="1" t="s">
        <v>16228</v>
      </c>
      <c r="F3599" s="4" t="s">
        <v>17</v>
      </c>
      <c r="G3599" s="1" t="s">
        <v>18</v>
      </c>
      <c r="H3599" s="1" t="s">
        <v>19</v>
      </c>
      <c r="I3599" s="1" t="s">
        <v>20</v>
      </c>
      <c r="J3599" s="1" t="s">
        <v>16229</v>
      </c>
      <c r="K3599" s="1" t="s">
        <v>22</v>
      </c>
      <c r="L3599" s="1" t="str">
        <f>HYPERLINK("https://files.afu.se/Downloads/Transcripts/0%20-%20Government/USA%20-%20NASA/2012 04 12 - NASA - ScienceCasts  April is the Cruelest Month_x1D2qF3bL0k - transcript (automated).pdf","Transcript Link")</f>
        <v>Transcript Link</v>
      </c>
      <c r="M3599" s="2" t="str">
        <f>HYPERLINK("https://files.afu.se/Downloads/Transcripts/0%20-%20Government/USA%20-%20NASA/2012 04 12 - NASA - ScienceCasts  April is the Cruelest Month_x1D2qF3bL0k - transcript (automated).pdf","Transcript Link")</f>
        <v>Transcript Link</v>
      </c>
    </row>
    <row r="3600" ht="165" spans="1:13">
      <c r="A3600" s="1" t="s">
        <v>16230</v>
      </c>
      <c r="B3600" s="1" t="s">
        <v>13</v>
      </c>
      <c r="C3600" s="4" t="s">
        <v>16231</v>
      </c>
      <c r="D3600" s="1" t="s">
        <v>16232</v>
      </c>
      <c r="E3600" s="1" t="s">
        <v>16233</v>
      </c>
      <c r="F3600" s="4" t="s">
        <v>17</v>
      </c>
      <c r="G3600" s="1" t="s">
        <v>18</v>
      </c>
      <c r="H3600" s="1" t="s">
        <v>19</v>
      </c>
      <c r="I3600" s="1" t="s">
        <v>20</v>
      </c>
      <c r="J3600" s="1" t="s">
        <v>16234</v>
      </c>
      <c r="K3600" s="1" t="s">
        <v>22</v>
      </c>
      <c r="L3600" s="1" t="str">
        <f>HYPERLINK("https://files.afu.se/Downloads/Transcripts/0%20-%20Government/USA%20-%20NASA/2012 04 11 - NASA - Station Crew Discusses Life in Space with the News Media_nr5to_r25Ug - transcript (automated).pdf","Transcript Link")</f>
        <v>Transcript Link</v>
      </c>
      <c r="M3600" s="2" t="str">
        <f>HYPERLINK("https://files.afu.se/Downloads/Transcripts/0%20-%20Government/USA%20-%20NASA/2012 04 11 - NASA - Station Crew Discusses Life in Space with the News Media_nr5to_r25Ug - transcript (automated).pdf","Transcript Link")</f>
        <v>Transcript Link</v>
      </c>
    </row>
    <row r="3601" ht="165" spans="1:13">
      <c r="A3601" s="1" t="s">
        <v>16230</v>
      </c>
      <c r="B3601" s="1" t="s">
        <v>13</v>
      </c>
      <c r="C3601" s="4" t="s">
        <v>16235</v>
      </c>
      <c r="D3601" s="1" t="s">
        <v>16236</v>
      </c>
      <c r="E3601" s="1" t="s">
        <v>16237</v>
      </c>
      <c r="F3601" s="4" t="s">
        <v>17</v>
      </c>
      <c r="G3601" s="1" t="s">
        <v>18</v>
      </c>
      <c r="H3601" s="1" t="s">
        <v>19</v>
      </c>
      <c r="I3601" s="1" t="s">
        <v>20</v>
      </c>
      <c r="J3601" s="1" t="s">
        <v>16238</v>
      </c>
      <c r="K3601" s="1" t="s">
        <v>22</v>
      </c>
      <c r="L3601" s="1" t="str">
        <f>HYPERLINK("https://files.afu.se/Downloads/Transcripts/0%20-%20Government/USA%20-%20NASA/2012 04 11 - NASA - NASA Doctor Discusses Providing Medical Care to Astronauts in Space_L_LPrxAV7OE - transcript (automated).pdf","Transcript Link")</f>
        <v>Transcript Link</v>
      </c>
      <c r="M3601" s="2" t="str">
        <f>HYPERLINK("https://files.afu.se/Downloads/Transcripts/0%20-%20Government/USA%20-%20NASA/2012 04 11 - NASA - NASA Doctor Discusses Providing Medical Care to Astronauts in Space_L_LPrxAV7OE - transcript (automated).pdf","Transcript Link")</f>
        <v>Transcript Link</v>
      </c>
    </row>
    <row r="3602" ht="195" spans="1:13">
      <c r="A3602" s="1" t="s">
        <v>16239</v>
      </c>
      <c r="B3602" s="1" t="s">
        <v>13</v>
      </c>
      <c r="C3602" s="4" t="s">
        <v>16240</v>
      </c>
      <c r="D3602" s="1" t="s">
        <v>16241</v>
      </c>
      <c r="E3602" s="1" t="s">
        <v>16242</v>
      </c>
      <c r="F3602" s="4" t="s">
        <v>17</v>
      </c>
      <c r="G3602" s="1" t="s">
        <v>18</v>
      </c>
      <c r="H3602" s="1" t="s">
        <v>19</v>
      </c>
      <c r="I3602" s="1" t="s">
        <v>20</v>
      </c>
      <c r="J3602" s="1" t="s">
        <v>16243</v>
      </c>
      <c r="K3602" s="1" t="s">
        <v>22</v>
      </c>
      <c r="L3602" s="1" t="str">
        <f>HYPERLINK("https://files.afu.se/Downloads/Transcripts/0%20-%20Government/USA%20-%20NASA/2012 04 06 - NASA - Senator, Symposium and Supersonic Sled on This Week @NASA_a1Y6mdKfMn4 - transcript (automated).pdf","Transcript Link")</f>
        <v>Transcript Link</v>
      </c>
      <c r="M3602" s="2" t="str">
        <f>HYPERLINK("https://files.afu.se/Downloads/Transcripts/0%20-%20Government/USA%20-%20NASA/2012 04 06 - NASA - Senator, Symposium and Supersonic Sled on This Week @NASA_a1Y6mdKfMn4 - transcript (automated).pdf","Transcript Link")</f>
        <v>Transcript Link</v>
      </c>
    </row>
    <row r="3603" ht="165" spans="1:13">
      <c r="A3603" s="1" t="s">
        <v>16239</v>
      </c>
      <c r="B3603" s="1" t="s">
        <v>13</v>
      </c>
      <c r="C3603" s="4" t="s">
        <v>16244</v>
      </c>
      <c r="D3603" s="1" t="s">
        <v>16245</v>
      </c>
      <c r="E3603" s="1" t="s">
        <v>16246</v>
      </c>
      <c r="F3603" s="4" t="s">
        <v>17</v>
      </c>
      <c r="G3603" s="1" t="s">
        <v>18</v>
      </c>
      <c r="H3603" s="1" t="s">
        <v>19</v>
      </c>
      <c r="I3603" s="1" t="s">
        <v>20</v>
      </c>
      <c r="J3603" s="1" t="s">
        <v>16247</v>
      </c>
      <c r="K3603" s="1" t="s">
        <v>22</v>
      </c>
      <c r="L3603" s="1" t="str">
        <f>HYPERLINK("https://files.afu.se/Downloads/Transcripts/0%20-%20Government/USA%20-%20NASA/2012 04 06 - NASA - ScienceCasts  A Wonderful Night in April_80T8CBUHoL0 - transcript (automated).pdf","Transcript Link")</f>
        <v>Transcript Link</v>
      </c>
      <c r="M3603" s="2" t="str">
        <f>HYPERLINK("https://files.afu.se/Downloads/Transcripts/0%20-%20Government/USA%20-%20NASA/2012 04 06 - NASA - ScienceCasts  A Wonderful Night in April_80T8CBUHoL0 - transcript (automated).pdf","Transcript Link")</f>
        <v>Transcript Link</v>
      </c>
    </row>
    <row r="3604" ht="195" spans="1:13">
      <c r="A3604" s="1" t="s">
        <v>16248</v>
      </c>
      <c r="B3604" s="1" t="s">
        <v>13</v>
      </c>
      <c r="C3604" s="4" t="s">
        <v>16249</v>
      </c>
      <c r="D3604" s="1" t="s">
        <v>16250</v>
      </c>
      <c r="E3604" s="1" t="s">
        <v>16251</v>
      </c>
      <c r="F3604" s="4" t="s">
        <v>17</v>
      </c>
      <c r="G3604" s="1" t="s">
        <v>18</v>
      </c>
      <c r="H3604" s="1" t="s">
        <v>19</v>
      </c>
      <c r="I3604" s="1" t="s">
        <v>20</v>
      </c>
      <c r="J3604" s="1" t="s">
        <v>16252</v>
      </c>
      <c r="K3604" s="1" t="s">
        <v>22</v>
      </c>
      <c r="L3604" s="1" t="str">
        <f>HYPERLINK("https://files.afu.se/Downloads/Transcripts/0%20-%20Government/USA%20-%20NASA/2012 04 05 - NASA - ISS Flight Controller Talks Space with Students_VQ4sG3rwKuw - transcript (automated).pdf","Transcript Link")</f>
        <v>Transcript Link</v>
      </c>
      <c r="M3604" s="2" t="str">
        <f>HYPERLINK("https://files.afu.se/Downloads/Transcripts/0%20-%20Government/USA%20-%20NASA/2012 04 05 - NASA - ISS Flight Controller Talks Space with Students_VQ4sG3rwKuw - transcript (automated).pdf","Transcript Link")</f>
        <v>Transcript Link</v>
      </c>
    </row>
    <row r="3605" ht="165" spans="1:13">
      <c r="A3605" s="1" t="s">
        <v>16248</v>
      </c>
      <c r="B3605" s="1" t="s">
        <v>13</v>
      </c>
      <c r="C3605" s="4" t="s">
        <v>16253</v>
      </c>
      <c r="D3605" s="1" t="s">
        <v>16254</v>
      </c>
      <c r="E3605" s="1" t="s">
        <v>16255</v>
      </c>
      <c r="F3605" s="4" t="s">
        <v>17</v>
      </c>
      <c r="G3605" s="1" t="s">
        <v>18</v>
      </c>
      <c r="H3605" s="1" t="s">
        <v>19</v>
      </c>
      <c r="I3605" s="1" t="s">
        <v>20</v>
      </c>
      <c r="J3605" s="1" t="s">
        <v>16256</v>
      </c>
      <c r="K3605" s="1" t="s">
        <v>22</v>
      </c>
      <c r="L3605" s="1" t="str">
        <f>HYPERLINK("https://files.afu.se/Downloads/Transcripts/0%20-%20Government/USA%20-%20NASA/2012 04 05 - NASA - Kuipers  Drops In  on Hometown From Space_UtAG9Lt0OrQ - transcript (automated).pdf","Transcript Link")</f>
        <v>Transcript Link</v>
      </c>
      <c r="M3605" s="2" t="str">
        <f>HYPERLINK("https://files.afu.se/Downloads/Transcripts/0%20-%20Government/USA%20-%20NASA/2012 04 05 - NASA - Kuipers  Drops In  on Hometown From Space_UtAG9Lt0OrQ - transcript (automated).pdf","Transcript Link")</f>
        <v>Transcript Link</v>
      </c>
    </row>
    <row r="3606" ht="165" spans="1:13">
      <c r="A3606" s="1" t="s">
        <v>16257</v>
      </c>
      <c r="B3606" s="1" t="s">
        <v>13</v>
      </c>
      <c r="C3606" s="4" t="s">
        <v>16258</v>
      </c>
      <c r="D3606" s="1" t="s">
        <v>16259</v>
      </c>
      <c r="E3606" s="1" t="s">
        <v>16260</v>
      </c>
      <c r="F3606" s="4" t="s">
        <v>17</v>
      </c>
      <c r="G3606" s="1" t="s">
        <v>18</v>
      </c>
      <c r="H3606" s="1" t="s">
        <v>19</v>
      </c>
      <c r="I3606" s="1" t="s">
        <v>20</v>
      </c>
      <c r="J3606" s="1" t="s">
        <v>16261</v>
      </c>
      <c r="K3606" s="1" t="s">
        <v>22</v>
      </c>
      <c r="L3606" s="1" t="str">
        <f>HYPERLINK("https://files.afu.se/Downloads/Transcripts/0%20-%20Government/USA%20-%20NASA/2012 04 03 - NASA - NASA Centers rumble in FIRST Robotics Regional action_yGwN4E4vKpc - transcript (automated).pdf","Transcript Link")</f>
        <v>Transcript Link</v>
      </c>
      <c r="M3606" s="2" t="str">
        <f>HYPERLINK("https://files.afu.se/Downloads/Transcripts/0%20-%20Government/USA%20-%20NASA/2012 04 03 - NASA - NASA Centers rumble in FIRST Robotics Regional action_yGwN4E4vKpc - transcript (automated).pdf","Transcript Link")</f>
        <v>Transcript Link</v>
      </c>
    </row>
    <row r="3607" ht="165" spans="1:13">
      <c r="A3607" s="1" t="s">
        <v>16257</v>
      </c>
      <c r="B3607" s="1" t="s">
        <v>13</v>
      </c>
      <c r="C3607" s="4" t="s">
        <v>16262</v>
      </c>
      <c r="D3607" s="1" t="s">
        <v>16263</v>
      </c>
      <c r="E3607" s="1" t="s">
        <v>16264</v>
      </c>
      <c r="F3607" s="4" t="s">
        <v>17</v>
      </c>
      <c r="G3607" s="1" t="s">
        <v>18</v>
      </c>
      <c r="H3607" s="1" t="s">
        <v>19</v>
      </c>
      <c r="I3607" s="1" t="s">
        <v>20</v>
      </c>
      <c r="J3607" s="1" t="s">
        <v>16265</v>
      </c>
      <c r="K3607" s="1" t="s">
        <v>22</v>
      </c>
      <c r="L3607" s="1" t="str">
        <f>HYPERLINK("https://files.afu.se/Downloads/Transcripts/0%20-%20Government/USA%20-%20NASA/2012 04 03 - NASA - Texas Students Link Up with ISS_ZmvRgcDfDDc - transcript (automated).pdf","Transcript Link")</f>
        <v>Transcript Link</v>
      </c>
      <c r="M3607" s="2" t="str">
        <f>HYPERLINK("https://files.afu.se/Downloads/Transcripts/0%20-%20Government/USA%20-%20NASA/2012 04 03 - NASA - Texas Students Link Up with ISS_ZmvRgcDfDDc - transcript (automated).pdf","Transcript Link")</f>
        <v>Transcript Link</v>
      </c>
    </row>
    <row r="3608" ht="165" spans="1:13">
      <c r="A3608" s="1" t="s">
        <v>16266</v>
      </c>
      <c r="B3608" s="1" t="s">
        <v>13</v>
      </c>
      <c r="C3608" s="4" t="s">
        <v>16267</v>
      </c>
      <c r="D3608" s="1" t="s">
        <v>16268</v>
      </c>
      <c r="E3608" s="1" t="s">
        <v>16269</v>
      </c>
      <c r="F3608" s="4" t="s">
        <v>17</v>
      </c>
      <c r="G3608" s="1" t="s">
        <v>18</v>
      </c>
      <c r="H3608" s="1" t="s">
        <v>19</v>
      </c>
      <c r="I3608" s="1" t="s">
        <v>20</v>
      </c>
      <c r="J3608" s="1" t="s">
        <v>16270</v>
      </c>
      <c r="K3608" s="1" t="s">
        <v>22</v>
      </c>
      <c r="L3608" s="1" t="str">
        <f>HYPERLINK("https://files.afu.se/Downloads/Transcripts/0%20-%20Government/USA%20-%20NASA/2012 03 30 - NASA - NASA Science Chief Starts  Rumble _jd5aGcT5d0o - transcript (automated).pdf","Transcript Link")</f>
        <v>Transcript Link</v>
      </c>
      <c r="M3608" s="2" t="str">
        <f>HYPERLINK("https://files.afu.se/Downloads/Transcripts/0%20-%20Government/USA%20-%20NASA/2012 03 30 - NASA - NASA Science Chief Starts  Rumble _jd5aGcT5d0o - transcript (automated).pdf","Transcript Link")</f>
        <v>Transcript Link</v>
      </c>
    </row>
    <row r="3609" ht="165" spans="1:13">
      <c r="A3609" s="1" t="s">
        <v>16266</v>
      </c>
      <c r="B3609" s="1" t="s">
        <v>13</v>
      </c>
      <c r="C3609" s="4" t="s">
        <v>16271</v>
      </c>
      <c r="D3609" s="1" t="s">
        <v>16272</v>
      </c>
      <c r="E3609" s="1" t="s">
        <v>16273</v>
      </c>
      <c r="F3609" s="4" t="s">
        <v>17</v>
      </c>
      <c r="G3609" s="1" t="s">
        <v>18</v>
      </c>
      <c r="H3609" s="1" t="s">
        <v>19</v>
      </c>
      <c r="I3609" s="1" t="s">
        <v>20</v>
      </c>
      <c r="J3609" s="1" t="s">
        <v>16274</v>
      </c>
      <c r="K3609" s="1" t="s">
        <v>22</v>
      </c>
      <c r="L3609" s="1" t="str">
        <f>HYPERLINK("https://files.afu.se/Downloads/Transcripts/0%20-%20Government/USA%20-%20NASA/2012 03 30 - NASA - Tech Innovation Showcase on This Week @NASA_mYSiBRyDQZY - transcript (automated).pdf","Transcript Link")</f>
        <v>Transcript Link</v>
      </c>
      <c r="M3609" s="2" t="str">
        <f>HYPERLINK("https://files.afu.se/Downloads/Transcripts/0%20-%20Government/USA%20-%20NASA/2012 03 30 - NASA - Tech Innovation Showcase on This Week @NASA_mYSiBRyDQZY - transcript (automated).pdf","Transcript Link")</f>
        <v>Transcript Link</v>
      </c>
    </row>
    <row r="3610" ht="165" spans="1:13">
      <c r="A3610" s="1" t="s">
        <v>16266</v>
      </c>
      <c r="B3610" s="1" t="s">
        <v>13</v>
      </c>
      <c r="C3610" s="4" t="s">
        <v>16275</v>
      </c>
      <c r="D3610" s="1" t="s">
        <v>16276</v>
      </c>
      <c r="E3610" s="1" t="s">
        <v>16277</v>
      </c>
      <c r="F3610" s="4" t="s">
        <v>17</v>
      </c>
      <c r="G3610" s="1" t="s">
        <v>18</v>
      </c>
      <c r="H3610" s="1" t="s">
        <v>19</v>
      </c>
      <c r="I3610" s="1" t="s">
        <v>20</v>
      </c>
      <c r="J3610" s="1" t="s">
        <v>16278</v>
      </c>
      <c r="K3610" s="1" t="s">
        <v>22</v>
      </c>
      <c r="L3610" s="1" t="str">
        <f>HYPERLINK("https://files.afu.se/Downloads/Transcripts/0%20-%20Government/USA%20-%20NASA/2012 03 30 - NASA - ISS Crew on  Good Day, New York _Wh0l6JmLjQU - transcript (automated).pdf","Transcript Link")</f>
        <v>Transcript Link</v>
      </c>
      <c r="M3610" s="2" t="str">
        <f>HYPERLINK("https://files.afu.se/Downloads/Transcripts/0%20-%20Government/USA%20-%20NASA/2012 03 30 - NASA - ISS Crew on  Good Day, New York _Wh0l6JmLjQU - transcript (automated).pdf","Transcript Link")</f>
        <v>Transcript Link</v>
      </c>
    </row>
    <row r="3611" ht="195" spans="1:13">
      <c r="A3611" s="1" t="s">
        <v>16279</v>
      </c>
      <c r="B3611" s="1" t="s">
        <v>13</v>
      </c>
      <c r="C3611" s="4" t="s">
        <v>16280</v>
      </c>
      <c r="D3611" s="1" t="s">
        <v>16250</v>
      </c>
      <c r="E3611" s="1" t="s">
        <v>16281</v>
      </c>
      <c r="F3611" s="4" t="s">
        <v>17</v>
      </c>
      <c r="G3611" s="1" t="s">
        <v>18</v>
      </c>
      <c r="H3611" s="1" t="s">
        <v>19</v>
      </c>
      <c r="I3611" s="1" t="s">
        <v>20</v>
      </c>
      <c r="J3611" s="1" t="s">
        <v>16282</v>
      </c>
      <c r="K3611" s="1" t="s">
        <v>22</v>
      </c>
      <c r="L3611" s="1" t="str">
        <f>HYPERLINK("https://files.afu.se/Downloads/Transcripts/0%20-%20Government/USA%20-%20NASA/2012 03 29 - NASA - ISS Flight Controller Talks Space with Students_lLVGM6j2k3g - transcript (automated).pdf","Transcript Link")</f>
        <v>Transcript Link</v>
      </c>
      <c r="M3611" s="2" t="str">
        <f>HYPERLINK("https://files.afu.se/Downloads/Transcripts/0%20-%20Government/USA%20-%20NASA/2012 03 29 - NASA - ISS Flight Controller Talks Space with Students_lLVGM6j2k3g - transcript (automated).pdf","Transcript Link")</f>
        <v>Transcript Link</v>
      </c>
    </row>
    <row r="3612" ht="165" spans="1:13">
      <c r="A3612" s="1" t="s">
        <v>16279</v>
      </c>
      <c r="B3612" s="1" t="s">
        <v>13</v>
      </c>
      <c r="C3612" s="4" t="s">
        <v>16283</v>
      </c>
      <c r="D3612" s="1" t="s">
        <v>16284</v>
      </c>
      <c r="E3612" s="1" t="s">
        <v>16285</v>
      </c>
      <c r="F3612" s="4" t="s">
        <v>17</v>
      </c>
      <c r="G3612" s="1" t="s">
        <v>18</v>
      </c>
      <c r="H3612" s="1" t="s">
        <v>19</v>
      </c>
      <c r="I3612" s="1" t="s">
        <v>20</v>
      </c>
      <c r="J3612" s="1" t="s">
        <v>16286</v>
      </c>
      <c r="K3612" s="1" t="s">
        <v>22</v>
      </c>
      <c r="L3612" s="1" t="str">
        <f>HYPERLINK("https://files.afu.se/Downloads/Transcripts/0%20-%20Government/USA%20-%20NASA/2012 03 29 - NASA - ScienceCasts  Getting to Know the Goldilocks Planet_Eojhoc7n0yA - transcript (automated).pdf","Transcript Link")</f>
        <v>Transcript Link</v>
      </c>
      <c r="M3612" s="2" t="str">
        <f>HYPERLINK("https://files.afu.se/Downloads/Transcripts/0%20-%20Government/USA%20-%20NASA/2012 03 29 - NASA - ScienceCasts  Getting to Know the Goldilocks Planet_Eojhoc7n0yA - transcript (automated).pdf","Transcript Link")</f>
        <v>Transcript Link</v>
      </c>
    </row>
    <row r="3613" ht="210" spans="1:13">
      <c r="A3613" s="1" t="s">
        <v>16279</v>
      </c>
      <c r="B3613" s="1" t="s">
        <v>13</v>
      </c>
      <c r="C3613" s="4" t="s">
        <v>16287</v>
      </c>
      <c r="D3613" s="1" t="s">
        <v>16288</v>
      </c>
      <c r="E3613" s="1" t="s">
        <v>16289</v>
      </c>
      <c r="F3613" s="4" t="s">
        <v>17</v>
      </c>
      <c r="G3613" s="1" t="s">
        <v>18</v>
      </c>
      <c r="H3613" s="1" t="s">
        <v>19</v>
      </c>
      <c r="I3613" s="1" t="s">
        <v>20</v>
      </c>
      <c r="J3613" s="1" t="s">
        <v>16290</v>
      </c>
      <c r="K3613" s="1" t="s">
        <v>22</v>
      </c>
      <c r="L3613" s="1" t="str">
        <f>HYPERLINK("https://files.afu.se/Downloads/Transcripts/0%20-%20Government/USA%20-%20NASA/2012 03 29 - NASA - Buzz Lightyear Retires to Smithsonian Museum_Fo705Wm_QKs - transcript (automated).pdf","Transcript Link")</f>
        <v>Transcript Link</v>
      </c>
      <c r="M3613" s="2" t="str">
        <f>HYPERLINK("https://files.afu.se/Downloads/Transcripts/0%20-%20Government/USA%20-%20NASA/2012 03 29 - NASA - Buzz Lightyear Retires to Smithsonian Museum_Fo705Wm_QKs - transcript (automated).pdf","Transcript Link")</f>
        <v>Transcript Link</v>
      </c>
    </row>
    <row r="3614" ht="300" spans="1:13">
      <c r="A3614" s="1" t="s">
        <v>16279</v>
      </c>
      <c r="B3614" s="1" t="s">
        <v>13</v>
      </c>
      <c r="C3614" s="4" t="s">
        <v>16291</v>
      </c>
      <c r="D3614" s="1" t="s">
        <v>16292</v>
      </c>
      <c r="E3614" s="1" t="s">
        <v>16293</v>
      </c>
      <c r="F3614" s="4" t="s">
        <v>17</v>
      </c>
      <c r="G3614" s="1" t="s">
        <v>18</v>
      </c>
      <c r="H3614" s="1" t="s">
        <v>19</v>
      </c>
      <c r="I3614" s="1" t="s">
        <v>20</v>
      </c>
      <c r="J3614" s="1" t="s">
        <v>16294</v>
      </c>
      <c r="K3614" s="1" t="s">
        <v>22</v>
      </c>
      <c r="L3614" s="1" t="str">
        <f>HYPERLINK("https://files.afu.se/Downloads/Transcripts/0%20-%20Government/USA%20-%20NASA/2012 03 29 - NASA - NASA Holds Technology Showcase on Capitol Hill_-RsIodI-iJI - transcript (automated).pdf","Transcript Link")</f>
        <v>Transcript Link</v>
      </c>
      <c r="M3614" s="2" t="str">
        <f>HYPERLINK("https://files.afu.se/Downloads/Transcripts/0%20-%20Government/USA%20-%20NASA/2012 03 29 - NASA - NASA Holds Technology Showcase on Capitol Hill_-RsIodI-iJI - transcript (automated).pdf","Transcript Link")</f>
        <v>Transcript Link</v>
      </c>
    </row>
    <row r="3615" ht="165" spans="1:13">
      <c r="A3615" s="1" t="s">
        <v>16279</v>
      </c>
      <c r="B3615" s="1" t="s">
        <v>13</v>
      </c>
      <c r="C3615" s="4" t="s">
        <v>16295</v>
      </c>
      <c r="D3615" s="1" t="s">
        <v>16296</v>
      </c>
      <c r="E3615" s="1" t="s">
        <v>16297</v>
      </c>
      <c r="F3615" s="4" t="s">
        <v>17</v>
      </c>
      <c r="G3615" s="1" t="s">
        <v>18</v>
      </c>
      <c r="H3615" s="1" t="s">
        <v>19</v>
      </c>
      <c r="I3615" s="1" t="s">
        <v>20</v>
      </c>
      <c r="J3615" s="1" t="s">
        <v>16298</v>
      </c>
      <c r="K3615" s="1" t="s">
        <v>22</v>
      </c>
      <c r="L3615" s="1" t="str">
        <f>HYPERLINK("https://files.afu.se/Downloads/Transcripts/0%20-%20Government/USA%20-%20NASA/2012 03 29 - NASA - European Cargo Ship Delivers Supplies to the International Space Station_PorM-1F4jdo - transcript (automated).pdf","Transcript Link")</f>
        <v>Transcript Link</v>
      </c>
      <c r="M3615" s="2" t="str">
        <f>HYPERLINK("https://files.afu.se/Downloads/Transcripts/0%20-%20Government/USA%20-%20NASA/2012 03 29 - NASA - European Cargo Ship Delivers Supplies to the International Space Station_PorM-1F4jdo - transcript (automated).pdf","Transcript Link")</f>
        <v>Transcript Link</v>
      </c>
    </row>
    <row r="3616" ht="165" spans="1:13">
      <c r="A3616" s="1" t="s">
        <v>16299</v>
      </c>
      <c r="B3616" s="1" t="s">
        <v>13</v>
      </c>
      <c r="C3616" s="4" t="s">
        <v>16300</v>
      </c>
      <c r="D3616" s="1" t="s">
        <v>16301</v>
      </c>
      <c r="E3616" s="1" t="s">
        <v>16302</v>
      </c>
      <c r="F3616" s="4" t="s">
        <v>17</v>
      </c>
      <c r="G3616" s="1" t="s">
        <v>18</v>
      </c>
      <c r="H3616" s="1" t="s">
        <v>19</v>
      </c>
      <c r="I3616" s="1" t="s">
        <v>20</v>
      </c>
      <c r="J3616" s="1" t="s">
        <v>16303</v>
      </c>
      <c r="K3616" s="1" t="s">
        <v>22</v>
      </c>
      <c r="L3616" s="1" t="str">
        <f>HYPERLINK("https://files.afu.se/Downloads/Transcripts/0%20-%20Government/USA%20-%20NASA/2012 03 28 - NASA - will.i.am Talks NASA Spinoffs_Bh5tFatnrfM - transcript (automated).pdf","Transcript Link")</f>
        <v>Transcript Link</v>
      </c>
      <c r="M3616" s="2" t="str">
        <f>HYPERLINK("https://files.afu.se/Downloads/Transcripts/0%20-%20Government/USA%20-%20NASA/2012 03 28 - NASA - will.i.am Talks NASA Spinoffs_Bh5tFatnrfM - transcript (automated).pdf","Transcript Link")</f>
        <v>Transcript Link</v>
      </c>
    </row>
    <row r="3617" ht="165" spans="1:13">
      <c r="A3617" s="1" t="s">
        <v>16304</v>
      </c>
      <c r="B3617" s="1" t="s">
        <v>13</v>
      </c>
      <c r="C3617" s="4" t="s">
        <v>16305</v>
      </c>
      <c r="D3617" s="1" t="s">
        <v>16306</v>
      </c>
      <c r="E3617" s="1" t="s">
        <v>16307</v>
      </c>
      <c r="F3617" s="4" t="s">
        <v>17</v>
      </c>
      <c r="G3617" s="1" t="s">
        <v>18</v>
      </c>
      <c r="H3617" s="1" t="s">
        <v>19</v>
      </c>
      <c r="I3617" s="1" t="s">
        <v>20</v>
      </c>
      <c r="J3617" s="1" t="s">
        <v>16308</v>
      </c>
      <c r="K3617" s="1" t="s">
        <v>22</v>
      </c>
      <c r="L3617" s="1" t="str">
        <f>HYPERLINK("https://files.afu.se/Downloads/Transcripts/0%20-%20Government/USA%20-%20NASA/2012 03 27 - NASA - NASA Administrator Speaks at Aero Club Luncheon_A7IA0MJqXjg - transcript (automated).pdf","Transcript Link")</f>
        <v>Transcript Link</v>
      </c>
      <c r="M3617" s="2" t="str">
        <f>HYPERLINK("https://files.afu.se/Downloads/Transcripts/0%20-%20Government/USA%20-%20NASA/2012 03 27 - NASA - NASA Administrator Speaks at Aero Club Luncheon_A7IA0MJqXjg - transcript (automated).pdf","Transcript Link")</f>
        <v>Transcript Link</v>
      </c>
    </row>
    <row r="3618" ht="225" spans="1:13">
      <c r="A3618" s="1" t="s">
        <v>16304</v>
      </c>
      <c r="B3618" s="1" t="s">
        <v>13</v>
      </c>
      <c r="C3618" s="4" t="s">
        <v>16309</v>
      </c>
      <c r="D3618" s="1" t="s">
        <v>16310</v>
      </c>
      <c r="E3618" s="1" t="s">
        <v>16311</v>
      </c>
      <c r="F3618" s="4" t="s">
        <v>17</v>
      </c>
      <c r="G3618" s="1" t="s">
        <v>18</v>
      </c>
      <c r="H3618" s="1" t="s">
        <v>19</v>
      </c>
      <c r="I3618" s="1" t="s">
        <v>20</v>
      </c>
      <c r="J3618" s="1" t="s">
        <v>16312</v>
      </c>
      <c r="K3618" s="1" t="s">
        <v>22</v>
      </c>
      <c r="L3618" s="1" t="str">
        <f>HYPERLINK("https://files.afu.se/Downloads/Transcripts/0%20-%20Government/USA%20-%20NASA/2012 03 27 - NASA - NASA Deputy Administrator Talks to Students about Science and Engineering_CzVJ6sFCpV8 - transcript (automated).pdf","Transcript Link")</f>
        <v>Transcript Link</v>
      </c>
      <c r="M3618" s="2" t="str">
        <f>HYPERLINK("https://files.afu.se/Downloads/Transcripts/0%20-%20Government/USA%20-%20NASA/2012 03 27 - NASA - NASA Deputy Administrator Talks to Students about Science and Engineering_CzVJ6sFCpV8 - transcript (automated).pdf","Transcript Link")</f>
        <v>Transcript Link</v>
      </c>
    </row>
    <row r="3619" ht="285" spans="1:13">
      <c r="A3619" s="1" t="s">
        <v>16304</v>
      </c>
      <c r="B3619" s="1" t="s">
        <v>13</v>
      </c>
      <c r="C3619" s="4" t="s">
        <v>16313</v>
      </c>
      <c r="D3619" s="1" t="s">
        <v>16314</v>
      </c>
      <c r="E3619" s="1" t="s">
        <v>16315</v>
      </c>
      <c r="F3619" s="4" t="s">
        <v>17</v>
      </c>
      <c r="G3619" s="1" t="s">
        <v>18</v>
      </c>
      <c r="H3619" s="1" t="s">
        <v>19</v>
      </c>
      <c r="I3619" s="1" t="s">
        <v>20</v>
      </c>
      <c r="J3619" s="1" t="s">
        <v>16316</v>
      </c>
      <c r="K3619" s="1" t="s">
        <v>22</v>
      </c>
      <c r="L3619" s="1" t="str">
        <f>HYPERLINK("https://files.afu.se/Downloads/Transcripts/0%20-%20Government/USA%20-%20NASA/2012 03 27 - NASA - ATREX Mission Successfully Launched from Wallops_f4w0Q_16LMM - transcript (automated).pdf","Transcript Link")</f>
        <v>Transcript Link</v>
      </c>
      <c r="M3619" s="2" t="str">
        <f>HYPERLINK("https://files.afu.se/Downloads/Transcripts/0%20-%20Government/USA%20-%20NASA/2012 03 27 - NASA - ATREX Mission Successfully Launched from Wallops_f4w0Q_16LMM - transcript (automated).pdf","Transcript Link")</f>
        <v>Transcript Link</v>
      </c>
    </row>
    <row r="3620" ht="165" spans="1:13">
      <c r="A3620" s="1" t="s">
        <v>16304</v>
      </c>
      <c r="B3620" s="1" t="s">
        <v>13</v>
      </c>
      <c r="C3620" s="4" t="s">
        <v>16317</v>
      </c>
      <c r="D3620" s="1" t="s">
        <v>16318</v>
      </c>
      <c r="E3620" s="1" t="s">
        <v>16319</v>
      </c>
      <c r="F3620" s="4" t="s">
        <v>17</v>
      </c>
      <c r="G3620" s="1" t="s">
        <v>18</v>
      </c>
      <c r="H3620" s="1" t="s">
        <v>19</v>
      </c>
      <c r="I3620" s="1" t="s">
        <v>20</v>
      </c>
      <c r="J3620" s="1" t="s">
        <v>16320</v>
      </c>
      <c r="K3620" s="1" t="s">
        <v>22</v>
      </c>
      <c r="L3620" s="1" t="str">
        <f>HYPERLINK("https://files.afu.se/Downloads/Transcripts/0%20-%20Government/USA%20-%20NASA/2012 03 27 - NASA - Inside the International Space Station Episode 4 Chapter 2 - Mr. Fixit_HfKdJfEGM4s - transcript (automated).pdf","Transcript Link")</f>
        <v>Transcript Link</v>
      </c>
      <c r="M3620" s="2" t="str">
        <f>HYPERLINK("https://files.afu.se/Downloads/Transcripts/0%20-%20Government/USA%20-%20NASA/2012 03 27 - NASA - Inside the International Space Station Episode 4 Chapter 2 - Mr. Fixit_HfKdJfEGM4s - transcript (automated).pdf","Transcript Link")</f>
        <v>Transcript Link</v>
      </c>
    </row>
    <row r="3621" ht="405" spans="1:13">
      <c r="A3621" s="1" t="s">
        <v>16321</v>
      </c>
      <c r="B3621" s="1" t="s">
        <v>13</v>
      </c>
      <c r="C3621" s="4" t="s">
        <v>16322</v>
      </c>
      <c r="D3621" s="1" t="s">
        <v>16323</v>
      </c>
      <c r="E3621" s="1" t="s">
        <v>16324</v>
      </c>
      <c r="F3621" s="4" t="s">
        <v>17</v>
      </c>
      <c r="G3621" s="1" t="s">
        <v>18</v>
      </c>
      <c r="H3621" s="1" t="s">
        <v>19</v>
      </c>
      <c r="I3621" s="1" t="s">
        <v>20</v>
      </c>
      <c r="J3621" s="1" t="s">
        <v>16325</v>
      </c>
      <c r="K3621" s="1" t="s">
        <v>22</v>
      </c>
      <c r="L3621" s="1" t="str">
        <f>HYPERLINK("https://files.afu.se/Downloads/Transcripts/0%20-%20Government/USA%20-%20NASA/2012 03 24 - NASA - ORBITAL DEBRIS SAFELY PASSES INTERNATIONAL SPACE STATION_Kw5zkf2ZfvA - transcript (automated).pdf","Transcript Link")</f>
        <v>Transcript Link</v>
      </c>
      <c r="M3621" s="2" t="str">
        <f>HYPERLINK("https://files.afu.se/Downloads/Transcripts/0%20-%20Government/USA%20-%20NASA/2012 03 24 - NASA - ORBITAL DEBRIS SAFELY PASSES INTERNATIONAL SPACE STATION_Kw5zkf2ZfvA - transcript (automated).pdf","Transcript Link")</f>
        <v>Transcript Link</v>
      </c>
    </row>
    <row r="3622" ht="165" spans="1:13">
      <c r="A3622" s="1" t="s">
        <v>16326</v>
      </c>
      <c r="B3622" s="1" t="s">
        <v>13</v>
      </c>
      <c r="C3622" s="4" t="s">
        <v>16327</v>
      </c>
      <c r="D3622" s="1" t="s">
        <v>16328</v>
      </c>
      <c r="E3622" s="1" t="s">
        <v>16329</v>
      </c>
      <c r="F3622" s="4" t="s">
        <v>17</v>
      </c>
      <c r="G3622" s="1" t="s">
        <v>18</v>
      </c>
      <c r="H3622" s="1" t="s">
        <v>19</v>
      </c>
      <c r="I3622" s="1" t="s">
        <v>20</v>
      </c>
      <c r="J3622" s="1" t="s">
        <v>16330</v>
      </c>
      <c r="K3622" s="1" t="s">
        <v>22</v>
      </c>
      <c r="L3622" s="1" t="str">
        <f>HYPERLINK("https://files.afu.se/Downloads/Transcripts/0%20-%20Government/USA%20-%20NASA/2012 03 23 - NASA - NASA Women's History Month Profile - Gemma Flores_QGZwqXqmsT0 - transcript (automated).pdf","Transcript Link")</f>
        <v>Transcript Link</v>
      </c>
      <c r="M3622" s="2" t="str">
        <f>HYPERLINK("https://files.afu.se/Downloads/Transcripts/0%20-%20Government/USA%20-%20NASA/2012 03 23 - NASA - NASA Women's History Month Profile - Gemma Flores_QGZwqXqmsT0 - transcript (automated).pdf","Transcript Link")</f>
        <v>Transcript Link</v>
      </c>
    </row>
    <row r="3623" ht="240" spans="1:13">
      <c r="A3623" s="1" t="s">
        <v>16326</v>
      </c>
      <c r="B3623" s="1" t="s">
        <v>13</v>
      </c>
      <c r="C3623" s="4" t="s">
        <v>16331</v>
      </c>
      <c r="D3623" s="1" t="s">
        <v>16332</v>
      </c>
      <c r="E3623" s="1" t="s">
        <v>16333</v>
      </c>
      <c r="F3623" s="4" t="s">
        <v>17</v>
      </c>
      <c r="G3623" s="1" t="s">
        <v>18</v>
      </c>
      <c r="H3623" s="1" t="s">
        <v>19</v>
      </c>
      <c r="I3623" s="1" t="s">
        <v>20</v>
      </c>
      <c r="J3623" s="1" t="s">
        <v>16334</v>
      </c>
      <c r="K3623" s="1" t="s">
        <v>22</v>
      </c>
      <c r="L3623" s="1" t="str">
        <f>HYPERLINK("https://files.afu.se/Downloads/Transcripts/0%20-%20Government/USA%20-%20NASA/2012 03 23 - NASA - Supply Mission to Station on This Week @ NASA_42DIYPyjado - transcript (automated).pdf","Transcript Link")</f>
        <v>Transcript Link</v>
      </c>
      <c r="M3623" s="2" t="str">
        <f>HYPERLINK("https://files.afu.se/Downloads/Transcripts/0%20-%20Government/USA%20-%20NASA/2012 03 23 - NASA - Supply Mission to Station on This Week @ NASA_42DIYPyjado - transcript (automated).pdf","Transcript Link")</f>
        <v>Transcript Link</v>
      </c>
    </row>
    <row r="3624" ht="285" spans="1:13">
      <c r="A3624" s="1" t="s">
        <v>16326</v>
      </c>
      <c r="B3624" s="1" t="s">
        <v>13</v>
      </c>
      <c r="C3624" s="4" t="s">
        <v>16335</v>
      </c>
      <c r="D3624" s="1" t="s">
        <v>16336</v>
      </c>
      <c r="E3624" s="1" t="s">
        <v>16337</v>
      </c>
      <c r="F3624" s="4" t="s">
        <v>17</v>
      </c>
      <c r="G3624" s="1" t="s">
        <v>18</v>
      </c>
      <c r="H3624" s="1" t="s">
        <v>19</v>
      </c>
      <c r="I3624" s="1" t="s">
        <v>20</v>
      </c>
      <c r="J3624" s="1" t="s">
        <v>16338</v>
      </c>
      <c r="K3624" s="1" t="s">
        <v>22</v>
      </c>
      <c r="L3624" s="1" t="str">
        <f>HYPERLINK("https://files.afu.se/Downloads/Transcripts/0%20-%20Government/USA%20-%20NASA/2012 03 23 - NASA - NASA Women's History Month Profile - Sandra Turner_kP2Ut3QpgWU - transcript (automated).pdf","Transcript Link")</f>
        <v>Transcript Link</v>
      </c>
      <c r="M3624" s="2" t="str">
        <f>HYPERLINK("https://files.afu.se/Downloads/Transcripts/0%20-%20Government/USA%20-%20NASA/2012 03 23 - NASA - NASA Women's History Month Profile - Sandra Turner_kP2Ut3QpgWU - transcript (automated).pdf","Transcript Link")</f>
        <v>Transcript Link</v>
      </c>
    </row>
    <row r="3625" ht="270" spans="1:13">
      <c r="A3625" s="1" t="s">
        <v>16326</v>
      </c>
      <c r="B3625" s="1" t="s">
        <v>13</v>
      </c>
      <c r="C3625" s="4" t="s">
        <v>16339</v>
      </c>
      <c r="D3625" s="1" t="s">
        <v>16340</v>
      </c>
      <c r="E3625" s="1" t="s">
        <v>16341</v>
      </c>
      <c r="F3625" s="4" t="s">
        <v>17</v>
      </c>
      <c r="G3625" s="1" t="s">
        <v>18</v>
      </c>
      <c r="H3625" s="1" t="s">
        <v>19</v>
      </c>
      <c r="I3625" s="1" t="s">
        <v>20</v>
      </c>
      <c r="J3625" s="1" t="s">
        <v>16342</v>
      </c>
      <c r="K3625" s="1" t="s">
        <v>22</v>
      </c>
      <c r="L3625" s="1" t="str">
        <f>HYPERLINK("https://files.afu.se/Downloads/Transcripts/0%20-%20Government/USA%20-%20NASA/2012 03 23 - NASA - NASA Women's History Month Profile - Amy Mainzer_EDz0AviGge0 - transcript (automated).pdf","Transcript Link")</f>
        <v>Transcript Link</v>
      </c>
      <c r="M3625" s="2" t="str">
        <f>HYPERLINK("https://files.afu.se/Downloads/Transcripts/0%20-%20Government/USA%20-%20NASA/2012 03 23 - NASA - NASA Women's History Month Profile - Amy Mainzer_EDz0AviGge0 - transcript (automated).pdf","Transcript Link")</f>
        <v>Transcript Link</v>
      </c>
    </row>
    <row r="3626" ht="180" spans="1:13">
      <c r="A3626" s="1" t="s">
        <v>16326</v>
      </c>
      <c r="B3626" s="1" t="s">
        <v>13</v>
      </c>
      <c r="C3626" s="4" t="s">
        <v>16343</v>
      </c>
      <c r="D3626" s="1" t="s">
        <v>16344</v>
      </c>
      <c r="E3626" s="1" t="s">
        <v>16345</v>
      </c>
      <c r="F3626" s="4" t="s">
        <v>17</v>
      </c>
      <c r="G3626" s="1" t="s">
        <v>18</v>
      </c>
      <c r="H3626" s="1" t="s">
        <v>19</v>
      </c>
      <c r="I3626" s="1" t="s">
        <v>20</v>
      </c>
      <c r="J3626" s="1" t="s">
        <v>16346</v>
      </c>
      <c r="K3626" s="1" t="s">
        <v>22</v>
      </c>
      <c r="L3626" s="1" t="str">
        <f>HYPERLINK("https://files.afu.se/Downloads/Transcripts/0%20-%20Government/USA%20-%20NASA/2012 03 23 - NASA - NASA Women's History Month Profile - Jennifer Price_yYoTGuQroRI - transcript (automated).pdf","Transcript Link")</f>
        <v>Transcript Link</v>
      </c>
      <c r="M3626" s="2" t="str">
        <f>HYPERLINK("https://files.afu.se/Downloads/Transcripts/0%20-%20Government/USA%20-%20NASA/2012 03 23 - NASA - NASA Women's History Month Profile - Jennifer Price_yYoTGuQroRI - transcript (automated).pdf","Transcript Link")</f>
        <v>Transcript Link</v>
      </c>
    </row>
    <row r="3627" ht="315" spans="1:13">
      <c r="A3627" s="1" t="s">
        <v>16326</v>
      </c>
      <c r="B3627" s="1" t="s">
        <v>13</v>
      </c>
      <c r="C3627" s="4" t="s">
        <v>16347</v>
      </c>
      <c r="D3627" s="1" t="s">
        <v>16348</v>
      </c>
      <c r="E3627" s="1" t="s">
        <v>16349</v>
      </c>
      <c r="F3627" s="4" t="s">
        <v>17</v>
      </c>
      <c r="G3627" s="1" t="s">
        <v>18</v>
      </c>
      <c r="H3627" s="1" t="s">
        <v>19</v>
      </c>
      <c r="I3627" s="1" t="s">
        <v>20</v>
      </c>
      <c r="J3627" s="1" t="s">
        <v>16350</v>
      </c>
      <c r="K3627" s="1" t="s">
        <v>22</v>
      </c>
      <c r="L3627" s="1" t="str">
        <f>HYPERLINK("https://files.afu.se/Downloads/Transcripts/0%20-%20Government/USA%20-%20NASA/2012 03 23 - NASA - NASA Women's History Month Profile - Lora Bailey_-DftngDMvNM - transcript (automated).pdf","Transcript Link")</f>
        <v>Transcript Link</v>
      </c>
      <c r="M3627" s="2" t="str">
        <f>HYPERLINK("https://files.afu.se/Downloads/Transcripts/0%20-%20Government/USA%20-%20NASA/2012 03 23 - NASA - NASA Women's History Month Profile - Lora Bailey_-DftngDMvNM - transcript (automated).pdf","Transcript Link")</f>
        <v>Transcript Link</v>
      </c>
    </row>
    <row r="3628" ht="165" spans="1:13">
      <c r="A3628" s="1" t="s">
        <v>16326</v>
      </c>
      <c r="B3628" s="1" t="s">
        <v>13</v>
      </c>
      <c r="C3628" s="4" t="s">
        <v>16351</v>
      </c>
      <c r="D3628" s="1" t="s">
        <v>16352</v>
      </c>
      <c r="E3628" s="1" t="s">
        <v>16353</v>
      </c>
      <c r="F3628" s="4" t="s">
        <v>17</v>
      </c>
      <c r="G3628" s="1" t="s">
        <v>18</v>
      </c>
      <c r="H3628" s="1" t="s">
        <v>19</v>
      </c>
      <c r="I3628" s="1" t="s">
        <v>20</v>
      </c>
      <c r="J3628" s="1" t="s">
        <v>16354</v>
      </c>
      <c r="K3628" s="1" t="s">
        <v>22</v>
      </c>
      <c r="L3628" s="1" t="str">
        <f>HYPERLINK("https://files.afu.se/Downloads/Transcripts/0%20-%20Government/USA%20-%20NASA/2012 03 23 - NASA - ISS Crew Updates Bloomberg News on Mission_rZwKysRcWsY - transcript (automated).pdf","Transcript Link")</f>
        <v>Transcript Link</v>
      </c>
      <c r="M3628" s="2" t="str">
        <f>HYPERLINK("https://files.afu.se/Downloads/Transcripts/0%20-%20Government/USA%20-%20NASA/2012 03 23 - NASA - ISS Crew Updates Bloomberg News on Mission_rZwKysRcWsY - transcript (automated).pdf","Transcript Link")</f>
        <v>Transcript Link</v>
      </c>
    </row>
    <row r="3629" ht="165" spans="1:13">
      <c r="A3629" s="1" t="s">
        <v>16326</v>
      </c>
      <c r="B3629" s="1" t="s">
        <v>13</v>
      </c>
      <c r="C3629" s="4" t="s">
        <v>16355</v>
      </c>
      <c r="D3629" s="1" t="s">
        <v>16356</v>
      </c>
      <c r="E3629" s="1" t="s">
        <v>16357</v>
      </c>
      <c r="F3629" s="4" t="s">
        <v>17</v>
      </c>
      <c r="G3629" s="1" t="s">
        <v>18</v>
      </c>
      <c r="H3629" s="1" t="s">
        <v>19</v>
      </c>
      <c r="I3629" s="1" t="s">
        <v>20</v>
      </c>
      <c r="J3629" s="1" t="s">
        <v>16358</v>
      </c>
      <c r="K3629" s="1" t="s">
        <v>22</v>
      </c>
      <c r="L3629" s="1" t="str">
        <f>HYPERLINK("https://files.afu.se/Downloads/Transcripts/0%20-%20Government/USA%20-%20NASA/2012 03 23 - NASA - Cargo Craft Heads to ISS_IDGVUBAeq8I - transcript (automated).pdf","Transcript Link")</f>
        <v>Transcript Link</v>
      </c>
      <c r="M3629" s="2" t="str">
        <f>HYPERLINK("https://files.afu.se/Downloads/Transcripts/0%20-%20Government/USA%20-%20NASA/2012 03 23 - NASA - Cargo Craft Heads to ISS_IDGVUBAeq8I - transcript (automated).pdf","Transcript Link")</f>
        <v>Transcript Link</v>
      </c>
    </row>
    <row r="3630" ht="165" spans="1:13">
      <c r="A3630" s="1" t="s">
        <v>16359</v>
      </c>
      <c r="B3630" s="1" t="s">
        <v>13</v>
      </c>
      <c r="C3630" s="4" t="s">
        <v>16360</v>
      </c>
      <c r="D3630" s="1" t="s">
        <v>16361</v>
      </c>
      <c r="E3630" s="1" t="s">
        <v>16362</v>
      </c>
      <c r="F3630" s="4" t="s">
        <v>17</v>
      </c>
      <c r="G3630" s="1" t="s">
        <v>18</v>
      </c>
      <c r="H3630" s="1" t="s">
        <v>19</v>
      </c>
      <c r="I3630" s="1" t="s">
        <v>20</v>
      </c>
      <c r="J3630" s="1" t="s">
        <v>16363</v>
      </c>
      <c r="K3630" s="1" t="s">
        <v>22</v>
      </c>
      <c r="L3630" s="1" t="str">
        <f>HYPERLINK("https://files.afu.se/Downloads/Transcripts/0%20-%20Government/USA%20-%20NASA/2012 03 22 - NASA - ScienceCasts  The Surprising Power of a Solar Storm_KDGpfAzCaDk - transcript (automated).pdf","Transcript Link")</f>
        <v>Transcript Link</v>
      </c>
      <c r="M3630" s="2" t="str">
        <f>HYPERLINK("https://files.afu.se/Downloads/Transcripts/0%20-%20Government/USA%20-%20NASA/2012 03 22 - NASA - ScienceCasts  The Surprising Power of a Solar Storm_KDGpfAzCaDk - transcript (automated).pdf","Transcript Link")</f>
        <v>Transcript Link</v>
      </c>
    </row>
    <row r="3631" ht="180" spans="1:13">
      <c r="A3631" s="1" t="s">
        <v>16359</v>
      </c>
      <c r="B3631" s="1" t="s">
        <v>13</v>
      </c>
      <c r="C3631" s="4" t="s">
        <v>16364</v>
      </c>
      <c r="D3631" s="1" t="s">
        <v>16365</v>
      </c>
      <c r="E3631" s="1" t="s">
        <v>16366</v>
      </c>
      <c r="F3631" s="4" t="s">
        <v>17</v>
      </c>
      <c r="G3631" s="1" t="s">
        <v>18</v>
      </c>
      <c r="H3631" s="1" t="s">
        <v>19</v>
      </c>
      <c r="I3631" s="1" t="s">
        <v>20</v>
      </c>
      <c r="J3631" s="1" t="s">
        <v>16367</v>
      </c>
      <c r="K3631" s="1" t="s">
        <v>22</v>
      </c>
      <c r="L3631" s="1" t="str">
        <f>HYPERLINK("https://files.afu.se/Downloads/Transcripts/0%20-%20Government/USA%20-%20NASA/2012 03 22 - NASA - Astronaut Al Drew Talks Space With Students_ID36q7gBwwM - transcript (automated).pdf","Transcript Link")</f>
        <v>Transcript Link</v>
      </c>
      <c r="M3631" s="2" t="str">
        <f>HYPERLINK("https://files.afu.se/Downloads/Transcripts/0%20-%20Government/USA%20-%20NASA/2012 03 22 - NASA - Astronaut Al Drew Talks Space With Students_ID36q7gBwwM - transcript (automated).pdf","Transcript Link")</f>
        <v>Transcript Link</v>
      </c>
    </row>
    <row r="3632" ht="165" spans="1:13">
      <c r="A3632" s="1" t="s">
        <v>16368</v>
      </c>
      <c r="B3632" s="1" t="s">
        <v>13</v>
      </c>
      <c r="C3632" s="4" t="s">
        <v>16369</v>
      </c>
      <c r="D3632" s="1" t="s">
        <v>16370</v>
      </c>
      <c r="E3632" s="1" t="s">
        <v>16371</v>
      </c>
      <c r="F3632" s="4" t="s">
        <v>17</v>
      </c>
      <c r="G3632" s="1" t="s">
        <v>18</v>
      </c>
      <c r="H3632" s="1" t="s">
        <v>19</v>
      </c>
      <c r="I3632" s="1" t="s">
        <v>20</v>
      </c>
      <c r="J3632" s="1" t="s">
        <v>16372</v>
      </c>
      <c r="K3632" s="1" t="s">
        <v>22</v>
      </c>
      <c r="L3632" s="1" t="str">
        <f>HYPERLINK("https://files.afu.se/Downloads/Transcripts/0%20-%20Government/USA%20-%20NASA/2012 03 20 - NASA - Expedition 32 33 Crew Members Discuss Next Mission_TD9N_VyqXXE - transcript (automated).pdf","Transcript Link")</f>
        <v>Transcript Link</v>
      </c>
      <c r="M3632" s="2" t="str">
        <f>HYPERLINK("https://files.afu.se/Downloads/Transcripts/0%20-%20Government/USA%20-%20NASA/2012 03 20 - NASA - Expedition 32 33 Crew Members Discuss Next Mission_TD9N_VyqXXE - transcript (automated).pdf","Transcript Link")</f>
        <v>Transcript Link</v>
      </c>
    </row>
    <row r="3633" ht="165" spans="1:13">
      <c r="A3633" s="1" t="s">
        <v>16368</v>
      </c>
      <c r="B3633" s="1" t="s">
        <v>13</v>
      </c>
      <c r="C3633" s="4" t="s">
        <v>16373</v>
      </c>
      <c r="D3633" s="1" t="s">
        <v>16374</v>
      </c>
      <c r="E3633" s="1" t="s">
        <v>16375</v>
      </c>
      <c r="F3633" s="4" t="s">
        <v>17</v>
      </c>
      <c r="G3633" s="1" t="s">
        <v>18</v>
      </c>
      <c r="H3633" s="1" t="s">
        <v>19</v>
      </c>
      <c r="I3633" s="1" t="s">
        <v>20</v>
      </c>
      <c r="J3633" s="1" t="s">
        <v>16376</v>
      </c>
      <c r="K3633" s="1" t="s">
        <v>22</v>
      </c>
      <c r="L3633" s="1" t="str">
        <f>HYPERLINK("https://files.afu.se/Downloads/Transcripts/0%20-%20Government/USA%20-%20NASA/2012 03 20 - NASA - Press Briefed On the Next Mission to the International Space Station_16rfcTbU_D4 - transcript (automated).pdf","Transcript Link")</f>
        <v>Transcript Link</v>
      </c>
      <c r="M3633" s="2" t="str">
        <f>HYPERLINK("https://files.afu.se/Downloads/Transcripts/0%20-%20Government/USA%20-%20NASA/2012 03 20 - NASA - Press Briefed On the Next Mission to the International Space Station_16rfcTbU_D4 - transcript (automated).pdf","Transcript Link")</f>
        <v>Transcript Link</v>
      </c>
    </row>
    <row r="3634" ht="165" spans="1:13">
      <c r="A3634" s="1" t="s">
        <v>16368</v>
      </c>
      <c r="B3634" s="1" t="s">
        <v>13</v>
      </c>
      <c r="C3634" s="4" t="s">
        <v>16377</v>
      </c>
      <c r="D3634" s="1" t="s">
        <v>16378</v>
      </c>
      <c r="E3634" s="1" t="s">
        <v>16379</v>
      </c>
      <c r="F3634" s="4" t="s">
        <v>17</v>
      </c>
      <c r="G3634" s="1" t="s">
        <v>18</v>
      </c>
      <c r="H3634" s="1" t="s">
        <v>19</v>
      </c>
      <c r="I3634" s="1" t="s">
        <v>20</v>
      </c>
      <c r="J3634" s="1" t="s">
        <v>16380</v>
      </c>
      <c r="K3634" s="1" t="s">
        <v>22</v>
      </c>
      <c r="L3634" s="1" t="str">
        <f>HYPERLINK("https://files.afu.se/Downloads/Transcripts/0%20-%20Government/USA%20-%20NASA/2012 03 20 - NASA - Crew Discusses Life in Space with Connecticut Media_bgUhdI7-0O8 - transcript (automated).pdf","Transcript Link")</f>
        <v>Transcript Link</v>
      </c>
      <c r="M3634" s="2" t="str">
        <f>HYPERLINK("https://files.afu.se/Downloads/Transcripts/0%20-%20Government/USA%20-%20NASA/2012 03 20 - NASA - Crew Discusses Life in Space with Connecticut Media_bgUhdI7-0O8 - transcript (automated).pdf","Transcript Link")</f>
        <v>Transcript Link</v>
      </c>
    </row>
    <row r="3635" ht="225" spans="1:13">
      <c r="A3635" s="1" t="s">
        <v>16381</v>
      </c>
      <c r="B3635" s="1" t="s">
        <v>13</v>
      </c>
      <c r="C3635" s="4" t="s">
        <v>16382</v>
      </c>
      <c r="D3635" s="1" t="s">
        <v>16383</v>
      </c>
      <c r="E3635" s="1" t="s">
        <v>16384</v>
      </c>
      <c r="F3635" s="4" t="s">
        <v>17</v>
      </c>
      <c r="G3635" s="1" t="s">
        <v>18</v>
      </c>
      <c r="H3635" s="1" t="s">
        <v>19</v>
      </c>
      <c r="I3635" s="1" t="s">
        <v>20</v>
      </c>
      <c r="J3635" s="1" t="s">
        <v>16385</v>
      </c>
      <c r="K3635" s="1" t="s">
        <v>22</v>
      </c>
      <c r="L3635" s="1" t="str">
        <f>HYPERLINK("https://files.afu.se/Downloads/Transcripts/0%20-%20Government/USA%20-%20NASA/2012 03 19 - NASA - GRAIL Doing Science on This Week @ NASA_U4YIFl0_AQE - transcript (automated).pdf","Transcript Link")</f>
        <v>Transcript Link</v>
      </c>
      <c r="M3635" s="2" t="str">
        <f>HYPERLINK("https://files.afu.se/Downloads/Transcripts/0%20-%20Government/USA%20-%20NASA/2012 03 19 - NASA - GRAIL Doing Science on This Week @ NASA_U4YIFl0_AQE - transcript (automated).pdf","Transcript Link")</f>
        <v>Transcript Link</v>
      </c>
    </row>
    <row r="3636" ht="210" spans="1:13">
      <c r="A3636" s="1" t="s">
        <v>16386</v>
      </c>
      <c r="B3636" s="1" t="s">
        <v>13</v>
      </c>
      <c r="C3636" s="4" t="s">
        <v>16387</v>
      </c>
      <c r="D3636" s="1" t="s">
        <v>16383</v>
      </c>
      <c r="E3636" s="1" t="s">
        <v>16388</v>
      </c>
      <c r="F3636" s="4" t="s">
        <v>17</v>
      </c>
      <c r="G3636" s="1" t="s">
        <v>18</v>
      </c>
      <c r="H3636" s="1" t="s">
        <v>19</v>
      </c>
      <c r="I3636" s="1" t="s">
        <v>20</v>
      </c>
      <c r="J3636" s="1" t="s">
        <v>16389</v>
      </c>
      <c r="K3636" s="1" t="s">
        <v>22</v>
      </c>
      <c r="L3636" s="1" t="str">
        <f>HYPERLINK("https://files.afu.se/Downloads/Transcripts/0%20-%20Government/USA%20-%20NASA/2012 03 16 - NASA - GRAIL Doing Science on This Week @ NASA_m4qYACF3wAk - transcript (automated).pdf","Transcript Link")</f>
        <v>Transcript Link</v>
      </c>
      <c r="M3636" s="2" t="str">
        <f>HYPERLINK("https://files.afu.se/Downloads/Transcripts/0%20-%20Government/USA%20-%20NASA/2012 03 16 - NASA - GRAIL Doing Science on This Week @ NASA_m4qYACF3wAk - transcript (automated).pdf","Transcript Link")</f>
        <v>Transcript Link</v>
      </c>
    </row>
    <row r="3637" ht="165" spans="1:13">
      <c r="A3637" s="1" t="s">
        <v>16386</v>
      </c>
      <c r="B3637" s="1" t="s">
        <v>13</v>
      </c>
      <c r="C3637" s="4" t="s">
        <v>16390</v>
      </c>
      <c r="D3637" s="1" t="s">
        <v>16391</v>
      </c>
      <c r="E3637" s="1" t="s">
        <v>16392</v>
      </c>
      <c r="F3637" s="4" t="s">
        <v>17</v>
      </c>
      <c r="G3637" s="1" t="s">
        <v>18</v>
      </c>
      <c r="H3637" s="1" t="s">
        <v>19</v>
      </c>
      <c r="I3637" s="1" t="s">
        <v>20</v>
      </c>
      <c r="J3637" s="1" t="s">
        <v>16393</v>
      </c>
      <c r="K3637" s="1" t="s">
        <v>22</v>
      </c>
      <c r="L3637" s="1" t="str">
        <f>HYPERLINK("https://files.afu.se/Downloads/Transcripts/0%20-%20Government/USA%20-%20NASA/2012 03 16 - NASA - Orion's Test Flight to Perform Two Orbits_U63O0naPtyg - transcript (automated).pdf","Transcript Link")</f>
        <v>Transcript Link</v>
      </c>
      <c r="M3637" s="2" t="str">
        <f>HYPERLINK("https://files.afu.se/Downloads/Transcripts/0%20-%20Government/USA%20-%20NASA/2012 03 16 - NASA - Orion's Test Flight to Perform Two Orbits_U63O0naPtyg - transcript (automated).pdf","Transcript Link")</f>
        <v>Transcript Link</v>
      </c>
    </row>
    <row r="3638" ht="165" spans="1:13">
      <c r="A3638" s="1" t="s">
        <v>16386</v>
      </c>
      <c r="B3638" s="1" t="s">
        <v>13</v>
      </c>
      <c r="C3638" s="4" t="s">
        <v>16394</v>
      </c>
      <c r="D3638" s="1" t="s">
        <v>16395</v>
      </c>
      <c r="E3638" s="1" t="s">
        <v>16396</v>
      </c>
      <c r="F3638" s="4" t="s">
        <v>17</v>
      </c>
      <c r="G3638" s="1" t="s">
        <v>18</v>
      </c>
      <c r="H3638" s="1" t="s">
        <v>19</v>
      </c>
      <c r="I3638" s="1" t="s">
        <v>20</v>
      </c>
      <c r="J3638" s="1" t="s">
        <v>16397</v>
      </c>
      <c r="K3638" s="1" t="s">
        <v>22</v>
      </c>
      <c r="L3638" s="1" t="str">
        <f>HYPERLINK("https://files.afu.se/Downloads/Transcripts/0%20-%20Government/USA%20-%20NASA/2012 03 16 - NASA -  Riding the Booster  Never Sounded Better_527fb3-UZGo - transcript (automated).pdf","Transcript Link")</f>
        <v>Transcript Link</v>
      </c>
      <c r="M3638" s="2" t="str">
        <f>HYPERLINK("https://files.afu.se/Downloads/Transcripts/0%20-%20Government/USA%20-%20NASA/2012 03 16 - NASA -  Riding the Booster  Never Sounded Better_527fb3-UZGo - transcript (automated).pdf","Transcript Link")</f>
        <v>Transcript Link</v>
      </c>
    </row>
    <row r="3639" ht="165" spans="1:13">
      <c r="A3639" s="1" t="s">
        <v>16398</v>
      </c>
      <c r="B3639" s="1" t="s">
        <v>13</v>
      </c>
      <c r="C3639" s="4" t="s">
        <v>16399</v>
      </c>
      <c r="D3639" s="1" t="s">
        <v>16400</v>
      </c>
      <c r="E3639" s="1" t="s">
        <v>16401</v>
      </c>
      <c r="F3639" s="4" t="s">
        <v>17</v>
      </c>
      <c r="G3639" s="1" t="s">
        <v>18</v>
      </c>
      <c r="H3639" s="1" t="s">
        <v>19</v>
      </c>
      <c r="I3639" s="1" t="s">
        <v>20</v>
      </c>
      <c r="J3639" s="1" t="s">
        <v>16402</v>
      </c>
      <c r="K3639" s="1" t="s">
        <v>22</v>
      </c>
      <c r="L3639" s="1" t="str">
        <f>HYPERLINK("https://files.afu.se/Downloads/Transcripts/0%20-%20Government/USA%20-%20NASA/2012 03 15 - NASA - ScienceCasts  Mysterious Objects at the Edge of the Electromagnetic Spectrum_A6vZMw40ArA - transcript (automated).pdf","Transcript Link")</f>
        <v>Transcript Link</v>
      </c>
      <c r="M3639" s="2" t="str">
        <f>HYPERLINK("https://files.afu.se/Downloads/Transcripts/0%20-%20Government/USA%20-%20NASA/2012 03 15 - NASA - ScienceCasts  Mysterious Objects at the Edge of the Electromagnetic Spectrum_A6vZMw40ArA - transcript (automated).pdf","Transcript Link")</f>
        <v>Transcript Link</v>
      </c>
    </row>
    <row r="3640" ht="165" spans="1:13">
      <c r="A3640" s="1" t="s">
        <v>16398</v>
      </c>
      <c r="B3640" s="1" t="s">
        <v>13</v>
      </c>
      <c r="C3640" s="4" t="s">
        <v>16403</v>
      </c>
      <c r="D3640" s="1" t="s">
        <v>16404</v>
      </c>
      <c r="E3640" s="1" t="s">
        <v>16405</v>
      </c>
      <c r="F3640" s="4" t="s">
        <v>17</v>
      </c>
      <c r="G3640" s="1" t="s">
        <v>18</v>
      </c>
      <c r="H3640" s="1" t="s">
        <v>19</v>
      </c>
      <c r="I3640" s="1" t="s">
        <v>20</v>
      </c>
      <c r="J3640" s="1" t="s">
        <v>16406</v>
      </c>
      <c r="K3640" s="1" t="s">
        <v>22</v>
      </c>
      <c r="L3640" s="1" t="str">
        <f>HYPERLINK("https://files.afu.se/Downloads/Transcripts/0%20-%20Government/USA%20-%20NASA/2012 03 15 - NASA - Inside the International Space Station Episode 4 Chapter 1 - Holiday Clip_3bk_WKF5gCc - transcript (automated).pdf","Transcript Link")</f>
        <v>Transcript Link</v>
      </c>
      <c r="M3640" s="2" t="str">
        <f>HYPERLINK("https://files.afu.se/Downloads/Transcripts/0%20-%20Government/USA%20-%20NASA/2012 03 15 - NASA - Inside the International Space Station Episode 4 Chapter 1 - Holiday Clip_3bk_WKF5gCc - transcript (automated).pdf","Transcript Link")</f>
        <v>Transcript Link</v>
      </c>
    </row>
    <row r="3641" ht="165" spans="1:13">
      <c r="A3641" s="1" t="s">
        <v>16398</v>
      </c>
      <c r="B3641" s="1" t="s">
        <v>13</v>
      </c>
      <c r="C3641" s="4" t="s">
        <v>16407</v>
      </c>
      <c r="D3641" s="1" t="s">
        <v>16408</v>
      </c>
      <c r="E3641" s="1" t="s">
        <v>16409</v>
      </c>
      <c r="F3641" s="4" t="s">
        <v>17</v>
      </c>
      <c r="G3641" s="1" t="s">
        <v>18</v>
      </c>
      <c r="H3641" s="1" t="s">
        <v>19</v>
      </c>
      <c r="I3641" s="1" t="s">
        <v>20</v>
      </c>
      <c r="J3641" s="1" t="s">
        <v>16410</v>
      </c>
      <c r="K3641" s="1" t="s">
        <v>22</v>
      </c>
      <c r="L3641" s="1" t="str">
        <f>HYPERLINK("https://files.afu.se/Downloads/Transcripts/0%20-%20Government/USA%20-%20NASA/2012 03 15 - NASA - NASA Women Honored at JPL_jwpiSPdHITo - transcript (automated).pdf","Transcript Link")</f>
        <v>Transcript Link</v>
      </c>
      <c r="M3641" s="2" t="str">
        <f>HYPERLINK("https://files.afu.se/Downloads/Transcripts/0%20-%20Government/USA%20-%20NASA/2012 03 15 - NASA - NASA Women Honored at JPL_jwpiSPdHITo - transcript (automated).pdf","Transcript Link")</f>
        <v>Transcript Link</v>
      </c>
    </row>
    <row r="3642" ht="195" spans="1:13">
      <c r="A3642" s="1" t="s">
        <v>16411</v>
      </c>
      <c r="B3642" s="1" t="s">
        <v>13</v>
      </c>
      <c r="C3642" s="4" t="s">
        <v>16412</v>
      </c>
      <c r="D3642" s="1" t="s">
        <v>16413</v>
      </c>
      <c r="E3642" s="1" t="s">
        <v>16414</v>
      </c>
      <c r="F3642" s="4" t="s">
        <v>17</v>
      </c>
      <c r="G3642" s="1" t="s">
        <v>18</v>
      </c>
      <c r="H3642" s="1" t="s">
        <v>19</v>
      </c>
      <c r="I3642" s="1" t="s">
        <v>20</v>
      </c>
      <c r="J3642" s="1" t="s">
        <v>16415</v>
      </c>
      <c r="K3642" s="1" t="s">
        <v>22</v>
      </c>
      <c r="L3642" s="1" t="str">
        <f>HYPERLINK("https://files.afu.se/Downloads/Transcripts/0%20-%20Government/USA%20-%20NASA/2012 03 13 - NASA - NASA Women's History Month Profile - Dawn Davis_QDMDZh8y72o - transcript (automated).pdf","Transcript Link")</f>
        <v>Transcript Link</v>
      </c>
      <c r="M3642" s="2" t="str">
        <f>HYPERLINK("https://files.afu.se/Downloads/Transcripts/0%20-%20Government/USA%20-%20NASA/2012 03 13 - NASA - NASA Women's History Month Profile - Dawn Davis_QDMDZh8y72o - transcript (automated).pdf","Transcript Link")</f>
        <v>Transcript Link</v>
      </c>
    </row>
    <row r="3643" ht="180" spans="1:13">
      <c r="A3643" s="1" t="s">
        <v>16411</v>
      </c>
      <c r="B3643" s="1" t="s">
        <v>13</v>
      </c>
      <c r="C3643" s="4" t="s">
        <v>16416</v>
      </c>
      <c r="D3643" s="1" t="s">
        <v>16417</v>
      </c>
      <c r="E3643" s="1" t="s">
        <v>16418</v>
      </c>
      <c r="F3643" s="4" t="s">
        <v>17</v>
      </c>
      <c r="G3643" s="1" t="s">
        <v>18</v>
      </c>
      <c r="H3643" s="1" t="s">
        <v>19</v>
      </c>
      <c r="I3643" s="1" t="s">
        <v>20</v>
      </c>
      <c r="J3643" s="1" t="s">
        <v>16419</v>
      </c>
      <c r="K3643" s="1" t="s">
        <v>22</v>
      </c>
      <c r="L3643" s="1" t="str">
        <f>HYPERLINK("https://files.afu.se/Downloads/Transcripts/0%20-%20Government/USA%20-%20NASA/2012 03 13 - NASA - NASA Women's History Month Profile - Lakeesha Flowers_63bAwZuxfo4 - transcript (automated).pdf","Transcript Link")</f>
        <v>Transcript Link</v>
      </c>
      <c r="M3643" s="2" t="str">
        <f>HYPERLINK("https://files.afu.se/Downloads/Transcripts/0%20-%20Government/USA%20-%20NASA/2012 03 13 - NASA - NASA Women's History Month Profile - Lakeesha Flowers_63bAwZuxfo4 - transcript (automated).pdf","Transcript Link")</f>
        <v>Transcript Link</v>
      </c>
    </row>
    <row r="3644" ht="165" spans="1:13">
      <c r="A3644" s="1" t="s">
        <v>16411</v>
      </c>
      <c r="B3644" s="1" t="s">
        <v>13</v>
      </c>
      <c r="C3644" s="4" t="s">
        <v>16420</v>
      </c>
      <c r="D3644" s="1" t="s">
        <v>16421</v>
      </c>
      <c r="E3644" s="1" t="s">
        <v>16422</v>
      </c>
      <c r="F3644" s="4" t="s">
        <v>17</v>
      </c>
      <c r="G3644" s="1" t="s">
        <v>18</v>
      </c>
      <c r="H3644" s="1" t="s">
        <v>19</v>
      </c>
      <c r="I3644" s="1" t="s">
        <v>20</v>
      </c>
      <c r="J3644" s="1" t="s">
        <v>16423</v>
      </c>
      <c r="K3644" s="1" t="s">
        <v>22</v>
      </c>
      <c r="L3644" s="1" t="str">
        <f>HYPERLINK("https://files.afu.se/Downloads/Transcripts/0%20-%20Government/USA%20-%20NASA/2012 03 13 - NASA - NASA Women's History Month Profile - Robyn Gordon_k7s4ubmj99U - transcript (automated).pdf","Transcript Link")</f>
        <v>Transcript Link</v>
      </c>
      <c r="M3644" s="2" t="str">
        <f>HYPERLINK("https://files.afu.se/Downloads/Transcripts/0%20-%20Government/USA%20-%20NASA/2012 03 13 - NASA - NASA Women's History Month Profile - Robyn Gordon_k7s4ubmj99U - transcript (automated).pdf","Transcript Link")</f>
        <v>Transcript Link</v>
      </c>
    </row>
    <row r="3645" ht="330" spans="1:13">
      <c r="A3645" s="1" t="s">
        <v>16411</v>
      </c>
      <c r="B3645" s="1" t="s">
        <v>13</v>
      </c>
      <c r="C3645" s="4" t="s">
        <v>16424</v>
      </c>
      <c r="D3645" s="1" t="s">
        <v>16425</v>
      </c>
      <c r="E3645" s="1" t="s">
        <v>16426</v>
      </c>
      <c r="F3645" s="4" t="s">
        <v>17</v>
      </c>
      <c r="G3645" s="1" t="s">
        <v>18</v>
      </c>
      <c r="H3645" s="1" t="s">
        <v>19</v>
      </c>
      <c r="I3645" s="1" t="s">
        <v>20</v>
      </c>
      <c r="J3645" s="1" t="s">
        <v>16427</v>
      </c>
      <c r="K3645" s="1" t="s">
        <v>22</v>
      </c>
      <c r="L3645" s="1" t="str">
        <f>HYPERLINK("https://files.afu.se/Downloads/Transcripts/0%20-%20Government/USA%20-%20NASA/2012 03 13 - NASA - NASA Celebrates Women, Aerospace and Innovation Part 1_zL1tfSBVRVM - transcript (automated).pdf","Transcript Link")</f>
        <v>Transcript Link</v>
      </c>
      <c r="M3645" s="2" t="str">
        <f>HYPERLINK("https://files.afu.se/Downloads/Transcripts/0%20-%20Government/USA%20-%20NASA/2012 03 13 - NASA - NASA Celebrates Women, Aerospace and Innovation Part 1_zL1tfSBVRVM - transcript (automated).pdf","Transcript Link")</f>
        <v>Transcript Link</v>
      </c>
    </row>
    <row r="3646" ht="225" spans="1:13">
      <c r="A3646" s="1" t="s">
        <v>16428</v>
      </c>
      <c r="B3646" s="1" t="s">
        <v>13</v>
      </c>
      <c r="C3646" s="4" t="s">
        <v>16429</v>
      </c>
      <c r="D3646" s="1" t="s">
        <v>16430</v>
      </c>
      <c r="E3646" s="1" t="s">
        <v>16431</v>
      </c>
      <c r="F3646" s="4" t="s">
        <v>17</v>
      </c>
      <c r="G3646" s="1" t="s">
        <v>18</v>
      </c>
      <c r="H3646" s="1" t="s">
        <v>19</v>
      </c>
      <c r="I3646" s="1" t="s">
        <v>20</v>
      </c>
      <c r="J3646" s="1" t="s">
        <v>16432</v>
      </c>
      <c r="K3646" s="1" t="s">
        <v>22</v>
      </c>
      <c r="L3646" s="1" t="str">
        <f>HYPERLINK("https://files.afu.se/Downloads/Transcripts/0%20-%20Government/USA%20-%20NASA/2012 03 12 - NASA - NASA Celebrates Women, Aerospace and Innovation Part 3_hYCO9_B61oA - transcript (automated).pdf","Transcript Link")</f>
        <v>Transcript Link</v>
      </c>
      <c r="M3646" s="2" t="str">
        <f>HYPERLINK("https://files.afu.se/Downloads/Transcripts/0%20-%20Government/USA%20-%20NASA/2012 03 12 - NASA - NASA Celebrates Women, Aerospace and Innovation Part 3_hYCO9_B61oA - transcript (automated).pdf","Transcript Link")</f>
        <v>Transcript Link</v>
      </c>
    </row>
    <row r="3647" ht="225" spans="1:13">
      <c r="A3647" s="1" t="s">
        <v>16428</v>
      </c>
      <c r="B3647" s="1" t="s">
        <v>13</v>
      </c>
      <c r="C3647" s="4" t="s">
        <v>16433</v>
      </c>
      <c r="D3647" s="1" t="s">
        <v>16434</v>
      </c>
      <c r="E3647" s="1" t="s">
        <v>16431</v>
      </c>
      <c r="F3647" s="4" t="s">
        <v>17</v>
      </c>
      <c r="G3647" s="1" t="s">
        <v>18</v>
      </c>
      <c r="H3647" s="1" t="s">
        <v>19</v>
      </c>
      <c r="I3647" s="1" t="s">
        <v>20</v>
      </c>
      <c r="J3647" s="1" t="s">
        <v>16435</v>
      </c>
      <c r="K3647" s="1" t="s">
        <v>22</v>
      </c>
      <c r="L3647" s="1" t="str">
        <f>HYPERLINK("https://files.afu.se/Downloads/Transcripts/0%20-%20Government/USA%20-%20NASA/2012 03 12 - NASA - NASA Celebrates Women, Aerospace and Innovation Part 2_PNdsJHEDW_M - transcript (automated).pdf","Transcript Link")</f>
        <v>Transcript Link</v>
      </c>
      <c r="M3647" s="2" t="str">
        <f>HYPERLINK("https://files.afu.se/Downloads/Transcripts/0%20-%20Government/USA%20-%20NASA/2012 03 12 - NASA - NASA Celebrates Women, Aerospace and Innovation Part 2_PNdsJHEDW_M - transcript (automated).pdf","Transcript Link")</f>
        <v>Transcript Link</v>
      </c>
    </row>
    <row r="3648" ht="165" spans="1:13">
      <c r="A3648" s="1" t="s">
        <v>16436</v>
      </c>
      <c r="B3648" s="1" t="s">
        <v>13</v>
      </c>
      <c r="C3648" s="4" t="s">
        <v>16437</v>
      </c>
      <c r="D3648" s="1" t="s">
        <v>16438</v>
      </c>
      <c r="E3648" s="1" t="s">
        <v>16439</v>
      </c>
      <c r="F3648" s="4" t="s">
        <v>17</v>
      </c>
      <c r="G3648" s="1" t="s">
        <v>18</v>
      </c>
      <c r="H3648" s="1" t="s">
        <v>19</v>
      </c>
      <c r="I3648" s="1" t="s">
        <v>20</v>
      </c>
      <c r="J3648" s="1" t="s">
        <v>16440</v>
      </c>
      <c r="K3648" s="1" t="s">
        <v>22</v>
      </c>
      <c r="L3648" s="1" t="str">
        <f>HYPERLINK("https://files.afu.se/Downloads/Transcripts/0%20-%20Government/USA%20-%20NASA/2012 03 09 - NASA - NASA Women's History Month Profile -- Maria Nowak__htxk1sv_7c - transcript (automated).pdf","Transcript Link")</f>
        <v>Transcript Link</v>
      </c>
      <c r="M3648" s="2" t="str">
        <f>HYPERLINK("https://files.afu.se/Downloads/Transcripts/0%20-%20Government/USA%20-%20NASA/2012 03 09 - NASA - NASA Women's History Month Profile -- Maria Nowak__htxk1sv_7c - transcript (automated).pdf","Transcript Link")</f>
        <v>Transcript Link</v>
      </c>
    </row>
    <row r="3649" ht="165" spans="1:13">
      <c r="A3649" s="1" t="s">
        <v>16436</v>
      </c>
      <c r="B3649" s="1" t="s">
        <v>13</v>
      </c>
      <c r="C3649" s="4" t="s">
        <v>16441</v>
      </c>
      <c r="D3649" s="1" t="s">
        <v>16442</v>
      </c>
      <c r="E3649" s="1" t="s">
        <v>16443</v>
      </c>
      <c r="F3649" s="4" t="s">
        <v>17</v>
      </c>
      <c r="G3649" s="1" t="s">
        <v>18</v>
      </c>
      <c r="H3649" s="1" t="s">
        <v>19</v>
      </c>
      <c r="I3649" s="1" t="s">
        <v>20</v>
      </c>
      <c r="J3649" s="1" t="s">
        <v>16444</v>
      </c>
      <c r="K3649" s="1" t="s">
        <v>22</v>
      </c>
      <c r="L3649" s="1" t="str">
        <f>HYPERLINK("https://files.afu.se/Downloads/Transcripts/0%20-%20Government/USA%20-%20NASA/2012 03 09 - NASA - NASA Women's History Month Profile -- Wanda Peters_kWcO-bz1f3w - transcript (automated).pdf","Transcript Link")</f>
        <v>Transcript Link</v>
      </c>
      <c r="M3649" s="2" t="str">
        <f>HYPERLINK("https://files.afu.se/Downloads/Transcripts/0%20-%20Government/USA%20-%20NASA/2012 03 09 - NASA - NASA Women's History Month Profile -- Wanda Peters_kWcO-bz1f3w - transcript (automated).pdf","Transcript Link")</f>
        <v>Transcript Link</v>
      </c>
    </row>
    <row r="3650" ht="165" spans="1:13">
      <c r="A3650" s="1" t="s">
        <v>16436</v>
      </c>
      <c r="B3650" s="1" t="s">
        <v>13</v>
      </c>
      <c r="C3650" s="4" t="s">
        <v>16445</v>
      </c>
      <c r="D3650" s="1" t="s">
        <v>16446</v>
      </c>
      <c r="E3650" s="1" t="s">
        <v>16447</v>
      </c>
      <c r="F3650" s="4" t="s">
        <v>17</v>
      </c>
      <c r="G3650" s="1" t="s">
        <v>18</v>
      </c>
      <c r="H3650" s="1" t="s">
        <v>19</v>
      </c>
      <c r="I3650" s="1" t="s">
        <v>20</v>
      </c>
      <c r="J3650" s="1" t="s">
        <v>16448</v>
      </c>
      <c r="K3650" s="1" t="s">
        <v>22</v>
      </c>
      <c r="L3650" s="1" t="str">
        <f>HYPERLINK("https://files.afu.se/Downloads/Transcripts/0%20-%20Government/USA%20-%20NASA/2012 03 09 - NASA - NASA Women's History Month Profile -- Jessica Harris_LqOEaDo7DdU - transcript (automated).pdf","Transcript Link")</f>
        <v>Transcript Link</v>
      </c>
      <c r="M3650" s="2" t="str">
        <f>HYPERLINK("https://files.afu.se/Downloads/Transcripts/0%20-%20Government/USA%20-%20NASA/2012 03 09 - NASA - NASA Women's History Month Profile -- Jessica Harris_LqOEaDo7DdU - transcript (automated).pdf","Transcript Link")</f>
        <v>Transcript Link</v>
      </c>
    </row>
    <row r="3651" ht="165" spans="1:13">
      <c r="A3651" s="1" t="s">
        <v>16436</v>
      </c>
      <c r="B3651" s="1" t="s">
        <v>13</v>
      </c>
      <c r="C3651" s="4" t="s">
        <v>16449</v>
      </c>
      <c r="D3651" s="1" t="s">
        <v>16450</v>
      </c>
      <c r="E3651" s="1" t="s">
        <v>16451</v>
      </c>
      <c r="F3651" s="4" t="s">
        <v>17</v>
      </c>
      <c r="G3651" s="1" t="s">
        <v>18</v>
      </c>
      <c r="H3651" s="1" t="s">
        <v>19</v>
      </c>
      <c r="I3651" s="1" t="s">
        <v>20</v>
      </c>
      <c r="J3651" s="1" t="s">
        <v>16452</v>
      </c>
      <c r="K3651" s="1" t="s">
        <v>22</v>
      </c>
      <c r="L3651" s="1" t="str">
        <f>HYPERLINK("https://files.afu.se/Downloads/Transcripts/0%20-%20Government/USA%20-%20NASA/2012 03 09 - NASA - NASA Women's History Month Profile -- Alberta Moran_HtGJSRyFmgs - transcript (automated).pdf","Transcript Link")</f>
        <v>Transcript Link</v>
      </c>
      <c r="M3651" s="2" t="str">
        <f>HYPERLINK("https://files.afu.se/Downloads/Transcripts/0%20-%20Government/USA%20-%20NASA/2012 03 09 - NASA - NASA Women's History Month Profile -- Alberta Moran_HtGJSRyFmgs - transcript (automated).pdf","Transcript Link")</f>
        <v>Transcript Link</v>
      </c>
    </row>
    <row r="3652" ht="255" spans="1:13">
      <c r="A3652" s="1" t="s">
        <v>16436</v>
      </c>
      <c r="B3652" s="1" t="s">
        <v>13</v>
      </c>
      <c r="C3652" s="4" t="s">
        <v>16453</v>
      </c>
      <c r="D3652" s="1" t="s">
        <v>16454</v>
      </c>
      <c r="E3652" s="1" t="s">
        <v>16455</v>
      </c>
      <c r="F3652" s="4" t="s">
        <v>17</v>
      </c>
      <c r="G3652" s="1" t="s">
        <v>18</v>
      </c>
      <c r="H3652" s="1" t="s">
        <v>19</v>
      </c>
      <c r="I3652" s="1" t="s">
        <v>20</v>
      </c>
      <c r="J3652" s="1" t="s">
        <v>16456</v>
      </c>
      <c r="K3652" s="1" t="s">
        <v>22</v>
      </c>
      <c r="L3652" s="1" t="str">
        <f>HYPERLINK("https://files.afu.se/Downloads/Transcripts/0%20-%20Government/USA%20-%20NASA/2012 03 09 - NASA - Women, Aerospace and Innovation on This Week @ NASA_eveNwSz6734 - transcript (automated).pdf","Transcript Link")</f>
        <v>Transcript Link</v>
      </c>
      <c r="M3652" s="2" t="str">
        <f>HYPERLINK("https://files.afu.se/Downloads/Transcripts/0%20-%20Government/USA%20-%20NASA/2012 03 09 - NASA - Women, Aerospace and Innovation on This Week @ NASA_eveNwSz6734 - transcript (automated).pdf","Transcript Link")</f>
        <v>Transcript Link</v>
      </c>
    </row>
    <row r="3653" ht="165" spans="1:13">
      <c r="A3653" s="1" t="s">
        <v>16436</v>
      </c>
      <c r="B3653" s="1" t="s">
        <v>13</v>
      </c>
      <c r="C3653" s="4" t="s">
        <v>16457</v>
      </c>
      <c r="D3653" s="1" t="s">
        <v>16458</v>
      </c>
      <c r="E3653" s="1" t="s">
        <v>16459</v>
      </c>
      <c r="F3653" s="4" t="s">
        <v>17</v>
      </c>
      <c r="G3653" s="1" t="s">
        <v>18</v>
      </c>
      <c r="H3653" s="1" t="s">
        <v>19</v>
      </c>
      <c r="I3653" s="1" t="s">
        <v>20</v>
      </c>
      <c r="J3653" s="1" t="s">
        <v>16460</v>
      </c>
      <c r="K3653" s="1" t="s">
        <v>22</v>
      </c>
      <c r="L3653" s="1" t="str">
        <f>HYPERLINK("https://files.afu.se/Downloads/Transcripts/0%20-%20Government/USA%20-%20NASA/2012 03 09 - NASA - NASA's Awesome to Increase With New Rocket_5wtN9FF_jn8 - transcript (automated).pdf","Transcript Link")</f>
        <v>Transcript Link</v>
      </c>
      <c r="M3653" s="2" t="str">
        <f>HYPERLINK("https://files.afu.se/Downloads/Transcripts/0%20-%20Government/USA%20-%20NASA/2012 03 09 - NASA - NASA's Awesome to Increase With New Rocket_5wtN9FF_jn8 - transcript (automated).pdf","Transcript Link")</f>
        <v>Transcript Link</v>
      </c>
    </row>
    <row r="3654" ht="165" spans="1:13">
      <c r="A3654" s="1" t="s">
        <v>16436</v>
      </c>
      <c r="B3654" s="1" t="s">
        <v>13</v>
      </c>
      <c r="C3654" s="4" t="s">
        <v>16461</v>
      </c>
      <c r="D3654" s="1" t="s">
        <v>16462</v>
      </c>
      <c r="E3654" s="1" t="s">
        <v>16463</v>
      </c>
      <c r="F3654" s="4" t="s">
        <v>17</v>
      </c>
      <c r="G3654" s="1" t="s">
        <v>18</v>
      </c>
      <c r="H3654" s="1" t="s">
        <v>19</v>
      </c>
      <c r="I3654" s="1" t="s">
        <v>20</v>
      </c>
      <c r="J3654" s="1" t="s">
        <v>16464</v>
      </c>
      <c r="K3654" s="1" t="s">
        <v>22</v>
      </c>
      <c r="L3654" s="1" t="str">
        <f>HYPERLINK("https://files.afu.se/Downloads/Transcripts/0%20-%20Government/USA%20-%20NASA/2012 03 09 - NASA - ScienceCasts  The Super Moon of May 2012_dvHQ1vV21i0 - transcript (automated).pdf","Transcript Link")</f>
        <v>Transcript Link</v>
      </c>
      <c r="M3654" s="2" t="str">
        <f>HYPERLINK("https://files.afu.se/Downloads/Transcripts/0%20-%20Government/USA%20-%20NASA/2012 03 09 - NASA - ScienceCasts  The Super Moon of May 2012_dvHQ1vV21i0 - transcript (automated).pdf","Transcript Link")</f>
        <v>Transcript Link</v>
      </c>
    </row>
    <row r="3655" ht="165" spans="1:13">
      <c r="A3655" s="1" t="s">
        <v>16465</v>
      </c>
      <c r="B3655" s="1" t="s">
        <v>13</v>
      </c>
      <c r="C3655" s="4" t="s">
        <v>16466</v>
      </c>
      <c r="D3655" s="1" t="s">
        <v>16467</v>
      </c>
      <c r="E3655" s="1" t="s">
        <v>16468</v>
      </c>
      <c r="F3655" s="4" t="s">
        <v>17</v>
      </c>
      <c r="G3655" s="1" t="s">
        <v>18</v>
      </c>
      <c r="H3655" s="1" t="s">
        <v>19</v>
      </c>
      <c r="I3655" s="1" t="s">
        <v>20</v>
      </c>
      <c r="J3655" s="1" t="s">
        <v>16469</v>
      </c>
      <c r="K3655" s="1" t="s">
        <v>22</v>
      </c>
      <c r="L3655" s="1" t="str">
        <f>HYPERLINK("https://files.afu.se/Downloads/Transcripts/0%20-%20Government/USA%20-%20NASA/2012 03 08 - NASA - Space Station Crew Discusses Life in Space with CBS Radio_kApcB7lod2s - transcript (automated).pdf","Transcript Link")</f>
        <v>Transcript Link</v>
      </c>
      <c r="M3655" s="2" t="str">
        <f>HYPERLINK("https://files.afu.se/Downloads/Transcripts/0%20-%20Government/USA%20-%20NASA/2012 03 08 - NASA - Space Station Crew Discusses Life in Space with CBS Radio_kApcB7lod2s - transcript (automated).pdf","Transcript Link")</f>
        <v>Transcript Link</v>
      </c>
    </row>
    <row r="3656" ht="180" spans="1:13">
      <c r="A3656" s="1" t="s">
        <v>16465</v>
      </c>
      <c r="B3656" s="1" t="s">
        <v>13</v>
      </c>
      <c r="C3656" s="4" t="s">
        <v>16470</v>
      </c>
      <c r="D3656" s="1" t="s">
        <v>16471</v>
      </c>
      <c r="E3656" s="1" t="s">
        <v>16472</v>
      </c>
      <c r="F3656" s="4" t="s">
        <v>17</v>
      </c>
      <c r="G3656" s="1" t="s">
        <v>18</v>
      </c>
      <c r="H3656" s="1" t="s">
        <v>19</v>
      </c>
      <c r="I3656" s="1" t="s">
        <v>20</v>
      </c>
      <c r="J3656" s="1" t="s">
        <v>16473</v>
      </c>
      <c r="K3656" s="1" t="s">
        <v>22</v>
      </c>
      <c r="L3656" s="1" t="str">
        <f>HYPERLINK("https://files.afu.se/Downloads/Transcripts/0%20-%20Government/USA%20-%20NASA/2012 03 08 - NASA - Angry Birds &amp; Pigs Go Weightless!!!_deAcVKv5_2I - transcript (automated).pdf","Transcript Link")</f>
        <v>Transcript Link</v>
      </c>
      <c r="M3656" s="2" t="str">
        <f>HYPERLINK("https://files.afu.se/Downloads/Transcripts/0%20-%20Government/USA%20-%20NASA/2012 03 08 - NASA - Angry Birds &amp; Pigs Go Weightless!!!_deAcVKv5_2I - transcript (automated).pdf","Transcript Link")</f>
        <v>Transcript Link</v>
      </c>
    </row>
    <row r="3657" ht="165" spans="1:13">
      <c r="A3657" s="1" t="s">
        <v>16474</v>
      </c>
      <c r="B3657" s="1" t="s">
        <v>13</v>
      </c>
      <c r="C3657" s="4" t="s">
        <v>16475</v>
      </c>
      <c r="D3657" s="1" t="s">
        <v>16476</v>
      </c>
      <c r="E3657" s="1" t="s">
        <v>16477</v>
      </c>
      <c r="F3657" s="4" t="s">
        <v>17</v>
      </c>
      <c r="G3657" s="1" t="s">
        <v>18</v>
      </c>
      <c r="H3657" s="1" t="s">
        <v>19</v>
      </c>
      <c r="I3657" s="1" t="s">
        <v>20</v>
      </c>
      <c r="J3657" s="1" t="s">
        <v>16478</v>
      </c>
      <c r="K3657" s="1" t="s">
        <v>22</v>
      </c>
      <c r="L3657" s="1" t="str">
        <f>HYPERLINK("https://files.afu.se/Downloads/Transcripts/0%20-%20Government/USA%20-%20NASA/2012 03 07 - NASA - Station Crew Discusses Life in Space for California Station Exhibition_nrQ2912Miuk - transcript (automated).pdf","Transcript Link")</f>
        <v>Transcript Link</v>
      </c>
      <c r="M3657" s="2" t="str">
        <f>HYPERLINK("https://files.afu.se/Downloads/Transcripts/0%20-%20Government/USA%20-%20NASA/2012 03 07 - NASA - Station Crew Discusses Life in Space for California Station Exhibition_nrQ2912Miuk - transcript (automated).pdf","Transcript Link")</f>
        <v>Transcript Link</v>
      </c>
    </row>
    <row r="3658" ht="180" spans="1:13">
      <c r="A3658" s="1" t="s">
        <v>16479</v>
      </c>
      <c r="B3658" s="1" t="s">
        <v>13</v>
      </c>
      <c r="C3658" s="4" t="s">
        <v>16480</v>
      </c>
      <c r="D3658" s="1" t="s">
        <v>16481</v>
      </c>
      <c r="E3658" s="1" t="s">
        <v>16482</v>
      </c>
      <c r="F3658" s="4" t="s">
        <v>17</v>
      </c>
      <c r="G3658" s="1" t="s">
        <v>18</v>
      </c>
      <c r="H3658" s="1" t="s">
        <v>19</v>
      </c>
      <c r="I3658" s="1" t="s">
        <v>20</v>
      </c>
      <c r="J3658" s="1" t="s">
        <v>16483</v>
      </c>
      <c r="K3658" s="1" t="s">
        <v>22</v>
      </c>
      <c r="L3658" s="1" t="str">
        <f>HYPERLINK("https://files.afu.se/Downloads/Transcripts/0%20-%20Government/USA%20-%20NASA/2012 03 06 - NASA -  Wet Dress  Completed for NASA Test Flight_CwiUhxL4TwM - transcript (automated).pdf","Transcript Link")</f>
        <v>Transcript Link</v>
      </c>
      <c r="M3658" s="2" t="str">
        <f>HYPERLINK("https://files.afu.se/Downloads/Transcripts/0%20-%20Government/USA%20-%20NASA/2012 03 06 - NASA -  Wet Dress  Completed for NASA Test Flight_CwiUhxL4TwM - transcript (automated).pdf","Transcript Link")</f>
        <v>Transcript Link</v>
      </c>
    </row>
    <row r="3659" ht="165" spans="1:13">
      <c r="A3659" s="1" t="s">
        <v>16484</v>
      </c>
      <c r="B3659" s="1" t="s">
        <v>13</v>
      </c>
      <c r="C3659" s="4" t="s">
        <v>16485</v>
      </c>
      <c r="D3659" s="1" t="s">
        <v>16486</v>
      </c>
      <c r="E3659" s="1" t="s">
        <v>16487</v>
      </c>
      <c r="F3659" s="4" t="s">
        <v>17</v>
      </c>
      <c r="G3659" s="1" t="s">
        <v>18</v>
      </c>
      <c r="H3659" s="1" t="s">
        <v>19</v>
      </c>
      <c r="I3659" s="1" t="s">
        <v>20</v>
      </c>
      <c r="J3659" s="1" t="s">
        <v>16488</v>
      </c>
      <c r="K3659" s="1" t="s">
        <v>22</v>
      </c>
      <c r="L3659" s="1" t="str">
        <f>HYPERLINK("https://files.afu.se/Downloads/Transcripts/0%20-%20Government/USA%20-%20NASA/2012 03 05 - NASA - European Crew Member on Space Station Discusses Life in Space with German Chancellor_80fkgZfwnk0 - transcript (automated).pdf","Transcript Link")</f>
        <v>Transcript Link</v>
      </c>
      <c r="M3659" s="2" t="str">
        <f>HYPERLINK("https://files.afu.se/Downloads/Transcripts/0%20-%20Government/USA%20-%20NASA/2012 03 05 - NASA - European Crew Member on Space Station Discusses Life in Space with German Chancellor_80fkgZfwnk0 - transcript (automated).pdf","Transcript Link")</f>
        <v>Transcript Link</v>
      </c>
    </row>
    <row r="3660" ht="240" spans="1:13">
      <c r="A3660" s="1" t="s">
        <v>16489</v>
      </c>
      <c r="B3660" s="1" t="s">
        <v>13</v>
      </c>
      <c r="C3660" s="4" t="s">
        <v>16490</v>
      </c>
      <c r="D3660" s="1" t="s">
        <v>16491</v>
      </c>
      <c r="E3660" s="1" t="s">
        <v>16492</v>
      </c>
      <c r="F3660" s="4" t="s">
        <v>17</v>
      </c>
      <c r="G3660" s="1" t="s">
        <v>18</v>
      </c>
      <c r="H3660" s="1" t="s">
        <v>19</v>
      </c>
      <c r="I3660" s="1" t="s">
        <v>20</v>
      </c>
      <c r="J3660" s="1" t="s">
        <v>16493</v>
      </c>
      <c r="K3660" s="1" t="s">
        <v>22</v>
      </c>
      <c r="L3660" s="1" t="str">
        <f>HYPERLINK("https://files.afu.se/Downloads/Transcripts/0%20-%20Government/USA%20-%20NASA/2012 03 02 - NASA - Spitzer Finds Unusual Structures on This Week @ NASA_N-1T5ZdcCxs - transcript (automated).pdf","Transcript Link")</f>
        <v>Transcript Link</v>
      </c>
      <c r="M3660" s="2" t="str">
        <f>HYPERLINK("https://files.afu.se/Downloads/Transcripts/0%20-%20Government/USA%20-%20NASA/2012 03 02 - NASA - Spitzer Finds Unusual Structures on This Week @ NASA_N-1T5ZdcCxs - transcript (automated).pdf","Transcript Link")</f>
        <v>Transcript Link</v>
      </c>
    </row>
    <row r="3661" ht="165" spans="1:13">
      <c r="A3661" s="1" t="s">
        <v>16494</v>
      </c>
      <c r="B3661" s="1" t="s">
        <v>13</v>
      </c>
      <c r="C3661" s="4" t="s">
        <v>16495</v>
      </c>
      <c r="D3661" s="1" t="s">
        <v>16496</v>
      </c>
      <c r="E3661" s="1" t="s">
        <v>16497</v>
      </c>
      <c r="F3661" s="4" t="s">
        <v>17</v>
      </c>
      <c r="G3661" s="1" t="s">
        <v>18</v>
      </c>
      <c r="H3661" s="1" t="s">
        <v>19</v>
      </c>
      <c r="I3661" s="1" t="s">
        <v>20</v>
      </c>
      <c r="J3661" s="1" t="s">
        <v>16498</v>
      </c>
      <c r="K3661" s="1" t="s">
        <v>22</v>
      </c>
      <c r="L3661" s="1" t="str">
        <f>HYPERLINK("https://files.afu.se/Downloads/Transcripts/0%20-%20Government/USA%20-%20NASA/2012 03 01 - NASA - ScienceCasts  Auroras Underfoot_YqaLtJf9eGc - transcript (automated).pdf","Transcript Link")</f>
        <v>Transcript Link</v>
      </c>
      <c r="M3661" s="2" t="str">
        <f>HYPERLINK("https://files.afu.se/Downloads/Transcripts/0%20-%20Government/USA%20-%20NASA/2012 03 01 - NASA - ScienceCasts  Auroras Underfoot_YqaLtJf9eGc - transcript (automated).pdf","Transcript Link")</f>
        <v>Transcript Link</v>
      </c>
    </row>
    <row r="3662" ht="165" spans="1:13">
      <c r="A3662" s="1" t="s">
        <v>16499</v>
      </c>
      <c r="B3662" s="1" t="s">
        <v>13</v>
      </c>
      <c r="C3662" s="4" t="s">
        <v>16500</v>
      </c>
      <c r="D3662" s="1" t="s">
        <v>16501</v>
      </c>
      <c r="E3662" s="1" t="s">
        <v>16502</v>
      </c>
      <c r="F3662" s="4" t="s">
        <v>17</v>
      </c>
      <c r="G3662" s="1" t="s">
        <v>18</v>
      </c>
      <c r="H3662" s="1" t="s">
        <v>19</v>
      </c>
      <c r="I3662" s="1" t="s">
        <v>20</v>
      </c>
      <c r="J3662" s="1" t="s">
        <v>16503</v>
      </c>
      <c r="K3662" s="1" t="s">
        <v>22</v>
      </c>
      <c r="L3662" s="1" t="str">
        <f>HYPERLINK("https://files.afu.se/Downloads/Transcripts/0%20-%20Government/USA%20-%20NASA/2012 02 29 - NASA - We Are the Explorers_N4_WXjp9Hzo - transcript (automated).pdf","Transcript Link")</f>
        <v>Transcript Link</v>
      </c>
      <c r="M3662" s="2" t="str">
        <f>HYPERLINK("https://files.afu.se/Downloads/Transcripts/0%20-%20Government/USA%20-%20NASA/2012 02 29 - NASA - We Are the Explorers_N4_WXjp9Hzo - transcript (automated).pdf","Transcript Link")</f>
        <v>Transcript Link</v>
      </c>
    </row>
    <row r="3663" ht="165" spans="1:13">
      <c r="A3663" s="1" t="s">
        <v>16504</v>
      </c>
      <c r="B3663" s="1" t="s">
        <v>13</v>
      </c>
      <c r="C3663" s="4" t="s">
        <v>16505</v>
      </c>
      <c r="D3663" s="1" t="s">
        <v>16506</v>
      </c>
      <c r="E3663" s="1" t="s">
        <v>16507</v>
      </c>
      <c r="F3663" s="4" t="s">
        <v>17</v>
      </c>
      <c r="G3663" s="1" t="s">
        <v>18</v>
      </c>
      <c r="H3663" s="1" t="s">
        <v>19</v>
      </c>
      <c r="I3663" s="1" t="s">
        <v>20</v>
      </c>
      <c r="J3663" s="1" t="s">
        <v>16508</v>
      </c>
      <c r="K3663" s="1" t="s">
        <v>22</v>
      </c>
      <c r="L3663" s="1" t="str">
        <f>HYPERLINK("https://files.afu.se/Downloads/Transcripts/0%20-%20Government/USA%20-%20NASA/2012 02 28 - NASA - NASA African-American History Month Profile - Yves Lamothe_MVAfflk0PJU - transcript (automated).pdf","Transcript Link")</f>
        <v>Transcript Link</v>
      </c>
      <c r="M3663" s="2" t="str">
        <f>HYPERLINK("https://files.afu.se/Downloads/Transcripts/0%20-%20Government/USA%20-%20NASA/2012 02 28 - NASA - NASA African-American History Month Profile - Yves Lamothe_MVAfflk0PJU - transcript (automated).pdf","Transcript Link")</f>
        <v>Transcript Link</v>
      </c>
    </row>
    <row r="3664" ht="165" spans="1:13">
      <c r="A3664" s="1" t="s">
        <v>16509</v>
      </c>
      <c r="B3664" s="1" t="s">
        <v>13</v>
      </c>
      <c r="C3664" s="4" t="s">
        <v>16510</v>
      </c>
      <c r="D3664" s="1" t="s">
        <v>16511</v>
      </c>
      <c r="E3664" s="1" t="s">
        <v>16512</v>
      </c>
      <c r="F3664" s="4" t="s">
        <v>17</v>
      </c>
      <c r="G3664" s="1" t="s">
        <v>18</v>
      </c>
      <c r="H3664" s="1" t="s">
        <v>19</v>
      </c>
      <c r="I3664" s="1" t="s">
        <v>20</v>
      </c>
      <c r="J3664" s="1" t="s">
        <v>16513</v>
      </c>
      <c r="K3664" s="1" t="s">
        <v>22</v>
      </c>
      <c r="L3664" s="1" t="str">
        <f>HYPERLINK("https://files.afu.se/Downloads/Transcripts/0%20-%20Government/USA%20-%20NASA/2012 02 27 - NASA - Station Crew Updates the Media on Progress of Its Mission_ybwb-W2xMGc - transcript (automated).pdf","Transcript Link")</f>
        <v>Transcript Link</v>
      </c>
      <c r="M3664" s="2" t="str">
        <f>HYPERLINK("https://files.afu.se/Downloads/Transcripts/0%20-%20Government/USA%20-%20NASA/2012 02 27 - NASA - Station Crew Updates the Media on Progress of Its Mission_ybwb-W2xMGc - transcript (automated).pdf","Transcript Link")</f>
        <v>Transcript Link</v>
      </c>
    </row>
    <row r="3665" ht="240" spans="1:13">
      <c r="A3665" s="1" t="s">
        <v>16514</v>
      </c>
      <c r="B3665" s="1" t="s">
        <v>13</v>
      </c>
      <c r="C3665" s="4" t="s">
        <v>16515</v>
      </c>
      <c r="D3665" s="1" t="s">
        <v>16516</v>
      </c>
      <c r="E3665" s="1" t="s">
        <v>16517</v>
      </c>
      <c r="F3665" s="4" t="s">
        <v>17</v>
      </c>
      <c r="G3665" s="1" t="s">
        <v>18</v>
      </c>
      <c r="H3665" s="1" t="s">
        <v>19</v>
      </c>
      <c r="I3665" s="1" t="s">
        <v>20</v>
      </c>
      <c r="J3665" s="1" t="s">
        <v>16518</v>
      </c>
      <c r="K3665" s="1" t="s">
        <v>22</v>
      </c>
      <c r="L3665" s="1" t="str">
        <f>HYPERLINK("https://files.afu.se/Downloads/Transcripts/0%20-%20Government/USA%20-%20NASA/2012 02 24 - NASA - NASA Honors First Two Americans in Orbit on This Week @ NASA_8wwgZRsA_eE - transcript (automated).pdf","Transcript Link")</f>
        <v>Transcript Link</v>
      </c>
      <c r="M3665" s="2" t="str">
        <f>HYPERLINK("https://files.afu.se/Downloads/Transcripts/0%20-%20Government/USA%20-%20NASA/2012 02 24 - NASA - NASA Honors First Two Americans in Orbit on This Week @ NASA_8wwgZRsA_eE - transcript (automated).pdf","Transcript Link")</f>
        <v>Transcript Link</v>
      </c>
    </row>
    <row r="3666" ht="165" spans="1:13">
      <c r="A3666" s="1" t="s">
        <v>16514</v>
      </c>
      <c r="B3666" s="1" t="s">
        <v>13</v>
      </c>
      <c r="C3666" s="4" t="s">
        <v>16519</v>
      </c>
      <c r="D3666" s="1" t="s">
        <v>16520</v>
      </c>
      <c r="E3666" s="1" t="s">
        <v>16521</v>
      </c>
      <c r="F3666" s="4" t="s">
        <v>17</v>
      </c>
      <c r="G3666" s="1" t="s">
        <v>18</v>
      </c>
      <c r="H3666" s="1" t="s">
        <v>19</v>
      </c>
      <c r="I3666" s="1" t="s">
        <v>20</v>
      </c>
      <c r="J3666" s="1" t="s">
        <v>16522</v>
      </c>
      <c r="K3666" s="1" t="s">
        <v>22</v>
      </c>
      <c r="L3666" s="1" t="str">
        <f>HYPERLINK("https://files.afu.se/Downloads/Transcripts/0%20-%20Government/USA%20-%20NASA/2012 02 24 - NASA - ScienceCasts  Curiosity, The Stunt Double_15aAvSV8KJY - transcript (automated).pdf","Transcript Link")</f>
        <v>Transcript Link</v>
      </c>
      <c r="M3666" s="2" t="str">
        <f>HYPERLINK("https://files.afu.se/Downloads/Transcripts/0%20-%20Government/USA%20-%20NASA/2012 02 24 - NASA - ScienceCasts  Curiosity, The Stunt Double_15aAvSV8KJY - transcript (automated).pdf","Transcript Link")</f>
        <v>Transcript Link</v>
      </c>
    </row>
    <row r="3667" ht="165" spans="1:13">
      <c r="A3667" s="1" t="s">
        <v>16523</v>
      </c>
      <c r="B3667" s="1" t="s">
        <v>13</v>
      </c>
      <c r="C3667" s="4" t="s">
        <v>16524</v>
      </c>
      <c r="D3667" s="1" t="s">
        <v>16525</v>
      </c>
      <c r="E3667" s="1" t="s">
        <v>16526</v>
      </c>
      <c r="F3667" s="4" t="s">
        <v>17</v>
      </c>
      <c r="G3667" s="1" t="s">
        <v>18</v>
      </c>
      <c r="H3667" s="1" t="s">
        <v>19</v>
      </c>
      <c r="I3667" s="1" t="s">
        <v>20</v>
      </c>
      <c r="J3667" s="1" t="s">
        <v>16527</v>
      </c>
      <c r="K3667" s="1" t="s">
        <v>22</v>
      </c>
      <c r="L3667" s="1" t="str">
        <f>HYPERLINK("https://files.afu.se/Downloads/Transcripts/0%20-%20Government/USA%20-%20NASA/2012 02 22 - NASA - Station Crew Discusses Life in Space With New Jersey Students_o2jGR8uIlC0 - transcript (automated).pdf","Transcript Link")</f>
        <v>Transcript Link</v>
      </c>
      <c r="M3667" s="2" t="str">
        <f>HYPERLINK("https://files.afu.se/Downloads/Transcripts/0%20-%20Government/USA%20-%20NASA/2012 02 22 - NASA - Station Crew Discusses Life in Space With New Jersey Students_o2jGR8uIlC0 - transcript (automated).pdf","Transcript Link")</f>
        <v>Transcript Link</v>
      </c>
    </row>
    <row r="3668" ht="165" spans="1:13">
      <c r="A3668" s="1" t="s">
        <v>16523</v>
      </c>
      <c r="B3668" s="1" t="s">
        <v>13</v>
      </c>
      <c r="C3668" s="4" t="s">
        <v>16528</v>
      </c>
      <c r="D3668" s="1" t="s">
        <v>16529</v>
      </c>
      <c r="E3668" s="1" t="s">
        <v>16530</v>
      </c>
      <c r="F3668" s="4" t="s">
        <v>17</v>
      </c>
      <c r="G3668" s="1" t="s">
        <v>18</v>
      </c>
      <c r="H3668" s="1" t="s">
        <v>19</v>
      </c>
      <c r="I3668" s="1" t="s">
        <v>20</v>
      </c>
      <c r="J3668" s="1" t="s">
        <v>16531</v>
      </c>
      <c r="K3668" s="1" t="s">
        <v>22</v>
      </c>
      <c r="L3668" s="1" t="str">
        <f>HYPERLINK("https://files.afu.se/Downloads/Transcripts/0%20-%20Government/USA%20-%20NASA/2012 02 22 - NASA - NASA African-American History Month Profile - Nate Boclair, III_sR85BtWNpZA - transcript (automated).pdf","Transcript Link")</f>
        <v>Transcript Link</v>
      </c>
      <c r="M3668" s="2" t="str">
        <f>HYPERLINK("https://files.afu.se/Downloads/Transcripts/0%20-%20Government/USA%20-%20NASA/2012 02 22 - NASA - NASA African-American History Month Profile - Nate Boclair, III_sR85BtWNpZA - transcript (automated).pdf","Transcript Link")</f>
        <v>Transcript Link</v>
      </c>
    </row>
    <row r="3669" ht="165" spans="1:13">
      <c r="A3669" s="1" t="s">
        <v>16523</v>
      </c>
      <c r="B3669" s="1" t="s">
        <v>13</v>
      </c>
      <c r="C3669" s="4" t="s">
        <v>16532</v>
      </c>
      <c r="D3669" s="1" t="s">
        <v>16533</v>
      </c>
      <c r="E3669" s="1" t="s">
        <v>16534</v>
      </c>
      <c r="F3669" s="4" t="s">
        <v>17</v>
      </c>
      <c r="G3669" s="1" t="s">
        <v>18</v>
      </c>
      <c r="H3669" s="1" t="s">
        <v>19</v>
      </c>
      <c r="I3669" s="1" t="s">
        <v>20</v>
      </c>
      <c r="J3669" s="1" t="s">
        <v>16535</v>
      </c>
      <c r="K3669" s="1" t="s">
        <v>22</v>
      </c>
      <c r="L3669" s="1" t="str">
        <f>HYPERLINK("https://files.afu.se/Downloads/Transcripts/0%20-%20Government/USA%20-%20NASA/2012 02 22 - NASA - NASA African-American History Month Profile - Darrius Lewis_DxmWaH0GaxI - transcript (automated).pdf","Transcript Link")</f>
        <v>Transcript Link</v>
      </c>
      <c r="M3669" s="2" t="str">
        <f>HYPERLINK("https://files.afu.se/Downloads/Transcripts/0%20-%20Government/USA%20-%20NASA/2012 02 22 - NASA - NASA African-American History Month Profile - Darrius Lewis_DxmWaH0GaxI - transcript (automated).pdf","Transcript Link")</f>
        <v>Transcript Link</v>
      </c>
    </row>
    <row r="3670" ht="165" spans="1:13">
      <c r="A3670" s="1" t="s">
        <v>16523</v>
      </c>
      <c r="B3670" s="1" t="s">
        <v>13</v>
      </c>
      <c r="C3670" s="4" t="s">
        <v>16536</v>
      </c>
      <c r="D3670" s="1" t="s">
        <v>16537</v>
      </c>
      <c r="E3670" s="1" t="s">
        <v>16538</v>
      </c>
      <c r="F3670" s="4" t="s">
        <v>17</v>
      </c>
      <c r="G3670" s="1" t="s">
        <v>18</v>
      </c>
      <c r="H3670" s="1" t="s">
        <v>19</v>
      </c>
      <c r="I3670" s="1" t="s">
        <v>20</v>
      </c>
      <c r="J3670" s="1" t="s">
        <v>16539</v>
      </c>
      <c r="K3670" s="1" t="s">
        <v>22</v>
      </c>
      <c r="L3670" s="1" t="str">
        <f>HYPERLINK("https://files.afu.se/Downloads/Transcripts/0%20-%20Government/USA%20-%20NASA/2012 02 22 - NASA - NASA African-American History Month Profile - Karen Harper_iIUCevyU4l4 - transcript (automated).pdf","Transcript Link")</f>
        <v>Transcript Link</v>
      </c>
      <c r="M3670" s="2" t="str">
        <f>HYPERLINK("https://files.afu.se/Downloads/Transcripts/0%20-%20Government/USA%20-%20NASA/2012 02 22 - NASA - NASA African-American History Month Profile - Karen Harper_iIUCevyU4l4 - transcript (automated).pdf","Transcript Link")</f>
        <v>Transcript Link</v>
      </c>
    </row>
    <row r="3671" ht="165" spans="1:13">
      <c r="A3671" s="1" t="s">
        <v>16523</v>
      </c>
      <c r="B3671" s="1" t="s">
        <v>13</v>
      </c>
      <c r="C3671" s="4" t="s">
        <v>16540</v>
      </c>
      <c r="D3671" s="1" t="s">
        <v>16541</v>
      </c>
      <c r="E3671" s="1" t="s">
        <v>16542</v>
      </c>
      <c r="F3671" s="4" t="s">
        <v>17</v>
      </c>
      <c r="G3671" s="1" t="s">
        <v>18</v>
      </c>
      <c r="H3671" s="1" t="s">
        <v>19</v>
      </c>
      <c r="I3671" s="1" t="s">
        <v>20</v>
      </c>
      <c r="J3671" s="1" t="s">
        <v>16543</v>
      </c>
      <c r="K3671" s="1" t="s">
        <v>22</v>
      </c>
      <c r="L3671" s="1" t="str">
        <f>HYPERLINK("https://files.afu.se/Downloads/Transcripts/0%20-%20Government/USA%20-%20NASA/2012 02 22 - NASA - First American to Orbit Earth Honored by ISS Crew_8Mr2BTTwbkY - transcript (automated).pdf","Transcript Link")</f>
        <v>Transcript Link</v>
      </c>
      <c r="M3671" s="2" t="str">
        <f>HYPERLINK("https://files.afu.se/Downloads/Transcripts/0%20-%20Government/USA%20-%20NASA/2012 02 22 - NASA - First American to Orbit Earth Honored by ISS Crew_8Mr2BTTwbkY - transcript (automated).pdf","Transcript Link")</f>
        <v>Transcript Link</v>
      </c>
    </row>
    <row r="3672" ht="210" spans="1:13">
      <c r="A3672" s="1" t="s">
        <v>16544</v>
      </c>
      <c r="B3672" s="1" t="s">
        <v>13</v>
      </c>
      <c r="C3672" s="4" t="s">
        <v>16545</v>
      </c>
      <c r="D3672" s="1" t="s">
        <v>16546</v>
      </c>
      <c r="E3672" s="1" t="s">
        <v>16547</v>
      </c>
      <c r="F3672" s="4" t="s">
        <v>17</v>
      </c>
      <c r="G3672" s="1" t="s">
        <v>18</v>
      </c>
      <c r="H3672" s="1" t="s">
        <v>19</v>
      </c>
      <c r="I3672" s="1" t="s">
        <v>20</v>
      </c>
      <c r="J3672" s="1" t="s">
        <v>16548</v>
      </c>
      <c r="K3672" s="1" t="s">
        <v>22</v>
      </c>
      <c r="L3672" s="1" t="str">
        <f>HYPERLINK("https://files.afu.se/Downloads/Transcripts/0%20-%20Government/USA%20-%20NASA/2012 02 21 - NASA - John Glenn Talks Future Technology on This Week @ NASA_aQpFcS3FeRQ - transcript (automated).pdf","Transcript Link")</f>
        <v>Transcript Link</v>
      </c>
      <c r="M3672" s="2" t="str">
        <f>HYPERLINK("https://files.afu.se/Downloads/Transcripts/0%20-%20Government/USA%20-%20NASA/2012 02 21 - NASA - John Glenn Talks Future Technology on This Week @ NASA_aQpFcS3FeRQ - transcript (automated).pdf","Transcript Link")</f>
        <v>Transcript Link</v>
      </c>
    </row>
    <row r="3673" ht="195" spans="1:13">
      <c r="A3673" s="1" t="s">
        <v>16549</v>
      </c>
      <c r="B3673" s="1" t="s">
        <v>13</v>
      </c>
      <c r="C3673" s="4" t="s">
        <v>16550</v>
      </c>
      <c r="D3673" s="1" t="s">
        <v>16551</v>
      </c>
      <c r="E3673" s="1" t="s">
        <v>16552</v>
      </c>
      <c r="F3673" s="4" t="s">
        <v>17</v>
      </c>
      <c r="G3673" s="1" t="s">
        <v>18</v>
      </c>
      <c r="H3673" s="1" t="s">
        <v>19</v>
      </c>
      <c r="I3673" s="1" t="s">
        <v>20</v>
      </c>
      <c r="J3673" s="1" t="s">
        <v>16553</v>
      </c>
      <c r="K3673" s="1" t="s">
        <v>22</v>
      </c>
      <c r="L3673" s="1" t="str">
        <f>HYPERLINK("https://files.afu.se/Downloads/Transcripts/0%20-%20Government/USA%20-%20NASA/2012 02 17 - NASA - NASA BRIEFS 2013 BUDGET on This Week @ NASA_ePALXCWQjvA - transcript (automated).pdf","Transcript Link")</f>
        <v>Transcript Link</v>
      </c>
      <c r="M3673" s="2" t="str">
        <f>HYPERLINK("https://files.afu.se/Downloads/Transcripts/0%20-%20Government/USA%20-%20NASA/2012 02 17 - NASA - NASA BRIEFS 2013 BUDGET on This Week @ NASA_ePALXCWQjvA - transcript (automated).pdf","Transcript Link")</f>
        <v>Transcript Link</v>
      </c>
    </row>
    <row r="3674" ht="165" spans="1:13">
      <c r="A3674" s="1" t="s">
        <v>16549</v>
      </c>
      <c r="B3674" s="1" t="s">
        <v>13</v>
      </c>
      <c r="C3674" s="4" t="s">
        <v>16554</v>
      </c>
      <c r="D3674" s="1" t="s">
        <v>16555</v>
      </c>
      <c r="E3674" s="1" t="s">
        <v>16556</v>
      </c>
      <c r="F3674" s="4" t="s">
        <v>17</v>
      </c>
      <c r="G3674" s="1" t="s">
        <v>18</v>
      </c>
      <c r="H3674" s="1" t="s">
        <v>19</v>
      </c>
      <c r="I3674" s="1" t="s">
        <v>20</v>
      </c>
      <c r="J3674" s="1" t="s">
        <v>16557</v>
      </c>
      <c r="K3674" s="1" t="s">
        <v>22</v>
      </c>
      <c r="L3674" s="1" t="str">
        <f>HYPERLINK("https://files.afu.se/Downloads/Transcripts/0%20-%20Government/USA%20-%20NASA/2012 02 17 - NASA - ScienceCasts  An Alignment of Planets_C_CO-4fJz0M - transcript (automated).pdf","Transcript Link")</f>
        <v>Transcript Link</v>
      </c>
      <c r="M3674" s="2" t="str">
        <f>HYPERLINK("https://files.afu.se/Downloads/Transcripts/0%20-%20Government/USA%20-%20NASA/2012 02 17 - NASA - ScienceCasts  An Alignment of Planets_C_CO-4fJz0M - transcript (automated).pdf","Transcript Link")</f>
        <v>Transcript Link</v>
      </c>
    </row>
    <row r="3675" ht="165" spans="1:13">
      <c r="A3675" s="1" t="s">
        <v>16558</v>
      </c>
      <c r="B3675" s="1" t="s">
        <v>13</v>
      </c>
      <c r="C3675" s="4" t="s">
        <v>16559</v>
      </c>
      <c r="D3675" s="1" t="s">
        <v>16560</v>
      </c>
      <c r="E3675" s="1" t="s">
        <v>16561</v>
      </c>
      <c r="F3675" s="4" t="s">
        <v>17</v>
      </c>
      <c r="G3675" s="1" t="s">
        <v>18</v>
      </c>
      <c r="H3675" s="1" t="s">
        <v>19</v>
      </c>
      <c r="I3675" s="1" t="s">
        <v>20</v>
      </c>
      <c r="J3675" s="1" t="s">
        <v>16562</v>
      </c>
      <c r="K3675" s="1" t="s">
        <v>22</v>
      </c>
      <c r="L3675" s="1" t="str">
        <f>HYPERLINK("https://files.afu.se/Downloads/Transcripts/0%20-%20Government/USA%20-%20NASA/2012 02 16 - NASA - Seventh Station  Crewmember  Conducts Historic Handshake_iK8HkV0Ge5Y - transcript (automated).pdf","Transcript Link")</f>
        <v>Transcript Link</v>
      </c>
      <c r="M3675" s="2" t="str">
        <f>HYPERLINK("https://files.afu.se/Downloads/Transcripts/0%20-%20Government/USA%20-%20NASA/2012 02 16 - NASA - Seventh Station  Crewmember  Conducts Historic Handshake_iK8HkV0Ge5Y - transcript (automated).pdf","Transcript Link")</f>
        <v>Transcript Link</v>
      </c>
    </row>
    <row r="3676" ht="165" spans="1:13">
      <c r="A3676" s="1" t="s">
        <v>16563</v>
      </c>
      <c r="B3676" s="1" t="s">
        <v>13</v>
      </c>
      <c r="C3676" s="4" t="s">
        <v>16564</v>
      </c>
      <c r="D3676" s="1" t="s">
        <v>16565</v>
      </c>
      <c r="E3676" s="1" t="s">
        <v>16566</v>
      </c>
      <c r="F3676" s="4" t="s">
        <v>17</v>
      </c>
      <c r="G3676" s="1" t="s">
        <v>18</v>
      </c>
      <c r="H3676" s="1" t="s">
        <v>19</v>
      </c>
      <c r="I3676" s="1" t="s">
        <v>20</v>
      </c>
      <c r="J3676" s="1" t="s">
        <v>16567</v>
      </c>
      <c r="K3676" s="1" t="s">
        <v>22</v>
      </c>
      <c r="L3676" s="1" t="str">
        <f>HYPERLINK("https://files.afu.se/Downloads/Transcripts/0%20-%20Government/USA%20-%20NASA/2012 02 15 - NASA - NASA African-American History Month Profile- Rhonda Baker__CnRVXV4Q50 - transcript (automated).pdf","Transcript Link")</f>
        <v>Transcript Link</v>
      </c>
      <c r="M3676" s="2" t="str">
        <f>HYPERLINK("https://files.afu.se/Downloads/Transcripts/0%20-%20Government/USA%20-%20NASA/2012 02 15 - NASA - NASA African-American History Month Profile- Rhonda Baker__CnRVXV4Q50 - transcript (automated).pdf","Transcript Link")</f>
        <v>Transcript Link</v>
      </c>
    </row>
    <row r="3677" ht="165" spans="1:13">
      <c r="A3677" s="1" t="s">
        <v>16563</v>
      </c>
      <c r="B3677" s="1" t="s">
        <v>13</v>
      </c>
      <c r="C3677" s="4" t="s">
        <v>16568</v>
      </c>
      <c r="D3677" s="1" t="s">
        <v>16569</v>
      </c>
      <c r="E3677" s="1" t="s">
        <v>16570</v>
      </c>
      <c r="F3677" s="4" t="s">
        <v>17</v>
      </c>
      <c r="G3677" s="1" t="s">
        <v>18</v>
      </c>
      <c r="H3677" s="1" t="s">
        <v>19</v>
      </c>
      <c r="I3677" s="1" t="s">
        <v>20</v>
      </c>
      <c r="J3677" s="1" t="s">
        <v>16571</v>
      </c>
      <c r="K3677" s="1" t="s">
        <v>22</v>
      </c>
      <c r="L3677" s="1" t="str">
        <f>HYPERLINK("https://files.afu.se/Downloads/Transcripts/0%20-%20Government/USA%20-%20NASA/2012 02 15 - NASA - NASA African-American History Month Profile- Ester Lunnon_ut5oWQTyAx8 - transcript (automated).pdf","Transcript Link")</f>
        <v>Transcript Link</v>
      </c>
      <c r="M3677" s="2" t="str">
        <f>HYPERLINK("https://files.afu.se/Downloads/Transcripts/0%20-%20Government/USA%20-%20NASA/2012 02 15 - NASA - NASA African-American History Month Profile- Ester Lunnon_ut5oWQTyAx8 - transcript (automated).pdf","Transcript Link")</f>
        <v>Transcript Link</v>
      </c>
    </row>
    <row r="3678" ht="165" spans="1:13">
      <c r="A3678" s="1" t="s">
        <v>16563</v>
      </c>
      <c r="B3678" s="1" t="s">
        <v>13</v>
      </c>
      <c r="C3678" s="4" t="s">
        <v>16572</v>
      </c>
      <c r="D3678" s="1" t="s">
        <v>16573</v>
      </c>
      <c r="E3678" s="1" t="s">
        <v>16574</v>
      </c>
      <c r="F3678" s="4" t="s">
        <v>17</v>
      </c>
      <c r="G3678" s="1" t="s">
        <v>18</v>
      </c>
      <c r="H3678" s="1" t="s">
        <v>19</v>
      </c>
      <c r="I3678" s="1" t="s">
        <v>20</v>
      </c>
      <c r="J3678" s="1" t="s">
        <v>16575</v>
      </c>
      <c r="K3678" s="1" t="s">
        <v>22</v>
      </c>
      <c r="L3678" s="1" t="str">
        <f>HYPERLINK("https://files.afu.se/Downloads/Transcripts/0%20-%20Government/USA%20-%20NASA/2012 02 15 - NASA - NASA African-American History Month Profile- Vincent Johnson_QSz6UITs_Cg - transcript (automated).pdf","Transcript Link")</f>
        <v>Transcript Link</v>
      </c>
      <c r="M3678" s="2" t="str">
        <f>HYPERLINK("https://files.afu.se/Downloads/Transcripts/0%20-%20Government/USA%20-%20NASA/2012 02 15 - NASA - NASA African-American History Month Profile- Vincent Johnson_QSz6UITs_Cg - transcript (automated).pdf","Transcript Link")</f>
        <v>Transcript Link</v>
      </c>
    </row>
    <row r="3679" ht="165" spans="1:13">
      <c r="A3679" s="1" t="s">
        <v>16563</v>
      </c>
      <c r="B3679" s="1" t="s">
        <v>13</v>
      </c>
      <c r="C3679" s="4" t="s">
        <v>16576</v>
      </c>
      <c r="D3679" s="1" t="s">
        <v>16577</v>
      </c>
      <c r="E3679" s="1" t="s">
        <v>16578</v>
      </c>
      <c r="F3679" s="4" t="s">
        <v>17</v>
      </c>
      <c r="G3679" s="1" t="s">
        <v>18</v>
      </c>
      <c r="H3679" s="1" t="s">
        <v>19</v>
      </c>
      <c r="I3679" s="1" t="s">
        <v>20</v>
      </c>
      <c r="J3679" s="1" t="s">
        <v>16579</v>
      </c>
      <c r="K3679" s="1" t="s">
        <v>22</v>
      </c>
      <c r="L3679" s="1" t="str">
        <f>HYPERLINK("https://files.afu.se/Downloads/Transcripts/0%20-%20Government/USA%20-%20NASA/2012 02 15 - NASA - NASA African-American History Month Profile- John Johnson_kbGestZ4KTA - transcript (automated).pdf","Transcript Link")</f>
        <v>Transcript Link</v>
      </c>
      <c r="M3679" s="2" t="str">
        <f>HYPERLINK("https://files.afu.se/Downloads/Transcripts/0%20-%20Government/USA%20-%20NASA/2012 02 15 - NASA - NASA African-American History Month Profile- John Johnson_kbGestZ4KTA - transcript (automated).pdf","Transcript Link")</f>
        <v>Transcript Link</v>
      </c>
    </row>
    <row r="3680" ht="165" spans="1:13">
      <c r="A3680" s="1" t="s">
        <v>16563</v>
      </c>
      <c r="B3680" s="1" t="s">
        <v>13</v>
      </c>
      <c r="C3680" s="4" t="s">
        <v>16580</v>
      </c>
      <c r="D3680" s="1" t="s">
        <v>16581</v>
      </c>
      <c r="E3680" s="1" t="s">
        <v>16582</v>
      </c>
      <c r="F3680" s="4" t="s">
        <v>17</v>
      </c>
      <c r="G3680" s="1" t="s">
        <v>18</v>
      </c>
      <c r="H3680" s="1" t="s">
        <v>19</v>
      </c>
      <c r="I3680" s="1" t="s">
        <v>20</v>
      </c>
      <c r="J3680" s="1" t="s">
        <v>16583</v>
      </c>
      <c r="K3680" s="1" t="s">
        <v>22</v>
      </c>
      <c r="L3680" s="1" t="str">
        <f>HYPERLINK("https://files.afu.se/Downloads/Transcripts/0%20-%20Government/USA%20-%20NASA/2012 02 15 - NASA - NASA African-American History Month Profile- Larry Cliatt_5YOTuB4TcL0 - transcript (automated).pdf","Transcript Link")</f>
        <v>Transcript Link</v>
      </c>
      <c r="M3680" s="2" t="str">
        <f>HYPERLINK("https://files.afu.se/Downloads/Transcripts/0%20-%20Government/USA%20-%20NASA/2012 02 15 - NASA - NASA African-American History Month Profile- Larry Cliatt_5YOTuB4TcL0 - transcript (automated).pdf","Transcript Link")</f>
        <v>Transcript Link</v>
      </c>
    </row>
    <row r="3681" ht="165" spans="1:13">
      <c r="A3681" s="1" t="s">
        <v>16563</v>
      </c>
      <c r="B3681" s="1" t="s">
        <v>13</v>
      </c>
      <c r="C3681" s="4" t="s">
        <v>16584</v>
      </c>
      <c r="D3681" s="1" t="s">
        <v>16585</v>
      </c>
      <c r="E3681" s="1" t="s">
        <v>16586</v>
      </c>
      <c r="F3681" s="4" t="s">
        <v>17</v>
      </c>
      <c r="G3681" s="1" t="s">
        <v>18</v>
      </c>
      <c r="H3681" s="1" t="s">
        <v>19</v>
      </c>
      <c r="I3681" s="1" t="s">
        <v>20</v>
      </c>
      <c r="J3681" s="1" t="s">
        <v>16587</v>
      </c>
      <c r="K3681" s="1" t="s">
        <v>22</v>
      </c>
      <c r="L3681" s="1" t="str">
        <f>HYPERLINK("https://files.afu.se/Downloads/Transcripts/0%20-%20Government/USA%20-%20NASA/2012 02 15 - NASA - NASA African-American History Month Profile- Aprille Ericcson_2Cmh3YsUuJA - transcript (automated).pdf","Transcript Link")</f>
        <v>Transcript Link</v>
      </c>
      <c r="M3681" s="2" t="str">
        <f>HYPERLINK("https://files.afu.se/Downloads/Transcripts/0%20-%20Government/USA%20-%20NASA/2012 02 15 - NASA - NASA African-American History Month Profile- Aprille Ericcson_2Cmh3YsUuJA - transcript (automated).pdf","Transcript Link")</f>
        <v>Transcript Link</v>
      </c>
    </row>
    <row r="3682" ht="165" spans="1:13">
      <c r="A3682" s="1" t="s">
        <v>16563</v>
      </c>
      <c r="B3682" s="1" t="s">
        <v>13</v>
      </c>
      <c r="C3682" s="4" t="s">
        <v>16588</v>
      </c>
      <c r="D3682" s="1" t="s">
        <v>16589</v>
      </c>
      <c r="E3682" s="1" t="s">
        <v>16590</v>
      </c>
      <c r="F3682" s="4" t="s">
        <v>17</v>
      </c>
      <c r="G3682" s="1" t="s">
        <v>18</v>
      </c>
      <c r="H3682" s="1" t="s">
        <v>19</v>
      </c>
      <c r="I3682" s="1" t="s">
        <v>20</v>
      </c>
      <c r="J3682" s="1" t="s">
        <v>16591</v>
      </c>
      <c r="K3682" s="1" t="s">
        <v>22</v>
      </c>
      <c r="L3682" s="1" t="str">
        <f>HYPERLINK("https://files.afu.se/Downloads/Transcripts/0%20-%20Government/USA%20-%20NASA/2012 02 15 - NASA - NASA African-American History Month Profile- James Fraction_SEbOlyngWDk - transcript (automated).pdf","Transcript Link")</f>
        <v>Transcript Link</v>
      </c>
      <c r="M3682" s="2" t="str">
        <f>HYPERLINK("https://files.afu.se/Downloads/Transcripts/0%20-%20Government/USA%20-%20NASA/2012 02 15 - NASA - NASA African-American History Month Profile- James Fraction_SEbOlyngWDk - transcript (automated).pdf","Transcript Link")</f>
        <v>Transcript Link</v>
      </c>
    </row>
    <row r="3683" ht="165" spans="1:13">
      <c r="A3683" s="1" t="s">
        <v>16563</v>
      </c>
      <c r="B3683" s="1" t="s">
        <v>13</v>
      </c>
      <c r="C3683" s="4" t="s">
        <v>16592</v>
      </c>
      <c r="D3683" s="1" t="s">
        <v>16593</v>
      </c>
      <c r="E3683" s="1" t="s">
        <v>16594</v>
      </c>
      <c r="F3683" s="4" t="s">
        <v>17</v>
      </c>
      <c r="G3683" s="1" t="s">
        <v>18</v>
      </c>
      <c r="H3683" s="1" t="s">
        <v>19</v>
      </c>
      <c r="I3683" s="1" t="s">
        <v>20</v>
      </c>
      <c r="J3683" s="1" t="s">
        <v>16595</v>
      </c>
      <c r="K3683" s="1" t="s">
        <v>22</v>
      </c>
      <c r="L3683" s="1" t="str">
        <f>HYPERLINK("https://files.afu.se/Downloads/Transcripts/0%20-%20Government/USA%20-%20NASA/2012 02 15 - NASA - Station Crew Discusses Life in Space with South Carolina Students_rUpwB4qMaMM - transcript (automated).pdf","Transcript Link")</f>
        <v>Transcript Link</v>
      </c>
      <c r="M3683" s="2" t="str">
        <f>HYPERLINK("https://files.afu.se/Downloads/Transcripts/0%20-%20Government/USA%20-%20NASA/2012 02 15 - NASA - Station Crew Discusses Life in Space with South Carolina Students_rUpwB4qMaMM - transcript (automated).pdf","Transcript Link")</f>
        <v>Transcript Link</v>
      </c>
    </row>
    <row r="3684" ht="165" spans="1:13">
      <c r="A3684" s="1" t="s">
        <v>16563</v>
      </c>
      <c r="B3684" s="1" t="s">
        <v>13</v>
      </c>
      <c r="C3684" s="4" t="s">
        <v>16596</v>
      </c>
      <c r="D3684" s="1" t="s">
        <v>16597</v>
      </c>
      <c r="F3684" s="4" t="s">
        <v>17</v>
      </c>
      <c r="G3684" s="1" t="s">
        <v>18</v>
      </c>
      <c r="H3684" s="1" t="s">
        <v>19</v>
      </c>
      <c r="I3684" s="1" t="s">
        <v>20</v>
      </c>
      <c r="J3684" s="1" t="s">
        <v>16598</v>
      </c>
      <c r="K3684" s="1" t="s">
        <v>22</v>
      </c>
      <c r="L3684" s="1" t="str">
        <f>HYPERLINK("https://files.afu.se/Downloads/Transcripts/0%20-%20Government/USA%20-%20NASA/2012 02 15 - NASA - Meet Astronauts Mike Fossum and Cady Coleman at Smithsonian National Air and Space Museum_OV5iUcdrPSE - transcript (automated).pdf","Transcript Link")</f>
        <v>Transcript Link</v>
      </c>
      <c r="M3684" s="2" t="str">
        <f>HYPERLINK("https://files.afu.se/Downloads/Transcripts/0%20-%20Government/USA%20-%20NASA/2012 02 15 - NASA - Meet Astronauts Mike Fossum and Cady Coleman at Smithsonian National Air and Space Museum_OV5iUcdrPSE - transcript (automated).pdf","Transcript Link")</f>
        <v>Transcript Link</v>
      </c>
    </row>
    <row r="3685" ht="165" spans="1:13">
      <c r="A3685" s="1" t="s">
        <v>16599</v>
      </c>
      <c r="B3685" s="1" t="s">
        <v>13</v>
      </c>
      <c r="C3685" s="4" t="s">
        <v>16600</v>
      </c>
      <c r="D3685" s="1" t="s">
        <v>16601</v>
      </c>
      <c r="E3685" s="1" t="s">
        <v>16602</v>
      </c>
      <c r="F3685" s="4" t="s">
        <v>17</v>
      </c>
      <c r="G3685" s="1" t="s">
        <v>18</v>
      </c>
      <c r="H3685" s="1" t="s">
        <v>19</v>
      </c>
      <c r="I3685" s="1" t="s">
        <v>20</v>
      </c>
      <c r="J3685" s="1" t="s">
        <v>16603</v>
      </c>
      <c r="K3685" s="1" t="s">
        <v>22</v>
      </c>
      <c r="L3685" s="1" t="str">
        <f>HYPERLINK("https://files.afu.se/Downloads/Transcripts/0%20-%20Government/USA%20-%20NASA/2012 02 14 - NASA - Ron Garan Hosts Tweetup @ NASA Headquarters_OvXQs87N624 - transcript (automated).pdf","Transcript Link")</f>
        <v>Transcript Link</v>
      </c>
      <c r="M3685" s="2" t="str">
        <f>HYPERLINK("https://files.afu.se/Downloads/Transcripts/0%20-%20Government/USA%20-%20NASA/2012 02 14 - NASA - Ron Garan Hosts Tweetup @ NASA Headquarters_OvXQs87N624 - transcript (automated).pdf","Transcript Link")</f>
        <v>Transcript Link</v>
      </c>
    </row>
    <row r="3686" ht="165" spans="1:13">
      <c r="A3686" s="1" t="s">
        <v>16599</v>
      </c>
      <c r="B3686" s="1" t="s">
        <v>13</v>
      </c>
      <c r="C3686" s="4" t="s">
        <v>16604</v>
      </c>
      <c r="D3686" s="1" t="s">
        <v>16605</v>
      </c>
      <c r="E3686" s="1" t="s">
        <v>16606</v>
      </c>
      <c r="F3686" s="4" t="s">
        <v>17</v>
      </c>
      <c r="G3686" s="1" t="s">
        <v>18</v>
      </c>
      <c r="H3686" s="1" t="s">
        <v>19</v>
      </c>
      <c r="I3686" s="1" t="s">
        <v>20</v>
      </c>
      <c r="J3686" s="1" t="s">
        <v>16607</v>
      </c>
      <c r="K3686" s="1" t="s">
        <v>22</v>
      </c>
      <c r="L3686" s="1" t="str">
        <f>HYPERLINK("https://files.afu.se/Downloads/Transcripts/0%20-%20Government/USA%20-%20NASA/2012 02 14 - NASA - Space Station Residents Share Experiences_10V3au51LWc - transcript (automated).pdf","Transcript Link")</f>
        <v>Transcript Link</v>
      </c>
      <c r="M3686" s="2" t="str">
        <f>HYPERLINK("https://files.afu.se/Downloads/Transcripts/0%20-%20Government/USA%20-%20NASA/2012 02 14 - NASA - Space Station Residents Share Experiences_10V3au51LWc - transcript (automated).pdf","Transcript Link")</f>
        <v>Transcript Link</v>
      </c>
    </row>
    <row r="3687" ht="165" spans="1:13">
      <c r="A3687" s="1" t="s">
        <v>16608</v>
      </c>
      <c r="B3687" s="1" t="s">
        <v>13</v>
      </c>
      <c r="C3687" s="4" t="s">
        <v>16609</v>
      </c>
      <c r="D3687" s="1" t="s">
        <v>16610</v>
      </c>
      <c r="E3687" s="1" t="s">
        <v>16611</v>
      </c>
      <c r="F3687" s="4" t="s">
        <v>17</v>
      </c>
      <c r="G3687" s="1" t="s">
        <v>18</v>
      </c>
      <c r="H3687" s="1" t="s">
        <v>19</v>
      </c>
      <c r="I3687" s="1" t="s">
        <v>20</v>
      </c>
      <c r="J3687" s="1" t="s">
        <v>16612</v>
      </c>
      <c r="K3687" s="1" t="s">
        <v>22</v>
      </c>
      <c r="L3687" s="1" t="str">
        <f>HYPERLINK("https://files.afu.se/Downloads/Transcripts/0%20-%20Government/USA%20-%20NASA/2012 02 13 - NASA -  Friendship 7  Premieres Thursday at 8 p.m. on NASA TV_O-T7CZeiRqM - transcript (automated).pdf","Transcript Link")</f>
        <v>Transcript Link</v>
      </c>
      <c r="M3687" s="2" t="str">
        <f>HYPERLINK("https://files.afu.se/Downloads/Transcripts/0%20-%20Government/USA%20-%20NASA/2012 02 13 - NASA -  Friendship 7  Premieres Thursday at 8 p.m. on NASA TV_O-T7CZeiRqM - transcript (automated).pdf","Transcript Link")</f>
        <v>Transcript Link</v>
      </c>
    </row>
    <row r="3688" ht="165" spans="1:13">
      <c r="A3688" s="1" t="s">
        <v>16608</v>
      </c>
      <c r="B3688" s="1" t="s">
        <v>13</v>
      </c>
      <c r="C3688" s="4" t="s">
        <v>16613</v>
      </c>
      <c r="D3688" s="1" t="s">
        <v>16614</v>
      </c>
      <c r="E3688" s="1" t="s">
        <v>16615</v>
      </c>
      <c r="F3688" s="4" t="s">
        <v>17</v>
      </c>
      <c r="G3688" s="1" t="s">
        <v>18</v>
      </c>
      <c r="H3688" s="1" t="s">
        <v>19</v>
      </c>
      <c r="I3688" s="1" t="s">
        <v>20</v>
      </c>
      <c r="J3688" s="1" t="s">
        <v>16616</v>
      </c>
      <c r="K3688" s="1" t="s">
        <v>22</v>
      </c>
      <c r="L3688" s="1" t="str">
        <f>HYPERLINK("https://files.afu.se/Downloads/Transcripts/0%20-%20Government/USA%20-%20NASA/2012 02 13 - NASA - 50th Anniversary  John Glenn and Friendship 7_E-lTPK5sQAA - transcript (automated).pdf","Transcript Link")</f>
        <v>Transcript Link</v>
      </c>
      <c r="M3688" s="2" t="str">
        <f>HYPERLINK("https://files.afu.se/Downloads/Transcripts/0%20-%20Government/USA%20-%20NASA/2012 02 13 - NASA - 50th Anniversary  John Glenn and Friendship 7_E-lTPK5sQAA - transcript (automated).pdf","Transcript Link")</f>
        <v>Transcript Link</v>
      </c>
    </row>
    <row r="3689" ht="165" spans="1:13">
      <c r="A3689" s="1" t="s">
        <v>16608</v>
      </c>
      <c r="B3689" s="1" t="s">
        <v>13</v>
      </c>
      <c r="C3689" s="4" t="s">
        <v>16617</v>
      </c>
      <c r="D3689" s="1" t="s">
        <v>16618</v>
      </c>
      <c r="E3689" s="1" t="s">
        <v>16619</v>
      </c>
      <c r="F3689" s="4" t="s">
        <v>17</v>
      </c>
      <c r="G3689" s="1" t="s">
        <v>18</v>
      </c>
      <c r="H3689" s="1" t="s">
        <v>19</v>
      </c>
      <c r="I3689" s="1" t="s">
        <v>20</v>
      </c>
      <c r="J3689" s="1" t="s">
        <v>16620</v>
      </c>
      <c r="K3689" s="1" t="s">
        <v>22</v>
      </c>
      <c r="L3689" s="1" t="str">
        <f>HYPERLINK("https://files.afu.se/Downloads/Transcripts/0%20-%20Government/USA%20-%20NASA/2012 02 13 - NASA -  Ambitious Journey _AbLhM94HDjY - transcript (automated).pdf","Transcript Link")</f>
        <v>Transcript Link</v>
      </c>
      <c r="M3689" s="2" t="str">
        <f>HYPERLINK("https://files.afu.se/Downloads/Transcripts/0%20-%20Government/USA%20-%20NASA/2012 02 13 - NASA -  Ambitious Journey _AbLhM94HDjY - transcript (automated).pdf","Transcript Link")</f>
        <v>Transcript Link</v>
      </c>
    </row>
    <row r="3690" ht="210" spans="1:13">
      <c r="A3690" s="1" t="s">
        <v>16621</v>
      </c>
      <c r="B3690" s="1" t="s">
        <v>13</v>
      </c>
      <c r="C3690" s="4" t="s">
        <v>16622</v>
      </c>
      <c r="D3690" s="1" t="s">
        <v>16623</v>
      </c>
      <c r="E3690" s="1" t="s">
        <v>16624</v>
      </c>
      <c r="F3690" s="4" t="s">
        <v>17</v>
      </c>
      <c r="G3690" s="1" t="s">
        <v>18</v>
      </c>
      <c r="H3690" s="1" t="s">
        <v>19</v>
      </c>
      <c r="I3690" s="1" t="s">
        <v>20</v>
      </c>
      <c r="J3690" s="1" t="s">
        <v>16625</v>
      </c>
      <c r="K3690" s="1" t="s">
        <v>22</v>
      </c>
      <c r="L3690" s="1" t="str">
        <f>HYPERLINK("https://files.afu.se/Downloads/Transcripts/0%20-%20Government/USA%20-%20NASA/2012 02 10 - NASA - Orion on the Move on This Week @ NASA_c6rpZXPDLhc - transcript (automated).pdf","Transcript Link")</f>
        <v>Transcript Link</v>
      </c>
      <c r="M3690" s="2" t="str">
        <f>HYPERLINK("https://files.afu.se/Downloads/Transcripts/0%20-%20Government/USA%20-%20NASA/2012 02 10 - NASA - Orion on the Move on This Week @ NASA_c6rpZXPDLhc - transcript (automated).pdf","Transcript Link")</f>
        <v>Transcript Link</v>
      </c>
    </row>
    <row r="3691" ht="165" spans="1:13">
      <c r="A3691" s="1" t="s">
        <v>16626</v>
      </c>
      <c r="B3691" s="1" t="s">
        <v>13</v>
      </c>
      <c r="C3691" s="4" t="s">
        <v>16627</v>
      </c>
      <c r="D3691" s="1" t="s">
        <v>16628</v>
      </c>
      <c r="E3691" s="1" t="s">
        <v>16629</v>
      </c>
      <c r="F3691" s="4" t="s">
        <v>17</v>
      </c>
      <c r="G3691" s="1" t="s">
        <v>18</v>
      </c>
      <c r="H3691" s="1" t="s">
        <v>19</v>
      </c>
      <c r="I3691" s="1" t="s">
        <v>20</v>
      </c>
      <c r="J3691" s="1" t="s">
        <v>16630</v>
      </c>
      <c r="K3691" s="1" t="s">
        <v>22</v>
      </c>
      <c r="L3691" s="1" t="str">
        <f>HYPERLINK("https://files.afu.se/Downloads/Transcripts/0%20-%20Government/USA%20-%20NASA/2012 02 09 - NASA - ScienceCasts  Alien Matter in the Solar System_mxh57wwJonI - transcript (automated).pdf","Transcript Link")</f>
        <v>Transcript Link</v>
      </c>
      <c r="M3691" s="2" t="str">
        <f>HYPERLINK("https://files.afu.se/Downloads/Transcripts/0%20-%20Government/USA%20-%20NASA/2012 02 09 - NASA - ScienceCasts  Alien Matter in the Solar System_mxh57wwJonI - transcript (automated).pdf","Transcript Link")</f>
        <v>Transcript Link</v>
      </c>
    </row>
    <row r="3692" ht="165" spans="1:13">
      <c r="A3692" s="1" t="s">
        <v>16631</v>
      </c>
      <c r="B3692" s="1" t="s">
        <v>13</v>
      </c>
      <c r="C3692" s="4" t="s">
        <v>16632</v>
      </c>
      <c r="D3692" s="1" t="s">
        <v>16633</v>
      </c>
      <c r="E3692" s="1" t="s">
        <v>16634</v>
      </c>
      <c r="F3692" s="4" t="s">
        <v>17</v>
      </c>
      <c r="G3692" s="1" t="s">
        <v>18</v>
      </c>
      <c r="H3692" s="1" t="s">
        <v>19</v>
      </c>
      <c r="I3692" s="1" t="s">
        <v>20</v>
      </c>
      <c r="J3692" s="1" t="s">
        <v>16635</v>
      </c>
      <c r="K3692" s="1" t="s">
        <v>22</v>
      </c>
      <c r="L3692" s="1" t="str">
        <f>HYPERLINK("https://files.afu.se/Downloads/Transcripts/0%20-%20Government/USA%20-%20NASA/2012 02 08 - NASA - Station Crew Fields Questions From YouTube Viewers_Z3a4gufbUOg - transcript (automated).pdf","Transcript Link")</f>
        <v>Transcript Link</v>
      </c>
      <c r="M3692" s="2" t="str">
        <f>HYPERLINK("https://files.afu.se/Downloads/Transcripts/0%20-%20Government/USA%20-%20NASA/2012 02 08 - NASA - Station Crew Fields Questions From YouTube Viewers_Z3a4gufbUOg - transcript (automated).pdf","Transcript Link")</f>
        <v>Transcript Link</v>
      </c>
    </row>
    <row r="3693" ht="180" spans="1:13">
      <c r="A3693" s="1" t="s">
        <v>16636</v>
      </c>
      <c r="B3693" s="1" t="s">
        <v>13</v>
      </c>
      <c r="C3693" s="4" t="s">
        <v>16637</v>
      </c>
      <c r="D3693" s="1" t="s">
        <v>16638</v>
      </c>
      <c r="E3693" s="1" t="s">
        <v>16639</v>
      </c>
      <c r="F3693" s="4" t="s">
        <v>17</v>
      </c>
      <c r="G3693" s="1" t="s">
        <v>18</v>
      </c>
      <c r="H3693" s="1" t="s">
        <v>19</v>
      </c>
      <c r="I3693" s="1" t="s">
        <v>20</v>
      </c>
      <c r="J3693" s="1" t="s">
        <v>16640</v>
      </c>
      <c r="K3693" s="1" t="s">
        <v>22</v>
      </c>
      <c r="L3693" s="1" t="str">
        <f>HYPERLINK("https://files.afu.se/Downloads/Transcripts/0%20-%20Government/USA%20-%20NASA/2012 02 03 - NASA - Matter That Matters on This Week @ NASA_l1PceS4yRGQ - transcript (automated).pdf","Transcript Link")</f>
        <v>Transcript Link</v>
      </c>
      <c r="M3693" s="2" t="str">
        <f>HYPERLINK("https://files.afu.se/Downloads/Transcripts/0%20-%20Government/USA%20-%20NASA/2012 02 03 - NASA - Matter That Matters on This Week @ NASA_l1PceS4yRGQ - transcript (automated).pdf","Transcript Link")</f>
        <v>Transcript Link</v>
      </c>
    </row>
    <row r="3694" ht="165" spans="1:13">
      <c r="A3694" s="1" t="s">
        <v>16636</v>
      </c>
      <c r="B3694" s="1" t="s">
        <v>13</v>
      </c>
      <c r="C3694" s="4" t="s">
        <v>16641</v>
      </c>
      <c r="D3694" s="1" t="s">
        <v>16642</v>
      </c>
      <c r="E3694" s="1" t="s">
        <v>16643</v>
      </c>
      <c r="F3694" s="4" t="s">
        <v>17</v>
      </c>
      <c r="G3694" s="1" t="s">
        <v>18</v>
      </c>
      <c r="H3694" s="1" t="s">
        <v>19</v>
      </c>
      <c r="I3694" s="1" t="s">
        <v>20</v>
      </c>
      <c r="J3694" s="1" t="s">
        <v>16644</v>
      </c>
      <c r="K3694" s="1" t="s">
        <v>22</v>
      </c>
      <c r="L3694" s="1" t="str">
        <f>HYPERLINK("https://files.afu.se/Downloads/Transcripts/0%20-%20Government/USA%20-%20NASA/2012 02 03 - NASA - ScienceCasts  Mission to Land on a Comet_aQOVs7G3fNk - transcript (automated).pdf","Transcript Link")</f>
        <v>Transcript Link</v>
      </c>
      <c r="M3694" s="2" t="str">
        <f>HYPERLINK("https://files.afu.se/Downloads/Transcripts/0%20-%20Government/USA%20-%20NASA/2012 02 03 - NASA - ScienceCasts  Mission to Land on a Comet_aQOVs7G3fNk - transcript (automated).pdf","Transcript Link")</f>
        <v>Transcript Link</v>
      </c>
    </row>
    <row r="3695" ht="165" spans="1:13">
      <c r="A3695" s="1" t="s">
        <v>16645</v>
      </c>
      <c r="B3695" s="1" t="s">
        <v>13</v>
      </c>
      <c r="C3695" s="4" t="s">
        <v>16646</v>
      </c>
      <c r="D3695" s="1" t="s">
        <v>16647</v>
      </c>
      <c r="E3695" s="1" t="s">
        <v>16648</v>
      </c>
      <c r="F3695" s="4" t="s">
        <v>17</v>
      </c>
      <c r="G3695" s="1" t="s">
        <v>18</v>
      </c>
      <c r="H3695" s="1" t="s">
        <v>19</v>
      </c>
      <c r="I3695" s="1" t="s">
        <v>20</v>
      </c>
      <c r="J3695" s="1" t="s">
        <v>16649</v>
      </c>
      <c r="K3695" s="1" t="s">
        <v>22</v>
      </c>
      <c r="L3695" s="1" t="str">
        <f>HYPERLINK("https://files.afu.se/Downloads/Transcripts/0%20-%20Government/USA%20-%20NASA/2012 02 02 - NASA - Station Commander Talks with Students at the Coast Guard Academy_--xB13b1UOI - transcript (automated).pdf","Transcript Link")</f>
        <v>Transcript Link</v>
      </c>
      <c r="M3695" s="2" t="str">
        <f>HYPERLINK("https://files.afu.se/Downloads/Transcripts/0%20-%20Government/USA%20-%20NASA/2012 02 02 - NASA - Station Commander Talks with Students at the Coast Guard Academy_--xB13b1UOI - transcript (automated).pdf","Transcript Link")</f>
        <v>Transcript Link</v>
      </c>
    </row>
    <row r="3696" ht="165" spans="1:13">
      <c r="A3696" s="1" t="s">
        <v>16645</v>
      </c>
      <c r="B3696" s="1" t="s">
        <v>13</v>
      </c>
      <c r="C3696" s="4" t="s">
        <v>16650</v>
      </c>
      <c r="D3696" s="1" t="s">
        <v>16651</v>
      </c>
      <c r="E3696" s="1" t="s">
        <v>16652</v>
      </c>
      <c r="F3696" s="4" t="s">
        <v>17</v>
      </c>
      <c r="G3696" s="1" t="s">
        <v>18</v>
      </c>
      <c r="H3696" s="1" t="s">
        <v>19</v>
      </c>
      <c r="I3696" s="1" t="s">
        <v>20</v>
      </c>
      <c r="J3696" s="1" t="s">
        <v>16653</v>
      </c>
      <c r="K3696" s="1" t="s">
        <v>22</v>
      </c>
      <c r="L3696" s="1" t="str">
        <f>HYPERLINK("https://files.afu.se/Downloads/Transcripts/0%20-%20Government/USA%20-%20NASA/2012 02 02 - NASA - European Station Astronaut Discusses Fitness in Space With European Students_wU2eZNbt1m0 - transcript (automated).pdf","Transcript Link")</f>
        <v>Transcript Link</v>
      </c>
      <c r="M3696" s="2" t="str">
        <f>HYPERLINK("https://files.afu.se/Downloads/Transcripts/0%20-%20Government/USA%20-%20NASA/2012 02 02 - NASA - European Station Astronaut Discusses Fitness in Space With European Students_wU2eZNbt1m0 - transcript (automated).pdf","Transcript Link")</f>
        <v>Transcript Link</v>
      </c>
    </row>
    <row r="3697" ht="165" spans="1:13">
      <c r="A3697" s="1" t="s">
        <v>16654</v>
      </c>
      <c r="B3697" s="1" t="s">
        <v>13</v>
      </c>
      <c r="C3697" s="4" t="s">
        <v>16655</v>
      </c>
      <c r="D3697" s="1" t="s">
        <v>16656</v>
      </c>
      <c r="E3697" s="1" t="s">
        <v>16657</v>
      </c>
      <c r="F3697" s="4" t="s">
        <v>17</v>
      </c>
      <c r="G3697" s="1" t="s">
        <v>18</v>
      </c>
      <c r="H3697" s="1" t="s">
        <v>19</v>
      </c>
      <c r="I3697" s="1" t="s">
        <v>20</v>
      </c>
      <c r="J3697" s="1" t="s">
        <v>16658</v>
      </c>
      <c r="K3697" s="1" t="s">
        <v>22</v>
      </c>
      <c r="L3697" s="1" t="str">
        <f>HYPERLINK("https://files.afu.se/Downloads/Transcripts/0%20-%20Government/USA%20-%20NASA/2012 02 01 - NASA - NASA Astronaut's Challenge of Inspiration_Fw0WH6guVYM - transcript (automated).pdf","Transcript Link")</f>
        <v>Transcript Link</v>
      </c>
      <c r="M3697" s="2" t="str">
        <f>HYPERLINK("https://files.afu.se/Downloads/Transcripts/0%20-%20Government/USA%20-%20NASA/2012 02 01 - NASA - NASA Astronaut's Challenge of Inspiration_Fw0WH6guVYM - transcript (automated).pdf","Transcript Link")</f>
        <v>Transcript Link</v>
      </c>
    </row>
    <row r="3698" ht="165" spans="1:13">
      <c r="A3698" s="1" t="s">
        <v>16659</v>
      </c>
      <c r="B3698" s="1" t="s">
        <v>13</v>
      </c>
      <c r="C3698" s="4" t="s">
        <v>16660</v>
      </c>
      <c r="D3698" s="1" t="s">
        <v>16661</v>
      </c>
      <c r="E3698" s="1" t="s">
        <v>16662</v>
      </c>
      <c r="F3698" s="4" t="s">
        <v>17</v>
      </c>
      <c r="G3698" s="1" t="s">
        <v>18</v>
      </c>
      <c r="H3698" s="1" t="s">
        <v>19</v>
      </c>
      <c r="I3698" s="1" t="s">
        <v>20</v>
      </c>
      <c r="J3698" s="1" t="s">
        <v>16663</v>
      </c>
      <c r="K3698" s="1" t="s">
        <v>22</v>
      </c>
      <c r="L3698" s="1" t="str">
        <f>HYPERLINK("https://files.afu.se/Downloads/Transcripts/0%20-%20Government/USA%20-%20NASA/2012 01 31 - NASA - Scientists Discuss Space Matter_cC1qPuCdS9I - transcript (automated).pdf","Transcript Link")</f>
        <v>Transcript Link</v>
      </c>
      <c r="M3698" s="2" t="str">
        <f>HYPERLINK("https://files.afu.se/Downloads/Transcripts/0%20-%20Government/USA%20-%20NASA/2012 01 31 - NASA - Scientists Discuss Space Matter_cC1qPuCdS9I - transcript (automated).pdf","Transcript Link")</f>
        <v>Transcript Link</v>
      </c>
    </row>
    <row r="3699" ht="165" spans="1:13">
      <c r="A3699" s="1" t="s">
        <v>16659</v>
      </c>
      <c r="B3699" s="1" t="s">
        <v>13</v>
      </c>
      <c r="C3699" s="4" t="s">
        <v>16664</v>
      </c>
      <c r="D3699" s="1" t="s">
        <v>16665</v>
      </c>
      <c r="E3699" s="1" t="s">
        <v>16666</v>
      </c>
      <c r="F3699" s="4" t="s">
        <v>17</v>
      </c>
      <c r="G3699" s="1" t="s">
        <v>18</v>
      </c>
      <c r="H3699" s="1" t="s">
        <v>19</v>
      </c>
      <c r="I3699" s="1" t="s">
        <v>20</v>
      </c>
      <c r="J3699" s="1" t="s">
        <v>16667</v>
      </c>
      <c r="K3699" s="1" t="s">
        <v>22</v>
      </c>
      <c r="L3699" s="1" t="str">
        <f>HYPERLINK("https://files.afu.se/Downloads/Transcripts/0%20-%20Government/USA%20-%20NASA/2012 01 31 - NASA - Station Crew Discusses Life in Space with Texas Students_f3NLaZPHLgE - transcript (automated).pdf","Transcript Link")</f>
        <v>Transcript Link</v>
      </c>
      <c r="M3699" s="2" t="str">
        <f>HYPERLINK("https://files.afu.se/Downloads/Transcripts/0%20-%20Government/USA%20-%20NASA/2012 01 31 - NASA - Station Crew Discusses Life in Space with Texas Students_f3NLaZPHLgE - transcript (automated).pdf","Transcript Link")</f>
        <v>Transcript Link</v>
      </c>
    </row>
    <row r="3700" ht="165" spans="1:13">
      <c r="A3700" s="1" t="s">
        <v>16659</v>
      </c>
      <c r="B3700" s="1" t="s">
        <v>13</v>
      </c>
      <c r="C3700" s="4" t="s">
        <v>16668</v>
      </c>
      <c r="D3700" s="1" t="s">
        <v>16669</v>
      </c>
      <c r="E3700" s="1" t="s">
        <v>16670</v>
      </c>
      <c r="F3700" s="4" t="s">
        <v>17</v>
      </c>
      <c r="G3700" s="1" t="s">
        <v>18</v>
      </c>
      <c r="H3700" s="1" t="s">
        <v>19</v>
      </c>
      <c r="I3700" s="1" t="s">
        <v>20</v>
      </c>
      <c r="J3700" s="1" t="s">
        <v>16671</v>
      </c>
      <c r="K3700" s="1" t="s">
        <v>22</v>
      </c>
      <c r="L3700" s="1" t="str">
        <f>HYPERLINK("https://files.afu.se/Downloads/Transcripts/0%20-%20Government/USA%20-%20NASA/2012 01 31 - NASA - STS-134  The Final Countdown_w2JC775S1hE - transcript (automated).pdf","Transcript Link")</f>
        <v>Transcript Link</v>
      </c>
      <c r="M3700" s="2" t="str">
        <f>HYPERLINK("https://files.afu.se/Downloads/Transcripts/0%20-%20Government/USA%20-%20NASA/2012 01 31 - NASA - STS-134  The Final Countdown_w2JC775S1hE - transcript (automated).pdf","Transcript Link")</f>
        <v>Transcript Link</v>
      </c>
    </row>
    <row r="3701" ht="165" spans="1:13">
      <c r="A3701" s="1" t="s">
        <v>16659</v>
      </c>
      <c r="B3701" s="1" t="s">
        <v>13</v>
      </c>
      <c r="C3701" s="4" t="s">
        <v>16672</v>
      </c>
      <c r="D3701" s="1" t="s">
        <v>16673</v>
      </c>
      <c r="E3701" s="1" t="s">
        <v>16674</v>
      </c>
      <c r="F3701" s="4" t="s">
        <v>17</v>
      </c>
      <c r="G3701" s="1" t="s">
        <v>18</v>
      </c>
      <c r="H3701" s="1" t="s">
        <v>19</v>
      </c>
      <c r="I3701" s="1" t="s">
        <v>20</v>
      </c>
      <c r="J3701" s="1" t="s">
        <v>16675</v>
      </c>
      <c r="K3701" s="1" t="s">
        <v>22</v>
      </c>
      <c r="L3701" s="1" t="str">
        <f>HYPERLINK("https://files.afu.se/Downloads/Transcripts/0%20-%20Government/USA%20-%20NASA/2012 01 31 - NASA - Colbert Needs His Space!_HX_GZiNog_I - transcript (automated).pdf","Transcript Link")</f>
        <v>Transcript Link</v>
      </c>
      <c r="M3701" s="2" t="str">
        <f>HYPERLINK("https://files.afu.se/Downloads/Transcripts/0%20-%20Government/USA%20-%20NASA/2012 01 31 - NASA - Colbert Needs His Space!_HX_GZiNog_I - transcript (automated).pdf","Transcript Link")</f>
        <v>Transcript Link</v>
      </c>
    </row>
    <row r="3702" ht="165" spans="1:13">
      <c r="A3702" s="1" t="s">
        <v>16676</v>
      </c>
      <c r="B3702" s="1" t="s">
        <v>13</v>
      </c>
      <c r="C3702" s="4" t="s">
        <v>16677</v>
      </c>
      <c r="D3702" s="1" t="s">
        <v>16678</v>
      </c>
      <c r="E3702" s="1" t="s">
        <v>16679</v>
      </c>
      <c r="F3702" s="4" t="s">
        <v>17</v>
      </c>
      <c r="G3702" s="1" t="s">
        <v>18</v>
      </c>
      <c r="H3702" s="1" t="s">
        <v>19</v>
      </c>
      <c r="I3702" s="1" t="s">
        <v>20</v>
      </c>
      <c r="J3702" s="1" t="s">
        <v>16680</v>
      </c>
      <c r="K3702" s="1" t="s">
        <v>22</v>
      </c>
      <c r="L3702" s="1" t="str">
        <f>HYPERLINK("https://files.afu.se/Downloads/Transcripts/0%20-%20Government/USA%20-%20NASA/2012 01 30 - NASA - ISS Supplies Arrive on This Week @NASA_YwwVrnLWUvA - transcript (automated).pdf","Transcript Link")</f>
        <v>Transcript Link</v>
      </c>
      <c r="M3702" s="2" t="str">
        <f>HYPERLINK("https://files.afu.se/Downloads/Transcripts/0%20-%20Government/USA%20-%20NASA/2012 01 30 - NASA - ISS Supplies Arrive on This Week @NASA_YwwVrnLWUvA - transcript (automated).pdf","Transcript Link")</f>
        <v>Transcript Link</v>
      </c>
    </row>
    <row r="3703" ht="165" spans="1:13">
      <c r="A3703" s="1" t="s">
        <v>16681</v>
      </c>
      <c r="B3703" s="1" t="s">
        <v>13</v>
      </c>
      <c r="C3703" s="4" t="s">
        <v>16682</v>
      </c>
      <c r="D3703" s="1" t="s">
        <v>16683</v>
      </c>
      <c r="E3703" s="1" t="s">
        <v>16684</v>
      </c>
      <c r="F3703" s="4" t="s">
        <v>17</v>
      </c>
      <c r="G3703" s="1" t="s">
        <v>18</v>
      </c>
      <c r="H3703" s="1" t="s">
        <v>19</v>
      </c>
      <c r="I3703" s="1" t="s">
        <v>20</v>
      </c>
      <c r="J3703" s="1" t="s">
        <v>16685</v>
      </c>
      <c r="K3703" s="1" t="s">
        <v>22</v>
      </c>
      <c r="L3703" s="1" t="str">
        <f>HYPERLINK("https://files.afu.se/Downloads/Transcripts/0%20-%20Government/USA%20-%20NASA/2012 01 28 - NASA - Space Freighter Docks to ISS_WqciLBr6t7c - transcript (automated).pdf","Transcript Link")</f>
        <v>Transcript Link</v>
      </c>
      <c r="M3703" s="2" t="str">
        <f>HYPERLINK("https://files.afu.se/Downloads/Transcripts/0%20-%20Government/USA%20-%20NASA/2012 01 28 - NASA - Space Freighter Docks to ISS_WqciLBr6t7c - transcript (automated).pdf","Transcript Link")</f>
        <v>Transcript Link</v>
      </c>
    </row>
    <row r="3704" ht="165" spans="1:13">
      <c r="A3704" s="1" t="s">
        <v>16686</v>
      </c>
      <c r="B3704" s="1" t="s">
        <v>13</v>
      </c>
      <c r="C3704" s="4" t="s">
        <v>16687</v>
      </c>
      <c r="D3704" s="1" t="s">
        <v>16688</v>
      </c>
      <c r="E3704" s="1" t="s">
        <v>16689</v>
      </c>
      <c r="F3704" s="4" t="s">
        <v>17</v>
      </c>
      <c r="G3704" s="1" t="s">
        <v>18</v>
      </c>
      <c r="H3704" s="1" t="s">
        <v>19</v>
      </c>
      <c r="I3704" s="1" t="s">
        <v>20</v>
      </c>
      <c r="J3704" s="1" t="s">
        <v>16690</v>
      </c>
      <c r="K3704" s="1" t="s">
        <v>22</v>
      </c>
      <c r="L3704" s="1" t="str">
        <f>HYPERLINK("https://files.afu.se/Downloads/Transcripts/0%20-%20Government/USA%20-%20NASA/2012 01 27 - NASA - Super Solar Storm on This Week @NASA_gR3A0IhsP48 - transcript (automated).pdf","Transcript Link")</f>
        <v>Transcript Link</v>
      </c>
      <c r="M3704" s="2" t="str">
        <f>HYPERLINK("https://files.afu.se/Downloads/Transcripts/0%20-%20Government/USA%20-%20NASA/2012 01 27 - NASA - Super Solar Storm on This Week @NASA_gR3A0IhsP48 - transcript (automated).pdf","Transcript Link")</f>
        <v>Transcript Link</v>
      </c>
    </row>
    <row r="3705" ht="165" spans="1:13">
      <c r="A3705" s="1" t="s">
        <v>16686</v>
      </c>
      <c r="B3705" s="1" t="s">
        <v>13</v>
      </c>
      <c r="C3705" s="4" t="s">
        <v>16691</v>
      </c>
      <c r="D3705" s="1" t="s">
        <v>16692</v>
      </c>
      <c r="E3705" s="1" t="s">
        <v>16693</v>
      </c>
      <c r="F3705" s="4" t="s">
        <v>17</v>
      </c>
      <c r="G3705" s="1" t="s">
        <v>18</v>
      </c>
      <c r="H3705" s="1" t="s">
        <v>19</v>
      </c>
      <c r="I3705" s="1" t="s">
        <v>20</v>
      </c>
      <c r="J3705" s="1" t="s">
        <v>16694</v>
      </c>
      <c r="K3705" s="1" t="s">
        <v>22</v>
      </c>
      <c r="L3705" s="1" t="str">
        <f>HYPERLINK("https://files.afu.se/Downloads/Transcripts/0%20-%20Government/USA%20-%20NASA/2012 01 27 - NASA - ScienceCasts  Solar Eclipse in the USA_tBtZ54cKj3o - transcript (automated).pdf","Transcript Link")</f>
        <v>Transcript Link</v>
      </c>
      <c r="M3705" s="2" t="str">
        <f>HYPERLINK("https://files.afu.se/Downloads/Transcripts/0%20-%20Government/USA%20-%20NASA/2012 01 27 - NASA - ScienceCasts  Solar Eclipse in the USA_tBtZ54cKj3o - transcript (automated).pdf","Transcript Link")</f>
        <v>Transcript Link</v>
      </c>
    </row>
    <row r="3706" ht="165" spans="1:13">
      <c r="A3706" s="1" t="s">
        <v>16695</v>
      </c>
      <c r="B3706" s="1" t="s">
        <v>13</v>
      </c>
      <c r="C3706" s="4" t="s">
        <v>16696</v>
      </c>
      <c r="D3706" s="1" t="s">
        <v>16697</v>
      </c>
      <c r="E3706" s="1" t="s">
        <v>16698</v>
      </c>
      <c r="F3706" s="4" t="s">
        <v>17</v>
      </c>
      <c r="G3706" s="1" t="s">
        <v>18</v>
      </c>
      <c r="H3706" s="1" t="s">
        <v>19</v>
      </c>
      <c r="I3706" s="1" t="s">
        <v>20</v>
      </c>
      <c r="J3706" s="1" t="s">
        <v>16699</v>
      </c>
      <c r="K3706" s="1" t="s">
        <v>22</v>
      </c>
      <c r="L3706" s="1" t="str">
        <f>HYPERLINK("https://files.afu.se/Downloads/Transcripts/0%20-%20Government/USA%20-%20NASA/2012 01 25 - NASA - Cargo Ship Launches to Space Station_NuJxe8XoYW0 - transcript (automated).pdf","Transcript Link")</f>
        <v>Transcript Link</v>
      </c>
      <c r="M3706" s="2" t="str">
        <f>HYPERLINK("https://files.afu.se/Downloads/Transcripts/0%20-%20Government/USA%20-%20NASA/2012 01 25 - NASA - Cargo Ship Launches to Space Station_NuJxe8XoYW0 - transcript (automated).pdf","Transcript Link")</f>
        <v>Transcript Link</v>
      </c>
    </row>
    <row r="3707" ht="165" spans="1:13">
      <c r="A3707" s="1" t="s">
        <v>16695</v>
      </c>
      <c r="B3707" s="1" t="s">
        <v>13</v>
      </c>
      <c r="C3707" s="4" t="s">
        <v>16700</v>
      </c>
      <c r="D3707" s="1" t="s">
        <v>16701</v>
      </c>
      <c r="E3707" s="1" t="s">
        <v>16702</v>
      </c>
      <c r="F3707" s="4" t="s">
        <v>17</v>
      </c>
      <c r="G3707" s="1" t="s">
        <v>18</v>
      </c>
      <c r="H3707" s="1" t="s">
        <v>19</v>
      </c>
      <c r="I3707" s="1" t="s">
        <v>20</v>
      </c>
      <c r="J3707" s="1" t="s">
        <v>16703</v>
      </c>
      <c r="K3707" s="1" t="s">
        <v>22</v>
      </c>
      <c r="L3707" s="1" t="str">
        <f>HYPERLINK("https://files.afu.se/Downloads/Transcripts/0%20-%20Government/USA%20-%20NASA/2012 01 25 - NASA - Kuipers Hails Station's Science Research_FstovgoN4J4 - transcript (automated).pdf","Transcript Link")</f>
        <v>Transcript Link</v>
      </c>
      <c r="M3707" s="2" t="str">
        <f>HYPERLINK("https://files.afu.se/Downloads/Transcripts/0%20-%20Government/USA%20-%20NASA/2012 01 25 - NASA - Kuipers Hails Station's Science Research_FstovgoN4J4 - transcript (automated).pdf","Transcript Link")</f>
        <v>Transcript Link</v>
      </c>
    </row>
    <row r="3708" ht="165" spans="1:13">
      <c r="A3708" s="1" t="s">
        <v>16704</v>
      </c>
      <c r="B3708" s="1" t="s">
        <v>13</v>
      </c>
      <c r="C3708" s="4" t="s">
        <v>16705</v>
      </c>
      <c r="D3708" s="1" t="s">
        <v>16706</v>
      </c>
      <c r="E3708" s="1" t="s">
        <v>16707</v>
      </c>
      <c r="F3708" s="4" t="s">
        <v>17</v>
      </c>
      <c r="G3708" s="1" t="s">
        <v>18</v>
      </c>
      <c r="H3708" s="1" t="s">
        <v>19</v>
      </c>
      <c r="I3708" s="1" t="s">
        <v>20</v>
      </c>
      <c r="J3708" s="1" t="s">
        <v>16708</v>
      </c>
      <c r="K3708" s="1" t="s">
        <v>22</v>
      </c>
      <c r="L3708" s="1" t="str">
        <f>HYPERLINK("https://files.afu.se/Downloads/Transcripts/0%20-%20Government/USA%20-%20NASA/2012 01 24 - NASA - Station Commander Discusses Life in Space with Coast Guard Students_4oe5z1IBJBU - transcript (automated).pdf","Transcript Link")</f>
        <v>Transcript Link</v>
      </c>
      <c r="M3708" s="2" t="str">
        <f>HYPERLINK("https://files.afu.se/Downloads/Transcripts/0%20-%20Government/USA%20-%20NASA/2012 01 24 - NASA - Station Commander Discusses Life in Space with Coast Guard Students_4oe5z1IBJBU - transcript (automated).pdf","Transcript Link")</f>
        <v>Transcript Link</v>
      </c>
    </row>
    <row r="3709" ht="165" spans="1:13">
      <c r="A3709" s="1" t="s">
        <v>16709</v>
      </c>
      <c r="B3709" s="1" t="s">
        <v>13</v>
      </c>
      <c r="C3709" s="4" t="s">
        <v>16710</v>
      </c>
      <c r="D3709" s="1" t="s">
        <v>16711</v>
      </c>
      <c r="E3709" s="1" t="s">
        <v>16712</v>
      </c>
      <c r="F3709" s="4" t="s">
        <v>17</v>
      </c>
      <c r="G3709" s="1" t="s">
        <v>18</v>
      </c>
      <c r="H3709" s="1" t="s">
        <v>19</v>
      </c>
      <c r="I3709" s="1" t="s">
        <v>20</v>
      </c>
      <c r="J3709" s="1" t="s">
        <v>16713</v>
      </c>
      <c r="K3709" s="1" t="s">
        <v>22</v>
      </c>
      <c r="L3709" s="1" t="str">
        <f>HYPERLINK("https://files.afu.se/Downloads/Transcripts/0%20-%20Government/USA%20-%20NASA/2012 01 20 - NASA - GRAIL Spacecraft Named on This Week @ NASA_7F_tgmWpOVs - transcript (automated).pdf","Transcript Link")</f>
        <v>Transcript Link</v>
      </c>
      <c r="M3709" s="2" t="str">
        <f>HYPERLINK("https://files.afu.se/Downloads/Transcripts/0%20-%20Government/USA%20-%20NASA/2012 01 20 - NASA - GRAIL Spacecraft Named on This Week @ NASA_7F_tgmWpOVs - transcript (automated).pdf","Transcript Link")</f>
        <v>Transcript Link</v>
      </c>
    </row>
    <row r="3710" ht="165" spans="1:13">
      <c r="A3710" s="1" t="s">
        <v>16709</v>
      </c>
      <c r="B3710" s="1" t="s">
        <v>13</v>
      </c>
      <c r="C3710" s="4" t="s">
        <v>16714</v>
      </c>
      <c r="D3710" s="1" t="s">
        <v>16715</v>
      </c>
      <c r="E3710" s="1" t="s">
        <v>16716</v>
      </c>
      <c r="F3710" s="4" t="s">
        <v>17</v>
      </c>
      <c r="G3710" s="1" t="s">
        <v>18</v>
      </c>
      <c r="H3710" s="1" t="s">
        <v>19</v>
      </c>
      <c r="I3710" s="1" t="s">
        <v>20</v>
      </c>
      <c r="J3710" s="1" t="s">
        <v>16717</v>
      </c>
      <c r="K3710" s="1" t="s">
        <v>22</v>
      </c>
      <c r="L3710" s="1" t="str">
        <f>HYPERLINK("https://files.afu.se/Downloads/Transcripts/0%20-%20Government/USA%20-%20NASA/2012 01 20 - NASA - Station Crew Discusses Mission with AP and CNN_4RUjz2TYUOk - transcript (automated).pdf","Transcript Link")</f>
        <v>Transcript Link</v>
      </c>
      <c r="M3710" s="2" t="str">
        <f>HYPERLINK("https://files.afu.se/Downloads/Transcripts/0%20-%20Government/USA%20-%20NASA/2012 01 20 - NASA - Station Crew Discusses Mission with AP and CNN_4RUjz2TYUOk - transcript (automated).pdf","Transcript Link")</f>
        <v>Transcript Link</v>
      </c>
    </row>
    <row r="3711" ht="165" spans="1:13">
      <c r="A3711" s="1" t="s">
        <v>16718</v>
      </c>
      <c r="B3711" s="1" t="s">
        <v>13</v>
      </c>
      <c r="C3711" s="4" t="s">
        <v>16719</v>
      </c>
      <c r="D3711" s="1" t="s">
        <v>16720</v>
      </c>
      <c r="E3711" s="1" t="s">
        <v>16721</v>
      </c>
      <c r="F3711" s="4" t="s">
        <v>17</v>
      </c>
      <c r="G3711" s="1" t="s">
        <v>18</v>
      </c>
      <c r="H3711" s="1" t="s">
        <v>19</v>
      </c>
      <c r="I3711" s="1" t="s">
        <v>20</v>
      </c>
      <c r="J3711" s="1" t="s">
        <v>16722</v>
      </c>
      <c r="K3711" s="1" t="s">
        <v>22</v>
      </c>
      <c r="L3711" s="1" t="str">
        <f>HYPERLINK("https://files.afu.se/Downloads/Transcripts/0%20-%20Government/USA%20-%20NASA/2012 01 19 - NASA - ScienceCasts  What Happened to all the Snow _bgoMll8MmKI - transcript (automated).pdf","Transcript Link")</f>
        <v>Transcript Link</v>
      </c>
      <c r="M3711" s="2" t="str">
        <f>HYPERLINK("https://files.afu.se/Downloads/Transcripts/0%20-%20Government/USA%20-%20NASA/2012 01 19 - NASA - ScienceCasts  What Happened to all the Snow _bgoMll8MmKI - transcript (automated).pdf","Transcript Link")</f>
        <v>Transcript Link</v>
      </c>
    </row>
    <row r="3712" ht="165" spans="1:13">
      <c r="A3712" s="1" t="s">
        <v>16723</v>
      </c>
      <c r="B3712" s="1" t="s">
        <v>13</v>
      </c>
      <c r="C3712" s="4" t="s">
        <v>16724</v>
      </c>
      <c r="D3712" s="1" t="s">
        <v>16725</v>
      </c>
      <c r="E3712" s="1" t="s">
        <v>16726</v>
      </c>
      <c r="F3712" s="4" t="s">
        <v>17</v>
      </c>
      <c r="G3712" s="1" t="s">
        <v>18</v>
      </c>
      <c r="H3712" s="1" t="s">
        <v>19</v>
      </c>
      <c r="I3712" s="1" t="s">
        <v>20</v>
      </c>
      <c r="J3712" s="1" t="s">
        <v>16727</v>
      </c>
      <c r="K3712" s="1" t="s">
        <v>22</v>
      </c>
      <c r="L3712" s="1" t="str">
        <f>HYPERLINK("https://files.afu.se/Downloads/Transcripts/0%20-%20Government/USA%20-%20NASA/2012 01 18 - NASA - ISS Crew News Conference on This Week @ NASA_sVgu-LGiw6k - transcript (automated).pdf","Transcript Link")</f>
        <v>Transcript Link</v>
      </c>
      <c r="M3712" s="2" t="str">
        <f>HYPERLINK("https://files.afu.se/Downloads/Transcripts/0%20-%20Government/USA%20-%20NASA/2012 01 18 - NASA - ISS Crew News Conference on This Week @ NASA_sVgu-LGiw6k - transcript (automated).pdf","Transcript Link")</f>
        <v>Transcript Link</v>
      </c>
    </row>
    <row r="3713" ht="165" spans="1:13">
      <c r="A3713" s="1" t="s">
        <v>16723</v>
      </c>
      <c r="B3713" s="1" t="s">
        <v>13</v>
      </c>
      <c r="C3713" s="4" t="s">
        <v>16728</v>
      </c>
      <c r="D3713" s="1" t="s">
        <v>16729</v>
      </c>
      <c r="E3713" s="1" t="s">
        <v>16730</v>
      </c>
      <c r="F3713" s="4" t="s">
        <v>17</v>
      </c>
      <c r="G3713" s="1" t="s">
        <v>18</v>
      </c>
      <c r="H3713" s="1" t="s">
        <v>19</v>
      </c>
      <c r="I3713" s="1" t="s">
        <v>20</v>
      </c>
      <c r="J3713" s="1" t="s">
        <v>16731</v>
      </c>
      <c r="K3713" s="1" t="s">
        <v>22</v>
      </c>
      <c r="L3713" s="1" t="str">
        <f>HYPERLINK("https://files.afu.se/Downloads/Transcripts/0%20-%20Government/USA%20-%20NASA/2012 01 18 - NASA - ISS Flight Engineer Talks With Oregon Reporters_9yFziJ7J7GY - transcript (automated).pdf","Transcript Link")</f>
        <v>Transcript Link</v>
      </c>
      <c r="M3713" s="2" t="str">
        <f>HYPERLINK("https://files.afu.se/Downloads/Transcripts/0%20-%20Government/USA%20-%20NASA/2012 01 18 - NASA - ISS Flight Engineer Talks With Oregon Reporters_9yFziJ7J7GY - transcript (automated).pdf","Transcript Link")</f>
        <v>Transcript Link</v>
      </c>
    </row>
    <row r="3714" ht="165" spans="1:13">
      <c r="A3714" s="1" t="s">
        <v>16723</v>
      </c>
      <c r="B3714" s="1" t="s">
        <v>13</v>
      </c>
      <c r="C3714" s="4" t="s">
        <v>16732</v>
      </c>
      <c r="D3714" s="1" t="s">
        <v>16725</v>
      </c>
      <c r="E3714" s="1" t="s">
        <v>16726</v>
      </c>
      <c r="F3714" s="4" t="s">
        <v>17</v>
      </c>
      <c r="G3714" s="1" t="s">
        <v>18</v>
      </c>
      <c r="H3714" s="1" t="s">
        <v>19</v>
      </c>
      <c r="I3714" s="1" t="s">
        <v>20</v>
      </c>
      <c r="J3714" s="1" t="s">
        <v>16733</v>
      </c>
      <c r="K3714" s="1" t="s">
        <v>22</v>
      </c>
      <c r="L3714" s="1" t="str">
        <f>HYPERLINK("https://files.afu.se/Downloads/Transcripts/0%20-%20Government/USA%20-%20NASA/2012 01 18 - NASA - ISS Crew News Conference on This Week @ NASA_kduLGUgXQ2I - transcript (automated).pdf","Transcript Link")</f>
        <v>Transcript Link</v>
      </c>
      <c r="M3714" s="2" t="str">
        <f>HYPERLINK("https://files.afu.se/Downloads/Transcripts/0%20-%20Government/USA%20-%20NASA/2012 01 18 - NASA - ISS Crew News Conference on This Week @ NASA_kduLGUgXQ2I - transcript (automated).pdf","Transcript Link")</f>
        <v>Transcript Link</v>
      </c>
    </row>
    <row r="3715" ht="165" spans="1:13">
      <c r="A3715" s="1" t="s">
        <v>16734</v>
      </c>
      <c r="B3715" s="1" t="s">
        <v>13</v>
      </c>
      <c r="C3715" s="4" t="s">
        <v>16735</v>
      </c>
      <c r="D3715" s="1" t="s">
        <v>16736</v>
      </c>
      <c r="E3715" s="1" t="s">
        <v>16737</v>
      </c>
      <c r="F3715" s="4" t="s">
        <v>17</v>
      </c>
      <c r="G3715" s="1" t="s">
        <v>18</v>
      </c>
      <c r="H3715" s="1" t="s">
        <v>19</v>
      </c>
      <c r="I3715" s="1" t="s">
        <v>20</v>
      </c>
      <c r="J3715" s="1" t="s">
        <v>16738</v>
      </c>
      <c r="K3715" s="1" t="s">
        <v>22</v>
      </c>
      <c r="L3715" s="1" t="str">
        <f>HYPERLINK("https://files.afu.se/Downloads/Transcripts/0%20-%20Government/USA%20-%20NASA/2012 01 17 - NASA - GRAIL Names Announced_I29jwRWnN4I - transcript (automated).pdf","Transcript Link")</f>
        <v>Transcript Link</v>
      </c>
      <c r="M3715" s="2" t="str">
        <f>HYPERLINK("https://files.afu.se/Downloads/Transcripts/0%20-%20Government/USA%20-%20NASA/2012 01 17 - NASA - GRAIL Names Announced_I29jwRWnN4I - transcript (automated).pdf","Transcript Link")</f>
        <v>Transcript Link</v>
      </c>
    </row>
    <row r="3716" ht="165" spans="1:13">
      <c r="A3716" s="1" t="s">
        <v>16739</v>
      </c>
      <c r="B3716" s="1" t="s">
        <v>13</v>
      </c>
      <c r="C3716" s="4" t="s">
        <v>16740</v>
      </c>
      <c r="D3716" s="1" t="s">
        <v>16741</v>
      </c>
      <c r="E3716" s="1" t="s">
        <v>16742</v>
      </c>
      <c r="F3716" s="4" t="s">
        <v>17</v>
      </c>
      <c r="G3716" s="1" t="s">
        <v>18</v>
      </c>
      <c r="H3716" s="1" t="s">
        <v>19</v>
      </c>
      <c r="I3716" s="1" t="s">
        <v>20</v>
      </c>
      <c r="J3716" s="1" t="s">
        <v>16743</v>
      </c>
      <c r="K3716" s="1" t="s">
        <v>22</v>
      </c>
      <c r="L3716" s="1" t="str">
        <f>HYPERLINK("https://files.afu.se/Downloads/Transcripts/0%20-%20Government/USA%20-%20NASA/2012 01 13 - NASA - NASA TV's Public Channel Transitioning to HD_hE_2sQpr4PA - transcript (automated).pdf","Transcript Link")</f>
        <v>Transcript Link</v>
      </c>
      <c r="M3716" s="2" t="str">
        <f>HYPERLINK("https://files.afu.se/Downloads/Transcripts/0%20-%20Government/USA%20-%20NASA/2012 01 13 - NASA - NASA TV's Public Channel Transitioning to HD_hE_2sQpr4PA - transcript (automated).pdf","Transcript Link")</f>
        <v>Transcript Link</v>
      </c>
    </row>
    <row r="3717" ht="165" spans="1:13">
      <c r="A3717" s="1" t="s">
        <v>16739</v>
      </c>
      <c r="B3717" s="1" t="s">
        <v>13</v>
      </c>
      <c r="C3717" s="4" t="s">
        <v>16744</v>
      </c>
      <c r="D3717" s="1" t="s">
        <v>16745</v>
      </c>
      <c r="E3717" s="1" t="s">
        <v>16746</v>
      </c>
      <c r="F3717" s="4" t="s">
        <v>17</v>
      </c>
      <c r="G3717" s="1" t="s">
        <v>18</v>
      </c>
      <c r="H3717" s="1" t="s">
        <v>19</v>
      </c>
      <c r="I3717" s="1" t="s">
        <v>20</v>
      </c>
      <c r="J3717" s="1" t="s">
        <v>16747</v>
      </c>
      <c r="K3717" s="1" t="s">
        <v>22</v>
      </c>
      <c r="L3717" s="1" t="str">
        <f>HYPERLINK("https://files.afu.se/Downloads/Transcripts/0%20-%20Government/USA%20-%20NASA/2012 01 13 - NASA - GRAIL  Rings  in 2012 on This Week @NASA_Hsw94X6ovIw - transcript (automated).pdf","Transcript Link")</f>
        <v>Transcript Link</v>
      </c>
      <c r="M3717" s="2" t="str">
        <f>HYPERLINK("https://files.afu.se/Downloads/Transcripts/0%20-%20Government/USA%20-%20NASA/2012 01 13 - NASA - GRAIL  Rings  in 2012 on This Week @NASA_Hsw94X6ovIw - transcript (automated).pdf","Transcript Link")</f>
        <v>Transcript Link</v>
      </c>
    </row>
    <row r="3718" ht="165" spans="1:13">
      <c r="A3718" s="1" t="s">
        <v>16739</v>
      </c>
      <c r="B3718" s="1" t="s">
        <v>13</v>
      </c>
      <c r="C3718" s="4" t="s">
        <v>16748</v>
      </c>
      <c r="D3718" s="1" t="s">
        <v>16749</v>
      </c>
      <c r="E3718" s="1" t="s">
        <v>16750</v>
      </c>
      <c r="F3718" s="4" t="s">
        <v>17</v>
      </c>
      <c r="G3718" s="1" t="s">
        <v>18</v>
      </c>
      <c r="H3718" s="1" t="s">
        <v>19</v>
      </c>
      <c r="I3718" s="1" t="s">
        <v>20</v>
      </c>
      <c r="J3718" s="1" t="s">
        <v>16751</v>
      </c>
      <c r="K3718" s="1" t="s">
        <v>22</v>
      </c>
      <c r="L3718" s="1" t="str">
        <f>HYPERLINK("https://files.afu.se/Downloads/Transcripts/0%20-%20Government/USA%20-%20NASA/2012 01 13 - NASA - ScienceCasts  Some Comets Like It Hot_OQ-Co3cId3c - transcript (automated).pdf","Transcript Link")</f>
        <v>Transcript Link</v>
      </c>
      <c r="M3718" s="2" t="str">
        <f>HYPERLINK("https://files.afu.se/Downloads/Transcripts/0%20-%20Government/USA%20-%20NASA/2012 01 13 - NASA - ScienceCasts  Some Comets Like It Hot_OQ-Co3cId3c - transcript (automated).pdf","Transcript Link")</f>
        <v>Transcript Link</v>
      </c>
    </row>
    <row r="3719" ht="165" spans="1:13">
      <c r="A3719" s="1" t="s">
        <v>16752</v>
      </c>
      <c r="B3719" s="1" t="s">
        <v>13</v>
      </c>
      <c r="C3719" s="4" t="s">
        <v>16753</v>
      </c>
      <c r="D3719" s="1" t="s">
        <v>16754</v>
      </c>
      <c r="E3719" s="1" t="s">
        <v>16755</v>
      </c>
      <c r="F3719" s="4" t="s">
        <v>17</v>
      </c>
      <c r="G3719" s="1" t="s">
        <v>18</v>
      </c>
      <c r="H3719" s="1" t="s">
        <v>19</v>
      </c>
      <c r="I3719" s="1" t="s">
        <v>20</v>
      </c>
      <c r="J3719" s="1" t="s">
        <v>16756</v>
      </c>
      <c r="K3719" s="1" t="s">
        <v>22</v>
      </c>
      <c r="L3719" s="1" t="str">
        <f>HYPERLINK("https://files.afu.se/Downloads/Transcripts/0%20-%20Government/USA%20-%20NASA/2012 01 12 - NASA - ISS Crewmembers Share Earth Views With Weather Channel_xGp98cqlTgw - transcript (automated).pdf","Transcript Link")</f>
        <v>Transcript Link</v>
      </c>
      <c r="M3719" s="2" t="str">
        <f>HYPERLINK("https://files.afu.se/Downloads/Transcripts/0%20-%20Government/USA%20-%20NASA/2012 01 12 - NASA - ISS Crewmembers Share Earth Views With Weather Channel_xGp98cqlTgw - transcript (automated).pdf","Transcript Link")</f>
        <v>Transcript Link</v>
      </c>
    </row>
    <row r="3720" ht="165" spans="1:13">
      <c r="A3720" s="1" t="s">
        <v>16757</v>
      </c>
      <c r="B3720" s="1" t="s">
        <v>13</v>
      </c>
      <c r="C3720" s="4" t="s">
        <v>16758</v>
      </c>
      <c r="D3720" s="1" t="s">
        <v>16759</v>
      </c>
      <c r="E3720" s="1" t="s">
        <v>16760</v>
      </c>
      <c r="F3720" s="4" t="s">
        <v>17</v>
      </c>
      <c r="G3720" s="1" t="s">
        <v>18</v>
      </c>
      <c r="H3720" s="1" t="s">
        <v>19</v>
      </c>
      <c r="I3720" s="1" t="s">
        <v>20</v>
      </c>
      <c r="J3720" s="1" t="s">
        <v>16761</v>
      </c>
      <c r="K3720" s="1" t="s">
        <v>22</v>
      </c>
      <c r="L3720" s="1" t="str">
        <f>HYPERLINK("https://files.afu.se/Downloads/Transcripts/0%20-%20Government/USA%20-%20NASA/2012 01 11 - NASA - ISS's Next Crew Meets Media_GwixAyVHHU0 - transcript (automated).pdf","Transcript Link")</f>
        <v>Transcript Link</v>
      </c>
      <c r="M3720" s="2" t="str">
        <f>HYPERLINK("https://files.afu.se/Downloads/Transcripts/0%20-%20Government/USA%20-%20NASA/2012 01 11 - NASA - ISS's Next Crew Meets Media_GwixAyVHHU0 - transcript (automated).pdf","Transcript Link")</f>
        <v>Transcript Link</v>
      </c>
    </row>
    <row r="3721" ht="165" spans="1:13">
      <c r="A3721" s="1" t="s">
        <v>16762</v>
      </c>
      <c r="B3721" s="1" t="s">
        <v>13</v>
      </c>
      <c r="C3721" s="4" t="s">
        <v>16763</v>
      </c>
      <c r="D3721" s="1" t="s">
        <v>16764</v>
      </c>
      <c r="E3721" s="1" t="s">
        <v>16765</v>
      </c>
      <c r="F3721" s="4" t="s">
        <v>17</v>
      </c>
      <c r="G3721" s="1" t="s">
        <v>18</v>
      </c>
      <c r="H3721" s="1" t="s">
        <v>19</v>
      </c>
      <c r="I3721" s="1" t="s">
        <v>20</v>
      </c>
      <c r="J3721" s="1" t="s">
        <v>16766</v>
      </c>
      <c r="K3721" s="1" t="s">
        <v>22</v>
      </c>
      <c r="L3721" s="1" t="str">
        <f>HYPERLINK("https://files.afu.se/Downloads/Transcripts/0%20-%20Government/USA%20-%20NASA/2012 01 10 - NASA - Kuipers Briefs Dutch Prime Minister on ISS Mission_X8kP1aZTNFo - transcript (automated).pdf","Transcript Link")</f>
        <v>Transcript Link</v>
      </c>
      <c r="M3721" s="2" t="str">
        <f>HYPERLINK("https://files.afu.se/Downloads/Transcripts/0%20-%20Government/USA%20-%20NASA/2012 01 10 - NASA - Kuipers Briefs Dutch Prime Minister on ISS Mission_X8kP1aZTNFo - transcript (automated).pdf","Transcript Link")</f>
        <v>Transcript Link</v>
      </c>
    </row>
    <row r="3722" ht="165" spans="1:13">
      <c r="A3722" s="1" t="s">
        <v>16767</v>
      </c>
      <c r="B3722" s="1" t="s">
        <v>13</v>
      </c>
      <c r="C3722" s="4" t="s">
        <v>16768</v>
      </c>
      <c r="D3722" s="1" t="s">
        <v>16769</v>
      </c>
      <c r="E3722" s="1" t="s">
        <v>16770</v>
      </c>
      <c r="F3722" s="4" t="s">
        <v>17</v>
      </c>
      <c r="G3722" s="1" t="s">
        <v>18</v>
      </c>
      <c r="H3722" s="1" t="s">
        <v>19</v>
      </c>
      <c r="I3722" s="1" t="s">
        <v>20</v>
      </c>
      <c r="J3722" s="1" t="s">
        <v>16771</v>
      </c>
      <c r="K3722" s="1" t="s">
        <v>22</v>
      </c>
      <c r="L3722" s="1" t="str">
        <f>HYPERLINK("https://files.afu.se/Downloads/Transcripts/0%20-%20Government/USA%20-%20NASA/2012 01 06 - NASA - Burbank, Pettit  In  Portland and Post_IhBcdY_o0mU - transcript (automated).pdf","Transcript Link")</f>
        <v>Transcript Link</v>
      </c>
      <c r="M3722" s="2" t="str">
        <f>HYPERLINK("https://files.afu.se/Downloads/Transcripts/0%20-%20Government/USA%20-%20NASA/2012 01 06 - NASA - Burbank, Pettit  In  Portland and Post_IhBcdY_o0mU - transcript (automated).pdf","Transcript Link")</f>
        <v>Transcript Link</v>
      </c>
    </row>
    <row r="3723" ht="165" spans="1:13">
      <c r="A3723" s="1" t="s">
        <v>16772</v>
      </c>
      <c r="B3723" s="1" t="s">
        <v>13</v>
      </c>
      <c r="C3723" s="4" t="s">
        <v>16773</v>
      </c>
      <c r="D3723" s="1" t="s">
        <v>16774</v>
      </c>
      <c r="E3723" s="1" t="s">
        <v>16775</v>
      </c>
      <c r="F3723" s="4" t="s">
        <v>17</v>
      </c>
      <c r="G3723" s="1" t="s">
        <v>18</v>
      </c>
      <c r="H3723" s="1" t="s">
        <v>19</v>
      </c>
      <c r="I3723" s="1" t="s">
        <v>20</v>
      </c>
      <c r="J3723" s="1" t="s">
        <v>16776</v>
      </c>
      <c r="K3723" s="1" t="s">
        <v>22</v>
      </c>
      <c r="L3723" s="1" t="str">
        <f>HYPERLINK("https://files.afu.se/Downloads/Transcripts/0%20-%20Government/USA%20-%20NASA/2012 01 05 - NASA - ScienceCasts  Re-thinking an Alien World_D2yhG5cZuQg - transcript (automated).pdf","Transcript Link")</f>
        <v>Transcript Link</v>
      </c>
      <c r="M3723" s="2" t="str">
        <f>HYPERLINK("https://files.afu.se/Downloads/Transcripts/0%20-%20Government/USA%20-%20NASA/2012 01 05 - NASA - ScienceCasts  Re-thinking an Alien World_D2yhG5cZuQg - transcript (automated).pdf","Transcript Link")</f>
        <v>Transcript Link</v>
      </c>
    </row>
    <row r="3724" ht="165" spans="1:13">
      <c r="A3724" s="1" t="s">
        <v>16772</v>
      </c>
      <c r="B3724" s="1" t="s">
        <v>13</v>
      </c>
      <c r="C3724" s="4" t="s">
        <v>16777</v>
      </c>
      <c r="D3724" s="1" t="s">
        <v>16778</v>
      </c>
      <c r="E3724" s="1" t="s">
        <v>16779</v>
      </c>
      <c r="F3724" s="4" t="s">
        <v>17</v>
      </c>
      <c r="G3724" s="1" t="s">
        <v>18</v>
      </c>
      <c r="H3724" s="1" t="s">
        <v>19</v>
      </c>
      <c r="I3724" s="1" t="s">
        <v>20</v>
      </c>
      <c r="J3724" s="1" t="s">
        <v>16780</v>
      </c>
      <c r="K3724" s="1" t="s">
        <v>22</v>
      </c>
      <c r="L3724" s="1" t="str">
        <f>HYPERLINK("https://files.afu.se/Downloads/Transcripts/0%20-%20Government/USA%20-%20NASA/2012 01 05 - NASA - The Truth About 2012_l4VuAeUO6yI - transcript (automated).pdf","Transcript Link")</f>
        <v>Transcript Link</v>
      </c>
      <c r="M3724" s="2" t="str">
        <f>HYPERLINK("https://files.afu.se/Downloads/Transcripts/0%20-%20Government/USA%20-%20NASA/2012 01 05 - NASA - The Truth About 2012_l4VuAeUO6yI - transcript (automated).pdf","Transcript Link")</f>
        <v>Transcript Link</v>
      </c>
    </row>
    <row r="3725" ht="165" spans="1:13">
      <c r="A3725" s="1" t="s">
        <v>16772</v>
      </c>
      <c r="B3725" s="1" t="s">
        <v>13</v>
      </c>
      <c r="C3725" s="4" t="s">
        <v>16781</v>
      </c>
      <c r="D3725" s="1" t="s">
        <v>16782</v>
      </c>
      <c r="E3725" s="1" t="s">
        <v>16783</v>
      </c>
      <c r="F3725" s="4" t="s">
        <v>17</v>
      </c>
      <c r="G3725" s="1" t="s">
        <v>18</v>
      </c>
      <c r="H3725" s="1" t="s">
        <v>19</v>
      </c>
      <c r="I3725" s="1" t="s">
        <v>20</v>
      </c>
      <c r="J3725" s="1" t="s">
        <v>16784</v>
      </c>
      <c r="K3725" s="1" t="s">
        <v>22</v>
      </c>
      <c r="L3725" s="1" t="str">
        <f>HYPERLINK("https://files.afu.se/Downloads/Transcripts/0%20-%20Government/USA%20-%20NASA/2012 01 05 - NASA - Kuipers Updates Countrymen on Station Mission_4iSACXQS5Vc - transcript (automated).pdf","Transcript Link")</f>
        <v>Transcript Link</v>
      </c>
      <c r="M3725" s="2" t="str">
        <f>HYPERLINK("https://files.afu.se/Downloads/Transcripts/0%20-%20Government/USA%20-%20NASA/2012 01 05 - NASA - Kuipers Updates Countrymen on Station Mission_4iSACXQS5Vc - transcript (automated).pdf","Transcript Link")</f>
        <v>Transcript Link</v>
      </c>
    </row>
    <row r="3726" ht="165" spans="1:13">
      <c r="A3726" s="1" t="s">
        <v>16785</v>
      </c>
      <c r="B3726" s="1" t="s">
        <v>13</v>
      </c>
      <c r="C3726" s="4" t="s">
        <v>16786</v>
      </c>
      <c r="D3726" s="1" t="s">
        <v>16787</v>
      </c>
      <c r="E3726" s="1" t="s">
        <v>16788</v>
      </c>
      <c r="F3726" s="4" t="s">
        <v>17</v>
      </c>
      <c r="G3726" s="1" t="s">
        <v>18</v>
      </c>
      <c r="H3726" s="1" t="s">
        <v>19</v>
      </c>
      <c r="I3726" s="1" t="s">
        <v>20</v>
      </c>
      <c r="J3726" s="1" t="s">
        <v>16789</v>
      </c>
      <c r="K3726" s="1" t="s">
        <v>22</v>
      </c>
      <c r="L3726" s="1" t="str">
        <f>HYPERLINK("https://files.afu.se/Downloads/Transcripts/0%20-%20Government/USA%20-%20NASA/2012 01 04 - NASA - ISS Crew Chats with FOX News Radio, Space.com_5HhvfKRCbQ8 - transcript (automated).pdf","Transcript Link")</f>
        <v>Transcript Link</v>
      </c>
      <c r="M3726" s="2" t="str">
        <f>HYPERLINK("https://files.afu.se/Downloads/Transcripts/0%20-%20Government/USA%20-%20NASA/2012 01 04 - NASA - ISS Crew Chats with FOX News Radio, Space.com_5HhvfKRCbQ8 - transcript (automated).pdf","Transcript Link")</f>
        <v>Transcript Link</v>
      </c>
    </row>
    <row r="3727" ht="165" spans="1:13">
      <c r="A3727" s="1" t="s">
        <v>16790</v>
      </c>
      <c r="B3727" s="1" t="s">
        <v>13</v>
      </c>
      <c r="C3727" s="4" t="s">
        <v>16791</v>
      </c>
      <c r="D3727" s="1" t="s">
        <v>16792</v>
      </c>
      <c r="E3727" s="1" t="s">
        <v>16793</v>
      </c>
      <c r="F3727" s="4" t="s">
        <v>17</v>
      </c>
      <c r="G3727" s="1" t="s">
        <v>18</v>
      </c>
      <c r="H3727" s="1" t="s">
        <v>19</v>
      </c>
      <c r="I3727" s="1" t="s">
        <v>20</v>
      </c>
      <c r="J3727" s="1" t="s">
        <v>16794</v>
      </c>
      <c r="K3727" s="1" t="s">
        <v>22</v>
      </c>
      <c r="L3727" s="1" t="str">
        <f>HYPERLINK("https://files.afu.se/Downloads/Transcripts/0%20-%20Government/USA%20-%20NASA/2012 01 03 - NASA - NASA's GRAIL Twins to Welcome 2012 at Moon_uxi50vrwKFs - transcript (automated).pdf","Transcript Link")</f>
        <v>Transcript Link</v>
      </c>
      <c r="M3727" s="2" t="str">
        <f>HYPERLINK("https://files.afu.se/Downloads/Transcripts/0%20-%20Government/USA%20-%20NASA/2012 01 03 - NASA - NASA's GRAIL Twins to Welcome 2012 at Moon_uxi50vrwKFs - transcript (automated).pdf","Transcript Link")</f>
        <v>Transcript Link</v>
      </c>
    </row>
    <row r="3728" ht="165" spans="1:13">
      <c r="A3728" s="1" t="s">
        <v>16795</v>
      </c>
      <c r="B3728" s="1" t="s">
        <v>13</v>
      </c>
      <c r="C3728" s="4" t="s">
        <v>16796</v>
      </c>
      <c r="D3728" s="1" t="s">
        <v>16792</v>
      </c>
      <c r="E3728" s="1" t="s">
        <v>16793</v>
      </c>
      <c r="F3728" s="4" t="s">
        <v>17</v>
      </c>
      <c r="G3728" s="1" t="s">
        <v>18</v>
      </c>
      <c r="H3728" s="1" t="s">
        <v>19</v>
      </c>
      <c r="I3728" s="1" t="s">
        <v>20</v>
      </c>
      <c r="J3728" s="1" t="s">
        <v>16797</v>
      </c>
      <c r="K3728" s="1" t="s">
        <v>22</v>
      </c>
      <c r="L3728" s="1" t="str">
        <f>HYPERLINK("https://files.afu.se/Downloads/Transcripts/0%20-%20Government/USA%20-%20NASA/2011 12 27 - NASA - NASA's GRAIL Twins to Welcome 2012 at Moon_fRNQIiGHYuI - transcript (automated).pdf","Transcript Link")</f>
        <v>Transcript Link</v>
      </c>
      <c r="M3728" s="2" t="str">
        <f>HYPERLINK("https://files.afu.se/Downloads/Transcripts/0%20-%20Government/USA%20-%20NASA/2011 12 27 - NASA - NASA's GRAIL Twins to Welcome 2012 at Moon_fRNQIiGHYuI - transcript (automated).pdf","Transcript Link")</f>
        <v>Transcript Link</v>
      </c>
    </row>
    <row r="3729" ht="165" spans="1:13">
      <c r="A3729" s="1" t="s">
        <v>16795</v>
      </c>
      <c r="B3729" s="1" t="s">
        <v>13</v>
      </c>
      <c r="C3729" s="4" t="s">
        <v>16798</v>
      </c>
      <c r="D3729" s="1" t="s">
        <v>16799</v>
      </c>
      <c r="E3729" s="1" t="s">
        <v>16800</v>
      </c>
      <c r="F3729" s="4" t="s">
        <v>17</v>
      </c>
      <c r="G3729" s="1" t="s">
        <v>18</v>
      </c>
      <c r="H3729" s="1" t="s">
        <v>19</v>
      </c>
      <c r="I3729" s="1" t="s">
        <v>20</v>
      </c>
      <c r="J3729" s="1" t="s">
        <v>16801</v>
      </c>
      <c r="K3729" s="1" t="s">
        <v>22</v>
      </c>
      <c r="L3729" s="1" t="str">
        <f>HYPERLINK("https://files.afu.se/Downloads/Transcripts/0%20-%20Government/USA%20-%20NASA/2011 12 27 - NASA - New Year's Wishes from ISS_8bqkABFZnG8 - transcript (automated).pdf","Transcript Link")</f>
        <v>Transcript Link</v>
      </c>
      <c r="M3729" s="2" t="str">
        <f>HYPERLINK("https://files.afu.se/Downloads/Transcripts/0%20-%20Government/USA%20-%20NASA/2011 12 27 - NASA - New Year's Wishes from ISS_8bqkABFZnG8 - transcript (automated).pdf","Transcript Link")</f>
        <v>Transcript Link</v>
      </c>
    </row>
    <row r="3730" ht="180" spans="1:13">
      <c r="A3730" s="1" t="s">
        <v>16802</v>
      </c>
      <c r="B3730" s="1" t="s">
        <v>13</v>
      </c>
      <c r="C3730" s="4" t="s">
        <v>16803</v>
      </c>
      <c r="D3730" s="1" t="s">
        <v>16804</v>
      </c>
      <c r="E3730" s="1" t="s">
        <v>16805</v>
      </c>
      <c r="F3730" s="4" t="s">
        <v>17</v>
      </c>
      <c r="G3730" s="1" t="s">
        <v>18</v>
      </c>
      <c r="H3730" s="1" t="s">
        <v>19</v>
      </c>
      <c r="I3730" s="1" t="s">
        <v>20</v>
      </c>
      <c r="J3730" s="1" t="s">
        <v>16806</v>
      </c>
      <c r="K3730" s="1" t="s">
        <v>22</v>
      </c>
      <c r="L3730" s="1" t="str">
        <f>HYPERLINK("https://files.afu.se/Downloads/Transcripts/0%20-%20Government/USA%20-%20NASA/2011 12 23 - NASA - Expedition 30 Crew Complete on ISS_dTBiV3nSFWI - transcript (automated).pdf","Transcript Link")</f>
        <v>Transcript Link</v>
      </c>
      <c r="M3730" s="2" t="str">
        <f>HYPERLINK("https://files.afu.se/Downloads/Transcripts/0%20-%20Government/USA%20-%20NASA/2011 12 23 - NASA - Expedition 30 Crew Complete on ISS_dTBiV3nSFWI - transcript (automated).pdf","Transcript Link")</f>
        <v>Transcript Link</v>
      </c>
    </row>
    <row r="3731" ht="165" spans="1:13">
      <c r="A3731" s="1" t="s">
        <v>16802</v>
      </c>
      <c r="B3731" s="1" t="s">
        <v>13</v>
      </c>
      <c r="C3731" s="4" t="s">
        <v>16807</v>
      </c>
      <c r="D3731" s="1" t="s">
        <v>16808</v>
      </c>
      <c r="E3731" s="1" t="s">
        <v>16809</v>
      </c>
      <c r="F3731" s="4" t="s">
        <v>17</v>
      </c>
      <c r="G3731" s="1" t="s">
        <v>18</v>
      </c>
      <c r="H3731" s="1" t="s">
        <v>19</v>
      </c>
      <c r="I3731" s="1" t="s">
        <v>20</v>
      </c>
      <c r="J3731" s="1" t="s">
        <v>16810</v>
      </c>
      <c r="K3731" s="1" t="s">
        <v>22</v>
      </c>
      <c r="L3731" s="1" t="str">
        <f>HYPERLINK("https://files.afu.se/Downloads/Transcripts/0%20-%20Government/USA%20-%20NASA/2011 12 23 - NASA - Discovery, Innovation and New Destinations Highlight  This Year @NASA _efToKfN51BQ - transcript (automated).pdf","Transcript Link")</f>
        <v>Transcript Link</v>
      </c>
      <c r="M3731" s="2" t="str">
        <f>HYPERLINK("https://files.afu.se/Downloads/Transcripts/0%20-%20Government/USA%20-%20NASA/2011 12 23 - NASA - Discovery, Innovation and New Destinations Highlight  This Year @NASA _efToKfN51BQ - transcript (automated).pdf","Transcript Link")</f>
        <v>Transcript Link</v>
      </c>
    </row>
    <row r="3732" ht="180" spans="1:13">
      <c r="A3732" s="1" t="s">
        <v>16802</v>
      </c>
      <c r="B3732" s="1" t="s">
        <v>13</v>
      </c>
      <c r="C3732" s="4" t="s">
        <v>16811</v>
      </c>
      <c r="D3732" s="1" t="s">
        <v>16812</v>
      </c>
      <c r="E3732" s="1" t="s">
        <v>16813</v>
      </c>
      <c r="F3732" s="4" t="s">
        <v>17</v>
      </c>
      <c r="G3732" s="1" t="s">
        <v>18</v>
      </c>
      <c r="H3732" s="1" t="s">
        <v>19</v>
      </c>
      <c r="I3732" s="1" t="s">
        <v>20</v>
      </c>
      <c r="J3732" s="1" t="s">
        <v>16814</v>
      </c>
      <c r="K3732" s="1" t="s">
        <v>22</v>
      </c>
      <c r="L3732" s="1" t="str">
        <f>HYPERLINK("https://files.afu.se/Downloads/Transcripts/0%20-%20Government/USA%20-%20NASA/2011 12 23 - NASA - New Crew Trio Arrives at ISS_3L1py3dP8kk - transcript (automated).pdf","Transcript Link")</f>
        <v>Transcript Link</v>
      </c>
      <c r="M3732" s="2" t="str">
        <f>HYPERLINK("https://files.afu.se/Downloads/Transcripts/0%20-%20Government/USA%20-%20NASA/2011 12 23 - NASA - New Crew Trio Arrives at ISS_3L1py3dP8kk - transcript (automated).pdf","Transcript Link")</f>
        <v>Transcript Link</v>
      </c>
    </row>
    <row r="3733" ht="165" spans="1:13">
      <c r="A3733" s="1" t="s">
        <v>16815</v>
      </c>
      <c r="B3733" s="1" t="s">
        <v>13</v>
      </c>
      <c r="C3733" s="4" t="s">
        <v>16816</v>
      </c>
      <c r="D3733" s="1" t="s">
        <v>16817</v>
      </c>
      <c r="E3733" s="1" t="s">
        <v>16818</v>
      </c>
      <c r="F3733" s="4" t="s">
        <v>17</v>
      </c>
      <c r="G3733" s="1" t="s">
        <v>18</v>
      </c>
      <c r="H3733" s="1" t="s">
        <v>19</v>
      </c>
      <c r="I3733" s="1" t="s">
        <v>20</v>
      </c>
      <c r="J3733" s="1" t="s">
        <v>16819</v>
      </c>
      <c r="K3733" s="1" t="s">
        <v>22</v>
      </c>
      <c r="L3733" s="1" t="str">
        <f>HYPERLINK("https://files.afu.se/Downloads/Transcripts/0%20-%20Government/USA%20-%20NASA/2011 12 22 - NASA - NASA's Orion  From Factory to Flight_GMA8JrNQX1Y - transcript (automated).pdf","Transcript Link")</f>
        <v>Transcript Link</v>
      </c>
      <c r="M3733" s="2" t="str">
        <f>HYPERLINK("https://files.afu.se/Downloads/Transcripts/0%20-%20Government/USA%20-%20NASA/2011 12 22 - NASA - NASA's Orion  From Factory to Flight_GMA8JrNQX1Y - transcript (automated).pdf","Transcript Link")</f>
        <v>Transcript Link</v>
      </c>
    </row>
    <row r="3734" ht="165" spans="1:13">
      <c r="A3734" s="1" t="s">
        <v>16815</v>
      </c>
      <c r="B3734" s="1" t="s">
        <v>13</v>
      </c>
      <c r="C3734" s="4" t="s">
        <v>16820</v>
      </c>
      <c r="D3734" s="1" t="s">
        <v>16821</v>
      </c>
      <c r="E3734" s="1" t="s">
        <v>16822</v>
      </c>
      <c r="F3734" s="4" t="s">
        <v>17</v>
      </c>
      <c r="G3734" s="1" t="s">
        <v>18</v>
      </c>
      <c r="H3734" s="1" t="s">
        <v>19</v>
      </c>
      <c r="I3734" s="1" t="s">
        <v>20</v>
      </c>
      <c r="J3734" s="1" t="s">
        <v>16823</v>
      </c>
      <c r="K3734" s="1" t="s">
        <v>22</v>
      </c>
      <c r="L3734" s="1" t="str">
        <f>HYPERLINK("https://files.afu.se/Downloads/Transcripts/0%20-%20Government/USA%20-%20NASA/2011 12 22 - NASA - Commander Dan Downlinks to Detroit_scL5wNVQKGs - transcript (automated).pdf","Transcript Link")</f>
        <v>Transcript Link</v>
      </c>
      <c r="M3734" s="2" t="str">
        <f>HYPERLINK("https://files.afu.se/Downloads/Transcripts/0%20-%20Government/USA%20-%20NASA/2011 12 22 - NASA - Commander Dan Downlinks to Detroit_scL5wNVQKGs - transcript (automated).pdf","Transcript Link")</f>
        <v>Transcript Link</v>
      </c>
    </row>
    <row r="3735" ht="165" spans="1:13">
      <c r="A3735" s="1" t="s">
        <v>16824</v>
      </c>
      <c r="B3735" s="1" t="s">
        <v>13</v>
      </c>
      <c r="C3735" s="4" t="s">
        <v>16825</v>
      </c>
      <c r="D3735" s="1" t="s">
        <v>16826</v>
      </c>
      <c r="E3735" s="1" t="s">
        <v>16827</v>
      </c>
      <c r="F3735" s="4" t="s">
        <v>17</v>
      </c>
      <c r="G3735" s="1" t="s">
        <v>18</v>
      </c>
      <c r="H3735" s="1" t="s">
        <v>19</v>
      </c>
      <c r="I3735" s="1" t="s">
        <v>20</v>
      </c>
      <c r="J3735" s="1" t="s">
        <v>16828</v>
      </c>
      <c r="K3735" s="1" t="s">
        <v>22</v>
      </c>
      <c r="L3735" s="1" t="str">
        <f>HYPERLINK("https://files.afu.se/Downloads/Transcripts/0%20-%20Government/USA%20-%20NASA/2011 12 21 - NASA - Expedition 30 Trio Launches to ISS_tOn3K9u1JbU - transcript (automated).pdf","Transcript Link")</f>
        <v>Transcript Link</v>
      </c>
      <c r="M3735" s="2" t="str">
        <f>HYPERLINK("https://files.afu.se/Downloads/Transcripts/0%20-%20Government/USA%20-%20NASA/2011 12 21 - NASA - Expedition 30 Trio Launches to ISS_tOn3K9u1JbU - transcript (automated).pdf","Transcript Link")</f>
        <v>Transcript Link</v>
      </c>
    </row>
    <row r="3736" ht="195" spans="1:13">
      <c r="A3736" s="1" t="s">
        <v>16829</v>
      </c>
      <c r="B3736" s="1" t="s">
        <v>13</v>
      </c>
      <c r="C3736" s="4" t="s">
        <v>16830</v>
      </c>
      <c r="D3736" s="1" t="s">
        <v>16831</v>
      </c>
      <c r="E3736" s="1" t="s">
        <v>16832</v>
      </c>
      <c r="F3736" s="4" t="s">
        <v>17</v>
      </c>
      <c r="G3736" s="1" t="s">
        <v>18</v>
      </c>
      <c r="H3736" s="1" t="s">
        <v>19</v>
      </c>
      <c r="I3736" s="1" t="s">
        <v>20</v>
      </c>
      <c r="J3736" s="1" t="s">
        <v>16833</v>
      </c>
      <c r="K3736" s="1" t="s">
        <v>22</v>
      </c>
      <c r="L3736" s="1" t="str">
        <f>HYPERLINK("https://files.afu.se/Downloads/Transcripts/0%20-%20Government/USA%20-%20NASA/2011 12 20 - NASA - Expedition 30 Crew Meets Officials and Reporters as Launch Approaches_GMRDlmmgD-w - transcript (automated).pdf","Transcript Link")</f>
        <v>Transcript Link</v>
      </c>
      <c r="M3736" s="2" t="str">
        <f>HYPERLINK("https://files.afu.se/Downloads/Transcripts/0%20-%20Government/USA%20-%20NASA/2011 12 20 - NASA - Expedition 30 Crew Meets Officials and Reporters as Launch Approaches_GMRDlmmgD-w - transcript (automated).pdf","Transcript Link")</f>
        <v>Transcript Link</v>
      </c>
    </row>
    <row r="3737" ht="165" spans="1:13">
      <c r="A3737" s="1" t="s">
        <v>16829</v>
      </c>
      <c r="B3737" s="1" t="s">
        <v>13</v>
      </c>
      <c r="C3737" s="4" t="s">
        <v>16834</v>
      </c>
      <c r="D3737" s="1" t="s">
        <v>16835</v>
      </c>
      <c r="E3737" s="1" t="s">
        <v>16836</v>
      </c>
      <c r="F3737" s="4" t="s">
        <v>17</v>
      </c>
      <c r="G3737" s="1" t="s">
        <v>18</v>
      </c>
      <c r="H3737" s="1" t="s">
        <v>19</v>
      </c>
      <c r="I3737" s="1" t="s">
        <v>20</v>
      </c>
      <c r="J3737" s="1" t="s">
        <v>16837</v>
      </c>
      <c r="K3737" s="1" t="s">
        <v>22</v>
      </c>
      <c r="L3737" s="1" t="str">
        <f>HYPERLINK("https://files.afu.se/Downloads/Transcripts/0%20-%20Government/USA%20-%20NASA/2011 12 20 - NASA - Season's Greetings_2UWFXY0hGfM - transcript (automated).pdf","Transcript Link")</f>
        <v>Transcript Link</v>
      </c>
      <c r="M3737" s="2" t="str">
        <f>HYPERLINK("https://files.afu.se/Downloads/Transcripts/0%20-%20Government/USA%20-%20NASA/2011 12 20 - NASA - Season's Greetings_2UWFXY0hGfM - transcript (automated).pdf","Transcript Link")</f>
        <v>Transcript Link</v>
      </c>
    </row>
    <row r="3738" ht="165" spans="1:13">
      <c r="A3738" s="1" t="s">
        <v>16838</v>
      </c>
      <c r="B3738" s="1" t="s">
        <v>13</v>
      </c>
      <c r="C3738" s="4" t="s">
        <v>16839</v>
      </c>
      <c r="D3738" s="1" t="s">
        <v>16840</v>
      </c>
      <c r="E3738" s="1" t="s">
        <v>16841</v>
      </c>
      <c r="F3738" s="4" t="s">
        <v>17</v>
      </c>
      <c r="G3738" s="1" t="s">
        <v>18</v>
      </c>
      <c r="H3738" s="1" t="s">
        <v>19</v>
      </c>
      <c r="I3738" s="1" t="s">
        <v>20</v>
      </c>
      <c r="J3738" s="1" t="s">
        <v>16842</v>
      </c>
      <c r="K3738" s="1" t="s">
        <v>22</v>
      </c>
      <c r="L3738" s="1" t="str">
        <f>HYPERLINK("https://files.afu.se/Downloads/Transcripts/0%20-%20Government/USA%20-%20NASA/2011 12 19 - NASA - Expedition 30 Soyuz Spacecraft Integration and Rocket Roll Out to the Launch Pad_nWd3-oh2Dbo - transcript (automated).pdf","Transcript Link")</f>
        <v>Transcript Link</v>
      </c>
      <c r="M3738" s="2" t="str">
        <f>HYPERLINK("https://files.afu.se/Downloads/Transcripts/0%20-%20Government/USA%20-%20NASA/2011 12 19 - NASA - Expedition 30 Soyuz Spacecraft Integration and Rocket Roll Out to the Launch Pad_nWd3-oh2Dbo - transcript (automated).pdf","Transcript Link")</f>
        <v>Transcript Link</v>
      </c>
    </row>
    <row r="3739" ht="165" spans="1:13">
      <c r="A3739" s="1" t="s">
        <v>16843</v>
      </c>
      <c r="B3739" s="1" t="s">
        <v>13</v>
      </c>
      <c r="C3739" s="4" t="s">
        <v>16844</v>
      </c>
      <c r="D3739" s="1" t="s">
        <v>16845</v>
      </c>
      <c r="E3739" s="1" t="s">
        <v>16846</v>
      </c>
      <c r="F3739" s="4" t="s">
        <v>17</v>
      </c>
      <c r="G3739" s="1" t="s">
        <v>18</v>
      </c>
      <c r="H3739" s="1" t="s">
        <v>19</v>
      </c>
      <c r="I3739" s="1" t="s">
        <v>20</v>
      </c>
      <c r="J3739" s="1" t="s">
        <v>16847</v>
      </c>
      <c r="K3739" s="1" t="s">
        <v>22</v>
      </c>
      <c r="L3739" s="1" t="str">
        <f>HYPERLINK("https://files.afu.se/Downloads/Transcripts/0%20-%20Government/USA%20-%20NASA/2011 12 16 - NASA - New Crew Sets Sights on Station on  This Week @NASA _zMtFaqXJFmc - transcript (automated).pdf","Transcript Link")</f>
        <v>Transcript Link</v>
      </c>
      <c r="M3739" s="2" t="str">
        <f>HYPERLINK("https://files.afu.se/Downloads/Transcripts/0%20-%20Government/USA%20-%20NASA/2011 12 16 - NASA - New Crew Sets Sights on Station on  This Week @NASA _zMtFaqXJFmc - transcript (automated).pdf","Transcript Link")</f>
        <v>Transcript Link</v>
      </c>
    </row>
    <row r="3740" ht="165" spans="1:13">
      <c r="A3740" s="1" t="s">
        <v>16843</v>
      </c>
      <c r="B3740" s="1" t="s">
        <v>13</v>
      </c>
      <c r="C3740" s="4" t="s">
        <v>16848</v>
      </c>
      <c r="D3740" s="1" t="s">
        <v>16849</v>
      </c>
      <c r="E3740" s="1" t="s">
        <v>16850</v>
      </c>
      <c r="F3740" s="4" t="s">
        <v>17</v>
      </c>
      <c r="G3740" s="1" t="s">
        <v>18</v>
      </c>
      <c r="H3740" s="1" t="s">
        <v>19</v>
      </c>
      <c r="I3740" s="1" t="s">
        <v>20</v>
      </c>
      <c r="J3740" s="1" t="s">
        <v>16851</v>
      </c>
      <c r="K3740" s="1" t="s">
        <v>22</v>
      </c>
      <c r="L3740" s="1" t="str">
        <f>HYPERLINK("https://files.afu.se/Downloads/Transcripts/0%20-%20Government/USA%20-%20NASA/2011 12 16 - NASA - Inside the ISS -  Mama, I'm Coming Home! _RkD5JprAxNQ - transcript (automated).pdf","Transcript Link")</f>
        <v>Transcript Link</v>
      </c>
      <c r="M3740" s="2" t="str">
        <f>HYPERLINK("https://files.afu.se/Downloads/Transcripts/0%20-%20Government/USA%20-%20NASA/2011 12 16 - NASA - Inside the ISS -  Mama, I'm Coming Home! _RkD5JprAxNQ - transcript (automated).pdf","Transcript Link")</f>
        <v>Transcript Link</v>
      </c>
    </row>
    <row r="3741" ht="165" spans="1:13">
      <c r="A3741" s="1" t="s">
        <v>16843</v>
      </c>
      <c r="B3741" s="1" t="s">
        <v>13</v>
      </c>
      <c r="C3741" s="4" t="s">
        <v>16852</v>
      </c>
      <c r="D3741" s="1" t="s">
        <v>16853</v>
      </c>
      <c r="E3741" s="1" t="s">
        <v>16854</v>
      </c>
      <c r="F3741" s="4" t="s">
        <v>17</v>
      </c>
      <c r="G3741" s="1" t="s">
        <v>18</v>
      </c>
      <c r="H3741" s="1" t="s">
        <v>19</v>
      </c>
      <c r="I3741" s="1" t="s">
        <v>20</v>
      </c>
      <c r="J3741" s="1" t="s">
        <v>16855</v>
      </c>
      <c r="K3741" s="1" t="s">
        <v>22</v>
      </c>
      <c r="L3741" s="1" t="str">
        <f>HYPERLINK("https://files.afu.se/Downloads/Transcripts/0%20-%20Government/USA%20-%20NASA/2011 12 16 - NASA - Next ISS Crew in Kazakhstan_cIamEABjVyA - transcript (automated).pdf","Transcript Link")</f>
        <v>Transcript Link</v>
      </c>
      <c r="M3741" s="2" t="str">
        <f>HYPERLINK("https://files.afu.se/Downloads/Transcripts/0%20-%20Government/USA%20-%20NASA/2011 12 16 - NASA - Next ISS Crew in Kazakhstan_cIamEABjVyA - transcript (automated).pdf","Transcript Link")</f>
        <v>Transcript Link</v>
      </c>
    </row>
    <row r="3742" ht="165" spans="1:13">
      <c r="A3742" s="1" t="s">
        <v>16843</v>
      </c>
      <c r="B3742" s="1" t="s">
        <v>13</v>
      </c>
      <c r="C3742" s="4" t="s">
        <v>16856</v>
      </c>
      <c r="D3742" s="1" t="s">
        <v>16857</v>
      </c>
      <c r="E3742" s="1" t="s">
        <v>16858</v>
      </c>
      <c r="F3742" s="4" t="s">
        <v>17</v>
      </c>
      <c r="G3742" s="1" t="s">
        <v>18</v>
      </c>
      <c r="H3742" s="1" t="s">
        <v>19</v>
      </c>
      <c r="I3742" s="1" t="s">
        <v>20</v>
      </c>
      <c r="J3742" s="1" t="s">
        <v>16859</v>
      </c>
      <c r="K3742" s="1" t="s">
        <v>22</v>
      </c>
      <c r="L3742" s="1" t="str">
        <f>HYPERLINK("https://files.afu.se/Downloads/Transcripts/0%20-%20Government/USA%20-%20NASA/2011 12 16 - NASA - Inside the ISS - Time Lapse_e8NLNej6mC8 - transcript (automated).pdf","Transcript Link")</f>
        <v>Transcript Link</v>
      </c>
      <c r="M3742" s="2" t="str">
        <f>HYPERLINK("https://files.afu.se/Downloads/Transcripts/0%20-%20Government/USA%20-%20NASA/2011 12 16 - NASA - Inside the ISS - Time Lapse_e8NLNej6mC8 - transcript (automated).pdf","Transcript Link")</f>
        <v>Transcript Link</v>
      </c>
    </row>
    <row r="3743" ht="165" spans="1:13">
      <c r="A3743" s="1" t="s">
        <v>16860</v>
      </c>
      <c r="B3743" s="1" t="s">
        <v>13</v>
      </c>
      <c r="C3743" s="4" t="s">
        <v>16861</v>
      </c>
      <c r="D3743" s="1" t="s">
        <v>16862</v>
      </c>
      <c r="E3743" s="1" t="s">
        <v>16863</v>
      </c>
      <c r="F3743" s="4" t="s">
        <v>17</v>
      </c>
      <c r="G3743" s="1" t="s">
        <v>18</v>
      </c>
      <c r="H3743" s="1" t="s">
        <v>19</v>
      </c>
      <c r="I3743" s="1" t="s">
        <v>20</v>
      </c>
      <c r="J3743" s="1" t="s">
        <v>16864</v>
      </c>
      <c r="K3743" s="1" t="s">
        <v>22</v>
      </c>
      <c r="L3743" s="1" t="str">
        <f>HYPERLINK("https://files.afu.se/Downloads/Transcripts/0%20-%20Government/USA%20-%20NASA/2011 12 13 - NASA - ScienceCasts  Tracking Meteoroids_DOX3GNi_oz0 - transcript (automated).pdf","Transcript Link")</f>
        <v>Transcript Link</v>
      </c>
      <c r="M3743" s="2" t="str">
        <f>HYPERLINK("https://files.afu.se/Downloads/Transcripts/0%20-%20Government/USA%20-%20NASA/2011 12 13 - NASA - ScienceCasts  Tracking Meteoroids_DOX3GNi_oz0 - transcript (automated).pdf","Transcript Link")</f>
        <v>Transcript Link</v>
      </c>
    </row>
    <row r="3744" ht="165" spans="1:13">
      <c r="A3744" s="1" t="s">
        <v>16860</v>
      </c>
      <c r="B3744" s="1" t="s">
        <v>13</v>
      </c>
      <c r="C3744" s="4" t="s">
        <v>16865</v>
      </c>
      <c r="D3744" s="1" t="s">
        <v>16866</v>
      </c>
      <c r="E3744" s="1" t="s">
        <v>16867</v>
      </c>
      <c r="F3744" s="4" t="s">
        <v>17</v>
      </c>
      <c r="G3744" s="1" t="s">
        <v>18</v>
      </c>
      <c r="H3744" s="1" t="s">
        <v>19</v>
      </c>
      <c r="I3744" s="1" t="s">
        <v>20</v>
      </c>
      <c r="J3744" s="1" t="s">
        <v>16868</v>
      </c>
      <c r="K3744" s="1" t="s">
        <v>22</v>
      </c>
      <c r="L3744" s="1" t="str">
        <f>HYPERLINK("https://files.afu.se/Downloads/Transcripts/0%20-%20Government/USA%20-%20NASA/2011 12 13 - NASA - ISS Commander Sends Holiday Greetings_p7fZMYtfA8A - transcript (automated).pdf","Transcript Link")</f>
        <v>Transcript Link</v>
      </c>
      <c r="M3744" s="2" t="str">
        <f>HYPERLINK("https://files.afu.se/Downloads/Transcripts/0%20-%20Government/USA%20-%20NASA/2011 12 13 - NASA - ISS Commander Sends Holiday Greetings_p7fZMYtfA8A - transcript (automated).pdf","Transcript Link")</f>
        <v>Transcript Link</v>
      </c>
    </row>
    <row r="3745" ht="165" spans="1:13">
      <c r="A3745" s="1" t="s">
        <v>16860</v>
      </c>
      <c r="B3745" s="1" t="s">
        <v>13</v>
      </c>
      <c r="C3745" s="4" t="s">
        <v>16869</v>
      </c>
      <c r="D3745" s="1" t="s">
        <v>16870</v>
      </c>
      <c r="E3745" s="1" t="s">
        <v>16871</v>
      </c>
      <c r="F3745" s="4" t="s">
        <v>17</v>
      </c>
      <c r="G3745" s="1" t="s">
        <v>18</v>
      </c>
      <c r="H3745" s="1" t="s">
        <v>19</v>
      </c>
      <c r="I3745" s="1" t="s">
        <v>20</v>
      </c>
      <c r="J3745" s="1" t="s">
        <v>16872</v>
      </c>
      <c r="K3745" s="1" t="s">
        <v>22</v>
      </c>
      <c r="L3745" s="1" t="str">
        <f>HYPERLINK("https://files.afu.se/Downloads/Transcripts/0%20-%20Government/USA%20-%20NASA/2011 12 13 - NASA - Houston Media Hear from Station Commander_LEQX7IJt2x4 - transcript (automated).pdf","Transcript Link")</f>
        <v>Transcript Link</v>
      </c>
      <c r="M3745" s="2" t="str">
        <f>HYPERLINK("https://files.afu.se/Downloads/Transcripts/0%20-%20Government/USA%20-%20NASA/2011 12 13 - NASA - Houston Media Hear from Station Commander_LEQX7IJt2x4 - transcript (automated).pdf","Transcript Link")</f>
        <v>Transcript Link</v>
      </c>
    </row>
    <row r="3746" ht="165" spans="1:13">
      <c r="A3746" s="1" t="s">
        <v>16873</v>
      </c>
      <c r="B3746" s="1" t="s">
        <v>13</v>
      </c>
      <c r="C3746" s="4" t="s">
        <v>16874</v>
      </c>
      <c r="D3746" s="1" t="s">
        <v>16875</v>
      </c>
      <c r="E3746" s="1" t="s">
        <v>16876</v>
      </c>
      <c r="F3746" s="4" t="s">
        <v>17</v>
      </c>
      <c r="G3746" s="1" t="s">
        <v>18</v>
      </c>
      <c r="H3746" s="1" t="s">
        <v>19</v>
      </c>
      <c r="I3746" s="1" t="s">
        <v>20</v>
      </c>
      <c r="J3746" s="1" t="s">
        <v>16877</v>
      </c>
      <c r="K3746" s="1" t="s">
        <v>22</v>
      </c>
      <c r="L3746" s="1" t="str">
        <f>HYPERLINK("https://files.afu.se/Downloads/Transcripts/0%20-%20Government/USA%20-%20NASA/2011 12 09 - NASA - NASA Future Forum  How Commercial Space Benefits U.S._Uyc8agPJ7pQ - transcript (automated).pdf","Transcript Link")</f>
        <v>Transcript Link</v>
      </c>
      <c r="M3746" s="2" t="str">
        <f>HYPERLINK("https://files.afu.se/Downloads/Transcripts/0%20-%20Government/USA%20-%20NASA/2011 12 09 - NASA - NASA Future Forum  How Commercial Space Benefits U.S._Uyc8agPJ7pQ - transcript (automated).pdf","Transcript Link")</f>
        <v>Transcript Link</v>
      </c>
    </row>
    <row r="3747" ht="165" spans="1:13">
      <c r="A3747" s="1" t="s">
        <v>16873</v>
      </c>
      <c r="B3747" s="1" t="s">
        <v>13</v>
      </c>
      <c r="C3747" s="4" t="s">
        <v>16878</v>
      </c>
      <c r="D3747" s="1" t="s">
        <v>16879</v>
      </c>
      <c r="E3747" s="1" t="s">
        <v>16880</v>
      </c>
      <c r="F3747" s="4" t="s">
        <v>17</v>
      </c>
      <c r="G3747" s="1" t="s">
        <v>18</v>
      </c>
      <c r="H3747" s="1" t="s">
        <v>19</v>
      </c>
      <c r="I3747" s="1" t="s">
        <v>20</v>
      </c>
      <c r="J3747" s="1" t="s">
        <v>16881</v>
      </c>
      <c r="K3747" s="1" t="s">
        <v>22</v>
      </c>
      <c r="L3747" s="1" t="str">
        <f>HYPERLINK("https://files.afu.se/Downloads/Transcripts/0%20-%20Government/USA%20-%20NASA/2011 12 09 - NASA - SpaceX Launch Set on This Week @NASA_srNy2NKoPqk - transcript (automated).pdf","Transcript Link")</f>
        <v>Transcript Link</v>
      </c>
      <c r="M3747" s="2" t="str">
        <f>HYPERLINK("https://files.afu.se/Downloads/Transcripts/0%20-%20Government/USA%20-%20NASA/2011 12 09 - NASA - SpaceX Launch Set on This Week @NASA_srNy2NKoPqk - transcript (automated).pdf","Transcript Link")</f>
        <v>Transcript Link</v>
      </c>
    </row>
    <row r="3748" ht="165" spans="1:13">
      <c r="A3748" s="1" t="s">
        <v>16873</v>
      </c>
      <c r="B3748" s="1" t="s">
        <v>13</v>
      </c>
      <c r="C3748" s="4" t="s">
        <v>16882</v>
      </c>
      <c r="D3748" s="1" t="s">
        <v>16883</v>
      </c>
      <c r="E3748" s="1" t="s">
        <v>16884</v>
      </c>
      <c r="F3748" s="4" t="s">
        <v>17</v>
      </c>
      <c r="G3748" s="1" t="s">
        <v>18</v>
      </c>
      <c r="H3748" s="1" t="s">
        <v>19</v>
      </c>
      <c r="I3748" s="1" t="s">
        <v>20</v>
      </c>
      <c r="J3748" s="1" t="s">
        <v>16885</v>
      </c>
      <c r="K3748" s="1" t="s">
        <v>22</v>
      </c>
      <c r="L3748" s="1" t="str">
        <f>HYPERLINK("https://files.afu.se/Downloads/Transcripts/0%20-%20Government/USA%20-%20NASA/2011 12 09 - NASA - NASA Future Forum Examines Nation's Goals in Space_X3v-LG3lMsY - transcript (automated).pdf","Transcript Link")</f>
        <v>Transcript Link</v>
      </c>
      <c r="M3748" s="2" t="str">
        <f>HYPERLINK("https://files.afu.se/Downloads/Transcripts/0%20-%20Government/USA%20-%20NASA/2011 12 09 - NASA - NASA Future Forum Examines Nation's Goals in Space_X3v-LG3lMsY - transcript (automated).pdf","Transcript Link")</f>
        <v>Transcript Link</v>
      </c>
    </row>
    <row r="3749" ht="165" spans="1:13">
      <c r="A3749" s="1" t="s">
        <v>16873</v>
      </c>
      <c r="B3749" s="1" t="s">
        <v>13</v>
      </c>
      <c r="C3749" s="4" t="s">
        <v>16886</v>
      </c>
      <c r="D3749" s="1" t="s">
        <v>16887</v>
      </c>
      <c r="E3749" s="1" t="s">
        <v>16888</v>
      </c>
      <c r="F3749" s="4" t="s">
        <v>17</v>
      </c>
      <c r="G3749" s="1" t="s">
        <v>18</v>
      </c>
      <c r="H3749" s="1" t="s">
        <v>19</v>
      </c>
      <c r="I3749" s="1" t="s">
        <v>20</v>
      </c>
      <c r="J3749" s="1" t="s">
        <v>16889</v>
      </c>
      <c r="K3749" s="1" t="s">
        <v>22</v>
      </c>
      <c r="L3749" s="1" t="str">
        <f>HYPERLINK("https://files.afu.se/Downloads/Transcripts/0%20-%20Government/USA%20-%20NASA/2011 12 09 - NASA - NASA Future Forum Panel  Technology and Innovation_nv9wfi0Na4w - transcript (automated).pdf","Transcript Link")</f>
        <v>Transcript Link</v>
      </c>
      <c r="M3749" s="2" t="str">
        <f>HYPERLINK("https://files.afu.se/Downloads/Transcripts/0%20-%20Government/USA%20-%20NASA/2011 12 09 - NASA - NASA Future Forum Panel  Technology and Innovation_nv9wfi0Na4w - transcript (automated).pdf","Transcript Link")</f>
        <v>Transcript Link</v>
      </c>
    </row>
    <row r="3750" ht="165" spans="1:13">
      <c r="A3750" s="1" t="s">
        <v>16873</v>
      </c>
      <c r="B3750" s="1" t="s">
        <v>13</v>
      </c>
      <c r="C3750" s="4" t="s">
        <v>16890</v>
      </c>
      <c r="D3750" s="1" t="s">
        <v>16891</v>
      </c>
      <c r="E3750" s="1" t="s">
        <v>16892</v>
      </c>
      <c r="F3750" s="4" t="s">
        <v>17</v>
      </c>
      <c r="G3750" s="1" t="s">
        <v>18</v>
      </c>
      <c r="H3750" s="1" t="s">
        <v>19</v>
      </c>
      <c r="I3750" s="1" t="s">
        <v>20</v>
      </c>
      <c r="J3750" s="1" t="s">
        <v>16893</v>
      </c>
      <c r="K3750" s="1" t="s">
        <v>22</v>
      </c>
      <c r="L3750" s="1" t="str">
        <f>HYPERLINK("https://files.afu.se/Downloads/Transcripts/0%20-%20Government/USA%20-%20NASA/2011 12 09 - NASA - ScienceCasts  Smallest Terrestrial Planet _8JL8kXpO2a0 - transcript (automated).pdf","Transcript Link")</f>
        <v>Transcript Link</v>
      </c>
      <c r="M3750" s="2" t="str">
        <f>HYPERLINK("https://files.afu.se/Downloads/Transcripts/0%20-%20Government/USA%20-%20NASA/2011 12 09 - NASA - ScienceCasts  Smallest Terrestrial Planet _8JL8kXpO2a0 - transcript (automated).pdf","Transcript Link")</f>
        <v>Transcript Link</v>
      </c>
    </row>
    <row r="3751" ht="165" spans="1:13">
      <c r="A3751" s="1" t="s">
        <v>16873</v>
      </c>
      <c r="B3751" s="1" t="s">
        <v>13</v>
      </c>
      <c r="C3751" s="4" t="s">
        <v>16894</v>
      </c>
      <c r="D3751" s="1" t="s">
        <v>16895</v>
      </c>
      <c r="E3751" s="1" t="s">
        <v>16896</v>
      </c>
      <c r="F3751" s="4" t="s">
        <v>17</v>
      </c>
      <c r="G3751" s="1" t="s">
        <v>18</v>
      </c>
      <c r="H3751" s="1" t="s">
        <v>19</v>
      </c>
      <c r="I3751" s="1" t="s">
        <v>20</v>
      </c>
      <c r="J3751" s="1" t="s">
        <v>16897</v>
      </c>
      <c r="K3751" s="1" t="s">
        <v>22</v>
      </c>
      <c r="L3751" s="1" t="str">
        <f>HYPERLINK("https://files.afu.se/Downloads/Transcripts/0%20-%20Government/USA%20-%20NASA/2011 12 09 - NASA - NASA Future Forum Hosted by Seattle's Museum of Flight_anbNrKAZ3ZY - transcript (automated).pdf","Transcript Link")</f>
        <v>Transcript Link</v>
      </c>
      <c r="M3751" s="2" t="str">
        <f>HYPERLINK("https://files.afu.se/Downloads/Transcripts/0%20-%20Government/USA%20-%20NASA/2011 12 09 - NASA - NASA Future Forum Hosted by Seattle's Museum of Flight_anbNrKAZ3ZY - transcript (automated).pdf","Transcript Link")</f>
        <v>Transcript Link</v>
      </c>
    </row>
    <row r="3752" ht="165" spans="1:13">
      <c r="A3752" s="1" t="s">
        <v>16898</v>
      </c>
      <c r="B3752" s="1" t="s">
        <v>13</v>
      </c>
      <c r="C3752" s="4" t="s">
        <v>16899</v>
      </c>
      <c r="D3752" s="1" t="s">
        <v>16900</v>
      </c>
      <c r="E3752" s="1" t="s">
        <v>16901</v>
      </c>
      <c r="F3752" s="4" t="s">
        <v>17</v>
      </c>
      <c r="G3752" s="1" t="s">
        <v>18</v>
      </c>
      <c r="H3752" s="1" t="s">
        <v>19</v>
      </c>
      <c r="I3752" s="1" t="s">
        <v>20</v>
      </c>
      <c r="J3752" s="1" t="s">
        <v>16902</v>
      </c>
      <c r="K3752" s="1" t="s">
        <v>22</v>
      </c>
      <c r="L3752" s="1" t="str">
        <f>HYPERLINK("https://files.afu.se/Downloads/Transcripts/0%20-%20Government/USA%20-%20NASA/2011 12 08 - NASA - Expedition 30 Crew Departs for Kazakh Launch Site_RrqVQ_oxtb4 - transcript (automated).pdf","Transcript Link")</f>
        <v>Transcript Link</v>
      </c>
      <c r="M3752" s="2" t="str">
        <f>HYPERLINK("https://files.afu.se/Downloads/Transcripts/0%20-%20Government/USA%20-%20NASA/2011 12 08 - NASA - Expedition 30 Crew Departs for Kazakh Launch Site_RrqVQ_oxtb4 - transcript (automated).pdf","Transcript Link")</f>
        <v>Transcript Link</v>
      </c>
    </row>
    <row r="3753" ht="165" spans="1:13">
      <c r="A3753" s="1" t="s">
        <v>16903</v>
      </c>
      <c r="B3753" s="1" t="s">
        <v>13</v>
      </c>
      <c r="C3753" s="4" t="s">
        <v>16904</v>
      </c>
      <c r="D3753" s="1" t="s">
        <v>16905</v>
      </c>
      <c r="E3753" s="1" t="s">
        <v>16906</v>
      </c>
      <c r="F3753" s="4" t="s">
        <v>17</v>
      </c>
      <c r="G3753" s="1" t="s">
        <v>18</v>
      </c>
      <c r="H3753" s="1" t="s">
        <v>19</v>
      </c>
      <c r="I3753" s="1" t="s">
        <v>20</v>
      </c>
      <c r="J3753" s="1" t="s">
        <v>16907</v>
      </c>
      <c r="K3753" s="1" t="s">
        <v>22</v>
      </c>
      <c r="L3753" s="1" t="str">
        <f>HYPERLINK("https://files.afu.se/Downloads/Transcripts/0%20-%20Government/USA%20-%20NASA/2011 12 05 - NASA - ScienceCasts  A Super-Sized Lunar Eclipse_MujkxjrMA2Y - transcript (automated).pdf","Transcript Link")</f>
        <v>Transcript Link</v>
      </c>
      <c r="M3753" s="2" t="str">
        <f>HYPERLINK("https://files.afu.se/Downloads/Transcripts/0%20-%20Government/USA%20-%20NASA/2011 12 05 - NASA - ScienceCasts  A Super-Sized Lunar Eclipse_MujkxjrMA2Y - transcript (automated).pdf","Transcript Link")</f>
        <v>Transcript Link</v>
      </c>
    </row>
    <row r="3754" ht="165" spans="1:13">
      <c r="A3754" s="1" t="s">
        <v>16908</v>
      </c>
      <c r="B3754" s="1" t="s">
        <v>13</v>
      </c>
      <c r="C3754" s="4" t="s">
        <v>16909</v>
      </c>
      <c r="D3754" s="1" t="s">
        <v>16910</v>
      </c>
      <c r="E3754" s="1" t="s">
        <v>16911</v>
      </c>
      <c r="F3754" s="4" t="s">
        <v>17</v>
      </c>
      <c r="G3754" s="1" t="s">
        <v>18</v>
      </c>
      <c r="H3754" s="1" t="s">
        <v>19</v>
      </c>
      <c r="I3754" s="1" t="s">
        <v>20</v>
      </c>
      <c r="J3754" s="1" t="s">
        <v>16912</v>
      </c>
      <c r="K3754" s="1" t="s">
        <v>22</v>
      </c>
      <c r="L3754" s="1" t="str">
        <f>HYPERLINK("https://files.afu.se/Downloads/Transcripts/0%20-%20Government/USA%20-%20NASA/2011 12 02 - NASA - Orion Continues to Make a Splash_vWTUGgNKG9Q - transcript (automated).pdf","Transcript Link")</f>
        <v>Transcript Link</v>
      </c>
      <c r="M3754" s="2" t="str">
        <f>HYPERLINK("https://files.afu.se/Downloads/Transcripts/0%20-%20Government/USA%20-%20NASA/2011 12 02 - NASA - Orion Continues to Make a Splash_vWTUGgNKG9Q - transcript (automated).pdf","Transcript Link")</f>
        <v>Transcript Link</v>
      </c>
    </row>
    <row r="3755" ht="165" spans="1:13">
      <c r="A3755" s="1" t="s">
        <v>16908</v>
      </c>
      <c r="B3755" s="1" t="s">
        <v>13</v>
      </c>
      <c r="C3755" s="4" t="s">
        <v>16913</v>
      </c>
      <c r="D3755" s="1" t="s">
        <v>16914</v>
      </c>
      <c r="E3755" s="1" t="s">
        <v>16915</v>
      </c>
      <c r="F3755" s="4" t="s">
        <v>17</v>
      </c>
      <c r="G3755" s="1" t="s">
        <v>18</v>
      </c>
      <c r="H3755" s="1" t="s">
        <v>19</v>
      </c>
      <c r="I3755" s="1" t="s">
        <v>20</v>
      </c>
      <c r="J3755" s="1" t="s">
        <v>16916</v>
      </c>
      <c r="K3755" s="1" t="s">
        <v>22</v>
      </c>
      <c r="L3755" s="1" t="str">
        <f>HYPERLINK("https://files.afu.se/Downloads/Transcripts/0%20-%20Government/USA%20-%20NASA/2011 12 02 - NASA - Pre-Launch Activities for Next ISS Crew on This Week@NASA__FAPXKtj2ds - transcript (automated).pdf","Transcript Link")</f>
        <v>Transcript Link</v>
      </c>
      <c r="M3755" s="2" t="str">
        <f>HYPERLINK("https://files.afu.se/Downloads/Transcripts/0%20-%20Government/USA%20-%20NASA/2011 12 02 - NASA - Pre-Launch Activities for Next ISS Crew on This Week@NASA__FAPXKtj2ds - transcript (automated).pdf","Transcript Link")</f>
        <v>Transcript Link</v>
      </c>
    </row>
    <row r="3756" ht="165" spans="1:13">
      <c r="A3756" s="1" t="s">
        <v>16908</v>
      </c>
      <c r="B3756" s="1" t="s">
        <v>13</v>
      </c>
      <c r="C3756" s="4" t="s">
        <v>16917</v>
      </c>
      <c r="D3756" s="1" t="s">
        <v>16918</v>
      </c>
      <c r="E3756" s="1" t="s">
        <v>16919</v>
      </c>
      <c r="F3756" s="4" t="s">
        <v>17</v>
      </c>
      <c r="G3756" s="1" t="s">
        <v>18</v>
      </c>
      <c r="H3756" s="1" t="s">
        <v>19</v>
      </c>
      <c r="I3756" s="1" t="s">
        <v>20</v>
      </c>
      <c r="J3756" s="1" t="s">
        <v>16920</v>
      </c>
      <c r="K3756" s="1" t="s">
        <v>22</v>
      </c>
      <c r="L3756" s="1" t="str">
        <f>HYPERLINK("https://files.afu.se/Downloads/Transcripts/0%20-%20Government/USA%20-%20NASA/2011 12 02 - NASA - Inside the ISS_tV-cyS7iIe8 - transcript (automated).pdf","Transcript Link")</f>
        <v>Transcript Link</v>
      </c>
      <c r="M3756" s="2" t="str">
        <f>HYPERLINK("https://files.afu.se/Downloads/Transcripts/0%20-%20Government/USA%20-%20NASA/2011 12 02 - NASA - Inside the ISS_tV-cyS7iIe8 - transcript (automated).pdf","Transcript Link")</f>
        <v>Transcript Link</v>
      </c>
    </row>
    <row r="3757" ht="165" spans="1:13">
      <c r="A3757" s="1" t="s">
        <v>16908</v>
      </c>
      <c r="B3757" s="1" t="s">
        <v>13</v>
      </c>
      <c r="C3757" s="4" t="s">
        <v>16921</v>
      </c>
      <c r="D3757" s="1" t="s">
        <v>16922</v>
      </c>
      <c r="E3757" s="1" t="s">
        <v>16923</v>
      </c>
      <c r="F3757" s="4" t="s">
        <v>17</v>
      </c>
      <c r="G3757" s="1" t="s">
        <v>18</v>
      </c>
      <c r="H3757" s="1" t="s">
        <v>19</v>
      </c>
      <c r="I3757" s="1" t="s">
        <v>20</v>
      </c>
      <c r="J3757" s="1" t="s">
        <v>16924</v>
      </c>
      <c r="K3757" s="1" t="s">
        <v>22</v>
      </c>
      <c r="L3757" s="1" t="str">
        <f>HYPERLINK("https://files.afu.se/Downloads/Transcripts/0%20-%20Government/USA%20-%20NASA/2011 12 02 - NASA - Norah Jones and NASA astronaut Piers Sellers on NASA Spinoff Technology_I1C33rgC7X0 - transcript (automated).pdf","Transcript Link")</f>
        <v>Transcript Link</v>
      </c>
      <c r="M3757" s="2" t="str">
        <f>HYPERLINK("https://files.afu.se/Downloads/Transcripts/0%20-%20Government/USA%20-%20NASA/2011 12 02 - NASA - Norah Jones and NASA astronaut Piers Sellers on NASA Spinoff Technology_I1C33rgC7X0 - transcript (automated).pdf","Transcript Link")</f>
        <v>Transcript Link</v>
      </c>
    </row>
    <row r="3758" ht="165" spans="1:13">
      <c r="A3758" s="1" t="s">
        <v>16908</v>
      </c>
      <c r="B3758" s="1" t="s">
        <v>13</v>
      </c>
      <c r="C3758" s="4" t="s">
        <v>16925</v>
      </c>
      <c r="D3758" s="1" t="s">
        <v>16926</v>
      </c>
      <c r="E3758" s="1" t="s">
        <v>16927</v>
      </c>
      <c r="F3758" s="4" t="s">
        <v>17</v>
      </c>
      <c r="G3758" s="1" t="s">
        <v>18</v>
      </c>
      <c r="H3758" s="1" t="s">
        <v>19</v>
      </c>
      <c r="I3758" s="1" t="s">
        <v>20</v>
      </c>
      <c r="J3758" s="1" t="s">
        <v>16928</v>
      </c>
      <c r="K3758" s="1" t="s">
        <v>22</v>
      </c>
      <c r="L3758" s="1" t="str">
        <f>HYPERLINK("https://files.afu.se/Downloads/Transcripts/0%20-%20Government/USA%20-%20NASA/2011 12 02 - NASA - Expedition 30 Crew Meets the Media and Pays Homage at Red Square_cj5LTHPi5w0 - transcript (automated).pdf","Transcript Link")</f>
        <v>Transcript Link</v>
      </c>
      <c r="M3758" s="2" t="str">
        <f>HYPERLINK("https://files.afu.se/Downloads/Transcripts/0%20-%20Government/USA%20-%20NASA/2011 12 02 - NASA - Expedition 30 Crew Meets the Media and Pays Homage at Red Square_cj5LTHPi5w0 - transcript (automated).pdf","Transcript Link")</f>
        <v>Transcript Link</v>
      </c>
    </row>
    <row r="3759" ht="165" spans="1:13">
      <c r="A3759" s="1" t="s">
        <v>16929</v>
      </c>
      <c r="B3759" s="1" t="s">
        <v>13</v>
      </c>
      <c r="C3759" s="4" t="s">
        <v>16930</v>
      </c>
      <c r="D3759" s="1" t="s">
        <v>16931</v>
      </c>
      <c r="E3759" s="1" t="s">
        <v>16932</v>
      </c>
      <c r="F3759" s="4" t="s">
        <v>17</v>
      </c>
      <c r="G3759" s="1" t="s">
        <v>18</v>
      </c>
      <c r="H3759" s="1" t="s">
        <v>19</v>
      </c>
      <c r="I3759" s="1" t="s">
        <v>20</v>
      </c>
      <c r="J3759" s="1" t="s">
        <v>16933</v>
      </c>
      <c r="K3759" s="1" t="s">
        <v>22</v>
      </c>
      <c r="L3759" s="1" t="str">
        <f>HYPERLINK("https://files.afu.se/Downloads/Transcripts/0%20-%20Government/USA%20-%20NASA/2011 11 30 - NASA - Space Shuttle  The Final Flight_kX_w4mUlvjQ - transcript (automated).pdf","Transcript Link")</f>
        <v>Transcript Link</v>
      </c>
      <c r="M3759" s="2" t="str">
        <f>HYPERLINK("https://files.afu.se/Downloads/Transcripts/0%20-%20Government/USA%20-%20NASA/2011 11 30 - NASA - Space Shuttle  The Final Flight_kX_w4mUlvjQ - transcript (automated).pdf","Transcript Link")</f>
        <v>Transcript Link</v>
      </c>
    </row>
    <row r="3760" ht="165" spans="1:13">
      <c r="A3760" s="1" t="s">
        <v>16934</v>
      </c>
      <c r="B3760" s="1" t="s">
        <v>13</v>
      </c>
      <c r="C3760" s="4" t="s">
        <v>16935</v>
      </c>
      <c r="D3760" s="1" t="s">
        <v>16936</v>
      </c>
      <c r="E3760" s="1" t="s">
        <v>16937</v>
      </c>
      <c r="F3760" s="4" t="s">
        <v>17</v>
      </c>
      <c r="G3760" s="1" t="s">
        <v>18</v>
      </c>
      <c r="H3760" s="1" t="s">
        <v>19</v>
      </c>
      <c r="I3760" s="1" t="s">
        <v>20</v>
      </c>
      <c r="J3760" s="1" t="s">
        <v>16938</v>
      </c>
      <c r="K3760" s="1" t="s">
        <v>22</v>
      </c>
      <c r="L3760" s="1" t="str">
        <f>HYPERLINK("https://files.afu.se/Downloads/Transcripts/0%20-%20Government/USA%20-%20NASA/2011 11 29 - NASA - Station Commander Discusses Life and Work in Orbit with Florida Media_ytQ0bYcIX-c - transcript (automated).pdf","Transcript Link")</f>
        <v>Transcript Link</v>
      </c>
      <c r="M3760" s="2" t="str">
        <f>HYPERLINK("https://files.afu.se/Downloads/Transcripts/0%20-%20Government/USA%20-%20NASA/2011 11 29 - NASA - Station Commander Discusses Life and Work in Orbit with Florida Media_ytQ0bYcIX-c - transcript (automated).pdf","Transcript Link")</f>
        <v>Transcript Link</v>
      </c>
    </row>
    <row r="3761" ht="165" spans="1:13">
      <c r="A3761" s="1" t="s">
        <v>16939</v>
      </c>
      <c r="B3761" s="1" t="s">
        <v>13</v>
      </c>
      <c r="C3761" s="4" t="s">
        <v>16940</v>
      </c>
      <c r="D3761" s="1" t="s">
        <v>16941</v>
      </c>
      <c r="E3761" s="1" t="s">
        <v>16942</v>
      </c>
      <c r="F3761" s="4" t="s">
        <v>17</v>
      </c>
      <c r="G3761" s="1" t="s">
        <v>18</v>
      </c>
      <c r="H3761" s="1" t="s">
        <v>19</v>
      </c>
      <c r="I3761" s="1" t="s">
        <v>20</v>
      </c>
      <c r="J3761" s="1" t="s">
        <v>16943</v>
      </c>
      <c r="K3761" s="1" t="s">
        <v>22</v>
      </c>
      <c r="L3761" s="1" t="str">
        <f>HYPERLINK("https://files.afu.se/Downloads/Transcripts/0%20-%20Government/USA%20-%20NASA/2011 11 26 - NASA - MSL's Mars Trajectory Confirmed During Post-Launch Briefing_psWbhnqz1l0 - transcript (automated).pdf","Transcript Link")</f>
        <v>Transcript Link</v>
      </c>
      <c r="M3761" s="2" t="str">
        <f>HYPERLINK("https://files.afu.se/Downloads/Transcripts/0%20-%20Government/USA%20-%20NASA/2011 11 26 - NASA - MSL's Mars Trajectory Confirmed During Post-Launch Briefing_psWbhnqz1l0 - transcript (automated).pdf","Transcript Link")</f>
        <v>Transcript Link</v>
      </c>
    </row>
    <row r="3762" ht="165" spans="1:13">
      <c r="A3762" s="1" t="s">
        <v>16939</v>
      </c>
      <c r="B3762" s="1" t="s">
        <v>13</v>
      </c>
      <c r="C3762" s="4" t="s">
        <v>16944</v>
      </c>
      <c r="D3762" s="1" t="s">
        <v>16945</v>
      </c>
      <c r="E3762" s="1" t="s">
        <v>16946</v>
      </c>
      <c r="F3762" s="4" t="s">
        <v>17</v>
      </c>
      <c r="G3762" s="1" t="s">
        <v>18</v>
      </c>
      <c r="H3762" s="1" t="s">
        <v>19</v>
      </c>
      <c r="I3762" s="1" t="s">
        <v>20</v>
      </c>
      <c r="J3762" s="1" t="s">
        <v>16947</v>
      </c>
      <c r="K3762" s="1" t="s">
        <v>22</v>
      </c>
      <c r="L3762" s="1" t="str">
        <f>HYPERLINK("https://files.afu.se/Downloads/Transcripts/0%20-%20Government/USA%20-%20NASA/2011 11 26 - NASA - Mars Rover Launches on This Week @NASA_WzA1Uciv7VQ - transcript (automated).pdf","Transcript Link")</f>
        <v>Transcript Link</v>
      </c>
      <c r="M3762" s="2" t="str">
        <f>HYPERLINK("https://files.afu.se/Downloads/Transcripts/0%20-%20Government/USA%20-%20NASA/2011 11 26 - NASA - Mars Rover Launches on This Week @NASA_WzA1Uciv7VQ - transcript (automated).pdf","Transcript Link")</f>
        <v>Transcript Link</v>
      </c>
    </row>
    <row r="3763" ht="165" spans="1:13">
      <c r="A3763" s="1" t="s">
        <v>16939</v>
      </c>
      <c r="B3763" s="1" t="s">
        <v>13</v>
      </c>
      <c r="C3763" s="4" t="s">
        <v>16948</v>
      </c>
      <c r="D3763" s="1" t="s">
        <v>16949</v>
      </c>
      <c r="E3763" s="1" t="s">
        <v>16950</v>
      </c>
      <c r="F3763" s="4" t="s">
        <v>17</v>
      </c>
      <c r="G3763" s="1" t="s">
        <v>18</v>
      </c>
      <c r="H3763" s="1" t="s">
        <v>19</v>
      </c>
      <c r="I3763" s="1" t="s">
        <v>20</v>
      </c>
      <c r="J3763" s="1" t="s">
        <v>16951</v>
      </c>
      <c r="K3763" s="1" t="s">
        <v>22</v>
      </c>
      <c r="L3763" s="1" t="str">
        <f>HYPERLINK("https://files.afu.se/Downloads/Transcripts/0%20-%20Government/USA%20-%20NASA/2011 11 26 - NASA - Mars Science Laboratory Lifts Off for Red Planet_jEXoMpmfJcM - transcript (automated).pdf","Transcript Link")</f>
        <v>Transcript Link</v>
      </c>
      <c r="M3763" s="2" t="str">
        <f>HYPERLINK("https://files.afu.se/Downloads/Transcripts/0%20-%20Government/USA%20-%20NASA/2011 11 26 - NASA - Mars Science Laboratory Lifts Off for Red Planet_jEXoMpmfJcM - transcript (automated).pdf","Transcript Link")</f>
        <v>Transcript Link</v>
      </c>
    </row>
    <row r="3764" ht="165" spans="1:13">
      <c r="A3764" s="1" t="s">
        <v>16939</v>
      </c>
      <c r="B3764" s="1" t="s">
        <v>13</v>
      </c>
      <c r="C3764" s="4" t="s">
        <v>16952</v>
      </c>
      <c r="D3764" s="1" t="s">
        <v>16953</v>
      </c>
      <c r="E3764" s="1" t="s">
        <v>16954</v>
      </c>
      <c r="F3764" s="4" t="s">
        <v>17</v>
      </c>
      <c r="G3764" s="1" t="s">
        <v>18</v>
      </c>
      <c r="H3764" s="1" t="s">
        <v>19</v>
      </c>
      <c r="I3764" s="1" t="s">
        <v>20</v>
      </c>
      <c r="J3764" s="1" t="s">
        <v>16955</v>
      </c>
      <c r="K3764" s="1" t="s">
        <v>22</v>
      </c>
      <c r="L3764" s="1" t="str">
        <f>HYPERLINK("https://files.afu.se/Downloads/Transcripts/0%20-%20Government/USA%20-%20NASA/2011 11 26 - NASA - All A-Twitter About Curiosity_9kcv4DQhft0 - transcript (automated).pdf","Transcript Link")</f>
        <v>Transcript Link</v>
      </c>
      <c r="M3764" s="2" t="str">
        <f>HYPERLINK("https://files.afu.se/Downloads/Transcripts/0%20-%20Government/USA%20-%20NASA/2011 11 26 - NASA - All A-Twitter About Curiosity_9kcv4DQhft0 - transcript (automated).pdf","Transcript Link")</f>
        <v>Transcript Link</v>
      </c>
    </row>
    <row r="3765" ht="165" spans="1:13">
      <c r="A3765" s="1" t="s">
        <v>16956</v>
      </c>
      <c r="B3765" s="1" t="s">
        <v>13</v>
      </c>
      <c r="C3765" s="4" t="s">
        <v>16957</v>
      </c>
      <c r="D3765" s="1" t="s">
        <v>16958</v>
      </c>
      <c r="E3765" s="1" t="s">
        <v>16959</v>
      </c>
      <c r="F3765" s="4" t="s">
        <v>17</v>
      </c>
      <c r="G3765" s="1" t="s">
        <v>18</v>
      </c>
      <c r="H3765" s="1" t="s">
        <v>19</v>
      </c>
      <c r="I3765" s="1" t="s">
        <v>20</v>
      </c>
      <c r="J3765" s="1" t="s">
        <v>16960</v>
      </c>
      <c r="K3765" s="1" t="s">
        <v>22</v>
      </c>
      <c r="L3765" s="1" t="str">
        <f>HYPERLINK("https://files.afu.se/Downloads/Transcripts/0%20-%20Government/USA%20-%20NASA/2011 11 25 - NASA - Why Mars Excites and Inspires Us_2lLTP4yxcTA - transcript (automated).pdf","Transcript Link")</f>
        <v>Transcript Link</v>
      </c>
      <c r="M3765" s="2" t="str">
        <f>HYPERLINK("https://files.afu.se/Downloads/Transcripts/0%20-%20Government/USA%20-%20NASA/2011 11 25 - NASA - Why Mars Excites and Inspires Us_2lLTP4yxcTA - transcript (automated).pdf","Transcript Link")</f>
        <v>Transcript Link</v>
      </c>
    </row>
    <row r="3766" ht="165" spans="1:13">
      <c r="A3766" s="1" t="s">
        <v>16956</v>
      </c>
      <c r="B3766" s="1" t="s">
        <v>13</v>
      </c>
      <c r="C3766" s="4" t="s">
        <v>16961</v>
      </c>
      <c r="D3766" s="1" t="s">
        <v>16962</v>
      </c>
      <c r="E3766" s="1" t="s">
        <v>16963</v>
      </c>
      <c r="F3766" s="4" t="s">
        <v>17</v>
      </c>
      <c r="G3766" s="1" t="s">
        <v>18</v>
      </c>
      <c r="H3766" s="1" t="s">
        <v>19</v>
      </c>
      <c r="I3766" s="1" t="s">
        <v>20</v>
      </c>
      <c r="J3766" s="1" t="s">
        <v>16964</v>
      </c>
      <c r="K3766" s="1" t="s">
        <v>22</v>
      </c>
      <c r="L3766" s="1" t="str">
        <f>HYPERLINK("https://files.afu.se/Downloads/Transcripts/0%20-%20Government/USA%20-%20NASA/2011 11 25 - NASA - Mars Rover Ready on This Week @NASA_TIs8GPgq_0I - transcript (automated).pdf","Transcript Link")</f>
        <v>Transcript Link</v>
      </c>
      <c r="M3766" s="2" t="str">
        <f>HYPERLINK("https://files.afu.se/Downloads/Transcripts/0%20-%20Government/USA%20-%20NASA/2011 11 25 - NASA - Mars Rover Ready on This Week @NASA_TIs8GPgq_0I - transcript (automated).pdf","Transcript Link")</f>
        <v>Transcript Link</v>
      </c>
    </row>
    <row r="3767" ht="165" spans="1:13">
      <c r="A3767" s="1" t="s">
        <v>16965</v>
      </c>
      <c r="B3767" s="1" t="s">
        <v>13</v>
      </c>
      <c r="C3767" s="4" t="s">
        <v>16966</v>
      </c>
      <c r="D3767" s="1" t="s">
        <v>16967</v>
      </c>
      <c r="E3767" s="1" t="s">
        <v>16968</v>
      </c>
      <c r="F3767" s="4" t="s">
        <v>17</v>
      </c>
      <c r="G3767" s="1" t="s">
        <v>18</v>
      </c>
      <c r="H3767" s="1" t="s">
        <v>19</v>
      </c>
      <c r="I3767" s="1" t="s">
        <v>20</v>
      </c>
      <c r="J3767" s="1" t="s">
        <v>16969</v>
      </c>
      <c r="K3767" s="1" t="s">
        <v>22</v>
      </c>
      <c r="L3767" s="1" t="str">
        <f>HYPERLINK("https://files.afu.se/Downloads/Transcripts/0%20-%20Government/USA%20-%20NASA/2011 11 23 - NASA - Curiosity to Search for Signs of Life_wOfuKrJYpqU - transcript (automated).pdf","Transcript Link")</f>
        <v>Transcript Link</v>
      </c>
      <c r="M3767" s="2" t="str">
        <f>HYPERLINK("https://files.afu.se/Downloads/Transcripts/0%20-%20Government/USA%20-%20NASA/2011 11 23 - NASA - Curiosity to Search for Signs of Life_wOfuKrJYpqU - transcript (automated).pdf","Transcript Link")</f>
        <v>Transcript Link</v>
      </c>
    </row>
    <row r="3768" ht="165" spans="1:13">
      <c r="A3768" s="1" t="s">
        <v>16965</v>
      </c>
      <c r="B3768" s="1" t="s">
        <v>13</v>
      </c>
      <c r="C3768" s="4" t="s">
        <v>16970</v>
      </c>
      <c r="D3768" s="1" t="s">
        <v>16971</v>
      </c>
      <c r="E3768" s="1" t="s">
        <v>16972</v>
      </c>
      <c r="F3768" s="4" t="s">
        <v>17</v>
      </c>
      <c r="G3768" s="1" t="s">
        <v>18</v>
      </c>
      <c r="H3768" s="1" t="s">
        <v>19</v>
      </c>
      <c r="I3768" s="1" t="s">
        <v>20</v>
      </c>
      <c r="J3768" s="1" t="s">
        <v>16973</v>
      </c>
      <c r="K3768" s="1" t="s">
        <v>22</v>
      </c>
      <c r="L3768" s="1" t="str">
        <f>HYPERLINK("https://files.afu.se/Downloads/Transcripts/0%20-%20Government/USA%20-%20NASA/2011 11 23 - NASA - Rocket and Rover Ready for Flight_J2mDVCSVnYo - transcript (automated).pdf","Transcript Link")</f>
        <v>Transcript Link</v>
      </c>
      <c r="M3768" s="2" t="str">
        <f>HYPERLINK("https://files.afu.se/Downloads/Transcripts/0%20-%20Government/USA%20-%20NASA/2011 11 23 - NASA - Rocket and Rover Ready for Flight_J2mDVCSVnYo - transcript (automated).pdf","Transcript Link")</f>
        <v>Transcript Link</v>
      </c>
    </row>
    <row r="3769" ht="165" spans="1:13">
      <c r="A3769" s="1" t="s">
        <v>16965</v>
      </c>
      <c r="B3769" s="1" t="s">
        <v>13</v>
      </c>
      <c r="C3769" s="4" t="s">
        <v>16974</v>
      </c>
      <c r="D3769" s="1" t="s">
        <v>16975</v>
      </c>
      <c r="E3769" s="1" t="s">
        <v>16976</v>
      </c>
      <c r="F3769" s="4" t="s">
        <v>17</v>
      </c>
      <c r="G3769" s="1" t="s">
        <v>18</v>
      </c>
      <c r="H3769" s="1" t="s">
        <v>19</v>
      </c>
      <c r="I3769" s="1" t="s">
        <v>20</v>
      </c>
      <c r="J3769" s="1" t="s">
        <v>16977</v>
      </c>
      <c r="K3769" s="1" t="s">
        <v>22</v>
      </c>
      <c r="L3769" s="1" t="str">
        <f>HYPERLINK("https://files.afu.se/Downloads/Transcripts/0%20-%20Government/USA%20-%20NASA/2011 11 23 - NASA - Day of Thanks Celebrated in Space_Ee3hBkCs4O0 - transcript (automated).pdf","Transcript Link")</f>
        <v>Transcript Link</v>
      </c>
      <c r="M3769" s="2" t="str">
        <f>HYPERLINK("https://files.afu.se/Downloads/Transcripts/0%20-%20Government/USA%20-%20NASA/2011 11 23 - NASA - Day of Thanks Celebrated in Space_Ee3hBkCs4O0 - transcript (automated).pdf","Transcript Link")</f>
        <v>Transcript Link</v>
      </c>
    </row>
    <row r="3770" ht="165" spans="1:13">
      <c r="A3770" s="1" t="s">
        <v>16965</v>
      </c>
      <c r="B3770" s="1" t="s">
        <v>13</v>
      </c>
      <c r="C3770" s="4" t="s">
        <v>16978</v>
      </c>
      <c r="D3770" s="1" t="s">
        <v>16979</v>
      </c>
      <c r="E3770" s="1" t="s">
        <v>16980</v>
      </c>
      <c r="F3770" s="4" t="s">
        <v>17</v>
      </c>
      <c r="G3770" s="1" t="s">
        <v>18</v>
      </c>
      <c r="H3770" s="1" t="s">
        <v>19</v>
      </c>
      <c r="I3770" s="1" t="s">
        <v>20</v>
      </c>
      <c r="J3770" s="1" t="s">
        <v>16981</v>
      </c>
      <c r="K3770" s="1" t="s">
        <v>22</v>
      </c>
      <c r="L3770" s="1" t="str">
        <f>HYPERLINK("https://files.afu.se/Downloads/Transcripts/0%20-%20Government/USA%20-%20NASA/2011 11 23 - NASA - ScienceCasts  Terrifying Auroras_7ZktPYY6_84 - transcript (automated).pdf","Transcript Link")</f>
        <v>Transcript Link</v>
      </c>
      <c r="M3770" s="2" t="str">
        <f>HYPERLINK("https://files.afu.se/Downloads/Transcripts/0%20-%20Government/USA%20-%20NASA/2011 11 23 - NASA - ScienceCasts  Terrifying Auroras_7ZktPYY6_84 - transcript (automated).pdf","Transcript Link")</f>
        <v>Transcript Link</v>
      </c>
    </row>
    <row r="3771" ht="165" spans="1:13">
      <c r="A3771" s="1" t="s">
        <v>16965</v>
      </c>
      <c r="B3771" s="1" t="s">
        <v>13</v>
      </c>
      <c r="C3771" s="4" t="s">
        <v>16982</v>
      </c>
      <c r="D3771" s="1" t="s">
        <v>16983</v>
      </c>
      <c r="E3771" s="1" t="s">
        <v>16984</v>
      </c>
      <c r="F3771" s="4" t="s">
        <v>17</v>
      </c>
      <c r="G3771" s="1" t="s">
        <v>18</v>
      </c>
      <c r="H3771" s="1" t="s">
        <v>19</v>
      </c>
      <c r="I3771" s="1" t="s">
        <v>20</v>
      </c>
      <c r="J3771" s="1" t="s">
        <v>16985</v>
      </c>
      <c r="K3771" s="1" t="s">
        <v>22</v>
      </c>
      <c r="L3771" s="1" t="str">
        <f>HYPERLINK("https://files.afu.se/Downloads/Transcripts/0%20-%20Government/USA%20-%20NASA/2011 11 23 - NASA - ScienceCasts  The Great Lakes of Europa_0-Knwsw2fSI - transcript (automated).pdf","Transcript Link")</f>
        <v>Transcript Link</v>
      </c>
      <c r="M3771" s="2" t="str">
        <f>HYPERLINK("https://files.afu.se/Downloads/Transcripts/0%20-%20Government/USA%20-%20NASA/2011 11 23 - NASA - ScienceCasts  The Great Lakes of Europa_0-Knwsw2fSI - transcript (automated).pdf","Transcript Link")</f>
        <v>Transcript Link</v>
      </c>
    </row>
    <row r="3772" ht="165" spans="1:13">
      <c r="A3772" s="1" t="s">
        <v>16965</v>
      </c>
      <c r="B3772" s="1" t="s">
        <v>13</v>
      </c>
      <c r="C3772" s="4" t="s">
        <v>16986</v>
      </c>
      <c r="D3772" s="1" t="s">
        <v>16987</v>
      </c>
      <c r="E3772" s="1" t="s">
        <v>16988</v>
      </c>
      <c r="F3772" s="4" t="s">
        <v>17</v>
      </c>
      <c r="G3772" s="1" t="s">
        <v>18</v>
      </c>
      <c r="H3772" s="1" t="s">
        <v>19</v>
      </c>
      <c r="I3772" s="1" t="s">
        <v>20</v>
      </c>
      <c r="J3772" s="1" t="s">
        <v>16989</v>
      </c>
      <c r="K3772" s="1" t="s">
        <v>22</v>
      </c>
      <c r="L3772" s="1" t="str">
        <f>HYPERLINK("https://files.afu.se/Downloads/Transcripts/0%20-%20Government/USA%20-%20NASA/2011 11 23 - NASA - Thanksgiving in Space for New ISS Commander_iRhoYm7Fqrg - transcript (automated).pdf","Transcript Link")</f>
        <v>Transcript Link</v>
      </c>
      <c r="M3772" s="2" t="str">
        <f>HYPERLINK("https://files.afu.se/Downloads/Transcripts/0%20-%20Government/USA%20-%20NASA/2011 11 23 - NASA - Thanksgiving in Space for New ISS Commander_iRhoYm7Fqrg - transcript (automated).pdf","Transcript Link")</f>
        <v>Transcript Link</v>
      </c>
    </row>
    <row r="3773" ht="165" spans="1:13">
      <c r="A3773" s="1" t="s">
        <v>16965</v>
      </c>
      <c r="B3773" s="1" t="s">
        <v>13</v>
      </c>
      <c r="C3773" s="4" t="s">
        <v>16990</v>
      </c>
      <c r="D3773" s="1" t="s">
        <v>16991</v>
      </c>
      <c r="E3773" s="1" t="s">
        <v>16992</v>
      </c>
      <c r="F3773" s="4" t="s">
        <v>17</v>
      </c>
      <c r="G3773" s="1" t="s">
        <v>18</v>
      </c>
      <c r="H3773" s="1" t="s">
        <v>19</v>
      </c>
      <c r="I3773" s="1" t="s">
        <v>20</v>
      </c>
      <c r="J3773" s="1" t="s">
        <v>16993</v>
      </c>
      <c r="K3773" s="1" t="s">
        <v>22</v>
      </c>
      <c r="L3773" s="1" t="str">
        <f>HYPERLINK("https://files.afu.se/Downloads/Transcripts/0%20-%20Government/USA%20-%20NASA/2011 11 23 - NASA - Curiosity Ready to Rove Mars_otlbX8ky4yw - transcript (automated).pdf","Transcript Link")</f>
        <v>Transcript Link</v>
      </c>
      <c r="M3773" s="2" t="str">
        <f>HYPERLINK("https://files.afu.se/Downloads/Transcripts/0%20-%20Government/USA%20-%20NASA/2011 11 23 - NASA - Curiosity Ready to Rove Mars_otlbX8ky4yw - transcript (automated).pdf","Transcript Link")</f>
        <v>Transcript Link</v>
      </c>
    </row>
    <row r="3774" ht="165" spans="1:13">
      <c r="A3774" s="1" t="s">
        <v>16994</v>
      </c>
      <c r="B3774" s="1" t="s">
        <v>13</v>
      </c>
      <c r="C3774" s="4" t="s">
        <v>16995</v>
      </c>
      <c r="D3774" s="1" t="s">
        <v>16996</v>
      </c>
      <c r="E3774" s="1" t="s">
        <v>16997</v>
      </c>
      <c r="F3774" s="4" t="s">
        <v>17</v>
      </c>
      <c r="G3774" s="1" t="s">
        <v>18</v>
      </c>
      <c r="H3774" s="1" t="s">
        <v>19</v>
      </c>
      <c r="I3774" s="1" t="s">
        <v>20</v>
      </c>
      <c r="J3774" s="1" t="s">
        <v>16998</v>
      </c>
      <c r="K3774" s="1" t="s">
        <v>22</v>
      </c>
      <c r="L3774" s="1" t="str">
        <f>HYPERLINK("https://files.afu.se/Downloads/Transcripts/0%20-%20Government/USA%20-%20NASA/2011 11 22 - NASA - Return to Fragile Oasis_eHBFR1biJX8 - transcript (automated).pdf","Transcript Link")</f>
        <v>Transcript Link</v>
      </c>
      <c r="M3774" s="2" t="str">
        <f>HYPERLINK("https://files.afu.se/Downloads/Transcripts/0%20-%20Government/USA%20-%20NASA/2011 11 22 - NASA - Return to Fragile Oasis_eHBFR1biJX8 - transcript (automated).pdf","Transcript Link")</f>
        <v>Transcript Link</v>
      </c>
    </row>
    <row r="3775" ht="165" spans="1:13">
      <c r="A3775" s="1" t="s">
        <v>16994</v>
      </c>
      <c r="B3775" s="1" t="s">
        <v>13</v>
      </c>
      <c r="C3775" s="4" t="s">
        <v>16999</v>
      </c>
      <c r="D3775" s="1" t="s">
        <v>17000</v>
      </c>
      <c r="E3775" s="1" t="s">
        <v>17001</v>
      </c>
      <c r="F3775" s="4" t="s">
        <v>17</v>
      </c>
      <c r="G3775" s="1" t="s">
        <v>18</v>
      </c>
      <c r="H3775" s="1" t="s">
        <v>19</v>
      </c>
      <c r="I3775" s="1" t="s">
        <v>20</v>
      </c>
      <c r="J3775" s="1" t="s">
        <v>17002</v>
      </c>
      <c r="K3775" s="1" t="s">
        <v>22</v>
      </c>
      <c r="L3775" s="1" t="str">
        <f>HYPERLINK("https://files.afu.se/Downloads/Transcripts/0%20-%20Government/USA%20-%20NASA/2011 11 22 - NASA - Scientists Seek Signs of Life in the Universe_uYAjudD51EY - transcript (automated).pdf","Transcript Link")</f>
        <v>Transcript Link</v>
      </c>
      <c r="M3775" s="2" t="str">
        <f>HYPERLINK("https://files.afu.se/Downloads/Transcripts/0%20-%20Government/USA%20-%20NASA/2011 11 22 - NASA - Scientists Seek Signs of Life in the Universe_uYAjudD51EY - transcript (automated).pdf","Transcript Link")</f>
        <v>Transcript Link</v>
      </c>
    </row>
    <row r="3776" ht="165" spans="1:13">
      <c r="A3776" s="1" t="s">
        <v>16994</v>
      </c>
      <c r="B3776" s="1" t="s">
        <v>13</v>
      </c>
      <c r="C3776" s="4" t="s">
        <v>17003</v>
      </c>
      <c r="D3776" s="1" t="s">
        <v>17004</v>
      </c>
      <c r="E3776" s="1" t="s">
        <v>17005</v>
      </c>
      <c r="F3776" s="4" t="s">
        <v>17</v>
      </c>
      <c r="G3776" s="1" t="s">
        <v>18</v>
      </c>
      <c r="H3776" s="1" t="s">
        <v>19</v>
      </c>
      <c r="I3776" s="1" t="s">
        <v>20</v>
      </c>
      <c r="J3776" s="1" t="s">
        <v>17006</v>
      </c>
      <c r="K3776" s="1" t="s">
        <v>22</v>
      </c>
      <c r="L3776" s="1" t="str">
        <f>HYPERLINK("https://files.afu.se/Downloads/Transcripts/0%20-%20Government/USA%20-%20NASA/2011 11 22 - NASA - Safe Landing for Soyuz on This Week @NASA__QIESV73OJA - transcript (automated).pdf","Transcript Link")</f>
        <v>Transcript Link</v>
      </c>
      <c r="M3776" s="2" t="str">
        <f>HYPERLINK("https://files.afu.se/Downloads/Transcripts/0%20-%20Government/USA%20-%20NASA/2011 11 22 - NASA - Safe Landing for Soyuz on This Week @NASA__QIESV73OJA - transcript (automated).pdf","Transcript Link")</f>
        <v>Transcript Link</v>
      </c>
    </row>
    <row r="3777" ht="165" spans="1:13">
      <c r="A3777" s="1" t="s">
        <v>16994</v>
      </c>
      <c r="B3777" s="1" t="s">
        <v>13</v>
      </c>
      <c r="C3777" s="4" t="s">
        <v>17007</v>
      </c>
      <c r="D3777" s="1" t="s">
        <v>17008</v>
      </c>
      <c r="E3777" s="1" t="s">
        <v>17009</v>
      </c>
      <c r="F3777" s="4" t="s">
        <v>17</v>
      </c>
      <c r="G3777" s="1" t="s">
        <v>18</v>
      </c>
      <c r="H3777" s="1" t="s">
        <v>19</v>
      </c>
      <c r="I3777" s="1" t="s">
        <v>20</v>
      </c>
      <c r="J3777" s="1" t="s">
        <v>17010</v>
      </c>
      <c r="K3777" s="1" t="s">
        <v>22</v>
      </c>
      <c r="L3777" s="1" t="str">
        <f>HYPERLINK("https://files.afu.se/Downloads/Transcripts/0%20-%20Government/USA%20-%20NASA/2011 11 22 - NASA - Returning Station Residents Talk of Journey Home_W_3FHecSOHE - transcript (automated).pdf","Transcript Link")</f>
        <v>Transcript Link</v>
      </c>
      <c r="M3777" s="2" t="str">
        <f>HYPERLINK("https://files.afu.se/Downloads/Transcripts/0%20-%20Government/USA%20-%20NASA/2011 11 22 - NASA - Returning Station Residents Talk of Journey Home_W_3FHecSOHE - transcript (automated).pdf","Transcript Link")</f>
        <v>Transcript Link</v>
      </c>
    </row>
    <row r="3778" ht="165" spans="1:13">
      <c r="A3778" s="1" t="s">
        <v>16994</v>
      </c>
      <c r="B3778" s="1" t="s">
        <v>13</v>
      </c>
      <c r="C3778" s="4" t="s">
        <v>17011</v>
      </c>
      <c r="D3778" s="1" t="s">
        <v>17012</v>
      </c>
      <c r="E3778" s="1" t="s">
        <v>17013</v>
      </c>
      <c r="F3778" s="4" t="s">
        <v>17</v>
      </c>
      <c r="G3778" s="1" t="s">
        <v>18</v>
      </c>
      <c r="H3778" s="1" t="s">
        <v>19</v>
      </c>
      <c r="I3778" s="1" t="s">
        <v>20</v>
      </c>
      <c r="J3778" s="1" t="s">
        <v>17014</v>
      </c>
      <c r="K3778" s="1" t="s">
        <v>22</v>
      </c>
      <c r="L3778" s="1" t="str">
        <f>HYPERLINK("https://files.afu.se/Downloads/Transcripts/0%20-%20Government/USA%20-%20NASA/2011 11 22 - NASA - Soyuz Landing Highlights from Kazakhstan_fORo5XeK4DU - transcript (automated).pdf","Transcript Link")</f>
        <v>Transcript Link</v>
      </c>
      <c r="M3778" s="2" t="str">
        <f>HYPERLINK("https://files.afu.se/Downloads/Transcripts/0%20-%20Government/USA%20-%20NASA/2011 11 22 - NASA - Soyuz Landing Highlights from Kazakhstan_fORo5XeK4DU - transcript (automated).pdf","Transcript Link")</f>
        <v>Transcript Link</v>
      </c>
    </row>
    <row r="3779" ht="165" spans="1:13">
      <c r="A3779" s="1" t="s">
        <v>16994</v>
      </c>
      <c r="B3779" s="1" t="s">
        <v>13</v>
      </c>
      <c r="C3779" s="4" t="s">
        <v>17015</v>
      </c>
      <c r="D3779" s="1" t="s">
        <v>17016</v>
      </c>
      <c r="E3779" s="1" t="s">
        <v>17017</v>
      </c>
      <c r="F3779" s="4" t="s">
        <v>17</v>
      </c>
      <c r="G3779" s="1" t="s">
        <v>18</v>
      </c>
      <c r="H3779" s="1" t="s">
        <v>19</v>
      </c>
      <c r="I3779" s="1" t="s">
        <v>20</v>
      </c>
      <c r="J3779" s="1" t="s">
        <v>17018</v>
      </c>
      <c r="K3779" s="1" t="s">
        <v>22</v>
      </c>
      <c r="L3779" s="1" t="str">
        <f>HYPERLINK("https://files.afu.se/Downloads/Transcripts/0%20-%20Government/USA%20-%20NASA/2011 11 22 - NASA - Soyuz Undocks From ISS_UKwa1jbMS40 - transcript (automated).pdf","Transcript Link")</f>
        <v>Transcript Link</v>
      </c>
      <c r="M3779" s="2" t="str">
        <f>HYPERLINK("https://files.afu.se/Downloads/Transcripts/0%20-%20Government/USA%20-%20NASA/2011 11 22 - NASA - Soyuz Undocks From ISS_UKwa1jbMS40 - transcript (automated).pdf","Transcript Link")</f>
        <v>Transcript Link</v>
      </c>
    </row>
    <row r="3780" ht="165" spans="1:13">
      <c r="A3780" s="1" t="s">
        <v>17019</v>
      </c>
      <c r="B3780" s="1" t="s">
        <v>13</v>
      </c>
      <c r="C3780" s="4" t="s">
        <v>17020</v>
      </c>
      <c r="D3780" s="1" t="s">
        <v>17021</v>
      </c>
      <c r="E3780" s="1" t="s">
        <v>17022</v>
      </c>
      <c r="F3780" s="4" t="s">
        <v>17</v>
      </c>
      <c r="G3780" s="1" t="s">
        <v>18</v>
      </c>
      <c r="H3780" s="1" t="s">
        <v>19</v>
      </c>
      <c r="I3780" s="1" t="s">
        <v>20</v>
      </c>
      <c r="J3780" s="1" t="s">
        <v>17023</v>
      </c>
      <c r="K3780" s="1" t="s">
        <v>22</v>
      </c>
      <c r="L3780" s="1" t="str">
        <f>HYPERLINK("https://files.afu.se/Downloads/Transcripts/0%20-%20Government/USA%20-%20NASA/2011 11 21 - NASA - Adieus Bid as Space Station Hatch Closes_syunkxkacLA - transcript (automated).pdf","Transcript Link")</f>
        <v>Transcript Link</v>
      </c>
      <c r="M3780" s="2" t="str">
        <f>HYPERLINK("https://files.afu.se/Downloads/Transcripts/0%20-%20Government/USA%20-%20NASA/2011 11 21 - NASA - Adieus Bid as Space Station Hatch Closes_syunkxkacLA - transcript (automated).pdf","Transcript Link")</f>
        <v>Transcript Link</v>
      </c>
    </row>
    <row r="3781" ht="165" spans="1:13">
      <c r="A3781" s="1" t="s">
        <v>17019</v>
      </c>
      <c r="B3781" s="1" t="s">
        <v>13</v>
      </c>
      <c r="C3781" s="4" t="s">
        <v>17024</v>
      </c>
      <c r="D3781" s="1" t="s">
        <v>17025</v>
      </c>
      <c r="E3781" s="1" t="s">
        <v>17026</v>
      </c>
      <c r="F3781" s="4" t="s">
        <v>17</v>
      </c>
      <c r="G3781" s="1" t="s">
        <v>18</v>
      </c>
      <c r="H3781" s="1" t="s">
        <v>19</v>
      </c>
      <c r="I3781" s="1" t="s">
        <v>20</v>
      </c>
      <c r="J3781" s="1" t="s">
        <v>17027</v>
      </c>
      <c r="K3781" s="1" t="s">
        <v>22</v>
      </c>
      <c r="L3781" s="1" t="str">
        <f>HYPERLINK("https://files.afu.se/Downloads/Transcripts/0%20-%20Government/USA%20-%20NASA/2011 11 21 - NASA - NASA Spinoffs Benefit All of Us (Including Santa!)_zwNbMv_Pujc - transcript (automated).pdf","Transcript Link")</f>
        <v>Transcript Link</v>
      </c>
      <c r="M3781" s="2" t="str">
        <f>HYPERLINK("https://files.afu.se/Downloads/Transcripts/0%20-%20Government/USA%20-%20NASA/2011 11 21 - NASA - NASA Spinoffs Benefit All of Us (Including Santa!)_zwNbMv_Pujc - transcript (automated).pdf","Transcript Link")</f>
        <v>Transcript Link</v>
      </c>
    </row>
    <row r="3782" ht="165" spans="1:13">
      <c r="A3782" s="1" t="s">
        <v>17019</v>
      </c>
      <c r="B3782" s="1" t="s">
        <v>13</v>
      </c>
      <c r="C3782" s="4" t="s">
        <v>17028</v>
      </c>
      <c r="D3782" s="1" t="s">
        <v>17029</v>
      </c>
      <c r="E3782" s="1" t="s">
        <v>17030</v>
      </c>
      <c r="F3782" s="4" t="s">
        <v>17</v>
      </c>
      <c r="G3782" s="1" t="s">
        <v>18</v>
      </c>
      <c r="H3782" s="1" t="s">
        <v>19</v>
      </c>
      <c r="I3782" s="1" t="s">
        <v>20</v>
      </c>
      <c r="J3782" s="1" t="s">
        <v>17031</v>
      </c>
      <c r="K3782" s="1" t="s">
        <v>22</v>
      </c>
      <c r="L3782" s="1" t="str">
        <f>HYPERLINK("https://files.afu.se/Downloads/Transcripts/0%20-%20Government/USA%20-%20NASA/2011 11 21 - NASA - Mars  What Do We Know _bXkUenG3izQ - transcript (automated).pdf","Transcript Link")</f>
        <v>Transcript Link</v>
      </c>
      <c r="M3782" s="2" t="str">
        <f>HYPERLINK("https://files.afu.se/Downloads/Transcripts/0%20-%20Government/USA%20-%20NASA/2011 11 21 - NASA - Mars  What Do We Know _bXkUenG3izQ - transcript (automated).pdf","Transcript Link")</f>
        <v>Transcript Link</v>
      </c>
    </row>
    <row r="3783" ht="165" spans="1:13">
      <c r="A3783" s="1" t="s">
        <v>17019</v>
      </c>
      <c r="B3783" s="1" t="s">
        <v>13</v>
      </c>
      <c r="C3783" s="4" t="s">
        <v>17032</v>
      </c>
      <c r="D3783" s="1" t="s">
        <v>17033</v>
      </c>
      <c r="E3783" s="1" t="s">
        <v>17034</v>
      </c>
      <c r="F3783" s="4" t="s">
        <v>17</v>
      </c>
      <c r="G3783" s="1" t="s">
        <v>18</v>
      </c>
      <c r="H3783" s="1" t="s">
        <v>19</v>
      </c>
      <c r="I3783" s="1" t="s">
        <v>20</v>
      </c>
      <c r="J3783" s="1" t="s">
        <v>17035</v>
      </c>
      <c r="K3783" s="1" t="s">
        <v>22</v>
      </c>
      <c r="L3783" s="1" t="str">
        <f>HYPERLINK("https://files.afu.se/Downloads/Transcripts/0%20-%20Government/USA%20-%20NASA/2011 11 21 - NASA - Burbank Assumes Command of ISS_8DuBCAF6vE4 - transcript (automated).pdf","Transcript Link")</f>
        <v>Transcript Link</v>
      </c>
      <c r="M3783" s="2" t="str">
        <f>HYPERLINK("https://files.afu.se/Downloads/Transcripts/0%20-%20Government/USA%20-%20NASA/2011 11 21 - NASA - Burbank Assumes Command of ISS_8DuBCAF6vE4 - transcript (automated).pdf","Transcript Link")</f>
        <v>Transcript Link</v>
      </c>
    </row>
    <row r="3784" ht="165" spans="1:13">
      <c r="A3784" s="1" t="s">
        <v>17036</v>
      </c>
      <c r="B3784" s="1" t="s">
        <v>13</v>
      </c>
      <c r="C3784" s="4" t="s">
        <v>17037</v>
      </c>
      <c r="D3784" s="1" t="s">
        <v>17038</v>
      </c>
      <c r="E3784" s="1" t="s">
        <v>17039</v>
      </c>
      <c r="F3784" s="4" t="s">
        <v>17</v>
      </c>
      <c r="G3784" s="1" t="s">
        <v>18</v>
      </c>
      <c r="H3784" s="1" t="s">
        <v>19</v>
      </c>
      <c r="I3784" s="1" t="s">
        <v>20</v>
      </c>
      <c r="J3784" s="1" t="s">
        <v>17040</v>
      </c>
      <c r="K3784" s="1" t="s">
        <v>22</v>
      </c>
      <c r="L3784" s="1" t="str">
        <f>HYPERLINK("https://files.afu.se/Downloads/Transcripts/0%20-%20Government/USA%20-%20NASA/2011 11 18 - NASA - New ISS Crew Settles In on This Week @NASA_6qSktYoxsxo - transcript (automated).pdf","Transcript Link")</f>
        <v>Transcript Link</v>
      </c>
      <c r="M3784" s="2" t="str">
        <f>HYPERLINK("https://files.afu.se/Downloads/Transcripts/0%20-%20Government/USA%20-%20NASA/2011 11 18 - NASA - New ISS Crew Settles In on This Week @NASA_6qSktYoxsxo - transcript (automated).pdf","Transcript Link")</f>
        <v>Transcript Link</v>
      </c>
    </row>
    <row r="3785" ht="165" spans="1:13">
      <c r="A3785" s="1" t="s">
        <v>17036</v>
      </c>
      <c r="B3785" s="1" t="s">
        <v>13</v>
      </c>
      <c r="C3785" s="4" t="s">
        <v>17041</v>
      </c>
      <c r="D3785" s="1" t="s">
        <v>17042</v>
      </c>
      <c r="E3785" s="1" t="s">
        <v>17043</v>
      </c>
      <c r="F3785" s="4" t="s">
        <v>17</v>
      </c>
      <c r="G3785" s="1" t="s">
        <v>18</v>
      </c>
      <c r="H3785" s="1" t="s">
        <v>19</v>
      </c>
      <c r="I3785" s="1" t="s">
        <v>20</v>
      </c>
      <c r="J3785" s="1" t="s">
        <v>17044</v>
      </c>
      <c r="K3785" s="1" t="s">
        <v>22</v>
      </c>
      <c r="L3785" s="1" t="str">
        <f>HYPERLINK("https://files.afu.se/Downloads/Transcripts/0%20-%20Government/USA%20-%20NASA/2011 11 18 - NASA - NASA's Mobile Launcher Moved to Launch Pad_f-yyMM5c6J0 - transcript (automated).pdf","Transcript Link")</f>
        <v>Transcript Link</v>
      </c>
      <c r="M3785" s="2" t="str">
        <f>HYPERLINK("https://files.afu.se/Downloads/Transcripts/0%20-%20Government/USA%20-%20NASA/2011 11 18 - NASA - NASA's Mobile Launcher Moved to Launch Pad_f-yyMM5c6J0 - transcript (automated).pdf","Transcript Link")</f>
        <v>Transcript Link</v>
      </c>
    </row>
    <row r="3786" ht="165" spans="1:13">
      <c r="A3786" s="1" t="s">
        <v>17045</v>
      </c>
      <c r="B3786" s="1" t="s">
        <v>13</v>
      </c>
      <c r="C3786" s="4" t="s">
        <v>17046</v>
      </c>
      <c r="D3786" s="1" t="s">
        <v>17047</v>
      </c>
      <c r="E3786" s="1" t="s">
        <v>17048</v>
      </c>
      <c r="F3786" s="4" t="s">
        <v>17</v>
      </c>
      <c r="G3786" s="1" t="s">
        <v>18</v>
      </c>
      <c r="H3786" s="1" t="s">
        <v>19</v>
      </c>
      <c r="I3786" s="1" t="s">
        <v>20</v>
      </c>
      <c r="J3786" s="1" t="s">
        <v>17049</v>
      </c>
      <c r="K3786" s="1" t="s">
        <v>22</v>
      </c>
      <c r="L3786" s="1" t="str">
        <f>HYPERLINK("https://files.afu.se/Downloads/Transcripts/0%20-%20Government/USA%20-%20NASA/2011 11 17 - NASA - Space Station Astronauts Talk to Houston Media_1PNzPh1jJhE - transcript (automated).pdf","Transcript Link")</f>
        <v>Transcript Link</v>
      </c>
      <c r="M3786" s="2" t="str">
        <f>HYPERLINK("https://files.afu.se/Downloads/Transcripts/0%20-%20Government/USA%20-%20NASA/2011 11 17 - NASA - Space Station Astronauts Talk to Houston Media_1PNzPh1jJhE - transcript (automated).pdf","Transcript Link")</f>
        <v>Transcript Link</v>
      </c>
    </row>
    <row r="3787" ht="165" spans="1:13">
      <c r="A3787" s="1" t="s">
        <v>17050</v>
      </c>
      <c r="B3787" s="1" t="s">
        <v>13</v>
      </c>
      <c r="C3787" s="4" t="s">
        <v>17051</v>
      </c>
      <c r="D3787" s="1" t="s">
        <v>17052</v>
      </c>
      <c r="E3787" s="1" t="s">
        <v>17053</v>
      </c>
      <c r="F3787" s="4" t="s">
        <v>17</v>
      </c>
      <c r="G3787" s="1" t="s">
        <v>18</v>
      </c>
      <c r="H3787" s="1" t="s">
        <v>19</v>
      </c>
      <c r="I3787" s="1" t="s">
        <v>20</v>
      </c>
      <c r="J3787" s="1" t="s">
        <v>17054</v>
      </c>
      <c r="K3787" s="1" t="s">
        <v>22</v>
      </c>
      <c r="L3787" s="1" t="str">
        <f>HYPERLINK("https://files.afu.se/Downloads/Transcripts/0%20-%20Government/USA%20-%20NASA/2011 11 16 - NASA - Jupiter Moon's Subsurface Ocean of Water_ldzRCO55cUw - transcript (automated).pdf","Transcript Link")</f>
        <v>Transcript Link</v>
      </c>
      <c r="M3787" s="2" t="str">
        <f>HYPERLINK("https://files.afu.se/Downloads/Transcripts/0%20-%20Government/USA%20-%20NASA/2011 11 16 - NASA - Jupiter Moon's Subsurface Ocean of Water_ldzRCO55cUw - transcript (automated).pdf","Transcript Link")</f>
        <v>Transcript Link</v>
      </c>
    </row>
    <row r="3788" ht="195" spans="1:13">
      <c r="A3788" s="1" t="s">
        <v>17050</v>
      </c>
      <c r="B3788" s="1" t="s">
        <v>13</v>
      </c>
      <c r="C3788" s="4" t="s">
        <v>17055</v>
      </c>
      <c r="D3788" s="1" t="s">
        <v>17056</v>
      </c>
      <c r="E3788" s="1" t="s">
        <v>17057</v>
      </c>
      <c r="F3788" s="4" t="s">
        <v>17</v>
      </c>
      <c r="G3788" s="1" t="s">
        <v>18</v>
      </c>
      <c r="H3788" s="1" t="s">
        <v>19</v>
      </c>
      <c r="I3788" s="1" t="s">
        <v>20</v>
      </c>
      <c r="J3788" s="1" t="s">
        <v>17058</v>
      </c>
      <c r="K3788" s="1" t="s">
        <v>22</v>
      </c>
      <c r="L3788" s="1" t="str">
        <f>HYPERLINK("https://files.afu.se/Downloads/Transcripts/0%20-%20Government/USA%20-%20NASA/2011 11 16 - NASA - NASA Legends Awarded Congressional Gold Medal_YKnyE1Fa1Mw - transcript (automated).pdf","Transcript Link")</f>
        <v>Transcript Link</v>
      </c>
      <c r="M3788" s="2" t="str">
        <f>HYPERLINK("https://files.afu.se/Downloads/Transcripts/0%20-%20Government/USA%20-%20NASA/2011 11 16 - NASA - NASA Legends Awarded Congressional Gold Medal_YKnyE1Fa1Mw - transcript (automated).pdf","Transcript Link")</f>
        <v>Transcript Link</v>
      </c>
    </row>
    <row r="3789" ht="165" spans="1:13">
      <c r="A3789" s="1" t="s">
        <v>17050</v>
      </c>
      <c r="B3789" s="1" t="s">
        <v>13</v>
      </c>
      <c r="C3789" s="4" t="s">
        <v>17059</v>
      </c>
      <c r="D3789" s="1" t="s">
        <v>17060</v>
      </c>
      <c r="E3789" s="1" t="s">
        <v>17061</v>
      </c>
      <c r="F3789" s="4" t="s">
        <v>17</v>
      </c>
      <c r="G3789" s="1" t="s">
        <v>18</v>
      </c>
      <c r="H3789" s="1" t="s">
        <v>19</v>
      </c>
      <c r="I3789" s="1" t="s">
        <v>20</v>
      </c>
      <c r="J3789" s="1" t="s">
        <v>17062</v>
      </c>
      <c r="K3789" s="1" t="s">
        <v>22</v>
      </c>
      <c r="L3789" s="1" t="str">
        <f>HYPERLINK("https://files.afu.se/Downloads/Transcripts/0%20-%20Government/USA%20-%20NASA/2011 11 16 - NASA - NASA Heroes Awarded Congressional Gold Medal_9DP0O8uBm68 - transcript (automated).pdf","Transcript Link")</f>
        <v>Transcript Link</v>
      </c>
      <c r="M3789" s="2" t="str">
        <f>HYPERLINK("https://files.afu.se/Downloads/Transcripts/0%20-%20Government/USA%20-%20NASA/2011 11 16 - NASA - NASA Heroes Awarded Congressional Gold Medal_9DP0O8uBm68 - transcript (automated).pdf","Transcript Link")</f>
        <v>Transcript Link</v>
      </c>
    </row>
    <row r="3790" ht="165" spans="1:13">
      <c r="A3790" s="1" t="s">
        <v>17050</v>
      </c>
      <c r="B3790" s="1" t="s">
        <v>13</v>
      </c>
      <c r="C3790" s="4" t="s">
        <v>17063</v>
      </c>
      <c r="D3790" s="1" t="s">
        <v>17064</v>
      </c>
      <c r="E3790" s="1" t="s">
        <v>17065</v>
      </c>
      <c r="F3790" s="4" t="s">
        <v>17</v>
      </c>
      <c r="G3790" s="1" t="s">
        <v>18</v>
      </c>
      <c r="H3790" s="1" t="s">
        <v>19</v>
      </c>
      <c r="I3790" s="1" t="s">
        <v>20</v>
      </c>
      <c r="J3790" s="1" t="s">
        <v>17066</v>
      </c>
      <c r="K3790" s="1" t="s">
        <v>22</v>
      </c>
      <c r="L3790" s="1" t="str">
        <f>HYPERLINK("https://files.afu.se/Downloads/Transcripts/0%20-%20Government/USA%20-%20NASA/2011 11 16 - NASA - Station Welcomes Three New Residents_iDwd701cXxk - transcript (automated).pdf","Transcript Link")</f>
        <v>Transcript Link</v>
      </c>
      <c r="M3790" s="2" t="str">
        <f>HYPERLINK("https://files.afu.se/Downloads/Transcripts/0%20-%20Government/USA%20-%20NASA/2011 11 16 - NASA - Station Welcomes Three New Residents_iDwd701cXxk - transcript (automated).pdf","Transcript Link")</f>
        <v>Transcript Link</v>
      </c>
    </row>
    <row r="3791" ht="165" spans="1:13">
      <c r="A3791" s="1" t="s">
        <v>17050</v>
      </c>
      <c r="B3791" s="1" t="s">
        <v>13</v>
      </c>
      <c r="C3791" s="4" t="s">
        <v>17067</v>
      </c>
      <c r="D3791" s="1" t="s">
        <v>17068</v>
      </c>
      <c r="E3791" s="1" t="s">
        <v>17069</v>
      </c>
      <c r="F3791" s="4" t="s">
        <v>17</v>
      </c>
      <c r="G3791" s="1" t="s">
        <v>18</v>
      </c>
      <c r="H3791" s="1" t="s">
        <v>19</v>
      </c>
      <c r="I3791" s="1" t="s">
        <v>20</v>
      </c>
      <c r="J3791" s="1" t="s">
        <v>17070</v>
      </c>
      <c r="K3791" s="1" t="s">
        <v>22</v>
      </c>
      <c r="L3791" s="1" t="str">
        <f>HYPERLINK("https://files.afu.se/Downloads/Transcripts/0%20-%20Government/USA%20-%20NASA/2011 11 16 - NASA - Media Updated at Post-docking News Conference_T4axdEwLguE - transcript (automated).pdf","Transcript Link")</f>
        <v>Transcript Link</v>
      </c>
      <c r="M3791" s="2" t="str">
        <f>HYPERLINK("https://files.afu.se/Downloads/Transcripts/0%20-%20Government/USA%20-%20NASA/2011 11 16 - NASA - Media Updated at Post-docking News Conference_T4axdEwLguE - transcript (automated).pdf","Transcript Link")</f>
        <v>Transcript Link</v>
      </c>
    </row>
    <row r="3792" ht="165" spans="1:13">
      <c r="A3792" s="1" t="s">
        <v>17050</v>
      </c>
      <c r="B3792" s="1" t="s">
        <v>13</v>
      </c>
      <c r="C3792" s="4" t="s">
        <v>17071</v>
      </c>
      <c r="D3792" s="1" t="s">
        <v>14802</v>
      </c>
      <c r="E3792" s="1" t="s">
        <v>17072</v>
      </c>
      <c r="F3792" s="4" t="s">
        <v>17</v>
      </c>
      <c r="G3792" s="1" t="s">
        <v>18</v>
      </c>
      <c r="H3792" s="1" t="s">
        <v>19</v>
      </c>
      <c r="I3792" s="1" t="s">
        <v>20</v>
      </c>
      <c r="J3792" s="1" t="s">
        <v>17073</v>
      </c>
      <c r="K3792" s="1" t="s">
        <v>22</v>
      </c>
      <c r="L3792" s="1" t="str">
        <f>HYPERLINK("https://files.afu.se/Downloads/Transcripts/0%20-%20Government/USA%20-%20NASA/2011 11 16 - NASA - Soyuz Docks to ISS_9y8-ajXQ0nc - transcript (automated).pdf","Transcript Link")</f>
        <v>Transcript Link</v>
      </c>
      <c r="M3792" s="2" t="str">
        <f>HYPERLINK("https://files.afu.se/Downloads/Transcripts/0%20-%20Government/USA%20-%20NASA/2011 11 16 - NASA - Soyuz Docks to ISS_9y8-ajXQ0nc - transcript (automated).pdf","Transcript Link")</f>
        <v>Transcript Link</v>
      </c>
    </row>
    <row r="3793" ht="165" spans="1:13">
      <c r="A3793" s="1" t="s">
        <v>17074</v>
      </c>
      <c r="B3793" s="1" t="s">
        <v>13</v>
      </c>
      <c r="C3793" s="4" t="s">
        <v>17075</v>
      </c>
      <c r="D3793" s="1" t="s">
        <v>17076</v>
      </c>
      <c r="E3793" s="1" t="s">
        <v>17077</v>
      </c>
      <c r="F3793" s="4" t="s">
        <v>17</v>
      </c>
      <c r="G3793" s="1" t="s">
        <v>18</v>
      </c>
      <c r="H3793" s="1" t="s">
        <v>19</v>
      </c>
      <c r="I3793" s="1" t="s">
        <v>20</v>
      </c>
      <c r="J3793" s="1" t="s">
        <v>17078</v>
      </c>
      <c r="K3793" s="1" t="s">
        <v>22</v>
      </c>
      <c r="L3793" s="1" t="str">
        <f>HYPERLINK("https://files.afu.se/Downloads/Transcripts/0%20-%20Government/USA%20-%20NASA/2011 11 15 - NASA - New Application Process Unveiled for Astronaut Class_dy7ounc7GB8 - transcript (automated).pdf","Transcript Link")</f>
        <v>Transcript Link</v>
      </c>
      <c r="M3793" s="2" t="str">
        <f>HYPERLINK("https://files.afu.se/Downloads/Transcripts/0%20-%20Government/USA%20-%20NASA/2011 11 15 - NASA - New Application Process Unveiled for Astronaut Class_dy7ounc7GB8 - transcript (automated).pdf","Transcript Link")</f>
        <v>Transcript Link</v>
      </c>
    </row>
    <row r="3794" ht="165" spans="1:13">
      <c r="A3794" s="1" t="s">
        <v>17074</v>
      </c>
      <c r="B3794" s="1" t="s">
        <v>13</v>
      </c>
      <c r="C3794" s="4" t="s">
        <v>17079</v>
      </c>
      <c r="D3794" s="1" t="s">
        <v>17080</v>
      </c>
      <c r="E3794" s="1" t="s">
        <v>17081</v>
      </c>
      <c r="F3794" s="4" t="s">
        <v>17</v>
      </c>
      <c r="G3794" s="1" t="s">
        <v>18</v>
      </c>
      <c r="H3794" s="1" t="s">
        <v>19</v>
      </c>
      <c r="I3794" s="1" t="s">
        <v>20</v>
      </c>
      <c r="J3794" s="1" t="s">
        <v>17082</v>
      </c>
      <c r="K3794" s="1" t="s">
        <v>22</v>
      </c>
      <c r="L3794" s="1" t="str">
        <f>HYPERLINK("https://files.afu.se/Downloads/Transcripts/0%20-%20Government/USA%20-%20NASA/2011 11 15 - NASA - What's Up @NASA _6KlNJ2scxcw - transcript (automated).pdf","Transcript Link")</f>
        <v>Transcript Link</v>
      </c>
      <c r="M3794" s="2" t="str">
        <f>HYPERLINK("https://files.afu.se/Downloads/Transcripts/0%20-%20Government/USA%20-%20NASA/2011 11 15 - NASA - What's Up @NASA _6KlNJ2scxcw - transcript (automated).pdf","Transcript Link")</f>
        <v>Transcript Link</v>
      </c>
    </row>
    <row r="3795" ht="165" spans="1:13">
      <c r="A3795" s="1" t="s">
        <v>17074</v>
      </c>
      <c r="B3795" s="1" t="s">
        <v>13</v>
      </c>
      <c r="C3795" s="4" t="s">
        <v>17083</v>
      </c>
      <c r="D3795" s="1" t="s">
        <v>17084</v>
      </c>
      <c r="E3795" s="1" t="s">
        <v>17085</v>
      </c>
      <c r="F3795" s="4" t="s">
        <v>17</v>
      </c>
      <c r="G3795" s="1" t="s">
        <v>18</v>
      </c>
      <c r="H3795" s="1" t="s">
        <v>19</v>
      </c>
      <c r="I3795" s="1" t="s">
        <v>20</v>
      </c>
      <c r="J3795" s="1" t="s">
        <v>17086</v>
      </c>
      <c r="K3795" s="1" t="s">
        <v>22</v>
      </c>
      <c r="L3795" s="1" t="str">
        <f>HYPERLINK("https://files.afu.se/Downloads/Transcripts/0%20-%20Government/USA%20-%20NASA/2011 11 15 - NASA - NASA Recruits New Astronauts Via Web_dyT0iKqYg0g - transcript (automated).pdf","Transcript Link")</f>
        <v>Transcript Link</v>
      </c>
      <c r="M3795" s="2" t="str">
        <f>HYPERLINK("https://files.afu.se/Downloads/Transcripts/0%20-%20Government/USA%20-%20NASA/2011 11 15 - NASA - NASA Recruits New Astronauts Via Web_dyT0iKqYg0g - transcript (automated).pdf","Transcript Link")</f>
        <v>Transcript Link</v>
      </c>
    </row>
    <row r="3796" ht="165" spans="1:13">
      <c r="A3796" s="1" t="s">
        <v>17087</v>
      </c>
      <c r="B3796" s="1" t="s">
        <v>13</v>
      </c>
      <c r="C3796" s="4" t="s">
        <v>17088</v>
      </c>
      <c r="D3796" s="1" t="s">
        <v>17089</v>
      </c>
      <c r="E3796" s="1" t="s">
        <v>17090</v>
      </c>
      <c r="F3796" s="4" t="s">
        <v>17</v>
      </c>
      <c r="G3796" s="1" t="s">
        <v>18</v>
      </c>
      <c r="H3796" s="1" t="s">
        <v>19</v>
      </c>
      <c r="I3796" s="1" t="s">
        <v>20</v>
      </c>
      <c r="J3796" s="1" t="s">
        <v>17091</v>
      </c>
      <c r="K3796" s="1" t="s">
        <v>22</v>
      </c>
      <c r="L3796" s="1" t="str">
        <f>HYPERLINK("https://files.afu.se/Downloads/Transcripts/0%20-%20Government/USA%20-%20NASA/2011 11 14 - NASA - Station's Next Hook-Up on This Week @NASA_REY8JbGtLMg - transcript (automated).pdf","Transcript Link")</f>
        <v>Transcript Link</v>
      </c>
      <c r="M3796" s="2" t="str">
        <f>HYPERLINK("https://files.afu.se/Downloads/Transcripts/0%20-%20Government/USA%20-%20NASA/2011 11 14 - NASA - Station's Next Hook-Up on This Week @NASA_REY8JbGtLMg - transcript (automated).pdf","Transcript Link")</f>
        <v>Transcript Link</v>
      </c>
    </row>
    <row r="3797" ht="180" spans="1:13">
      <c r="A3797" s="1" t="s">
        <v>17087</v>
      </c>
      <c r="B3797" s="1" t="s">
        <v>13</v>
      </c>
      <c r="C3797" s="4" t="s">
        <v>17092</v>
      </c>
      <c r="D3797" s="1" t="s">
        <v>17093</v>
      </c>
      <c r="E3797" s="1" t="s">
        <v>17094</v>
      </c>
      <c r="F3797" s="4" t="s">
        <v>17</v>
      </c>
      <c r="G3797" s="1" t="s">
        <v>18</v>
      </c>
      <c r="H3797" s="1" t="s">
        <v>19</v>
      </c>
      <c r="I3797" s="1" t="s">
        <v>20</v>
      </c>
      <c r="J3797" s="1" t="s">
        <v>17095</v>
      </c>
      <c r="K3797" s="1" t="s">
        <v>22</v>
      </c>
      <c r="L3797" s="1" t="str">
        <f>HYPERLINK("https://files.afu.se/Downloads/Transcripts/0%20-%20Government/USA%20-%20NASA/2011 11 14 - NASA - Expedition 29 Launches to the Space Station_-LwNaMMMFws - transcript (automated).pdf","Transcript Link")</f>
        <v>Transcript Link</v>
      </c>
      <c r="M3797" s="2" t="str">
        <f>HYPERLINK("https://files.afu.se/Downloads/Transcripts/0%20-%20Government/USA%20-%20NASA/2011 11 14 - NASA - Expedition 29 Launches to the Space Station_-LwNaMMMFws - transcript (automated).pdf","Transcript Link")</f>
        <v>Transcript Link</v>
      </c>
    </row>
    <row r="3798" ht="195" spans="1:13">
      <c r="A3798" s="1" t="s">
        <v>17096</v>
      </c>
      <c r="B3798" s="1" t="s">
        <v>13</v>
      </c>
      <c r="C3798" s="4" t="s">
        <v>17097</v>
      </c>
      <c r="D3798" s="1" t="s">
        <v>17098</v>
      </c>
      <c r="E3798" s="1" t="s">
        <v>17099</v>
      </c>
      <c r="F3798" s="4" t="s">
        <v>17</v>
      </c>
      <c r="G3798" s="1" t="s">
        <v>18</v>
      </c>
      <c r="H3798" s="1" t="s">
        <v>19</v>
      </c>
      <c r="I3798" s="1" t="s">
        <v>20</v>
      </c>
      <c r="J3798" s="1" t="s">
        <v>17100</v>
      </c>
      <c r="K3798" s="1" t="s">
        <v>22</v>
      </c>
      <c r="L3798" s="1" t="str">
        <f>HYPERLINK("https://files.afu.se/Downloads/Transcripts/0%20-%20Government/USA%20-%20NASA/2011 11 12 - NASA - Expedition 29 Crew Gets Final Approval for Launch_u0Q86S7hYO0 - transcript (automated).pdf","Transcript Link")</f>
        <v>Transcript Link</v>
      </c>
      <c r="M3798" s="2" t="str">
        <f>HYPERLINK("https://files.afu.se/Downloads/Transcripts/0%20-%20Government/USA%20-%20NASA/2011 11 12 - NASA - Expedition 29 Crew Gets Final Approval for Launch_u0Q86S7hYO0 - transcript (automated).pdf","Transcript Link")</f>
        <v>Transcript Link</v>
      </c>
    </row>
    <row r="3799" ht="165" spans="1:13">
      <c r="A3799" s="1" t="s">
        <v>17101</v>
      </c>
      <c r="B3799" s="1" t="s">
        <v>13</v>
      </c>
      <c r="C3799" s="4" t="s">
        <v>17102</v>
      </c>
      <c r="D3799" s="1" t="s">
        <v>17103</v>
      </c>
      <c r="E3799" s="1" t="s">
        <v>17104</v>
      </c>
      <c r="F3799" s="4" t="s">
        <v>17</v>
      </c>
      <c r="G3799" s="1" t="s">
        <v>18</v>
      </c>
      <c r="H3799" s="1" t="s">
        <v>19</v>
      </c>
      <c r="I3799" s="1" t="s">
        <v>20</v>
      </c>
      <c r="J3799" s="1" t="s">
        <v>17105</v>
      </c>
      <c r="K3799" s="1" t="s">
        <v>22</v>
      </c>
      <c r="L3799" s="1" t="str">
        <f>HYPERLINK("https://files.afu.se/Downloads/Transcripts/0%20-%20Government/USA%20-%20NASA/2011 11 11 - NASA - Soyuz Rocket Moves To Launch Pad_bbTKRPnYaZc - transcript (automated).pdf","Transcript Link")</f>
        <v>Transcript Link</v>
      </c>
      <c r="M3799" s="2" t="str">
        <f>HYPERLINK("https://files.afu.se/Downloads/Transcripts/0%20-%20Government/USA%20-%20NASA/2011 11 11 - NASA - Soyuz Rocket Moves To Launch Pad_bbTKRPnYaZc - transcript (automated).pdf","Transcript Link")</f>
        <v>Transcript Link</v>
      </c>
    </row>
    <row r="3800" ht="165" spans="1:13">
      <c r="A3800" s="1" t="s">
        <v>17106</v>
      </c>
      <c r="B3800" s="1" t="s">
        <v>13</v>
      </c>
      <c r="C3800" s="4" t="s">
        <v>17107</v>
      </c>
      <c r="D3800" s="1" t="s">
        <v>17108</v>
      </c>
      <c r="E3800" s="1" t="s">
        <v>17109</v>
      </c>
      <c r="F3800" s="4" t="s">
        <v>17</v>
      </c>
      <c r="G3800" s="1" t="s">
        <v>18</v>
      </c>
      <c r="H3800" s="1" t="s">
        <v>19</v>
      </c>
      <c r="I3800" s="1" t="s">
        <v>20</v>
      </c>
      <c r="J3800" s="1" t="s">
        <v>17110</v>
      </c>
      <c r="K3800" s="1" t="s">
        <v>22</v>
      </c>
      <c r="L3800" s="1" t="str">
        <f>HYPERLINK("https://files.afu.se/Downloads/Transcripts/0%20-%20Government/USA%20-%20NASA/2011 11 10 - NASA - New Mars Rover Mission Remains on Target (Now 11 26)_I2WUz8hpOkI - transcript (automated).pdf","Transcript Link")</f>
        <v>Transcript Link</v>
      </c>
      <c r="M3800" s="2" t="str">
        <f>HYPERLINK("https://files.afu.se/Downloads/Transcripts/0%20-%20Government/USA%20-%20NASA/2011 11 10 - NASA - New Mars Rover Mission Remains on Target (Now 11 26)_I2WUz8hpOkI - transcript (automated).pdf","Transcript Link")</f>
        <v>Transcript Link</v>
      </c>
    </row>
    <row r="3801" ht="165" spans="1:13">
      <c r="A3801" s="1" t="s">
        <v>17106</v>
      </c>
      <c r="B3801" s="1" t="s">
        <v>13</v>
      </c>
      <c r="C3801" s="4" t="s">
        <v>17111</v>
      </c>
      <c r="D3801" s="1" t="s">
        <v>17112</v>
      </c>
      <c r="E3801" s="1" t="s">
        <v>17113</v>
      </c>
      <c r="F3801" s="4" t="s">
        <v>17</v>
      </c>
      <c r="G3801" s="1" t="s">
        <v>18</v>
      </c>
      <c r="H3801" s="1" t="s">
        <v>19</v>
      </c>
      <c r="I3801" s="1" t="s">
        <v>20</v>
      </c>
      <c r="J3801" s="1" t="s">
        <v>17114</v>
      </c>
      <c r="K3801" s="1" t="s">
        <v>22</v>
      </c>
      <c r="L3801" s="1" t="str">
        <f>HYPERLINK("https://files.afu.se/Downloads/Transcripts/0%20-%20Government/USA%20-%20NASA/2011 11 10 - NASA - NASA Administrator Issues Veterans Day Message_YBr7P0D6Kkk - transcript (automated).pdf","Transcript Link")</f>
        <v>Transcript Link</v>
      </c>
      <c r="M3801" s="2" t="str">
        <f>HYPERLINK("https://files.afu.se/Downloads/Transcripts/0%20-%20Government/USA%20-%20NASA/2011 11 10 - NASA - NASA Administrator Issues Veterans Day Message_YBr7P0D6Kkk - transcript (automated).pdf","Transcript Link")</f>
        <v>Transcript Link</v>
      </c>
    </row>
    <row r="3802" ht="165" spans="1:13">
      <c r="A3802" s="1" t="s">
        <v>17106</v>
      </c>
      <c r="B3802" s="1" t="s">
        <v>13</v>
      </c>
      <c r="C3802" s="4" t="s">
        <v>17115</v>
      </c>
      <c r="D3802" s="1" t="s">
        <v>17116</v>
      </c>
      <c r="E3802" s="1" t="s">
        <v>17117</v>
      </c>
      <c r="F3802" s="4" t="s">
        <v>17</v>
      </c>
      <c r="G3802" s="1" t="s">
        <v>18</v>
      </c>
      <c r="H3802" s="1" t="s">
        <v>19</v>
      </c>
      <c r="I3802" s="1" t="s">
        <v>20</v>
      </c>
      <c r="J3802" s="1" t="s">
        <v>17118</v>
      </c>
      <c r="K3802" s="1" t="s">
        <v>22</v>
      </c>
      <c r="L3802" s="1" t="str">
        <f>HYPERLINK("https://files.afu.se/Downloads/Transcripts/0%20-%20Government/USA%20-%20NASA/2011 11 10 - NASA - ISS Commander Salutes America's Veterans_EUBqARUjYvM - transcript (automated).pdf","Transcript Link")</f>
        <v>Transcript Link</v>
      </c>
      <c r="M3802" s="2" t="str">
        <f>HYPERLINK("https://files.afu.se/Downloads/Transcripts/0%20-%20Government/USA%20-%20NASA/2011 11 10 - NASA - ISS Commander Salutes America's Veterans_EUBqARUjYvM - transcript (automated).pdf","Transcript Link")</f>
        <v>Transcript Link</v>
      </c>
    </row>
    <row r="3803" ht="165" spans="1:13">
      <c r="A3803" s="1" t="s">
        <v>17106</v>
      </c>
      <c r="B3803" s="1" t="s">
        <v>13</v>
      </c>
      <c r="C3803" s="4" t="s">
        <v>17119</v>
      </c>
      <c r="D3803" s="1" t="s">
        <v>17120</v>
      </c>
      <c r="E3803" s="1" t="s">
        <v>17121</v>
      </c>
      <c r="F3803" s="4" t="s">
        <v>17</v>
      </c>
      <c r="G3803" s="1" t="s">
        <v>18</v>
      </c>
      <c r="H3803" s="1" t="s">
        <v>19</v>
      </c>
      <c r="I3803" s="1" t="s">
        <v>20</v>
      </c>
      <c r="J3803" s="1" t="s">
        <v>17122</v>
      </c>
      <c r="K3803" s="1" t="s">
        <v>22</v>
      </c>
      <c r="L3803" s="1" t="str">
        <f>HYPERLINK("https://files.afu.se/Downloads/Transcripts/0%20-%20Government/USA%20-%20NASA/2011 11 10 - NASA - ScienceCasts  Mystery of the Lunar Ionosphere_BBl65R8a0XQ - transcript (automated).pdf","Transcript Link")</f>
        <v>Transcript Link</v>
      </c>
      <c r="M3803" s="2" t="str">
        <f>HYPERLINK("https://files.afu.se/Downloads/Transcripts/0%20-%20Government/USA%20-%20NASA/2011 11 10 - NASA - ScienceCasts  Mystery of the Lunar Ionosphere_BBl65R8a0XQ - transcript (automated).pdf","Transcript Link")</f>
        <v>Transcript Link</v>
      </c>
    </row>
    <row r="3804" ht="165" spans="1:13">
      <c r="A3804" s="1" t="s">
        <v>17106</v>
      </c>
      <c r="B3804" s="1" t="s">
        <v>13</v>
      </c>
      <c r="C3804" s="4" t="s">
        <v>17123</v>
      </c>
      <c r="D3804" s="1" t="s">
        <v>17124</v>
      </c>
      <c r="E3804" s="1" t="s">
        <v>17125</v>
      </c>
      <c r="F3804" s="4" t="s">
        <v>17</v>
      </c>
      <c r="G3804" s="1" t="s">
        <v>18</v>
      </c>
      <c r="H3804" s="1" t="s">
        <v>19</v>
      </c>
      <c r="I3804" s="1" t="s">
        <v>20</v>
      </c>
      <c r="J3804" s="1" t="s">
        <v>17126</v>
      </c>
      <c r="K3804" s="1" t="s">
        <v>22</v>
      </c>
      <c r="L3804" s="1" t="str">
        <f>HYPERLINK("https://files.afu.se/Downloads/Transcripts/0%20-%20Government/USA%20-%20NASA/2011 11 10 - NASA - ISS's Next Residents in Kazakhstan_PWnwIW3JHH4 - transcript (automated).pdf","Transcript Link")</f>
        <v>Transcript Link</v>
      </c>
      <c r="M3804" s="2" t="str">
        <f>HYPERLINK("https://files.afu.se/Downloads/Transcripts/0%20-%20Government/USA%20-%20NASA/2011 11 10 - NASA - ISS's Next Residents in Kazakhstan_PWnwIW3JHH4 - transcript (automated).pdf","Transcript Link")</f>
        <v>Transcript Link</v>
      </c>
    </row>
    <row r="3805" ht="165" spans="1:13">
      <c r="A3805" s="1" t="s">
        <v>17127</v>
      </c>
      <c r="B3805" s="1" t="s">
        <v>13</v>
      </c>
      <c r="C3805" s="4" t="s">
        <v>17128</v>
      </c>
      <c r="D3805" s="1" t="s">
        <v>17129</v>
      </c>
      <c r="E3805" s="1" t="s">
        <v>17130</v>
      </c>
      <c r="F3805" s="4" t="s">
        <v>17</v>
      </c>
      <c r="G3805" s="1" t="s">
        <v>18</v>
      </c>
      <c r="H3805" s="1" t="s">
        <v>19</v>
      </c>
      <c r="I3805" s="1" t="s">
        <v>20</v>
      </c>
      <c r="J3805" s="1" t="s">
        <v>17131</v>
      </c>
      <c r="K3805" s="1" t="s">
        <v>22</v>
      </c>
      <c r="L3805" s="1" t="str">
        <f>HYPERLINK("https://files.afu.se/Downloads/Transcripts/0%20-%20Government/USA%20-%20NASA/2011 11 09 - NASA - NASA Assesses Rocket Engine Test Results_v7yngnjivQ4 - transcript (automated).pdf","Transcript Link")</f>
        <v>Transcript Link</v>
      </c>
      <c r="M3805" s="2" t="str">
        <f>HYPERLINK("https://files.afu.se/Downloads/Transcripts/0%20-%20Government/USA%20-%20NASA/2011 11 09 - NASA - NASA Assesses Rocket Engine Test Results_v7yngnjivQ4 - transcript (automated).pdf","Transcript Link")</f>
        <v>Transcript Link</v>
      </c>
    </row>
    <row r="3806" ht="165" spans="1:13">
      <c r="A3806" s="1" t="s">
        <v>17127</v>
      </c>
      <c r="B3806" s="1" t="s">
        <v>13</v>
      </c>
      <c r="C3806" s="4" t="s">
        <v>17132</v>
      </c>
      <c r="D3806" s="1" t="s">
        <v>17133</v>
      </c>
      <c r="E3806" s="1" t="s">
        <v>17134</v>
      </c>
      <c r="F3806" s="4" t="s">
        <v>17</v>
      </c>
      <c r="G3806" s="1" t="s">
        <v>18</v>
      </c>
      <c r="H3806" s="1" t="s">
        <v>19</v>
      </c>
      <c r="I3806" s="1" t="s">
        <v>20</v>
      </c>
      <c r="J3806" s="1" t="s">
        <v>17135</v>
      </c>
      <c r="K3806" s="1" t="s">
        <v>22</v>
      </c>
      <c r="L3806" s="1" t="str">
        <f>HYPERLINK("https://files.afu.se/Downloads/Transcripts/0%20-%20Government/USA%20-%20NASA/2011 11 09 - NASA - J-2X Engine Tested at Stennis_MjQ0j1a9RcA - transcript (automated).pdf","Transcript Link")</f>
        <v>Transcript Link</v>
      </c>
      <c r="M3806" s="2" t="str">
        <f>HYPERLINK("https://files.afu.se/Downloads/Transcripts/0%20-%20Government/USA%20-%20NASA/2011 11 09 - NASA - J-2X Engine Tested at Stennis_MjQ0j1a9RcA - transcript (automated).pdf","Transcript Link")</f>
        <v>Transcript Link</v>
      </c>
    </row>
    <row r="3807" ht="165" spans="1:13">
      <c r="A3807" s="1" t="s">
        <v>17127</v>
      </c>
      <c r="B3807" s="1" t="s">
        <v>13</v>
      </c>
      <c r="C3807" s="4" t="s">
        <v>17136</v>
      </c>
      <c r="D3807" s="1" t="s">
        <v>17137</v>
      </c>
      <c r="E3807" s="1" t="s">
        <v>17138</v>
      </c>
      <c r="F3807" s="4" t="s">
        <v>17</v>
      </c>
      <c r="G3807" s="1" t="s">
        <v>18</v>
      </c>
      <c r="H3807" s="1" t="s">
        <v>19</v>
      </c>
      <c r="I3807" s="1" t="s">
        <v>20</v>
      </c>
      <c r="J3807" s="1" t="s">
        <v>17139</v>
      </c>
      <c r="K3807" s="1" t="s">
        <v>22</v>
      </c>
      <c r="L3807" s="1" t="str">
        <f>HYPERLINK("https://files.afu.se/Downloads/Transcripts/0%20-%20Government/USA%20-%20NASA/2011 11 09 - NASA - Latest Orion Drop Test Conducted at Langley_2VtQC9VnS_Q - transcript (automated).pdf","Transcript Link")</f>
        <v>Transcript Link</v>
      </c>
      <c r="M3807" s="2" t="str">
        <f>HYPERLINK("https://files.afu.se/Downloads/Transcripts/0%20-%20Government/USA%20-%20NASA/2011 11 09 - NASA - Latest Orion Drop Test Conducted at Langley_2VtQC9VnS_Q - transcript (automated).pdf","Transcript Link")</f>
        <v>Transcript Link</v>
      </c>
    </row>
    <row r="3808" ht="165" spans="1:13">
      <c r="A3808" s="1" t="s">
        <v>17127</v>
      </c>
      <c r="B3808" s="1" t="s">
        <v>13</v>
      </c>
      <c r="C3808" s="4" t="s">
        <v>17140</v>
      </c>
      <c r="D3808" s="1" t="s">
        <v>17141</v>
      </c>
      <c r="E3808" s="1" t="s">
        <v>17142</v>
      </c>
      <c r="F3808" s="4" t="s">
        <v>17</v>
      </c>
      <c r="G3808" s="1" t="s">
        <v>18</v>
      </c>
      <c r="H3808" s="1" t="s">
        <v>19</v>
      </c>
      <c r="I3808" s="1" t="s">
        <v>20</v>
      </c>
      <c r="J3808" s="1" t="s">
        <v>17143</v>
      </c>
      <c r="K3808" s="1" t="s">
        <v>22</v>
      </c>
      <c r="L3808" s="1" t="str">
        <f>HYPERLINK("https://files.afu.se/Downloads/Transcripts/0%20-%20Government/USA%20-%20NASA/2011 11 09 - NASA - Late-Season Tropical Storm Sean Approaches Bermuda_F0vSIJBfUl8 - transcript (automated).pdf","Transcript Link")</f>
        <v>Transcript Link</v>
      </c>
      <c r="M3808" s="2" t="str">
        <f>HYPERLINK("https://files.afu.se/Downloads/Transcripts/0%20-%20Government/USA%20-%20NASA/2011 11 09 - NASA - Late-Season Tropical Storm Sean Approaches Bermuda_F0vSIJBfUl8 - transcript (automated).pdf","Transcript Link")</f>
        <v>Transcript Link</v>
      </c>
    </row>
    <row r="3809" ht="165" spans="1:13">
      <c r="A3809" s="1" t="s">
        <v>17127</v>
      </c>
      <c r="B3809" s="1" t="s">
        <v>13</v>
      </c>
      <c r="C3809" s="4" t="s">
        <v>17144</v>
      </c>
      <c r="D3809" s="1" t="s">
        <v>17145</v>
      </c>
      <c r="E3809" s="1" t="s">
        <v>17146</v>
      </c>
      <c r="F3809" s="4" t="s">
        <v>17</v>
      </c>
      <c r="G3809" s="1" t="s">
        <v>18</v>
      </c>
      <c r="H3809" s="1" t="s">
        <v>19</v>
      </c>
      <c r="I3809" s="1" t="s">
        <v>20</v>
      </c>
      <c r="J3809" s="1" t="s">
        <v>17147</v>
      </c>
      <c r="K3809" s="1" t="s">
        <v>22</v>
      </c>
      <c r="L3809" s="1" t="str">
        <f>HYPERLINK("https://files.afu.se/Downloads/Transcripts/0%20-%20Government/USA%20-%20NASA/2011 11 09 - NASA - Animation Outlines New Exploration Test Flight_PZlTbVuUgX0 - transcript (automated).pdf","Transcript Link")</f>
        <v>Transcript Link</v>
      </c>
      <c r="M3809" s="2" t="str">
        <f>HYPERLINK("https://files.afu.se/Downloads/Transcripts/0%20-%20Government/USA%20-%20NASA/2011 11 09 - NASA - Animation Outlines New Exploration Test Flight_PZlTbVuUgX0 - transcript (automated).pdf","Transcript Link")</f>
        <v>Transcript Link</v>
      </c>
    </row>
    <row r="3810" ht="165" spans="1:13">
      <c r="A3810" s="1" t="s">
        <v>17148</v>
      </c>
      <c r="B3810" s="1" t="s">
        <v>13</v>
      </c>
      <c r="C3810" s="4" t="s">
        <v>17149</v>
      </c>
      <c r="D3810" s="1" t="s">
        <v>17150</v>
      </c>
      <c r="E3810" s="1" t="s">
        <v>17151</v>
      </c>
      <c r="F3810" s="4" t="s">
        <v>17</v>
      </c>
      <c r="G3810" s="1" t="s">
        <v>18</v>
      </c>
      <c r="H3810" s="1" t="s">
        <v>19</v>
      </c>
      <c r="I3810" s="1" t="s">
        <v>20</v>
      </c>
      <c r="J3810" s="1" t="s">
        <v>17152</v>
      </c>
      <c r="K3810" s="1" t="s">
        <v>22</v>
      </c>
      <c r="L3810" s="1" t="str">
        <f>HYPERLINK("https://files.afu.se/Downloads/Transcripts/0%20-%20Government/USA%20-%20NASA/2011 11 08 - NASA - D.C. Students Speak with ISS Commander_CJvvb6jfe3w - transcript (automated).pdf","Transcript Link")</f>
        <v>Transcript Link</v>
      </c>
      <c r="M3810" s="2" t="str">
        <f>HYPERLINK("https://files.afu.se/Downloads/Transcripts/0%20-%20Government/USA%20-%20NASA/2011 11 08 - NASA - D.C. Students Speak with ISS Commander_CJvvb6jfe3w - transcript (automated).pdf","Transcript Link")</f>
        <v>Transcript Link</v>
      </c>
    </row>
    <row r="3811" ht="165" spans="1:13">
      <c r="A3811" s="1" t="s">
        <v>17148</v>
      </c>
      <c r="B3811" s="1" t="s">
        <v>13</v>
      </c>
      <c r="C3811" s="4" t="s">
        <v>17153</v>
      </c>
      <c r="D3811" s="1" t="s">
        <v>17154</v>
      </c>
      <c r="E3811" s="1" t="s">
        <v>17155</v>
      </c>
      <c r="F3811" s="4" t="s">
        <v>17</v>
      </c>
      <c r="G3811" s="1" t="s">
        <v>18</v>
      </c>
      <c r="H3811" s="1" t="s">
        <v>19</v>
      </c>
      <c r="I3811" s="1" t="s">
        <v>20</v>
      </c>
      <c r="J3811" s="1" t="s">
        <v>17156</v>
      </c>
      <c r="K3811" s="1" t="s">
        <v>22</v>
      </c>
      <c r="L3811" s="1" t="str">
        <f>HYPERLINK("https://files.afu.se/Downloads/Transcripts/0%20-%20Government/USA%20-%20NASA/2011 11 08 - NASA - NASA Proposes New Orion Test Flight_kglk3bdaImc - transcript (automated).pdf","Transcript Link")</f>
        <v>Transcript Link</v>
      </c>
      <c r="M3811" s="2" t="str">
        <f>HYPERLINK("https://files.afu.se/Downloads/Transcripts/0%20-%20Government/USA%20-%20NASA/2011 11 08 - NASA - NASA Proposes New Orion Test Flight_kglk3bdaImc - transcript (automated).pdf","Transcript Link")</f>
        <v>Transcript Link</v>
      </c>
    </row>
    <row r="3812" ht="165" spans="1:13">
      <c r="A3812" s="1" t="s">
        <v>17157</v>
      </c>
      <c r="B3812" s="1" t="s">
        <v>13</v>
      </c>
      <c r="C3812" s="4" t="s">
        <v>17158</v>
      </c>
      <c r="D3812" s="1" t="s">
        <v>17159</v>
      </c>
      <c r="E3812" s="1" t="s">
        <v>17160</v>
      </c>
      <c r="F3812" s="4" t="s">
        <v>17</v>
      </c>
      <c r="G3812" s="1" t="s">
        <v>18</v>
      </c>
      <c r="H3812" s="1" t="s">
        <v>19</v>
      </c>
      <c r="I3812" s="1" t="s">
        <v>20</v>
      </c>
      <c r="J3812" s="1" t="s">
        <v>17161</v>
      </c>
      <c r="K3812" s="1" t="s">
        <v>22</v>
      </c>
      <c r="L3812" s="1" t="str">
        <f>HYPERLINK("https://files.afu.se/Downloads/Transcripts/0%20-%20Government/USA%20-%20NASA/2011 11 04 - NASA - Mars Science Laboratory Moves to Launch Complex_R8hvFOpxehA - transcript (automated).pdf","Transcript Link")</f>
        <v>Transcript Link</v>
      </c>
      <c r="M3812" s="2" t="str">
        <f>HYPERLINK("https://files.afu.se/Downloads/Transcripts/0%20-%20Government/USA%20-%20NASA/2011 11 04 - NASA - Mars Science Laboratory Moves to Launch Complex_R8hvFOpxehA - transcript (automated).pdf","Transcript Link")</f>
        <v>Transcript Link</v>
      </c>
    </row>
    <row r="3813" ht="165" spans="1:13">
      <c r="A3813" s="1" t="s">
        <v>17157</v>
      </c>
      <c r="B3813" s="1" t="s">
        <v>13</v>
      </c>
      <c r="C3813" s="4" t="s">
        <v>17162</v>
      </c>
      <c r="D3813" s="1" t="s">
        <v>17163</v>
      </c>
      <c r="E3813" s="1" t="s">
        <v>17164</v>
      </c>
      <c r="F3813" s="4" t="s">
        <v>17</v>
      </c>
      <c r="G3813" s="1" t="s">
        <v>18</v>
      </c>
      <c r="H3813" s="1" t="s">
        <v>19</v>
      </c>
      <c r="I3813" s="1" t="s">
        <v>20</v>
      </c>
      <c r="J3813" s="1" t="s">
        <v>17165</v>
      </c>
      <c r="K3813" s="1" t="s">
        <v>22</v>
      </c>
      <c r="L3813" s="1" t="str">
        <f>HYPERLINK("https://files.afu.se/Downloads/Transcripts/0%20-%20Government/USA%20-%20NASA/2011 11 04 - NASA - Bolden Addresses NASA Small Business Symposium_pbz5J3O2gyU - transcript (automated).pdf","Transcript Link")</f>
        <v>Transcript Link</v>
      </c>
      <c r="M3813" s="2" t="str">
        <f>HYPERLINK("https://files.afu.se/Downloads/Transcripts/0%20-%20Government/USA%20-%20NASA/2011 11 04 - NASA - Bolden Addresses NASA Small Business Symposium_pbz5J3O2gyU - transcript (automated).pdf","Transcript Link")</f>
        <v>Transcript Link</v>
      </c>
    </row>
    <row r="3814" ht="165" spans="1:13">
      <c r="A3814" s="1" t="s">
        <v>17157</v>
      </c>
      <c r="B3814" s="1" t="s">
        <v>13</v>
      </c>
      <c r="C3814" s="4" t="s">
        <v>17166</v>
      </c>
      <c r="D3814" s="1" t="s">
        <v>17167</v>
      </c>
      <c r="E3814" s="1" t="s">
        <v>17168</v>
      </c>
      <c r="F3814" s="4" t="s">
        <v>17</v>
      </c>
      <c r="G3814" s="1" t="s">
        <v>18</v>
      </c>
      <c r="H3814" s="1" t="s">
        <v>19</v>
      </c>
      <c r="I3814" s="1" t="s">
        <v>20</v>
      </c>
      <c r="J3814" s="1" t="s">
        <v>17169</v>
      </c>
      <c r="K3814" s="1" t="s">
        <v>22</v>
      </c>
      <c r="L3814" s="1" t="str">
        <f>HYPERLINK("https://files.afu.se/Downloads/Transcripts/0%20-%20Government/USA%20-%20NASA/2011 11 04 - NASA - New Deal for Space Craft Construction at Kennedy Space Center tops This Week @ NASA_cxMe8PFaAOY - transcript (automated).pdf","Transcript Link")</f>
        <v>Transcript Link</v>
      </c>
      <c r="M3814" s="2" t="str">
        <f>HYPERLINK("https://files.afu.se/Downloads/Transcripts/0%20-%20Government/USA%20-%20NASA/2011 11 04 - NASA - New Deal for Space Craft Construction at Kennedy Space Center tops This Week @ NASA_cxMe8PFaAOY - transcript (automated).pdf","Transcript Link")</f>
        <v>Transcript Link</v>
      </c>
    </row>
    <row r="3815" ht="180" spans="1:13">
      <c r="A3815" s="1" t="s">
        <v>17157</v>
      </c>
      <c r="B3815" s="1" t="s">
        <v>13</v>
      </c>
      <c r="C3815" s="4" t="s">
        <v>17170</v>
      </c>
      <c r="D3815" s="1" t="s">
        <v>17171</v>
      </c>
      <c r="E3815" s="1" t="s">
        <v>17172</v>
      </c>
      <c r="F3815" s="4" t="s">
        <v>17</v>
      </c>
      <c r="G3815" s="1" t="s">
        <v>18</v>
      </c>
      <c r="H3815" s="1" t="s">
        <v>19</v>
      </c>
      <c r="I3815" s="1" t="s">
        <v>20</v>
      </c>
      <c r="J3815" s="1" t="s">
        <v>17173</v>
      </c>
      <c r="K3815" s="1" t="s">
        <v>22</v>
      </c>
      <c r="L3815" s="1" t="str">
        <f>HYPERLINK("https://files.afu.se/Downloads/Transcripts/0%20-%20Government/USA%20-%20NASA/2011 11 04 - NASA - NASA's Fermi Telescope Finds Youngest Millisecond Pulsar_0kb57v9dZJo - transcript (automated).pdf","Transcript Link")</f>
        <v>Transcript Link</v>
      </c>
      <c r="M3815" s="2" t="str">
        <f>HYPERLINK("https://files.afu.se/Downloads/Transcripts/0%20-%20Government/USA%20-%20NASA/2011 11 04 - NASA - NASA's Fermi Telescope Finds Youngest Millisecond Pulsar_0kb57v9dZJo - transcript (automated).pdf","Transcript Link")</f>
        <v>Transcript Link</v>
      </c>
    </row>
    <row r="3816" ht="165" spans="1:13">
      <c r="A3816" s="1" t="s">
        <v>17174</v>
      </c>
      <c r="B3816" s="1" t="s">
        <v>13</v>
      </c>
      <c r="C3816" s="4" t="s">
        <v>17175</v>
      </c>
      <c r="D3816" s="1" t="s">
        <v>17176</v>
      </c>
      <c r="E3816" s="1" t="s">
        <v>17177</v>
      </c>
      <c r="F3816" s="4" t="s">
        <v>17</v>
      </c>
      <c r="G3816" s="1" t="s">
        <v>18</v>
      </c>
      <c r="H3816" s="1" t="s">
        <v>19</v>
      </c>
      <c r="I3816" s="1" t="s">
        <v>20</v>
      </c>
      <c r="J3816" s="1" t="s">
        <v>17178</v>
      </c>
      <c r="K3816" s="1" t="s">
        <v>22</v>
      </c>
      <c r="L3816" s="1" t="str">
        <f>HYPERLINK("https://files.afu.se/Downloads/Transcripts/0%20-%20Government/USA%20-%20NASA/2011 11 03 - NASA - ScienceCasts  Stellar Extremophiles_s5ZymKzCVsM - transcript (automated).pdf","Transcript Link")</f>
        <v>Transcript Link</v>
      </c>
      <c r="M3816" s="2" t="str">
        <f>HYPERLINK("https://files.afu.se/Downloads/Transcripts/0%20-%20Government/USA%20-%20NASA/2011 11 03 - NASA - ScienceCasts  Stellar Extremophiles_s5ZymKzCVsM - transcript (automated).pdf","Transcript Link")</f>
        <v>Transcript Link</v>
      </c>
    </row>
    <row r="3817" ht="165" spans="1:13">
      <c r="A3817" s="1" t="s">
        <v>17174</v>
      </c>
      <c r="B3817" s="1" t="s">
        <v>13</v>
      </c>
      <c r="C3817" s="4" t="s">
        <v>17179</v>
      </c>
      <c r="D3817" s="1" t="s">
        <v>17180</v>
      </c>
      <c r="E3817" s="1" t="s">
        <v>17181</v>
      </c>
      <c r="F3817" s="4" t="s">
        <v>17</v>
      </c>
      <c r="G3817" s="1" t="s">
        <v>18</v>
      </c>
      <c r="H3817" s="1" t="s">
        <v>19</v>
      </c>
      <c r="I3817" s="1" t="s">
        <v>20</v>
      </c>
      <c r="J3817" s="1" t="s">
        <v>17182</v>
      </c>
      <c r="K3817" s="1" t="s">
        <v>22</v>
      </c>
      <c r="L3817" s="1" t="str">
        <f>HYPERLINK("https://files.afu.se/Downloads/Transcripts/0%20-%20Government/USA%20-%20NASA/2011 11 03 - NASA - Fossum Chats with Houston Chronicle_65RrRQ2E7Xs - transcript (automated).pdf","Transcript Link")</f>
        <v>Transcript Link</v>
      </c>
      <c r="M3817" s="2" t="str">
        <f>HYPERLINK("https://files.afu.se/Downloads/Transcripts/0%20-%20Government/USA%20-%20NASA/2011 11 03 - NASA - Fossum Chats with Houston Chronicle_65RrRQ2E7Xs - transcript (automated).pdf","Transcript Link")</f>
        <v>Transcript Link</v>
      </c>
    </row>
    <row r="3818" ht="165" spans="1:13">
      <c r="A3818" s="1" t="s">
        <v>17174</v>
      </c>
      <c r="B3818" s="1" t="s">
        <v>13</v>
      </c>
      <c r="C3818" s="4" t="s">
        <v>17183</v>
      </c>
      <c r="D3818" s="1" t="s">
        <v>17184</v>
      </c>
      <c r="E3818" s="1" t="s">
        <v>17185</v>
      </c>
      <c r="F3818" s="4" t="s">
        <v>17</v>
      </c>
      <c r="G3818" s="1" t="s">
        <v>18</v>
      </c>
      <c r="H3818" s="1" t="s">
        <v>19</v>
      </c>
      <c r="I3818" s="1" t="s">
        <v>20</v>
      </c>
      <c r="J3818" s="1" t="s">
        <v>17186</v>
      </c>
      <c r="K3818" s="1" t="s">
        <v>22</v>
      </c>
      <c r="L3818" s="1" t="str">
        <f>HYPERLINK("https://files.afu.se/Downloads/Transcripts/0%20-%20Government/USA%20-%20NASA/2011 11 03 - NASA - PROJECT  HUMANS TO MARS__xUlhaFKjsE - transcript (automated).pdf","Transcript Link")</f>
        <v>Transcript Link</v>
      </c>
      <c r="M3818" s="2" t="str">
        <f>HYPERLINK("https://files.afu.se/Downloads/Transcripts/0%20-%20Government/USA%20-%20NASA/2011 11 03 - NASA - PROJECT  HUMANS TO MARS__xUlhaFKjsE - transcript (automated).pdf","Transcript Link")</f>
        <v>Transcript Link</v>
      </c>
    </row>
    <row r="3819" ht="165" spans="1:13">
      <c r="A3819" s="1" t="s">
        <v>17187</v>
      </c>
      <c r="B3819" s="1" t="s">
        <v>13</v>
      </c>
      <c r="C3819" s="4" t="s">
        <v>17188</v>
      </c>
      <c r="D3819" s="1" t="s">
        <v>16113</v>
      </c>
      <c r="E3819" s="1" t="s">
        <v>17189</v>
      </c>
      <c r="F3819" s="4" t="s">
        <v>17</v>
      </c>
      <c r="G3819" s="1" t="s">
        <v>18</v>
      </c>
      <c r="H3819" s="1" t="s">
        <v>19</v>
      </c>
      <c r="I3819" s="1" t="s">
        <v>20</v>
      </c>
      <c r="J3819" s="1" t="s">
        <v>17190</v>
      </c>
      <c r="K3819" s="1" t="s">
        <v>22</v>
      </c>
      <c r="L3819" s="1" t="str">
        <f>HYPERLINK("https://files.afu.se/Downloads/Transcripts/0%20-%20Government/USA%20-%20NASA/2011 11 02 - NASA - Russian Cargo Ship Docks to Space Station_e_4BQCS1XZs - transcript (automated).pdf","Transcript Link")</f>
        <v>Transcript Link</v>
      </c>
      <c r="M3819" s="2" t="str">
        <f>HYPERLINK("https://files.afu.se/Downloads/Transcripts/0%20-%20Government/USA%20-%20NASA/2011 11 02 - NASA - Russian Cargo Ship Docks to Space Station_e_4BQCS1XZs - transcript (automated).pdf","Transcript Link")</f>
        <v>Transcript Link</v>
      </c>
    </row>
    <row r="3820" ht="165" spans="1:13">
      <c r="A3820" s="1" t="s">
        <v>17191</v>
      </c>
      <c r="B3820" s="1" t="s">
        <v>13</v>
      </c>
      <c r="C3820" s="4" t="s">
        <v>17192</v>
      </c>
      <c r="D3820" s="1" t="s">
        <v>17193</v>
      </c>
      <c r="E3820" s="1" t="s">
        <v>17194</v>
      </c>
      <c r="F3820" s="4" t="s">
        <v>17</v>
      </c>
      <c r="G3820" s="1" t="s">
        <v>18</v>
      </c>
      <c r="H3820" s="1" t="s">
        <v>19</v>
      </c>
      <c r="I3820" s="1" t="s">
        <v>20</v>
      </c>
      <c r="J3820" s="1" t="s">
        <v>17195</v>
      </c>
      <c r="K3820" s="1" t="s">
        <v>22</v>
      </c>
      <c r="L3820" s="1" t="str">
        <f>HYPERLINK("https://files.afu.se/Downloads/Transcripts/0%20-%20Government/USA%20-%20NASA/2011 10 31 - NASA - New NASA Deal  A Boost For Space Coast Facility_4bj831dCzVk - transcript (automated).pdf","Transcript Link")</f>
        <v>Transcript Link</v>
      </c>
      <c r="M3820" s="2" t="str">
        <f>HYPERLINK("https://files.afu.se/Downloads/Transcripts/0%20-%20Government/USA%20-%20NASA/2011 10 31 - NASA - New NASA Deal  A Boost For Space Coast Facility_4bj831dCzVk - transcript (automated).pdf","Transcript Link")</f>
        <v>Transcript Link</v>
      </c>
    </row>
    <row r="3821" ht="165" spans="1:13">
      <c r="A3821" s="1" t="s">
        <v>17191</v>
      </c>
      <c r="B3821" s="1" t="s">
        <v>13</v>
      </c>
      <c r="C3821" s="4" t="s">
        <v>17196</v>
      </c>
      <c r="D3821" s="1" t="s">
        <v>17197</v>
      </c>
      <c r="E3821" s="1" t="s">
        <v>17198</v>
      </c>
      <c r="F3821" s="4" t="s">
        <v>17</v>
      </c>
      <c r="G3821" s="1" t="s">
        <v>18</v>
      </c>
      <c r="H3821" s="1" t="s">
        <v>19</v>
      </c>
      <c r="I3821" s="1" t="s">
        <v>20</v>
      </c>
      <c r="J3821" s="1" t="s">
        <v>17199</v>
      </c>
      <c r="K3821" s="1" t="s">
        <v>22</v>
      </c>
      <c r="L3821" s="1" t="str">
        <f>HYPERLINK("https://files.afu.se/Downloads/Transcripts/0%20-%20Government/USA%20-%20NASA/2011 10 31 - NASA - Expedition 29 Crew Departs for Kazakh Launch Site_GOclsLhvzdY - transcript (automated).pdf","Transcript Link")</f>
        <v>Transcript Link</v>
      </c>
      <c r="M3821" s="2" t="str">
        <f>HYPERLINK("https://files.afu.se/Downloads/Transcripts/0%20-%20Government/USA%20-%20NASA/2011 10 31 - NASA - Expedition 29 Crew Departs for Kazakh Launch Site_GOclsLhvzdY - transcript (automated).pdf","Transcript Link")</f>
        <v>Transcript Link</v>
      </c>
    </row>
    <row r="3822" ht="165" spans="1:13">
      <c r="A3822" s="1" t="s">
        <v>17200</v>
      </c>
      <c r="B3822" s="1" t="s">
        <v>13</v>
      </c>
      <c r="C3822" s="4" t="s">
        <v>17201</v>
      </c>
      <c r="D3822" s="1" t="s">
        <v>17202</v>
      </c>
      <c r="E3822" s="1" t="s">
        <v>17203</v>
      </c>
      <c r="F3822" s="4" t="s">
        <v>17</v>
      </c>
      <c r="G3822" s="1" t="s">
        <v>18</v>
      </c>
      <c r="H3822" s="1" t="s">
        <v>19</v>
      </c>
      <c r="I3822" s="1" t="s">
        <v>20</v>
      </c>
      <c r="J3822" s="1" t="s">
        <v>17204</v>
      </c>
      <c r="K3822" s="1" t="s">
        <v>22</v>
      </c>
      <c r="L3822" s="1" t="str">
        <f>HYPERLINK("https://files.afu.se/Downloads/Transcripts/0%20-%20Government/USA%20-%20NASA/2011 10 30 - NASA - Successful Launch for Soyuz Flight_cJcMvUNIAhc - transcript (automated).pdf","Transcript Link")</f>
        <v>Transcript Link</v>
      </c>
      <c r="M3822" s="2" t="str">
        <f>HYPERLINK("https://files.afu.se/Downloads/Transcripts/0%20-%20Government/USA%20-%20NASA/2011 10 30 - NASA - Successful Launch for Soyuz Flight_cJcMvUNIAhc - transcript (automated).pdf","Transcript Link")</f>
        <v>Transcript Link</v>
      </c>
    </row>
    <row r="3823" ht="165" spans="1:13">
      <c r="A3823" s="1" t="s">
        <v>17205</v>
      </c>
      <c r="B3823" s="1" t="s">
        <v>13</v>
      </c>
      <c r="C3823" s="4" t="s">
        <v>17206</v>
      </c>
      <c r="D3823" s="1" t="s">
        <v>17207</v>
      </c>
      <c r="E3823" s="1" t="s">
        <v>17208</v>
      </c>
      <c r="F3823" s="4" t="s">
        <v>17</v>
      </c>
      <c r="G3823" s="1" t="s">
        <v>18</v>
      </c>
      <c r="H3823" s="1" t="s">
        <v>19</v>
      </c>
      <c r="I3823" s="1" t="s">
        <v>20</v>
      </c>
      <c r="J3823" s="1" t="s">
        <v>17209</v>
      </c>
      <c r="K3823" s="1" t="s">
        <v>22</v>
      </c>
      <c r="L3823" s="1" t="str">
        <f>HYPERLINK("https://files.afu.se/Downloads/Transcripts/0%20-%20Government/USA%20-%20NASA/2011 10 28 - NASA - ScienceCasts  A Star with Spiral Arms_Q9B9MlfvqVM - transcript (automated).pdf","Transcript Link")</f>
        <v>Transcript Link</v>
      </c>
      <c r="M3823" s="2" t="str">
        <f>HYPERLINK("https://files.afu.se/Downloads/Transcripts/0%20-%20Government/USA%20-%20NASA/2011 10 28 - NASA - ScienceCasts  A Star with Spiral Arms_Q9B9MlfvqVM - transcript (automated).pdf","Transcript Link")</f>
        <v>Transcript Link</v>
      </c>
    </row>
    <row r="3824" ht="165" spans="1:13">
      <c r="A3824" s="1" t="s">
        <v>17205</v>
      </c>
      <c r="B3824" s="1" t="s">
        <v>13</v>
      </c>
      <c r="C3824" s="4" t="s">
        <v>17210</v>
      </c>
      <c r="D3824" s="1" t="s">
        <v>17211</v>
      </c>
      <c r="E3824" s="1" t="s">
        <v>17212</v>
      </c>
      <c r="F3824" s="4" t="s">
        <v>17</v>
      </c>
      <c r="G3824" s="1" t="s">
        <v>18</v>
      </c>
      <c r="H3824" s="1" t="s">
        <v>19</v>
      </c>
      <c r="I3824" s="1" t="s">
        <v>20</v>
      </c>
      <c r="J3824" s="1" t="s">
        <v>17213</v>
      </c>
      <c r="K3824" s="1" t="s">
        <v>22</v>
      </c>
      <c r="L3824" s="1" t="str">
        <f>HYPERLINK("https://files.afu.se/Downloads/Transcripts/0%20-%20Government/USA%20-%20NASA/2011 10 28 - NASA - The launch of NASA's newest Earth-observing satellite, NPP is the top story on This Week @NASA._WCCIAeh4_Zk - transcript (automated).pdf","Transcript Link")</f>
        <v>Transcript Link</v>
      </c>
      <c r="M3824" s="2" t="str">
        <f>HYPERLINK("https://files.afu.se/Downloads/Transcripts/0%20-%20Government/USA%20-%20NASA/2011 10 28 - NASA - The launch of NASA's newest Earth-observing satellite, NPP is the top story on This Week @NASA._WCCIAeh4_Zk - transcript (automated).pdf","Transcript Link")</f>
        <v>Transcript Link</v>
      </c>
    </row>
    <row r="3825" ht="165" spans="1:13">
      <c r="A3825" s="1" t="s">
        <v>17205</v>
      </c>
      <c r="B3825" s="1" t="s">
        <v>13</v>
      </c>
      <c r="C3825" s="4" t="s">
        <v>17214</v>
      </c>
      <c r="D3825" s="1" t="s">
        <v>17215</v>
      </c>
      <c r="E3825" s="1" t="s">
        <v>17216</v>
      </c>
      <c r="F3825" s="4" t="s">
        <v>17</v>
      </c>
      <c r="G3825" s="1" t="s">
        <v>18</v>
      </c>
      <c r="H3825" s="1" t="s">
        <v>19</v>
      </c>
      <c r="I3825" s="1" t="s">
        <v>20</v>
      </c>
      <c r="J3825" s="1" t="s">
        <v>17217</v>
      </c>
      <c r="K3825" s="1" t="s">
        <v>22</v>
      </c>
      <c r="L3825" s="1" t="str">
        <f>HYPERLINK("https://files.afu.se/Downloads/Transcripts/0%20-%20Government/USA%20-%20NASA/2011 10 28 - NASA - NASA Press Briefing on Successful NPP Launch_QYWdLUxLlnc - transcript (automated).pdf","Transcript Link")</f>
        <v>Transcript Link</v>
      </c>
      <c r="M3825" s="2" t="str">
        <f>HYPERLINK("https://files.afu.se/Downloads/Transcripts/0%20-%20Government/USA%20-%20NASA/2011 10 28 - NASA - NASA Press Briefing on Successful NPP Launch_QYWdLUxLlnc - transcript (automated).pdf","Transcript Link")</f>
        <v>Transcript Link</v>
      </c>
    </row>
    <row r="3826" ht="165" spans="1:13">
      <c r="A3826" s="1" t="s">
        <v>17205</v>
      </c>
      <c r="B3826" s="1" t="s">
        <v>13</v>
      </c>
      <c r="C3826" s="4" t="s">
        <v>17218</v>
      </c>
      <c r="D3826" s="1" t="s">
        <v>17219</v>
      </c>
      <c r="E3826" s="1" t="s">
        <v>17220</v>
      </c>
      <c r="F3826" s="4" t="s">
        <v>17</v>
      </c>
      <c r="G3826" s="1" t="s">
        <v>18</v>
      </c>
      <c r="H3826" s="1" t="s">
        <v>19</v>
      </c>
      <c r="I3826" s="1" t="s">
        <v>20</v>
      </c>
      <c r="J3826" s="1" t="s">
        <v>17221</v>
      </c>
      <c r="K3826" s="1" t="s">
        <v>22</v>
      </c>
      <c r="L3826" s="1" t="str">
        <f>HYPERLINK("https://files.afu.se/Downloads/Transcripts/0%20-%20Government/USA%20-%20NASA/2011 10 28 - NASA - New Weather Satellite in Orbit_2cDSD60qSz0 - transcript (automated).pdf","Transcript Link")</f>
        <v>Transcript Link</v>
      </c>
      <c r="M3826" s="2" t="str">
        <f>HYPERLINK("https://files.afu.se/Downloads/Transcripts/0%20-%20Government/USA%20-%20NASA/2011 10 28 - NASA - New Weather Satellite in Orbit_2cDSD60qSz0 - transcript (automated).pdf","Transcript Link")</f>
        <v>Transcript Link</v>
      </c>
    </row>
    <row r="3827" ht="165" spans="1:13">
      <c r="A3827" s="1" t="s">
        <v>17222</v>
      </c>
      <c r="B3827" s="1" t="s">
        <v>13</v>
      </c>
      <c r="C3827" s="4" t="s">
        <v>17223</v>
      </c>
      <c r="D3827" s="1" t="s">
        <v>17224</v>
      </c>
      <c r="F3827" s="4" t="s">
        <v>17</v>
      </c>
      <c r="G3827" s="1" t="s">
        <v>18</v>
      </c>
      <c r="H3827" s="1" t="s">
        <v>19</v>
      </c>
      <c r="I3827" s="1" t="s">
        <v>20</v>
      </c>
      <c r="J3827" s="1" t="s">
        <v>17225</v>
      </c>
      <c r="K3827" s="1" t="s">
        <v>22</v>
      </c>
      <c r="L3827" s="1" t="str">
        <f>HYPERLINK("https://files.afu.se/Downloads/Transcripts/0%20-%20Government/USA%20-%20NASA/2011 10 27 - NASA - NASA wishes you a spooktacular Halloween!_x-4JTTQ4FAU - transcript (automated).pdf","Transcript Link")</f>
        <v>Transcript Link</v>
      </c>
      <c r="M3827" s="2" t="str">
        <f>HYPERLINK("https://files.afu.se/Downloads/Transcripts/0%20-%20Government/USA%20-%20NASA/2011 10 27 - NASA - NASA wishes you a spooktacular Halloween!_x-4JTTQ4FAU - transcript (automated).pdf","Transcript Link")</f>
        <v>Transcript Link</v>
      </c>
    </row>
    <row r="3828" ht="165" spans="1:13">
      <c r="A3828" s="1" t="s">
        <v>17222</v>
      </c>
      <c r="B3828" s="1" t="s">
        <v>13</v>
      </c>
      <c r="C3828" s="4" t="s">
        <v>17226</v>
      </c>
      <c r="D3828" s="1" t="s">
        <v>17227</v>
      </c>
      <c r="E3828" s="1" t="s">
        <v>17228</v>
      </c>
      <c r="F3828" s="4" t="s">
        <v>17</v>
      </c>
      <c r="G3828" s="1" t="s">
        <v>18</v>
      </c>
      <c r="H3828" s="1" t="s">
        <v>19</v>
      </c>
      <c r="I3828" s="1" t="s">
        <v>20</v>
      </c>
      <c r="J3828" s="1" t="s">
        <v>17229</v>
      </c>
      <c r="K3828" s="1" t="s">
        <v>22</v>
      </c>
      <c r="L3828" s="1" t="str">
        <f>HYPERLINK("https://files.afu.se/Downloads/Transcripts/0%20-%20Government/USA%20-%20NASA/2011 10 27 - NASA - NPP West Coast Tweetup_FhY3zGFlw_Q - transcript (automated).pdf","Transcript Link")</f>
        <v>Transcript Link</v>
      </c>
      <c r="M3828" s="2" t="str">
        <f>HYPERLINK("https://files.afu.se/Downloads/Transcripts/0%20-%20Government/USA%20-%20NASA/2011 10 27 - NASA - NPP West Coast Tweetup_FhY3zGFlw_Q - transcript (automated).pdf","Transcript Link")</f>
        <v>Transcript Link</v>
      </c>
    </row>
    <row r="3829" ht="165" spans="1:13">
      <c r="A3829" s="1" t="s">
        <v>17222</v>
      </c>
      <c r="B3829" s="1" t="s">
        <v>13</v>
      </c>
      <c r="C3829" s="4" t="s">
        <v>17230</v>
      </c>
      <c r="D3829" s="1" t="s">
        <v>17231</v>
      </c>
      <c r="E3829" s="1" t="s">
        <v>17232</v>
      </c>
      <c r="F3829" s="4" t="s">
        <v>17</v>
      </c>
      <c r="G3829" s="1" t="s">
        <v>18</v>
      </c>
      <c r="H3829" s="1" t="s">
        <v>19</v>
      </c>
      <c r="I3829" s="1" t="s">
        <v>20</v>
      </c>
      <c r="J3829" s="1" t="s">
        <v>17233</v>
      </c>
      <c r="K3829" s="1" t="s">
        <v>22</v>
      </c>
      <c r="L3829" s="1" t="str">
        <f>HYPERLINK("https://files.afu.se/Downloads/Transcripts/0%20-%20Government/USA%20-%20NASA/2011 10 27 - NASA - Furukawa Talks With Takayama_u6UJxP3n0Lw - transcript (automated).pdf","Transcript Link")</f>
        <v>Transcript Link</v>
      </c>
      <c r="M3829" s="2" t="str">
        <f>HYPERLINK("https://files.afu.se/Downloads/Transcripts/0%20-%20Government/USA%20-%20NASA/2011 10 27 - NASA - Furukawa Talks With Takayama_u6UJxP3n0Lw - transcript (automated).pdf","Transcript Link")</f>
        <v>Transcript Link</v>
      </c>
    </row>
    <row r="3830" ht="165" spans="1:13">
      <c r="A3830" s="1" t="s">
        <v>17222</v>
      </c>
      <c r="B3830" s="1" t="s">
        <v>13</v>
      </c>
      <c r="C3830" s="4" t="s">
        <v>17234</v>
      </c>
      <c r="D3830" s="1" t="s">
        <v>17235</v>
      </c>
      <c r="E3830" s="1" t="s">
        <v>17236</v>
      </c>
      <c r="F3830" s="4" t="s">
        <v>17</v>
      </c>
      <c r="G3830" s="1" t="s">
        <v>18</v>
      </c>
      <c r="H3830" s="1" t="s">
        <v>19</v>
      </c>
      <c r="I3830" s="1" t="s">
        <v>20</v>
      </c>
      <c r="J3830" s="1" t="s">
        <v>17237</v>
      </c>
      <c r="K3830" s="1" t="s">
        <v>22</v>
      </c>
      <c r="L3830" s="1" t="str">
        <f>HYPERLINK("https://files.afu.se/Downloads/Transcripts/0%20-%20Government/USA%20-%20NASA/2011 10 27 - NASA - ElaNa CubeSat Media Briefing_UcjM2GhMD-E - transcript (automated).pdf","Transcript Link")</f>
        <v>Transcript Link</v>
      </c>
      <c r="M3830" s="2" t="str">
        <f>HYPERLINK("https://files.afu.se/Downloads/Transcripts/0%20-%20Government/USA%20-%20NASA/2011 10 27 - NASA - ElaNa CubeSat Media Briefing_UcjM2GhMD-E - transcript (automated).pdf","Transcript Link")</f>
        <v>Transcript Link</v>
      </c>
    </row>
    <row r="3831" ht="165" spans="1:13">
      <c r="A3831" s="1" t="s">
        <v>17222</v>
      </c>
      <c r="B3831" s="1" t="s">
        <v>13</v>
      </c>
      <c r="C3831" s="4" t="s">
        <v>17238</v>
      </c>
      <c r="D3831" s="1" t="s">
        <v>17239</v>
      </c>
      <c r="E3831" s="1" t="s">
        <v>17240</v>
      </c>
      <c r="F3831" s="4" t="s">
        <v>17</v>
      </c>
      <c r="G3831" s="1" t="s">
        <v>18</v>
      </c>
      <c r="H3831" s="1" t="s">
        <v>19</v>
      </c>
      <c r="I3831" s="1" t="s">
        <v>20</v>
      </c>
      <c r="J3831" s="1" t="s">
        <v>17241</v>
      </c>
      <c r="K3831" s="1" t="s">
        <v>22</v>
      </c>
      <c r="L3831" s="1" t="str">
        <f>HYPERLINK("https://files.afu.se/Downloads/Transcripts/0%20-%20Government/USA%20-%20NASA/2011 10 27 - NASA - ISS Cameras Capture New Views of Hurricane Rina_DwsQQtKFmz0 - transcript (automated).pdf","Transcript Link")</f>
        <v>Transcript Link</v>
      </c>
      <c r="M3831" s="2" t="str">
        <f>HYPERLINK("https://files.afu.se/Downloads/Transcripts/0%20-%20Government/USA%20-%20NASA/2011 10 27 - NASA - ISS Cameras Capture New Views of Hurricane Rina_DwsQQtKFmz0 - transcript (automated).pdf","Transcript Link")</f>
        <v>Transcript Link</v>
      </c>
    </row>
    <row r="3832" ht="165" spans="1:13">
      <c r="A3832" s="1" t="s">
        <v>17242</v>
      </c>
      <c r="B3832" s="1" t="s">
        <v>13</v>
      </c>
      <c r="C3832" s="4" t="s">
        <v>17243</v>
      </c>
      <c r="D3832" s="1" t="s">
        <v>17244</v>
      </c>
      <c r="E3832" s="1" t="s">
        <v>17245</v>
      </c>
      <c r="F3832" s="4" t="s">
        <v>17</v>
      </c>
      <c r="G3832" s="1" t="s">
        <v>18</v>
      </c>
      <c r="H3832" s="1" t="s">
        <v>19</v>
      </c>
      <c r="I3832" s="1" t="s">
        <v>20</v>
      </c>
      <c r="J3832" s="1" t="s">
        <v>17246</v>
      </c>
      <c r="K3832" s="1" t="s">
        <v>22</v>
      </c>
      <c r="L3832" s="1" t="str">
        <f>HYPERLINK("https://files.afu.se/Downloads/Transcripts/0%20-%20Government/USA%20-%20NASA/2011 10 26 - NASA - Senator Barbara Mikulski Opens Webb Telescope Exhibit_zsATmjG79ew - transcript (automated).pdf","Transcript Link")</f>
        <v>Transcript Link</v>
      </c>
      <c r="M3832" s="2" t="str">
        <f>HYPERLINK("https://files.afu.se/Downloads/Transcripts/0%20-%20Government/USA%20-%20NASA/2011 10 26 - NASA - Senator Barbara Mikulski Opens Webb Telescope Exhibit_zsATmjG79ew - transcript (automated).pdf","Transcript Link")</f>
        <v>Transcript Link</v>
      </c>
    </row>
    <row r="3833" ht="165" spans="1:13">
      <c r="A3833" s="1" t="s">
        <v>17242</v>
      </c>
      <c r="B3833" s="1" t="s">
        <v>13</v>
      </c>
      <c r="C3833" s="4" t="s">
        <v>17247</v>
      </c>
      <c r="D3833" s="1" t="s">
        <v>17248</v>
      </c>
      <c r="E3833" s="1" t="s">
        <v>17249</v>
      </c>
      <c r="F3833" s="4" t="s">
        <v>17</v>
      </c>
      <c r="G3833" s="1" t="s">
        <v>18</v>
      </c>
      <c r="H3833" s="1" t="s">
        <v>19</v>
      </c>
      <c r="I3833" s="1" t="s">
        <v>20</v>
      </c>
      <c r="J3833" s="1" t="s">
        <v>17250</v>
      </c>
      <c r="K3833" s="1" t="s">
        <v>22</v>
      </c>
      <c r="L3833" s="1" t="str">
        <f>HYPERLINK("https://files.afu.se/Downloads/Transcripts/0%20-%20Government/USA%20-%20NASA/2011 10 26 - NASA - NPP Science Media Briefing_nnUSnZDY7yE - transcript (automated).pdf","Transcript Link")</f>
        <v>Transcript Link</v>
      </c>
      <c r="M3833" s="2" t="str">
        <f>HYPERLINK("https://files.afu.se/Downloads/Transcripts/0%20-%20Government/USA%20-%20NASA/2011 10 26 - NASA - NPP Science Media Briefing_nnUSnZDY7yE - transcript (automated).pdf","Transcript Link")</f>
        <v>Transcript Link</v>
      </c>
    </row>
    <row r="3834" ht="165" spans="1:13">
      <c r="A3834" s="1" t="s">
        <v>17242</v>
      </c>
      <c r="B3834" s="1" t="s">
        <v>13</v>
      </c>
      <c r="C3834" s="4" t="s">
        <v>17251</v>
      </c>
      <c r="D3834" s="1" t="s">
        <v>17252</v>
      </c>
      <c r="E3834" s="1" t="s">
        <v>17253</v>
      </c>
      <c r="F3834" s="4" t="s">
        <v>17</v>
      </c>
      <c r="G3834" s="1" t="s">
        <v>18</v>
      </c>
      <c r="H3834" s="1" t="s">
        <v>19</v>
      </c>
      <c r="I3834" s="1" t="s">
        <v>20</v>
      </c>
      <c r="J3834" s="1" t="s">
        <v>17254</v>
      </c>
      <c r="K3834" s="1" t="s">
        <v>22</v>
      </c>
      <c r="L3834" s="1" t="str">
        <f>HYPERLINK("https://files.afu.se/Downloads/Transcripts/0%20-%20Government/USA%20-%20NASA/2011 10 26 - NASA - NPP Team Holds Prelaunch News Conference_nlQNIPBc6TY - transcript (automated).pdf","Transcript Link")</f>
        <v>Transcript Link</v>
      </c>
      <c r="M3834" s="2" t="str">
        <f>HYPERLINK("https://files.afu.se/Downloads/Transcripts/0%20-%20Government/USA%20-%20NASA/2011 10 26 - NASA - NPP Team Holds Prelaunch News Conference_nlQNIPBc6TY - transcript (automated).pdf","Transcript Link")</f>
        <v>Transcript Link</v>
      </c>
    </row>
    <row r="3835" ht="165" spans="1:13">
      <c r="A3835" s="1" t="s">
        <v>17242</v>
      </c>
      <c r="B3835" s="1" t="s">
        <v>13</v>
      </c>
      <c r="C3835" s="4" t="s">
        <v>17255</v>
      </c>
      <c r="D3835" s="1" t="s">
        <v>17256</v>
      </c>
      <c r="E3835" s="1" t="s">
        <v>17257</v>
      </c>
      <c r="F3835" s="4" t="s">
        <v>17</v>
      </c>
      <c r="G3835" s="1" t="s">
        <v>18</v>
      </c>
      <c r="H3835" s="1" t="s">
        <v>19</v>
      </c>
      <c r="I3835" s="1" t="s">
        <v>20</v>
      </c>
      <c r="J3835" s="1" t="s">
        <v>17258</v>
      </c>
      <c r="K3835" s="1" t="s">
        <v>22</v>
      </c>
      <c r="L3835" s="1" t="str">
        <f>HYPERLINK("https://files.afu.se/Downloads/Transcripts/0%20-%20Government/USA%20-%20NASA/2011 10 26 - NASA - Garver Delivers Keynote at International Symposium on This Week at NASA_vyWm3JJT_k0 - transcript (automated).pdf","Transcript Link")</f>
        <v>Transcript Link</v>
      </c>
      <c r="M3835" s="2" t="str">
        <f>HYPERLINK("https://files.afu.se/Downloads/Transcripts/0%20-%20Government/USA%20-%20NASA/2011 10 26 - NASA - Garver Delivers Keynote at International Symposium on This Week at NASA_vyWm3JJT_k0 - transcript (automated).pdf","Transcript Link")</f>
        <v>Transcript Link</v>
      </c>
    </row>
    <row r="3836" ht="165" spans="1:13">
      <c r="A3836" s="1" t="s">
        <v>17259</v>
      </c>
      <c r="B3836" s="1" t="s">
        <v>13</v>
      </c>
      <c r="C3836" s="4" t="s">
        <v>17260</v>
      </c>
      <c r="D3836" s="1" t="s">
        <v>17261</v>
      </c>
      <c r="E3836" s="1" t="s">
        <v>17262</v>
      </c>
      <c r="F3836" s="4" t="s">
        <v>17</v>
      </c>
      <c r="G3836" s="1" t="s">
        <v>18</v>
      </c>
      <c r="H3836" s="1" t="s">
        <v>19</v>
      </c>
      <c r="I3836" s="1" t="s">
        <v>20</v>
      </c>
      <c r="J3836" s="1" t="s">
        <v>17263</v>
      </c>
      <c r="K3836" s="1" t="s">
        <v>22</v>
      </c>
      <c r="L3836" s="1" t="str">
        <f>HYPERLINK("https://files.afu.se/Downloads/Transcripts/0%20-%20Government/USA%20-%20NASA/2011 10 25 - NASA - Hurricane Rina Caught on ISS Cameras_qVsIp5G_Yms - transcript (automated).pdf","Transcript Link")</f>
        <v>Transcript Link</v>
      </c>
      <c r="M3836" s="2" t="str">
        <f>HYPERLINK("https://files.afu.se/Downloads/Transcripts/0%20-%20Government/USA%20-%20NASA/2011 10 25 - NASA - Hurricane Rina Caught on ISS Cameras_qVsIp5G_Yms - transcript (automated).pdf","Transcript Link")</f>
        <v>Transcript Link</v>
      </c>
    </row>
    <row r="3837" ht="165" spans="1:13">
      <c r="A3837" s="1" t="s">
        <v>17259</v>
      </c>
      <c r="B3837" s="1" t="s">
        <v>13</v>
      </c>
      <c r="C3837" s="4" t="s">
        <v>17264</v>
      </c>
      <c r="D3837" s="1" t="s">
        <v>17265</v>
      </c>
      <c r="E3837" s="1" t="s">
        <v>17266</v>
      </c>
      <c r="F3837" s="4" t="s">
        <v>17</v>
      </c>
      <c r="G3837" s="1" t="s">
        <v>18</v>
      </c>
      <c r="H3837" s="1" t="s">
        <v>19</v>
      </c>
      <c r="I3837" s="1" t="s">
        <v>20</v>
      </c>
      <c r="J3837" s="1" t="s">
        <v>17267</v>
      </c>
      <c r="K3837" s="1" t="s">
        <v>22</v>
      </c>
      <c r="L3837" s="1" t="str">
        <f>HYPERLINK("https://files.afu.se/Downloads/Transcripts/0%20-%20Government/USA%20-%20NASA/2011 10 25 - NASA - Space Station Commander Takes Questions from CNN, MSNBC_Ot2I9ahOjGY - transcript (automated).pdf","Transcript Link")</f>
        <v>Transcript Link</v>
      </c>
      <c r="M3837" s="2" t="str">
        <f>HYPERLINK("https://files.afu.se/Downloads/Transcripts/0%20-%20Government/USA%20-%20NASA/2011 10 25 - NASA - Space Station Commander Takes Questions from CNN, MSNBC_Ot2I9ahOjGY - transcript (automated).pdf","Transcript Link")</f>
        <v>Transcript Link</v>
      </c>
    </row>
    <row r="3838" ht="165" spans="1:13">
      <c r="A3838" s="1" t="s">
        <v>17268</v>
      </c>
      <c r="B3838" s="1" t="s">
        <v>13</v>
      </c>
      <c r="C3838" s="4" t="s">
        <v>17269</v>
      </c>
      <c r="D3838" s="1" t="s">
        <v>17270</v>
      </c>
      <c r="E3838" s="1" t="s">
        <v>17271</v>
      </c>
      <c r="F3838" s="4" t="s">
        <v>17</v>
      </c>
      <c r="G3838" s="1" t="s">
        <v>18</v>
      </c>
      <c r="H3838" s="1" t="s">
        <v>19</v>
      </c>
      <c r="I3838" s="1" t="s">
        <v>20</v>
      </c>
      <c r="J3838" s="1" t="s">
        <v>17272</v>
      </c>
      <c r="K3838" s="1" t="s">
        <v>22</v>
      </c>
      <c r="L3838" s="1" t="str">
        <f>HYPERLINK("https://files.afu.se/Downloads/Transcripts/0%20-%20Government/USA%20-%20NASA/2011 10 24 - NASA - Next ISS Crew Meets Media and Visits Red Square_6tBVSyDNboQ - transcript (automated).pdf","Transcript Link")</f>
        <v>Transcript Link</v>
      </c>
      <c r="M3838" s="2" t="str">
        <f>HYPERLINK("https://files.afu.se/Downloads/Transcripts/0%20-%20Government/USA%20-%20NASA/2011 10 24 - NASA - Next ISS Crew Meets Media and Visits Red Square_6tBVSyDNboQ - transcript (automated).pdf","Transcript Link")</f>
        <v>Transcript Link</v>
      </c>
    </row>
    <row r="3839" ht="165" spans="1:13">
      <c r="A3839" s="1" t="s">
        <v>17268</v>
      </c>
      <c r="B3839" s="1" t="s">
        <v>13</v>
      </c>
      <c r="C3839" s="4" t="s">
        <v>17273</v>
      </c>
      <c r="D3839" s="1" t="s">
        <v>17274</v>
      </c>
      <c r="E3839" s="1" t="s">
        <v>17275</v>
      </c>
      <c r="F3839" s="4" t="s">
        <v>17</v>
      </c>
      <c r="G3839" s="1" t="s">
        <v>18</v>
      </c>
      <c r="H3839" s="1" t="s">
        <v>19</v>
      </c>
      <c r="I3839" s="1" t="s">
        <v>20</v>
      </c>
      <c r="J3839" s="1" t="s">
        <v>17276</v>
      </c>
      <c r="K3839" s="1" t="s">
        <v>22</v>
      </c>
      <c r="L3839" s="1" t="str">
        <f>HYPERLINK("https://files.afu.se/Downloads/Transcripts/0%20-%20Government/USA%20-%20NASA/2011 10 24 - NASA - Hurricane Rina Develops in Caribbean_uWvgWuVwpKg - transcript (automated).pdf","Transcript Link")</f>
        <v>Transcript Link</v>
      </c>
      <c r="M3839" s="2" t="str">
        <f>HYPERLINK("https://files.afu.se/Downloads/Transcripts/0%20-%20Government/USA%20-%20NASA/2011 10 24 - NASA - Hurricane Rina Develops in Caribbean_uWvgWuVwpKg - transcript (automated).pdf","Transcript Link")</f>
        <v>Transcript Link</v>
      </c>
    </row>
    <row r="3840" ht="165" spans="1:13">
      <c r="A3840" s="1" t="s">
        <v>17277</v>
      </c>
      <c r="B3840" s="1" t="s">
        <v>13</v>
      </c>
      <c r="C3840" s="4" t="s">
        <v>17278</v>
      </c>
      <c r="D3840" s="1" t="s">
        <v>17256</v>
      </c>
      <c r="E3840" s="1" t="s">
        <v>17257</v>
      </c>
      <c r="F3840" s="4" t="s">
        <v>17</v>
      </c>
      <c r="G3840" s="1" t="s">
        <v>18</v>
      </c>
      <c r="H3840" s="1" t="s">
        <v>19</v>
      </c>
      <c r="I3840" s="1" t="s">
        <v>20</v>
      </c>
      <c r="J3840" s="1" t="s">
        <v>17279</v>
      </c>
      <c r="K3840" s="1" t="s">
        <v>22</v>
      </c>
      <c r="L3840" s="1" t="str">
        <f>HYPERLINK("https://files.afu.se/Downloads/Transcripts/0%20-%20Government/USA%20-%20NASA/2011 10 21 - NASA - Garver Delivers Keynote at International Symposium on This Week at NASA_eZbX95fqPmM - transcript (automated).pdf","Transcript Link")</f>
        <v>Transcript Link</v>
      </c>
      <c r="M3840" s="2" t="str">
        <f>HYPERLINK("https://files.afu.se/Downloads/Transcripts/0%20-%20Government/USA%20-%20NASA/2011 10 21 - NASA - Garver Delivers Keynote at International Symposium on This Week at NASA_eZbX95fqPmM - transcript (automated).pdf","Transcript Link")</f>
        <v>Transcript Link</v>
      </c>
    </row>
    <row r="3841" ht="165" spans="1:13">
      <c r="A3841" s="1" t="s">
        <v>17277</v>
      </c>
      <c r="B3841" s="1" t="s">
        <v>13</v>
      </c>
      <c r="C3841" s="4" t="s">
        <v>17280</v>
      </c>
      <c r="D3841" s="1" t="s">
        <v>17281</v>
      </c>
      <c r="E3841" s="1" t="s">
        <v>17282</v>
      </c>
      <c r="F3841" s="4" t="s">
        <v>17</v>
      </c>
      <c r="G3841" s="1" t="s">
        <v>18</v>
      </c>
      <c r="H3841" s="1" t="s">
        <v>19</v>
      </c>
      <c r="I3841" s="1" t="s">
        <v>20</v>
      </c>
      <c r="J3841" s="1" t="s">
        <v>17283</v>
      </c>
      <c r="K3841" s="1" t="s">
        <v>22</v>
      </c>
      <c r="L3841" s="1" t="str">
        <f>HYPERLINK("https://files.afu.se/Downloads/Transcripts/0%20-%20Government/USA%20-%20NASA/2011 10 21 - NASA - Alabama Middle Schoolers Talk with Station Commander_yi391opiZ0A - transcript (automated).pdf","Transcript Link")</f>
        <v>Transcript Link</v>
      </c>
      <c r="M3841" s="2" t="str">
        <f>HYPERLINK("https://files.afu.se/Downloads/Transcripts/0%20-%20Government/USA%20-%20NASA/2011 10 21 - NASA - Alabama Middle Schoolers Talk with Station Commander_yi391opiZ0A - transcript (automated).pdf","Transcript Link")</f>
        <v>Transcript Link</v>
      </c>
    </row>
    <row r="3842" ht="165" spans="1:13">
      <c r="A3842" s="1" t="s">
        <v>17277</v>
      </c>
      <c r="B3842" s="1" t="s">
        <v>13</v>
      </c>
      <c r="C3842" s="4" t="s">
        <v>17284</v>
      </c>
      <c r="D3842" s="1" t="s">
        <v>17285</v>
      </c>
      <c r="E3842" s="1" t="s">
        <v>17286</v>
      </c>
      <c r="F3842" s="4" t="s">
        <v>17</v>
      </c>
      <c r="G3842" s="1" t="s">
        <v>18</v>
      </c>
      <c r="H3842" s="1" t="s">
        <v>19</v>
      </c>
      <c r="I3842" s="1" t="s">
        <v>20</v>
      </c>
      <c r="J3842" s="1" t="s">
        <v>17287</v>
      </c>
      <c r="K3842" s="1" t="s">
        <v>22</v>
      </c>
      <c r="L3842" s="1" t="str">
        <f>HYPERLINK("https://files.afu.se/Downloads/Transcripts/0%20-%20Government/USA%20-%20NASA/2011 10 21 - NASA - ScienceCasts  The Sleepy Hollows of Mercury_UbxL_Ub9B64 - transcript (automated).pdf","Transcript Link")</f>
        <v>Transcript Link</v>
      </c>
      <c r="M3842" s="2" t="str">
        <f>HYPERLINK("https://files.afu.se/Downloads/Transcripts/0%20-%20Government/USA%20-%20NASA/2011 10 21 - NASA - ScienceCasts  The Sleepy Hollows of Mercury_UbxL_Ub9B64 - transcript (automated).pdf","Transcript Link")</f>
        <v>Transcript Link</v>
      </c>
    </row>
    <row r="3843" ht="165" spans="1:13">
      <c r="A3843" s="1" t="s">
        <v>17288</v>
      </c>
      <c r="B3843" s="1" t="s">
        <v>13</v>
      </c>
      <c r="C3843" s="4" t="s">
        <v>17289</v>
      </c>
      <c r="D3843" s="1" t="s">
        <v>17290</v>
      </c>
      <c r="E3843" s="1" t="s">
        <v>17291</v>
      </c>
      <c r="F3843" s="4" t="s">
        <v>17</v>
      </c>
      <c r="G3843" s="1" t="s">
        <v>18</v>
      </c>
      <c r="H3843" s="1" t="s">
        <v>19</v>
      </c>
      <c r="I3843" s="1" t="s">
        <v>20</v>
      </c>
      <c r="J3843" s="1" t="s">
        <v>17292</v>
      </c>
      <c r="K3843" s="1" t="s">
        <v>22</v>
      </c>
      <c r="L3843" s="1" t="str">
        <f>HYPERLINK("https://files.afu.se/Downloads/Transcripts/0%20-%20Government/USA%20-%20NASA/2011 10 19 - NASA - ISS Commander Briefs Media on Upcoming Events_8-ZEGrmluNM - transcript (automated).pdf","Transcript Link")</f>
        <v>Transcript Link</v>
      </c>
      <c r="M3843" s="2" t="str">
        <f>HYPERLINK("https://files.afu.se/Downloads/Transcripts/0%20-%20Government/USA%20-%20NASA/2011 10 19 - NASA - ISS Commander Briefs Media on Upcoming Events_8-ZEGrmluNM - transcript (automated).pdf","Transcript Link")</f>
        <v>Transcript Link</v>
      </c>
    </row>
    <row r="3844" ht="165" spans="1:13">
      <c r="A3844" s="1" t="s">
        <v>17293</v>
      </c>
      <c r="B3844" s="1" t="s">
        <v>13</v>
      </c>
      <c r="C3844" s="4" t="s">
        <v>17294</v>
      </c>
      <c r="D3844" s="1" t="s">
        <v>17295</v>
      </c>
      <c r="E3844" s="1" t="s">
        <v>17296</v>
      </c>
      <c r="F3844" s="4" t="s">
        <v>17</v>
      </c>
      <c r="G3844" s="1" t="s">
        <v>18</v>
      </c>
      <c r="H3844" s="1" t="s">
        <v>19</v>
      </c>
      <c r="I3844" s="1" t="s">
        <v>20</v>
      </c>
      <c r="J3844" s="1" t="s">
        <v>17297</v>
      </c>
      <c r="K3844" s="1" t="s">
        <v>22</v>
      </c>
      <c r="L3844" s="1" t="str">
        <f>HYPERLINK("https://files.afu.se/Downloads/Transcripts/0%20-%20Government/USA%20-%20NASA/2011 10 17 - NASA - ScienceCasts  600 Mysteries in the Night Sky_gNpH0kBmtFQ - transcript (automated).pdf","Transcript Link")</f>
        <v>Transcript Link</v>
      </c>
      <c r="M3844" s="2" t="str">
        <f>HYPERLINK("https://files.afu.se/Downloads/Transcripts/0%20-%20Government/USA%20-%20NASA/2011 10 17 - NASA - ScienceCasts  600 Mysteries in the Night Sky_gNpH0kBmtFQ - transcript (automated).pdf","Transcript Link")</f>
        <v>Transcript Link</v>
      </c>
    </row>
    <row r="3845" ht="165" spans="1:13">
      <c r="A3845" s="1" t="s">
        <v>17298</v>
      </c>
      <c r="B3845" s="1" t="s">
        <v>13</v>
      </c>
      <c r="C3845" s="4" t="s">
        <v>17299</v>
      </c>
      <c r="D3845" s="1" t="s">
        <v>17300</v>
      </c>
      <c r="E3845" s="1" t="s">
        <v>17301</v>
      </c>
      <c r="F3845" s="4" t="s">
        <v>17</v>
      </c>
      <c r="G3845" s="1" t="s">
        <v>18</v>
      </c>
      <c r="H3845" s="1" t="s">
        <v>19</v>
      </c>
      <c r="I3845" s="1" t="s">
        <v>20</v>
      </c>
      <c r="J3845" s="1" t="s">
        <v>17302</v>
      </c>
      <c r="K3845" s="1" t="s">
        <v>22</v>
      </c>
      <c r="L3845" s="1" t="str">
        <f>HYPERLINK("https://files.afu.se/Downloads/Transcripts/0%20-%20Government/USA%20-%20NASA/2011 10 14 - NASA - Bolden Leads Launcher Tour on This Week@NASA_psO0Y6vImMA - transcript (automated).pdf","Transcript Link")</f>
        <v>Transcript Link</v>
      </c>
      <c r="M3845" s="2" t="str">
        <f>HYPERLINK("https://files.afu.se/Downloads/Transcripts/0%20-%20Government/USA%20-%20NASA/2011 10 14 - NASA - Bolden Leads Launcher Tour on This Week@NASA_psO0Y6vImMA - transcript (automated).pdf","Transcript Link")</f>
        <v>Transcript Link</v>
      </c>
    </row>
    <row r="3846" ht="165" spans="1:13">
      <c r="A3846" s="1" t="s">
        <v>17303</v>
      </c>
      <c r="B3846" s="1" t="s">
        <v>13</v>
      </c>
      <c r="C3846" s="4" t="s">
        <v>17304</v>
      </c>
      <c r="D3846" s="1" t="s">
        <v>17305</v>
      </c>
      <c r="E3846" s="1" t="s">
        <v>17306</v>
      </c>
      <c r="F3846" s="4" t="s">
        <v>17</v>
      </c>
      <c r="G3846" s="1" t="s">
        <v>18</v>
      </c>
      <c r="H3846" s="1" t="s">
        <v>19</v>
      </c>
      <c r="I3846" s="1" t="s">
        <v>20</v>
      </c>
      <c r="J3846" s="1" t="s">
        <v>17307</v>
      </c>
      <c r="K3846" s="1" t="s">
        <v>22</v>
      </c>
      <c r="L3846" s="1" t="str">
        <f>HYPERLINK("https://files.afu.se/Downloads/Transcripts/0%20-%20Government/USA%20-%20NASA/2011 10 13 - NASA - Atlantis Crew at NASA Headquarters_OMc7GHIsfk0 - transcript (automated).pdf","Transcript Link")</f>
        <v>Transcript Link</v>
      </c>
      <c r="M3846" s="2" t="str">
        <f>HYPERLINK("https://files.afu.se/Downloads/Transcripts/0%20-%20Government/USA%20-%20NASA/2011 10 13 - NASA - Atlantis Crew at NASA Headquarters_OMc7GHIsfk0 - transcript (automated).pdf","Transcript Link")</f>
        <v>Transcript Link</v>
      </c>
    </row>
    <row r="3847" ht="165" spans="1:13">
      <c r="A3847" s="1" t="s">
        <v>17303</v>
      </c>
      <c r="B3847" s="1" t="s">
        <v>13</v>
      </c>
      <c r="C3847" s="4" t="s">
        <v>17308</v>
      </c>
      <c r="D3847" s="1" t="s">
        <v>17309</v>
      </c>
      <c r="E3847" s="1" t="s">
        <v>17310</v>
      </c>
      <c r="F3847" s="4" t="s">
        <v>17</v>
      </c>
      <c r="G3847" s="1" t="s">
        <v>18</v>
      </c>
      <c r="H3847" s="1" t="s">
        <v>19</v>
      </c>
      <c r="I3847" s="1" t="s">
        <v>20</v>
      </c>
      <c r="J3847" s="1" t="s">
        <v>17311</v>
      </c>
      <c r="K3847" s="1" t="s">
        <v>22</v>
      </c>
      <c r="L3847" s="1" t="str">
        <f>HYPERLINK("https://files.afu.se/Downloads/Transcripts/0%20-%20Government/USA%20-%20NASA/2011 10 13 - NASA - Station Resident Talks with Pacific Students_vwrrnrp3rTE - transcript (automated).pdf","Transcript Link")</f>
        <v>Transcript Link</v>
      </c>
      <c r="M3847" s="2" t="str">
        <f>HYPERLINK("https://files.afu.se/Downloads/Transcripts/0%20-%20Government/USA%20-%20NASA/2011 10 13 - NASA - Station Resident Talks with Pacific Students_vwrrnrp3rTE - transcript (automated).pdf","Transcript Link")</f>
        <v>Transcript Link</v>
      </c>
    </row>
    <row r="3848" ht="165" spans="1:13">
      <c r="A3848" s="1" t="s">
        <v>17303</v>
      </c>
      <c r="B3848" s="1" t="s">
        <v>13</v>
      </c>
      <c r="C3848" s="4" t="s">
        <v>17312</v>
      </c>
      <c r="D3848" s="1" t="s">
        <v>17313</v>
      </c>
      <c r="E3848" s="1" t="s">
        <v>17314</v>
      </c>
      <c r="F3848" s="4" t="s">
        <v>17</v>
      </c>
      <c r="G3848" s="1" t="s">
        <v>18</v>
      </c>
      <c r="H3848" s="1" t="s">
        <v>19</v>
      </c>
      <c r="I3848" s="1" t="s">
        <v>20</v>
      </c>
      <c r="J3848" s="1" t="s">
        <v>17315</v>
      </c>
      <c r="K3848" s="1" t="s">
        <v>22</v>
      </c>
      <c r="L3848" s="1" t="str">
        <f>HYPERLINK("https://files.afu.se/Downloads/Transcripts/0%20-%20Government/USA%20-%20NASA/2011 10 13 - NASA - Final Shuttle Crew Visits Smithsonian_xI4rKSsAbH4 - transcript (automated).pdf","Transcript Link")</f>
        <v>Transcript Link</v>
      </c>
      <c r="M3848" s="2" t="str">
        <f>HYPERLINK("https://files.afu.se/Downloads/Transcripts/0%20-%20Government/USA%20-%20NASA/2011 10 13 - NASA - Final Shuttle Crew Visits Smithsonian_xI4rKSsAbH4 - transcript (automated).pdf","Transcript Link")</f>
        <v>Transcript Link</v>
      </c>
    </row>
    <row r="3849" ht="165" spans="1:13">
      <c r="A3849" s="1" t="s">
        <v>17303</v>
      </c>
      <c r="B3849" s="1" t="s">
        <v>13</v>
      </c>
      <c r="C3849" s="4" t="s">
        <v>17316</v>
      </c>
      <c r="D3849" s="1" t="s">
        <v>17317</v>
      </c>
      <c r="E3849" s="1" t="s">
        <v>17318</v>
      </c>
      <c r="F3849" s="4" t="s">
        <v>17</v>
      </c>
      <c r="G3849" s="1" t="s">
        <v>18</v>
      </c>
      <c r="H3849" s="1" t="s">
        <v>19</v>
      </c>
      <c r="I3849" s="1" t="s">
        <v>20</v>
      </c>
      <c r="J3849" s="1" t="s">
        <v>17319</v>
      </c>
      <c r="K3849" s="1" t="s">
        <v>22</v>
      </c>
      <c r="L3849" s="1" t="str">
        <f>HYPERLINK("https://files.afu.se/Downloads/Transcripts/0%20-%20Government/USA%20-%20NASA/2011 10 13 - NASA - NASA Transfers Endeavour Title to California Science Center_3J--96zTgJg - transcript (automated).pdf","Transcript Link")</f>
        <v>Transcript Link</v>
      </c>
      <c r="M3849" s="2" t="str">
        <f>HYPERLINK("https://files.afu.se/Downloads/Transcripts/0%20-%20Government/USA%20-%20NASA/2011 10 13 - NASA - NASA Transfers Endeavour Title to California Science Center_3J--96zTgJg - transcript (automated).pdf","Transcript Link")</f>
        <v>Transcript Link</v>
      </c>
    </row>
    <row r="3850" ht="165" spans="1:13">
      <c r="A3850" s="1" t="s">
        <v>17320</v>
      </c>
      <c r="B3850" s="1" t="s">
        <v>13</v>
      </c>
      <c r="C3850" s="4" t="s">
        <v>17321</v>
      </c>
      <c r="D3850" s="1" t="s">
        <v>17322</v>
      </c>
      <c r="E3850" s="1" t="s">
        <v>17323</v>
      </c>
      <c r="F3850" s="4" t="s">
        <v>17</v>
      </c>
      <c r="G3850" s="1" t="s">
        <v>18</v>
      </c>
      <c r="H3850" s="1" t="s">
        <v>19</v>
      </c>
      <c r="I3850" s="1" t="s">
        <v>20</v>
      </c>
      <c r="J3850" s="1" t="s">
        <v>17324</v>
      </c>
      <c r="K3850" s="1" t="s">
        <v>22</v>
      </c>
      <c r="L3850" s="1" t="str">
        <f>HYPERLINK("https://files.afu.se/Downloads/Transcripts/0%20-%20Government/USA%20-%20NASA/2011 10 12 - NASA - New Satellite to Monitor Earth's Climate, Changes_fkV_r8pxhbI - transcript (automated).pdf","Transcript Link")</f>
        <v>Transcript Link</v>
      </c>
      <c r="M3850" s="2" t="str">
        <f>HYPERLINK("https://files.afu.se/Downloads/Transcripts/0%20-%20Government/USA%20-%20NASA/2011 10 12 - NASA - New Satellite to Monitor Earth's Climate, Changes_fkV_r8pxhbI - transcript (automated).pdf","Transcript Link")</f>
        <v>Transcript Link</v>
      </c>
    </row>
    <row r="3851" ht="165" spans="1:13">
      <c r="A3851" s="1" t="s">
        <v>17320</v>
      </c>
      <c r="B3851" s="1" t="s">
        <v>13</v>
      </c>
      <c r="C3851" s="4" t="s">
        <v>17325</v>
      </c>
      <c r="D3851" s="1" t="s">
        <v>17326</v>
      </c>
      <c r="E3851" s="1" t="s">
        <v>17327</v>
      </c>
      <c r="F3851" s="4" t="s">
        <v>17</v>
      </c>
      <c r="G3851" s="1" t="s">
        <v>18</v>
      </c>
      <c r="H3851" s="1" t="s">
        <v>19</v>
      </c>
      <c r="I3851" s="1" t="s">
        <v>20</v>
      </c>
      <c r="J3851" s="1" t="s">
        <v>17328</v>
      </c>
      <c r="K3851" s="1" t="s">
        <v>22</v>
      </c>
      <c r="L3851" s="1" t="str">
        <f>HYPERLINK("https://files.afu.se/Downloads/Transcripts/0%20-%20Government/USA%20-%20NASA/2011 10 12 - NASA - Rover's Eye View of Three-Year Trek on Mars_IVoXpBEwFyY - transcript (automated).pdf","Transcript Link")</f>
        <v>Transcript Link</v>
      </c>
      <c r="M3851" s="2" t="str">
        <f>HYPERLINK("https://files.afu.se/Downloads/Transcripts/0%20-%20Government/USA%20-%20NASA/2011 10 12 - NASA - Rover's Eye View of Three-Year Trek on Mars_IVoXpBEwFyY - transcript (automated).pdf","Transcript Link")</f>
        <v>Transcript Link</v>
      </c>
    </row>
    <row r="3852" ht="165" spans="1:13">
      <c r="A3852" s="1" t="s">
        <v>17320</v>
      </c>
      <c r="B3852" s="1" t="s">
        <v>13</v>
      </c>
      <c r="C3852" s="4" t="s">
        <v>17329</v>
      </c>
      <c r="D3852" s="1" t="s">
        <v>17330</v>
      </c>
      <c r="E3852" s="1" t="s">
        <v>17331</v>
      </c>
      <c r="F3852" s="4" t="s">
        <v>17</v>
      </c>
      <c r="G3852" s="1" t="s">
        <v>18</v>
      </c>
      <c r="H3852" s="1" t="s">
        <v>19</v>
      </c>
      <c r="I3852" s="1" t="s">
        <v>20</v>
      </c>
      <c r="J3852" s="1" t="s">
        <v>17332</v>
      </c>
      <c r="K3852" s="1" t="s">
        <v>22</v>
      </c>
      <c r="L3852" s="1" t="str">
        <f>HYPERLINK("https://files.afu.se/Downloads/Transcripts/0%20-%20Government/USA%20-%20NASA/2011 10 12 - NASA - Fossum Chats with Hometown Media from Orbit_CuHuoad7b8k - transcript (automated).pdf","Transcript Link")</f>
        <v>Transcript Link</v>
      </c>
      <c r="M3852" s="2" t="str">
        <f>HYPERLINK("https://files.afu.se/Downloads/Transcripts/0%20-%20Government/USA%20-%20NASA/2011 10 12 - NASA - Fossum Chats with Hometown Media from Orbit_CuHuoad7b8k - transcript (automated).pdf","Transcript Link")</f>
        <v>Transcript Link</v>
      </c>
    </row>
    <row r="3853" ht="165" spans="1:13">
      <c r="A3853" s="1" t="s">
        <v>17320</v>
      </c>
      <c r="B3853" s="1" t="s">
        <v>13</v>
      </c>
      <c r="C3853" s="4" t="s">
        <v>17333</v>
      </c>
      <c r="D3853" s="1" t="s">
        <v>17334</v>
      </c>
      <c r="E3853" s="1" t="s">
        <v>17335</v>
      </c>
      <c r="F3853" s="4" t="s">
        <v>17</v>
      </c>
      <c r="G3853" s="1" t="s">
        <v>18</v>
      </c>
      <c r="H3853" s="1" t="s">
        <v>19</v>
      </c>
      <c r="I3853" s="1" t="s">
        <v>20</v>
      </c>
      <c r="J3853" s="1" t="s">
        <v>17336</v>
      </c>
      <c r="K3853" s="1" t="s">
        <v>22</v>
      </c>
      <c r="L3853" s="1" t="str">
        <f>HYPERLINK("https://files.afu.se/Downloads/Transcripts/0%20-%20Government/USA%20-%20NASA/2011 10 12 - NASA - NASA Administrator at Community Leaders Breakfast at Kennedy_R8l-1j-kZo8 - transcript (automated).pdf","Transcript Link")</f>
        <v>Transcript Link</v>
      </c>
      <c r="M3853" s="2" t="str">
        <f>HYPERLINK("https://files.afu.se/Downloads/Transcripts/0%20-%20Government/USA%20-%20NASA/2011 10 12 - NASA - NASA Administrator at Community Leaders Breakfast at Kennedy_R8l-1j-kZo8 - transcript (automated).pdf","Transcript Link")</f>
        <v>Transcript Link</v>
      </c>
    </row>
    <row r="3854" ht="195" spans="1:13">
      <c r="A3854" s="1" t="s">
        <v>17320</v>
      </c>
      <c r="B3854" s="1" t="s">
        <v>13</v>
      </c>
      <c r="C3854" s="4" t="s">
        <v>17337</v>
      </c>
      <c r="D3854" s="1" t="s">
        <v>17338</v>
      </c>
      <c r="E3854" s="1" t="s">
        <v>17339</v>
      </c>
      <c r="F3854" s="4" t="s">
        <v>17</v>
      </c>
      <c r="G3854" s="1" t="s">
        <v>18</v>
      </c>
      <c r="H3854" s="1" t="s">
        <v>19</v>
      </c>
      <c r="I3854" s="1" t="s">
        <v>20</v>
      </c>
      <c r="J3854" s="1" t="s">
        <v>17340</v>
      </c>
      <c r="K3854" s="1" t="s">
        <v>22</v>
      </c>
      <c r="L3854" s="1" t="str">
        <f>HYPERLINK("https://files.afu.se/Downloads/Transcripts/0%20-%20Government/USA%20-%20NASA/2011 10 12 - NASA - NASA Administrator Bolden Tours Agency's New Mobile Launcher at Kennedy_Yf1NAwSoE6s - transcript (automated).pdf","Transcript Link")</f>
        <v>Transcript Link</v>
      </c>
      <c r="M3854" s="2" t="str">
        <f>HYPERLINK("https://files.afu.se/Downloads/Transcripts/0%20-%20Government/USA%20-%20NASA/2011 10 12 - NASA - NASA Administrator Bolden Tours Agency's New Mobile Launcher at Kennedy_Yf1NAwSoE6s - transcript (automated).pdf","Transcript Link")</f>
        <v>Transcript Link</v>
      </c>
    </row>
    <row r="3855" ht="165" spans="1:13">
      <c r="A3855" s="1" t="s">
        <v>17341</v>
      </c>
      <c r="B3855" s="1" t="s">
        <v>13</v>
      </c>
      <c r="C3855" s="4" t="s">
        <v>17342</v>
      </c>
      <c r="D3855" s="1" t="s">
        <v>17343</v>
      </c>
      <c r="E3855" s="1" t="s">
        <v>17344</v>
      </c>
      <c r="F3855" s="4" t="s">
        <v>17</v>
      </c>
      <c r="G3855" s="1" t="s">
        <v>18</v>
      </c>
      <c r="H3855" s="1" t="s">
        <v>19</v>
      </c>
      <c r="I3855" s="1" t="s">
        <v>20</v>
      </c>
      <c r="J3855" s="1" t="s">
        <v>17345</v>
      </c>
      <c r="K3855" s="1" t="s">
        <v>22</v>
      </c>
      <c r="L3855" s="1" t="str">
        <f>HYPERLINK("https://files.afu.se/Downloads/Transcripts/0%20-%20Government/USA%20-%20NASA/2011 10 07 - NASA - World's Largest Aviation Prize Awarded on This Week@NASA_O0sL7mGsDpU - transcript (automated).pdf","Transcript Link")</f>
        <v>Transcript Link</v>
      </c>
      <c r="M3855" s="2" t="str">
        <f>HYPERLINK("https://files.afu.se/Downloads/Transcripts/0%20-%20Government/USA%20-%20NASA/2011 10 07 - NASA - World's Largest Aviation Prize Awarded on This Week@NASA_O0sL7mGsDpU - transcript (automated).pdf","Transcript Link")</f>
        <v>Transcript Link</v>
      </c>
    </row>
    <row r="3856" ht="165" spans="1:13">
      <c r="A3856" s="1" t="s">
        <v>17341</v>
      </c>
      <c r="B3856" s="1" t="s">
        <v>13</v>
      </c>
      <c r="C3856" s="4" t="s">
        <v>17346</v>
      </c>
      <c r="D3856" s="1" t="s">
        <v>17347</v>
      </c>
      <c r="E3856" s="1" t="s">
        <v>17348</v>
      </c>
      <c r="F3856" s="4" t="s">
        <v>17</v>
      </c>
      <c r="G3856" s="1" t="s">
        <v>18</v>
      </c>
      <c r="H3856" s="1" t="s">
        <v>19</v>
      </c>
      <c r="I3856" s="1" t="s">
        <v>20</v>
      </c>
      <c r="J3856" s="1" t="s">
        <v>17349</v>
      </c>
      <c r="K3856" s="1" t="s">
        <v>22</v>
      </c>
      <c r="L3856" s="1" t="str">
        <f>HYPERLINK("https://files.afu.se/Downloads/Transcripts/0%20-%20Government/USA%20-%20NASA/2011 10 07 - NASA - ScienceCasts  Draconid Meteor Outburst_hyS81PPCErY - transcript (automated).pdf","Transcript Link")</f>
        <v>Transcript Link</v>
      </c>
      <c r="M3856" s="2" t="str">
        <f>HYPERLINK("https://files.afu.se/Downloads/Transcripts/0%20-%20Government/USA%20-%20NASA/2011 10 07 - NASA - ScienceCasts  Draconid Meteor Outburst_hyS81PPCErY - transcript (automated).pdf","Transcript Link")</f>
        <v>Transcript Link</v>
      </c>
    </row>
    <row r="3857" ht="165" spans="1:13">
      <c r="A3857" s="1" t="s">
        <v>17350</v>
      </c>
      <c r="B3857" s="1" t="s">
        <v>13</v>
      </c>
      <c r="C3857" s="4" t="s">
        <v>17351</v>
      </c>
      <c r="D3857" s="1" t="s">
        <v>17352</v>
      </c>
      <c r="E3857" s="1" t="s">
        <v>17353</v>
      </c>
      <c r="F3857" s="4" t="s">
        <v>17</v>
      </c>
      <c r="G3857" s="1" t="s">
        <v>18</v>
      </c>
      <c r="H3857" s="1" t="s">
        <v>19</v>
      </c>
      <c r="I3857" s="1" t="s">
        <v>20</v>
      </c>
      <c r="J3857" s="1" t="s">
        <v>17354</v>
      </c>
      <c r="K3857" s="1" t="s">
        <v>22</v>
      </c>
      <c r="L3857" s="1" t="str">
        <f>HYPERLINK("https://files.afu.se/Downloads/Transcripts/0%20-%20Government/USA%20-%20NASA/2011 10 06 - NASA - NASA's NPP Satellite to Expand Earth's Watch_S6RKyIIyOqM - transcript (automated).pdf","Transcript Link")</f>
        <v>Transcript Link</v>
      </c>
      <c r="M3857" s="2" t="str">
        <f>HYPERLINK("https://files.afu.se/Downloads/Transcripts/0%20-%20Government/USA%20-%20NASA/2011 10 06 - NASA - NASA's NPP Satellite to Expand Earth's Watch_S6RKyIIyOqM - transcript (automated).pdf","Transcript Link")</f>
        <v>Transcript Link</v>
      </c>
    </row>
    <row r="3858" ht="165" spans="1:13">
      <c r="A3858" s="1" t="s">
        <v>17350</v>
      </c>
      <c r="B3858" s="1" t="s">
        <v>13</v>
      </c>
      <c r="C3858" s="4" t="s">
        <v>17355</v>
      </c>
      <c r="D3858" s="1" t="s">
        <v>17356</v>
      </c>
      <c r="E3858" s="1" t="s">
        <v>17357</v>
      </c>
      <c r="F3858" s="4" t="s">
        <v>17</v>
      </c>
      <c r="G3858" s="1" t="s">
        <v>18</v>
      </c>
      <c r="H3858" s="1" t="s">
        <v>19</v>
      </c>
      <c r="I3858" s="1" t="s">
        <v>20</v>
      </c>
      <c r="J3858" s="1" t="s">
        <v>17358</v>
      </c>
      <c r="K3858" s="1" t="s">
        <v>22</v>
      </c>
      <c r="L3858" s="1" t="str">
        <f>HYPERLINK("https://files.afu.se/Downloads/Transcripts/0%20-%20Government/USA%20-%20NASA/2011 10 06 - NASA - Station Crew Discusses Life in Space With CBS News_VkCyzw88r_E - transcript (automated).pdf","Transcript Link")</f>
        <v>Transcript Link</v>
      </c>
      <c r="M3858" s="2" t="str">
        <f>HYPERLINK("https://files.afu.se/Downloads/Transcripts/0%20-%20Government/USA%20-%20NASA/2011 10 06 - NASA - Station Crew Discusses Life in Space With CBS News_VkCyzw88r_E - transcript (automated).pdf","Transcript Link")</f>
        <v>Transcript Link</v>
      </c>
    </row>
    <row r="3859" ht="165" spans="1:13">
      <c r="A3859" s="1" t="s">
        <v>17359</v>
      </c>
      <c r="B3859" s="1" t="s">
        <v>13</v>
      </c>
      <c r="C3859" s="4" t="s">
        <v>17360</v>
      </c>
      <c r="D3859" s="1" t="s">
        <v>17361</v>
      </c>
      <c r="E3859" s="1" t="s">
        <v>17362</v>
      </c>
      <c r="F3859" s="4" t="s">
        <v>17</v>
      </c>
      <c r="G3859" s="1" t="s">
        <v>18</v>
      </c>
      <c r="H3859" s="1" t="s">
        <v>19</v>
      </c>
      <c r="I3859" s="1" t="s">
        <v>20</v>
      </c>
      <c r="J3859" s="1" t="s">
        <v>17363</v>
      </c>
      <c r="K3859" s="1" t="s">
        <v>22</v>
      </c>
      <c r="L3859" s="1" t="str">
        <f>HYPERLINK("https://files.afu.se/Downloads/Transcripts/0%20-%20Government/USA%20-%20NASA/2011 10 04 - NASA - And the Green Flight Aviation Award Goes To..._BsxL_B5_rO0 - transcript (automated).pdf","Transcript Link")</f>
        <v>Transcript Link</v>
      </c>
      <c r="M3859" s="2" t="str">
        <f>HYPERLINK("https://files.afu.se/Downloads/Transcripts/0%20-%20Government/USA%20-%20NASA/2011 10 04 - NASA - And the Green Flight Aviation Award Goes To..._BsxL_B5_rO0 - transcript (automated).pdf","Transcript Link")</f>
        <v>Transcript Link</v>
      </c>
    </row>
    <row r="3860" ht="165" spans="1:13">
      <c r="A3860" s="1" t="s">
        <v>17364</v>
      </c>
      <c r="B3860" s="1" t="s">
        <v>13</v>
      </c>
      <c r="C3860" s="4" t="s">
        <v>17365</v>
      </c>
      <c r="D3860" s="1" t="s">
        <v>17366</v>
      </c>
      <c r="E3860" s="1" t="s">
        <v>17367</v>
      </c>
      <c r="F3860" s="4" t="s">
        <v>17</v>
      </c>
      <c r="G3860" s="1" t="s">
        <v>18</v>
      </c>
      <c r="H3860" s="1" t="s">
        <v>19</v>
      </c>
      <c r="I3860" s="1" t="s">
        <v>20</v>
      </c>
      <c r="J3860" s="1" t="s">
        <v>17368</v>
      </c>
      <c r="K3860" s="1" t="s">
        <v>22</v>
      </c>
      <c r="L3860" s="1" t="str">
        <f>HYPERLINK("https://files.afu.se/Downloads/Transcripts/0%20-%20Government/USA%20-%20NASA/2011 09 30 - NASA - Asteroid News from NASA's WISE Satellite Headlines the Latest Episode of This week at NASA_0AvtBkZdiME - transcript (automated).pdf","Transcript Link")</f>
        <v>Transcript Link</v>
      </c>
      <c r="M3860" s="2" t="str">
        <f>HYPERLINK("https://files.afu.se/Downloads/Transcripts/0%20-%20Government/USA%20-%20NASA/2011 09 30 - NASA - Asteroid News from NASA's WISE Satellite Headlines the Latest Episode of This week at NASA_0AvtBkZdiME - transcript (automated).pdf","Transcript Link")</f>
        <v>Transcript Link</v>
      </c>
    </row>
    <row r="3861" ht="165" spans="1:13">
      <c r="A3861" s="1" t="s">
        <v>17369</v>
      </c>
      <c r="B3861" s="1" t="s">
        <v>13</v>
      </c>
      <c r="C3861" s="4" t="s">
        <v>17370</v>
      </c>
      <c r="D3861" s="1" t="s">
        <v>17371</v>
      </c>
      <c r="E3861" s="1" t="s">
        <v>17372</v>
      </c>
      <c r="F3861" s="4" t="s">
        <v>17</v>
      </c>
      <c r="G3861" s="1" t="s">
        <v>18</v>
      </c>
      <c r="H3861" s="1" t="s">
        <v>19</v>
      </c>
      <c r="I3861" s="1" t="s">
        <v>20</v>
      </c>
      <c r="J3861" s="1" t="s">
        <v>17373</v>
      </c>
      <c r="K3861" s="1" t="s">
        <v>22</v>
      </c>
      <c r="L3861" s="1" t="str">
        <f>HYPERLINK("https://files.afu.se/Downloads/Transcripts/0%20-%20Government/USA%20-%20NASA/2011 09 29 - NASA - NASA Finds Fewer Asteroids Near Earth_m3NDbu5Y8c4 - transcript (automated).pdf","Transcript Link")</f>
        <v>Transcript Link</v>
      </c>
      <c r="M3861" s="2" t="str">
        <f>HYPERLINK("https://files.afu.se/Downloads/Transcripts/0%20-%20Government/USA%20-%20NASA/2011 09 29 - NASA - NASA Finds Fewer Asteroids Near Earth_m3NDbu5Y8c4 - transcript (automated).pdf","Transcript Link")</f>
        <v>Transcript Link</v>
      </c>
    </row>
    <row r="3862" ht="165" spans="1:13">
      <c r="A3862" s="1" t="s">
        <v>17369</v>
      </c>
      <c r="B3862" s="1" t="s">
        <v>13</v>
      </c>
      <c r="C3862" s="4" t="s">
        <v>17374</v>
      </c>
      <c r="D3862" s="1" t="s">
        <v>17375</v>
      </c>
      <c r="E3862" s="1" t="s">
        <v>17376</v>
      </c>
      <c r="F3862" s="4" t="s">
        <v>17</v>
      </c>
      <c r="G3862" s="1" t="s">
        <v>18</v>
      </c>
      <c r="H3862" s="1" t="s">
        <v>19</v>
      </c>
      <c r="I3862" s="1" t="s">
        <v>20</v>
      </c>
      <c r="J3862" s="1" t="s">
        <v>17377</v>
      </c>
      <c r="K3862" s="1" t="s">
        <v>22</v>
      </c>
      <c r="L3862" s="1" t="str">
        <f>HYPERLINK("https://files.afu.se/Downloads/Transcripts/0%20-%20Government/USA%20-%20NASA/2011 09 29 - NASA - ScienceCasts  The Strange Attraction of Gale Crater_uqZVf08nEYc - transcript (automated).pdf","Transcript Link")</f>
        <v>Transcript Link</v>
      </c>
      <c r="M3862" s="2" t="str">
        <f>HYPERLINK("https://files.afu.se/Downloads/Transcripts/0%20-%20Government/USA%20-%20NASA/2011 09 29 - NASA - ScienceCasts  The Strange Attraction of Gale Crater_uqZVf08nEYc - transcript (automated).pdf","Transcript Link")</f>
        <v>Transcript Link</v>
      </c>
    </row>
    <row r="3863" ht="165" spans="1:13">
      <c r="A3863" s="1" t="s">
        <v>17378</v>
      </c>
      <c r="B3863" s="1" t="s">
        <v>13</v>
      </c>
      <c r="C3863" s="4" t="s">
        <v>17379</v>
      </c>
      <c r="D3863" s="1" t="s">
        <v>17380</v>
      </c>
      <c r="E3863" s="1" t="s">
        <v>17381</v>
      </c>
      <c r="F3863" s="4" t="s">
        <v>17</v>
      </c>
      <c r="G3863" s="1" t="s">
        <v>18</v>
      </c>
      <c r="H3863" s="1" t="s">
        <v>19</v>
      </c>
      <c r="I3863" s="1" t="s">
        <v>20</v>
      </c>
      <c r="J3863" s="1" t="s">
        <v>17382</v>
      </c>
      <c r="K3863" s="1" t="s">
        <v>22</v>
      </c>
      <c r="L3863" s="1" t="str">
        <f>HYPERLINK("https://files.afu.se/Downloads/Transcripts/0%20-%20Government/USA%20-%20NASA/2011 09 28 - NASA - Station Crew Member Questioned by Japanese Media_tAwTJPUHkEs - transcript (automated).pdf","Transcript Link")</f>
        <v>Transcript Link</v>
      </c>
      <c r="M3863" s="2" t="str">
        <f>HYPERLINK("https://files.afu.se/Downloads/Transcripts/0%20-%20Government/USA%20-%20NASA/2011 09 28 - NASA - Station Crew Member Questioned by Japanese Media_tAwTJPUHkEs - transcript (automated).pdf","Transcript Link")</f>
        <v>Transcript Link</v>
      </c>
    </row>
    <row r="3864" ht="165" spans="1:13">
      <c r="A3864" s="1" t="s">
        <v>17383</v>
      </c>
      <c r="B3864" s="1" t="s">
        <v>13</v>
      </c>
      <c r="C3864" s="4" t="s">
        <v>17384</v>
      </c>
      <c r="D3864" s="1" t="s">
        <v>17385</v>
      </c>
      <c r="E3864" s="1" t="s">
        <v>17386</v>
      </c>
      <c r="F3864" s="4" t="s">
        <v>17</v>
      </c>
      <c r="G3864" s="1" t="s">
        <v>18</v>
      </c>
      <c r="H3864" s="1" t="s">
        <v>19</v>
      </c>
      <c r="I3864" s="1" t="s">
        <v>20</v>
      </c>
      <c r="J3864" s="1" t="s">
        <v>17387</v>
      </c>
      <c r="K3864" s="1" t="s">
        <v>22</v>
      </c>
      <c r="L3864" s="1" t="str">
        <f>HYPERLINK("https://files.afu.se/Downloads/Transcripts/0%20-%20Government/USA%20-%20NASA/2011 09 27 - NASA - ISS Commander Chats with Hispanic Students_yiTstmr1WHo - transcript (automated).pdf","Transcript Link")</f>
        <v>Transcript Link</v>
      </c>
      <c r="M3864" s="2" t="str">
        <f>HYPERLINK("https://files.afu.se/Downloads/Transcripts/0%20-%20Government/USA%20-%20NASA/2011 09 27 - NASA - ISS Commander Chats with Hispanic Students_yiTstmr1WHo - transcript (automated).pdf","Transcript Link")</f>
        <v>Transcript Link</v>
      </c>
    </row>
    <row r="3865" ht="165" spans="1:13">
      <c r="A3865" s="1" t="s">
        <v>17383</v>
      </c>
      <c r="B3865" s="1" t="s">
        <v>13</v>
      </c>
      <c r="C3865" s="4" t="s">
        <v>17388</v>
      </c>
      <c r="D3865" s="1" t="s">
        <v>17389</v>
      </c>
      <c r="E3865" s="1" t="s">
        <v>17390</v>
      </c>
      <c r="F3865" s="4" t="s">
        <v>17</v>
      </c>
      <c r="G3865" s="1" t="s">
        <v>18</v>
      </c>
      <c r="H3865" s="1" t="s">
        <v>19</v>
      </c>
      <c r="I3865" s="1" t="s">
        <v>20</v>
      </c>
      <c r="J3865" s="1" t="s">
        <v>17391</v>
      </c>
      <c r="K3865" s="1" t="s">
        <v>22</v>
      </c>
      <c r="L3865" s="1" t="str">
        <f>HYPERLINK("https://files.afu.se/Downloads/Transcripts/0%20-%20Government/USA%20-%20NASA/2011 09 27 - NASA - Aquarius Satellite Sees Seas' Salt and More on This Week @NASA_s5-R-HjWEUA - transcript (automated).pdf","Transcript Link")</f>
        <v>Transcript Link</v>
      </c>
      <c r="M3865" s="2" t="str">
        <f>HYPERLINK("https://files.afu.se/Downloads/Transcripts/0%20-%20Government/USA%20-%20NASA/2011 09 27 - NASA - Aquarius Satellite Sees Seas' Salt and More on This Week @NASA_s5-R-HjWEUA - transcript (automated).pdf","Transcript Link")</f>
        <v>Transcript Link</v>
      </c>
    </row>
    <row r="3866" ht="165" spans="1:13">
      <c r="A3866" s="1" t="s">
        <v>17383</v>
      </c>
      <c r="B3866" s="1" t="s">
        <v>13</v>
      </c>
      <c r="C3866" s="4" t="s">
        <v>17392</v>
      </c>
      <c r="D3866" s="1" t="s">
        <v>17393</v>
      </c>
      <c r="E3866" s="1" t="s">
        <v>17394</v>
      </c>
      <c r="F3866" s="4" t="s">
        <v>17</v>
      </c>
      <c r="G3866" s="1" t="s">
        <v>18</v>
      </c>
      <c r="H3866" s="1" t="s">
        <v>19</v>
      </c>
      <c r="I3866" s="1" t="s">
        <v>20</v>
      </c>
      <c r="J3866" s="1" t="s">
        <v>17395</v>
      </c>
      <c r="K3866" s="1" t="s">
        <v>22</v>
      </c>
      <c r="L3866" s="1" t="str">
        <f>HYPERLINK("https://files.afu.se/Downloads/Transcripts/0%20-%20Government/USA%20-%20NASA/2011 09 27 - NASA - NASA Administrator Checks Out New Spacecraft_HKx13fAzs4Q - transcript (automated).pdf","Transcript Link")</f>
        <v>Transcript Link</v>
      </c>
      <c r="M3866" s="2" t="str">
        <f>HYPERLINK("https://files.afu.se/Downloads/Transcripts/0%20-%20Government/USA%20-%20NASA/2011 09 27 - NASA - NASA Administrator Checks Out New Spacecraft_HKx13fAzs4Q - transcript (automated).pdf","Transcript Link")</f>
        <v>Transcript Link</v>
      </c>
    </row>
    <row r="3867" ht="165" spans="1:13">
      <c r="A3867" s="1" t="s">
        <v>17396</v>
      </c>
      <c r="B3867" s="1" t="s">
        <v>13</v>
      </c>
      <c r="C3867" s="4" t="s">
        <v>17397</v>
      </c>
      <c r="D3867" s="1" t="s">
        <v>17389</v>
      </c>
      <c r="E3867" s="1" t="s">
        <v>17390</v>
      </c>
      <c r="F3867" s="4" t="s">
        <v>17</v>
      </c>
      <c r="G3867" s="1" t="s">
        <v>18</v>
      </c>
      <c r="H3867" s="1" t="s">
        <v>19</v>
      </c>
      <c r="I3867" s="1" t="s">
        <v>20</v>
      </c>
      <c r="J3867" s="1" t="s">
        <v>17398</v>
      </c>
      <c r="K3867" s="1" t="s">
        <v>22</v>
      </c>
      <c r="L3867" s="1" t="str">
        <f>HYPERLINK("https://files.afu.se/Downloads/Transcripts/0%20-%20Government/USA%20-%20NASA/2011 09 23 - NASA - Aquarius Satellite Sees Seas' Salt and More on This Week @NASA_cUCn0TRb2dA - transcript (automated).pdf","Transcript Link")</f>
        <v>Transcript Link</v>
      </c>
      <c r="M3867" s="2" t="str">
        <f>HYPERLINK("https://files.afu.se/Downloads/Transcripts/0%20-%20Government/USA%20-%20NASA/2011 09 23 - NASA - Aquarius Satellite Sees Seas' Salt and More on This Week @NASA_cUCn0TRb2dA - transcript (automated).pdf","Transcript Link")</f>
        <v>Transcript Link</v>
      </c>
    </row>
    <row r="3868" ht="165" spans="1:13">
      <c r="A3868" s="1" t="s">
        <v>17399</v>
      </c>
      <c r="B3868" s="1" t="s">
        <v>13</v>
      </c>
      <c r="C3868" s="4" t="s">
        <v>17400</v>
      </c>
      <c r="D3868" s="1" t="s">
        <v>17401</v>
      </c>
      <c r="E3868" s="1" t="s">
        <v>17402</v>
      </c>
      <c r="F3868" s="4" t="s">
        <v>17</v>
      </c>
      <c r="G3868" s="1" t="s">
        <v>18</v>
      </c>
      <c r="H3868" s="1" t="s">
        <v>19</v>
      </c>
      <c r="I3868" s="1" t="s">
        <v>20</v>
      </c>
      <c r="J3868" s="1" t="s">
        <v>17403</v>
      </c>
      <c r="K3868" s="1" t="s">
        <v>22</v>
      </c>
      <c r="L3868" s="1" t="str">
        <f>HYPERLINK("https://files.afu.se/Downloads/Transcripts/0%20-%20Government/USA%20-%20NASA/2011 09 22 - NASA - ScienceCasts  Did Earth Have Two Moons _xbZ4MlTw2JA - transcript (automated).pdf","Transcript Link")</f>
        <v>Transcript Link</v>
      </c>
      <c r="M3868" s="2" t="str">
        <f>HYPERLINK("https://files.afu.se/Downloads/Transcripts/0%20-%20Government/USA%20-%20NASA/2011 09 22 - NASA - ScienceCasts  Did Earth Have Two Moons _xbZ4MlTw2JA - transcript (automated).pdf","Transcript Link")</f>
        <v>Transcript Link</v>
      </c>
    </row>
    <row r="3869" ht="165" spans="1:13">
      <c r="A3869" s="1" t="s">
        <v>17404</v>
      </c>
      <c r="B3869" s="1" t="s">
        <v>13</v>
      </c>
      <c r="C3869" s="4" t="s">
        <v>17405</v>
      </c>
      <c r="D3869" s="1" t="s">
        <v>17406</v>
      </c>
      <c r="E3869" s="1" t="s">
        <v>17407</v>
      </c>
      <c r="F3869" s="4" t="s">
        <v>17</v>
      </c>
      <c r="G3869" s="1" t="s">
        <v>18</v>
      </c>
      <c r="H3869" s="1" t="s">
        <v>19</v>
      </c>
      <c r="I3869" s="1" t="s">
        <v>20</v>
      </c>
      <c r="J3869" s="1" t="s">
        <v>17408</v>
      </c>
      <c r="K3869" s="1" t="s">
        <v>22</v>
      </c>
      <c r="L3869" s="1" t="str">
        <f>HYPERLINK("https://files.afu.se/Downloads/Transcripts/0%20-%20Government/USA%20-%20NASA/2011 09 20 - NASA - Future ISS Residents Meet Media_76tf_uy7skQ - transcript (automated).pdf","Transcript Link")</f>
        <v>Transcript Link</v>
      </c>
      <c r="M3869" s="2" t="str">
        <f>HYPERLINK("https://files.afu.se/Downloads/Transcripts/0%20-%20Government/USA%20-%20NASA/2011 09 20 - NASA - Future ISS Residents Meet Media_76tf_uy7skQ - transcript (automated).pdf","Transcript Link")</f>
        <v>Transcript Link</v>
      </c>
    </row>
    <row r="3870" ht="165" spans="1:13">
      <c r="A3870" s="1" t="s">
        <v>17404</v>
      </c>
      <c r="B3870" s="1" t="s">
        <v>13</v>
      </c>
      <c r="C3870" s="4" t="s">
        <v>17409</v>
      </c>
      <c r="D3870" s="1" t="s">
        <v>17410</v>
      </c>
      <c r="E3870" s="1" t="s">
        <v>17411</v>
      </c>
      <c r="F3870" s="4" t="s">
        <v>17</v>
      </c>
      <c r="G3870" s="1" t="s">
        <v>18</v>
      </c>
      <c r="H3870" s="1" t="s">
        <v>19</v>
      </c>
      <c r="I3870" s="1" t="s">
        <v>20</v>
      </c>
      <c r="J3870" s="1" t="s">
        <v>17412</v>
      </c>
      <c r="K3870" s="1" t="s">
        <v>22</v>
      </c>
      <c r="L3870" s="1" t="str">
        <f>HYPERLINK("https://files.afu.se/Downloads/Transcripts/0%20-%20Government/USA%20-%20NASA/2011 09 20 - NASA - Colorado Students Talk with Station_Y2NwvJa37Ng - transcript (automated).pdf","Transcript Link")</f>
        <v>Transcript Link</v>
      </c>
      <c r="M3870" s="2" t="str">
        <f>HYPERLINK("https://files.afu.se/Downloads/Transcripts/0%20-%20Government/USA%20-%20NASA/2011 09 20 - NASA - Colorado Students Talk with Station_Y2NwvJa37Ng - transcript (automated).pdf","Transcript Link")</f>
        <v>Transcript Link</v>
      </c>
    </row>
    <row r="3871" ht="240" spans="1:13">
      <c r="A3871" s="1" t="s">
        <v>17404</v>
      </c>
      <c r="B3871" s="1" t="s">
        <v>13</v>
      </c>
      <c r="C3871" s="4" t="s">
        <v>17413</v>
      </c>
      <c r="D3871" s="1" t="s">
        <v>17414</v>
      </c>
      <c r="E3871" s="1" t="s">
        <v>17415</v>
      </c>
      <c r="F3871" s="4" t="s">
        <v>17</v>
      </c>
      <c r="G3871" s="1" t="s">
        <v>18</v>
      </c>
      <c r="H3871" s="1" t="s">
        <v>19</v>
      </c>
      <c r="I3871" s="1" t="s">
        <v>20</v>
      </c>
      <c r="J3871" s="1" t="s">
        <v>17416</v>
      </c>
      <c r="K3871" s="1" t="s">
        <v>22</v>
      </c>
      <c r="L3871" s="1" t="str">
        <f>HYPERLINK("https://files.afu.se/Downloads/Transcripts/0%20-%20Government/USA%20-%20NASA/2011 09 20 - NASA - Garan Gets Home on This Week @NASA_0KAq-5gwq-s - transcript (automated).pdf","Transcript Link")</f>
        <v>Transcript Link</v>
      </c>
      <c r="M3871" s="2" t="str">
        <f>HYPERLINK("https://files.afu.se/Downloads/Transcripts/0%20-%20Government/USA%20-%20NASA/2011 09 20 - NASA - Garan Gets Home on This Week @NASA_0KAq-5gwq-s - transcript (automated).pdf","Transcript Link")</f>
        <v>Transcript Link</v>
      </c>
    </row>
    <row r="3872" ht="240" spans="1:13">
      <c r="A3872" s="1" t="s">
        <v>17417</v>
      </c>
      <c r="B3872" s="1" t="s">
        <v>13</v>
      </c>
      <c r="C3872" s="4" t="s">
        <v>17418</v>
      </c>
      <c r="D3872" s="1" t="s">
        <v>17414</v>
      </c>
      <c r="E3872" s="1" t="s">
        <v>17415</v>
      </c>
      <c r="F3872" s="4" t="s">
        <v>17</v>
      </c>
      <c r="G3872" s="1" t="s">
        <v>18</v>
      </c>
      <c r="H3872" s="1" t="s">
        <v>19</v>
      </c>
      <c r="I3872" s="1" t="s">
        <v>20</v>
      </c>
      <c r="J3872" s="1" t="s">
        <v>17419</v>
      </c>
      <c r="K3872" s="1" t="s">
        <v>22</v>
      </c>
      <c r="L3872" s="1" t="str">
        <f>HYPERLINK("https://files.afu.se/Downloads/Transcripts/0%20-%20Government/USA%20-%20NASA/2011 09 19 - NASA - Garan Gets Home on This Week @NASA_S1fO9QAOxi0 - transcript (automated).pdf","Transcript Link")</f>
        <v>Transcript Link</v>
      </c>
      <c r="M3872" s="2" t="str">
        <f>HYPERLINK("https://files.afu.se/Downloads/Transcripts/0%20-%20Government/USA%20-%20NASA/2011 09 19 - NASA - Garan Gets Home on This Week @NASA_S1fO9QAOxi0 - transcript (automated).pdf","Transcript Link")</f>
        <v>Transcript Link</v>
      </c>
    </row>
    <row r="3873" ht="165" spans="1:13">
      <c r="A3873" s="1" t="s">
        <v>17417</v>
      </c>
      <c r="B3873" s="1" t="s">
        <v>13</v>
      </c>
      <c r="C3873" s="4" t="s">
        <v>17420</v>
      </c>
      <c r="D3873" s="1" t="s">
        <v>17421</v>
      </c>
      <c r="E3873" s="1" t="s">
        <v>17422</v>
      </c>
      <c r="F3873" s="4" t="s">
        <v>17</v>
      </c>
      <c r="G3873" s="1" t="s">
        <v>18</v>
      </c>
      <c r="H3873" s="1" t="s">
        <v>19</v>
      </c>
      <c r="I3873" s="1" t="s">
        <v>20</v>
      </c>
      <c r="J3873" s="1" t="s">
        <v>17423</v>
      </c>
      <c r="K3873" s="1" t="s">
        <v>22</v>
      </c>
      <c r="L3873" s="1" t="str">
        <f>HYPERLINK("https://files.afu.se/Downloads/Transcripts/0%20-%20Government/USA%20-%20NASA/2011 09 19 - NASA - Station Crew Discusses Life in Space With Famed Environmentalist_pLOpRnxyySI - transcript (automated).pdf","Transcript Link")</f>
        <v>Transcript Link</v>
      </c>
      <c r="M3873" s="2" t="str">
        <f>HYPERLINK("https://files.afu.se/Downloads/Transcripts/0%20-%20Government/USA%20-%20NASA/2011 09 19 - NASA - Station Crew Discusses Life in Space With Famed Environmentalist_pLOpRnxyySI - transcript (automated).pdf","Transcript Link")</f>
        <v>Transcript Link</v>
      </c>
    </row>
    <row r="3874" ht="195" spans="1:13">
      <c r="A3874" s="1" t="s">
        <v>17424</v>
      </c>
      <c r="B3874" s="1" t="s">
        <v>13</v>
      </c>
      <c r="C3874" s="4" t="s">
        <v>17425</v>
      </c>
      <c r="D3874" s="1" t="s">
        <v>17426</v>
      </c>
      <c r="E3874" s="1" t="s">
        <v>17427</v>
      </c>
      <c r="F3874" s="4" t="s">
        <v>17</v>
      </c>
      <c r="G3874" s="1" t="s">
        <v>18</v>
      </c>
      <c r="H3874" s="1" t="s">
        <v>19</v>
      </c>
      <c r="I3874" s="1" t="s">
        <v>20</v>
      </c>
      <c r="J3874" s="1" t="s">
        <v>17428</v>
      </c>
      <c r="K3874" s="1" t="s">
        <v>22</v>
      </c>
      <c r="L3874" s="1" t="str">
        <f>HYPERLINK("https://files.afu.se/Downloads/Transcripts/0%20-%20Government/USA%20-%20NASA/2011 09 16 - NASA - Expedition 28 Receives a Warm Welcome in Kazakhstan and Russia_0R_FSS22P_E - transcript (automated).pdf","Transcript Link")</f>
        <v>Transcript Link</v>
      </c>
      <c r="M3874" s="2" t="str">
        <f>HYPERLINK("https://files.afu.se/Downloads/Transcripts/0%20-%20Government/USA%20-%20NASA/2011 09 16 - NASA - Expedition 28 Receives a Warm Welcome in Kazakhstan and Russia_0R_FSS22P_E - transcript (automated).pdf","Transcript Link")</f>
        <v>Transcript Link</v>
      </c>
    </row>
    <row r="3875" ht="165" spans="1:13">
      <c r="A3875" s="1" t="s">
        <v>17424</v>
      </c>
      <c r="B3875" s="1" t="s">
        <v>13</v>
      </c>
      <c r="C3875" s="4" t="s">
        <v>17429</v>
      </c>
      <c r="D3875" s="1" t="s">
        <v>8964</v>
      </c>
      <c r="E3875" s="1" t="s">
        <v>17430</v>
      </c>
      <c r="F3875" s="4" t="s">
        <v>17</v>
      </c>
      <c r="G3875" s="1" t="s">
        <v>18</v>
      </c>
      <c r="H3875" s="1" t="s">
        <v>19</v>
      </c>
      <c r="I3875" s="1" t="s">
        <v>20</v>
      </c>
      <c r="J3875" s="1" t="s">
        <v>17431</v>
      </c>
      <c r="K3875" s="1" t="s">
        <v>22</v>
      </c>
      <c r="L3875" s="1" t="str">
        <f>HYPERLINK("https://files.afu.se/Downloads/Transcripts/0%20-%20Government/USA%20-%20NASA/2011 09 16 - NASA - Soyuz Crew Lands in Kazakhstan_vhOQ1Xz7oOo - transcript (automated).pdf","Transcript Link")</f>
        <v>Transcript Link</v>
      </c>
      <c r="M3875" s="2" t="str">
        <f>HYPERLINK("https://files.afu.se/Downloads/Transcripts/0%20-%20Government/USA%20-%20NASA/2011 09 16 - NASA - Soyuz Crew Lands in Kazakhstan_vhOQ1Xz7oOo - transcript (automated).pdf","Transcript Link")</f>
        <v>Transcript Link</v>
      </c>
    </row>
    <row r="3876" ht="165" spans="1:13">
      <c r="A3876" s="1" t="s">
        <v>17424</v>
      </c>
      <c r="B3876" s="1" t="s">
        <v>13</v>
      </c>
      <c r="C3876" s="4" t="s">
        <v>17432</v>
      </c>
      <c r="D3876" s="1" t="s">
        <v>17433</v>
      </c>
      <c r="E3876" s="1" t="s">
        <v>17434</v>
      </c>
      <c r="F3876" s="4" t="s">
        <v>17</v>
      </c>
      <c r="G3876" s="1" t="s">
        <v>18</v>
      </c>
      <c r="H3876" s="1" t="s">
        <v>19</v>
      </c>
      <c r="I3876" s="1" t="s">
        <v>20</v>
      </c>
      <c r="J3876" s="1" t="s">
        <v>17435</v>
      </c>
      <c r="K3876" s="1" t="s">
        <v>22</v>
      </c>
      <c r="L3876" s="1" t="str">
        <f>HYPERLINK("https://files.afu.se/Downloads/Transcripts/0%20-%20Government/USA%20-%20NASA/2011 09 16 - NASA - Kepler Finds Double-Sun System_a1AZHMg-J5Q - transcript (automated).pdf","Transcript Link")</f>
        <v>Transcript Link</v>
      </c>
      <c r="M3876" s="2" t="str">
        <f>HYPERLINK("https://files.afu.se/Downloads/Transcripts/0%20-%20Government/USA%20-%20NASA/2011 09 16 - NASA - Kepler Finds Double-Sun System_a1AZHMg-J5Q - transcript (automated).pdf","Transcript Link")</f>
        <v>Transcript Link</v>
      </c>
    </row>
    <row r="3877" ht="165" spans="1:13">
      <c r="A3877" s="1" t="s">
        <v>17424</v>
      </c>
      <c r="B3877" s="1" t="s">
        <v>13</v>
      </c>
      <c r="C3877" s="4" t="s">
        <v>17436</v>
      </c>
      <c r="D3877" s="1" t="s">
        <v>8973</v>
      </c>
      <c r="E3877" s="1" t="s">
        <v>17437</v>
      </c>
      <c r="F3877" s="4" t="s">
        <v>17</v>
      </c>
      <c r="G3877" s="1" t="s">
        <v>18</v>
      </c>
      <c r="H3877" s="1" t="s">
        <v>19</v>
      </c>
      <c r="I3877" s="1" t="s">
        <v>20</v>
      </c>
      <c r="J3877" s="1" t="s">
        <v>17438</v>
      </c>
      <c r="K3877" s="1" t="s">
        <v>22</v>
      </c>
      <c r="L3877" s="1" t="str">
        <f>HYPERLINK("https://files.afu.se/Downloads/Transcripts/0%20-%20Government/USA%20-%20NASA/2011 09 16 - NASA - Soyuz Undocks from ISS_RyyQSMq29W8 - transcript (automated).pdf","Transcript Link")</f>
        <v>Transcript Link</v>
      </c>
      <c r="M3877" s="2" t="str">
        <f>HYPERLINK("https://files.afu.se/Downloads/Transcripts/0%20-%20Government/USA%20-%20NASA/2011 09 16 - NASA - Soyuz Undocks from ISS_RyyQSMq29W8 - transcript (automated).pdf","Transcript Link")</f>
        <v>Transcript Link</v>
      </c>
    </row>
    <row r="3878" ht="165" spans="1:13">
      <c r="A3878" s="1" t="s">
        <v>17424</v>
      </c>
      <c r="B3878" s="1" t="s">
        <v>13</v>
      </c>
      <c r="C3878" s="4" t="s">
        <v>17439</v>
      </c>
      <c r="D3878" s="1" t="s">
        <v>17440</v>
      </c>
      <c r="E3878" s="1" t="s">
        <v>17441</v>
      </c>
      <c r="F3878" s="4" t="s">
        <v>17</v>
      </c>
      <c r="G3878" s="1" t="s">
        <v>18</v>
      </c>
      <c r="H3878" s="1" t="s">
        <v>19</v>
      </c>
      <c r="I3878" s="1" t="s">
        <v>20</v>
      </c>
      <c r="J3878" s="1" t="s">
        <v>17442</v>
      </c>
      <c r="K3878" s="1" t="s">
        <v>22</v>
      </c>
      <c r="L3878" s="1" t="str">
        <f>HYPERLINK("https://files.afu.se/Downloads/Transcripts/0%20-%20Government/USA%20-%20NASA/2011 09 16 - NASA - ScienceCasts  Secret Lives of Solar Flares_N0_QB0kWhVo - transcript (automated).pdf","Transcript Link")</f>
        <v>Transcript Link</v>
      </c>
      <c r="M3878" s="2" t="str">
        <f>HYPERLINK("https://files.afu.se/Downloads/Transcripts/0%20-%20Government/USA%20-%20NASA/2011 09 16 - NASA - ScienceCasts  Secret Lives of Solar Flares_N0_QB0kWhVo - transcript (automated).pdf","Transcript Link")</f>
        <v>Transcript Link</v>
      </c>
    </row>
    <row r="3879" ht="165" spans="1:13">
      <c r="A3879" s="1" t="s">
        <v>17424</v>
      </c>
      <c r="B3879" s="1" t="s">
        <v>13</v>
      </c>
      <c r="C3879" s="4" t="s">
        <v>17443</v>
      </c>
      <c r="D3879" s="1" t="s">
        <v>17444</v>
      </c>
      <c r="E3879" s="1" t="s">
        <v>17445</v>
      </c>
      <c r="F3879" s="4" t="s">
        <v>17</v>
      </c>
      <c r="G3879" s="1" t="s">
        <v>18</v>
      </c>
      <c r="H3879" s="1" t="s">
        <v>19</v>
      </c>
      <c r="I3879" s="1" t="s">
        <v>20</v>
      </c>
      <c r="J3879" s="1" t="s">
        <v>17446</v>
      </c>
      <c r="K3879" s="1" t="s">
        <v>22</v>
      </c>
      <c r="L3879" s="1" t="str">
        <f>HYPERLINK("https://files.afu.se/Downloads/Transcripts/0%20-%20Government/USA%20-%20NASA/2011 09 16 - NASA - Hatch Closes as Soyuz Crew Bids Farewell_3mihT5ECrS8 - transcript (automated).pdf","Transcript Link")</f>
        <v>Transcript Link</v>
      </c>
      <c r="M3879" s="2" t="str">
        <f>HYPERLINK("https://files.afu.se/Downloads/Transcripts/0%20-%20Government/USA%20-%20NASA/2011 09 16 - NASA - Hatch Closes as Soyuz Crew Bids Farewell_3mihT5ECrS8 - transcript (automated).pdf","Transcript Link")</f>
        <v>Transcript Link</v>
      </c>
    </row>
    <row r="3880" ht="165" spans="1:13">
      <c r="A3880" s="1" t="s">
        <v>17447</v>
      </c>
      <c r="B3880" s="1" t="s">
        <v>13</v>
      </c>
      <c r="C3880" s="4" t="s">
        <v>17448</v>
      </c>
      <c r="D3880" s="1" t="s">
        <v>17449</v>
      </c>
      <c r="E3880" s="1" t="s">
        <v>17450</v>
      </c>
      <c r="F3880" s="4" t="s">
        <v>17</v>
      </c>
      <c r="G3880" s="1" t="s">
        <v>18</v>
      </c>
      <c r="H3880" s="1" t="s">
        <v>19</v>
      </c>
      <c r="I3880" s="1" t="s">
        <v>20</v>
      </c>
      <c r="J3880" s="1" t="s">
        <v>17451</v>
      </c>
      <c r="K3880" s="1" t="s">
        <v>22</v>
      </c>
      <c r="L3880" s="1" t="str">
        <f>HYPERLINK("https://files.afu.se/Downloads/Transcripts/0%20-%20Government/USA%20-%20NASA/2011 09 14 - NASA - NASA's Fossum Given ISS Command_WjbKvj15DZM - transcript (automated).pdf","Transcript Link")</f>
        <v>Transcript Link</v>
      </c>
      <c r="M3880" s="2" t="str">
        <f>HYPERLINK("https://files.afu.se/Downloads/Transcripts/0%20-%20Government/USA%20-%20NASA/2011 09 14 - NASA - NASA's Fossum Given ISS Command_WjbKvj15DZM - transcript (automated).pdf","Transcript Link")</f>
        <v>Transcript Link</v>
      </c>
    </row>
    <row r="3881" ht="165" spans="1:13">
      <c r="A3881" s="1" t="s">
        <v>17447</v>
      </c>
      <c r="B3881" s="1" t="s">
        <v>13</v>
      </c>
      <c r="C3881" s="4" t="s">
        <v>17452</v>
      </c>
      <c r="D3881" s="1" t="s">
        <v>17453</v>
      </c>
      <c r="E3881" s="1" t="s">
        <v>17454</v>
      </c>
      <c r="F3881" s="4" t="s">
        <v>17</v>
      </c>
      <c r="G3881" s="1" t="s">
        <v>18</v>
      </c>
      <c r="H3881" s="1" t="s">
        <v>19</v>
      </c>
      <c r="I3881" s="1" t="s">
        <v>20</v>
      </c>
      <c r="J3881" s="1" t="s">
        <v>17455</v>
      </c>
      <c r="K3881" s="1" t="s">
        <v>22</v>
      </c>
      <c r="L3881" s="1" t="str">
        <f>HYPERLINK("https://files.afu.se/Downloads/Transcripts/0%20-%20Government/USA%20-%20NASA/2011 09 14 - NASA - New Heavy-Lift Rocket to Take Humans Far Beyond Earth_QO_-kkjY9qU - transcript (automated).pdf","Transcript Link")</f>
        <v>Transcript Link</v>
      </c>
      <c r="M3881" s="2" t="str">
        <f>HYPERLINK("https://files.afu.se/Downloads/Transcripts/0%20-%20Government/USA%20-%20NASA/2011 09 14 - NASA - New Heavy-Lift Rocket to Take Humans Far Beyond Earth_QO_-kkjY9qU - transcript (automated).pdf","Transcript Link")</f>
        <v>Transcript Link</v>
      </c>
    </row>
    <row r="3882" ht="165" spans="1:13">
      <c r="A3882" s="1" t="s">
        <v>17447</v>
      </c>
      <c r="B3882" s="1" t="s">
        <v>13</v>
      </c>
      <c r="C3882" s="4" t="s">
        <v>17456</v>
      </c>
      <c r="D3882" s="1" t="s">
        <v>17457</v>
      </c>
      <c r="E3882" s="1" t="s">
        <v>17458</v>
      </c>
      <c r="F3882" s="4" t="s">
        <v>17</v>
      </c>
      <c r="G3882" s="1" t="s">
        <v>18</v>
      </c>
      <c r="H3882" s="1" t="s">
        <v>19</v>
      </c>
      <c r="I3882" s="1" t="s">
        <v>20</v>
      </c>
      <c r="J3882" s="1" t="s">
        <v>17459</v>
      </c>
      <c r="K3882" s="1" t="s">
        <v>22</v>
      </c>
      <c r="L3882" s="1" t="str">
        <f>HYPERLINK("https://files.afu.se/Downloads/Transcripts/0%20-%20Government/USA%20-%20NASA/2011 09 14 - NASA - Station Crew Member Discusses Life in Space with Elderly Japanese Citizens_8uorMEOWl08 - transcript (automated).pdf","Transcript Link")</f>
        <v>Transcript Link</v>
      </c>
      <c r="M3882" s="2" t="str">
        <f>HYPERLINK("https://files.afu.se/Downloads/Transcripts/0%20-%20Government/USA%20-%20NASA/2011 09 14 - NASA - Station Crew Member Discusses Life in Space with Elderly Japanese Citizens_8uorMEOWl08 - transcript (automated).pdf","Transcript Link")</f>
        <v>Transcript Link</v>
      </c>
    </row>
    <row r="3883" ht="165" spans="1:13">
      <c r="A3883" s="1" t="s">
        <v>17460</v>
      </c>
      <c r="B3883" s="1" t="s">
        <v>13</v>
      </c>
      <c r="C3883" s="4" t="s">
        <v>17461</v>
      </c>
      <c r="D3883" s="1" t="s">
        <v>17462</v>
      </c>
      <c r="E3883" s="1" t="s">
        <v>17463</v>
      </c>
      <c r="F3883" s="4" t="s">
        <v>17</v>
      </c>
      <c r="G3883" s="1" t="s">
        <v>18</v>
      </c>
      <c r="H3883" s="1" t="s">
        <v>19</v>
      </c>
      <c r="I3883" s="1" t="s">
        <v>20</v>
      </c>
      <c r="J3883" s="1" t="s">
        <v>17464</v>
      </c>
      <c r="K3883" s="1" t="s">
        <v>22</v>
      </c>
      <c r="L3883" s="1" t="str">
        <f>HYPERLINK("https://files.afu.se/Downloads/Transcripts/0%20-%20Government/USA%20-%20NASA/2011 09 13 - NASA - NASA, ATK to Collaborate on Liberty Launch System_AKevqfI2ZeY - transcript (automated).pdf","Transcript Link")</f>
        <v>Transcript Link</v>
      </c>
      <c r="M3883" s="2" t="str">
        <f>HYPERLINK("https://files.afu.se/Downloads/Transcripts/0%20-%20Government/USA%20-%20NASA/2011 09 13 - NASA - NASA, ATK to Collaborate on Liberty Launch System_AKevqfI2ZeY - transcript (automated).pdf","Transcript Link")</f>
        <v>Transcript Link</v>
      </c>
    </row>
    <row r="3884" ht="165" spans="1:13">
      <c r="A3884" s="1" t="s">
        <v>17460</v>
      </c>
      <c r="B3884" s="1" t="s">
        <v>13</v>
      </c>
      <c r="C3884" s="4" t="s">
        <v>17465</v>
      </c>
      <c r="D3884" s="1" t="s">
        <v>17466</v>
      </c>
      <c r="E3884" s="1" t="s">
        <v>17467</v>
      </c>
      <c r="F3884" s="4" t="s">
        <v>17</v>
      </c>
      <c r="G3884" s="1" t="s">
        <v>18</v>
      </c>
      <c r="H3884" s="1" t="s">
        <v>19</v>
      </c>
      <c r="I3884" s="1" t="s">
        <v>20</v>
      </c>
      <c r="J3884" s="1" t="s">
        <v>17468</v>
      </c>
      <c r="K3884" s="1" t="s">
        <v>22</v>
      </c>
      <c r="L3884" s="1" t="str">
        <f>HYPERLINK("https://files.afu.se/Downloads/Transcripts/0%20-%20Government/USA%20-%20NASA/2011 09 13 - NASA - NASA Remembers 9 11_0yiJNA7dTAw - transcript (automated).pdf","Transcript Link")</f>
        <v>Transcript Link</v>
      </c>
      <c r="M3884" s="2" t="str">
        <f>HYPERLINK("https://files.afu.se/Downloads/Transcripts/0%20-%20Government/USA%20-%20NASA/2011 09 13 - NASA - NASA Remembers 9 11_0yiJNA7dTAw - transcript (automated).pdf","Transcript Link")</f>
        <v>Transcript Link</v>
      </c>
    </row>
    <row r="3885" ht="165" spans="1:13">
      <c r="A3885" s="1" t="s">
        <v>17460</v>
      </c>
      <c r="B3885" s="1" t="s">
        <v>13</v>
      </c>
      <c r="C3885" s="4" t="s">
        <v>17469</v>
      </c>
      <c r="D3885" s="1" t="s">
        <v>17470</v>
      </c>
      <c r="E3885" s="1" t="s">
        <v>17471</v>
      </c>
      <c r="F3885" s="4" t="s">
        <v>17</v>
      </c>
      <c r="G3885" s="1" t="s">
        <v>18</v>
      </c>
      <c r="H3885" s="1" t="s">
        <v>19</v>
      </c>
      <c r="I3885" s="1" t="s">
        <v>20</v>
      </c>
      <c r="J3885" s="1" t="s">
        <v>17472</v>
      </c>
      <c r="K3885" s="1" t="s">
        <v>22</v>
      </c>
      <c r="L3885" s="1" t="str">
        <f>HYPERLINK("https://files.afu.se/Downloads/Transcripts/0%20-%20Government/USA%20-%20NASA/2011 09 13 - NASA - First Weld Made to New Spacecraft_DU0Vhd1ceDQ - transcript (automated).pdf","Transcript Link")</f>
        <v>Transcript Link</v>
      </c>
      <c r="M3885" s="2" t="str">
        <f>HYPERLINK("https://files.afu.se/Downloads/Transcripts/0%20-%20Government/USA%20-%20NASA/2011 09 13 - NASA - First Weld Made to New Spacecraft_DU0Vhd1ceDQ - transcript (automated).pdf","Transcript Link")</f>
        <v>Transcript Link</v>
      </c>
    </row>
    <row r="3886" ht="165" spans="1:13">
      <c r="A3886" s="1" t="s">
        <v>17473</v>
      </c>
      <c r="B3886" s="1" t="s">
        <v>13</v>
      </c>
      <c r="C3886" s="4" t="s">
        <v>17474</v>
      </c>
      <c r="D3886" s="1" t="s">
        <v>17475</v>
      </c>
      <c r="E3886" s="1" t="s">
        <v>17476</v>
      </c>
      <c r="F3886" s="4" t="s">
        <v>17</v>
      </c>
      <c r="G3886" s="1" t="s">
        <v>18</v>
      </c>
      <c r="H3886" s="1" t="s">
        <v>19</v>
      </c>
      <c r="I3886" s="1" t="s">
        <v>20</v>
      </c>
      <c r="J3886" s="1" t="s">
        <v>17477</v>
      </c>
      <c r="K3886" s="1" t="s">
        <v>22</v>
      </c>
      <c r="L3886" s="1" t="str">
        <f>HYPERLINK("https://files.afu.se/Downloads/Transcripts/0%20-%20Government/USA%20-%20NASA/2011 09 12 - NASA - ScienceCasts  Visit To Pluto_mrD8gjnwMcg - transcript (automated).pdf","Transcript Link")</f>
        <v>Transcript Link</v>
      </c>
      <c r="M3886" s="2" t="str">
        <f>HYPERLINK("https://files.afu.se/Downloads/Transcripts/0%20-%20Government/USA%20-%20NASA/2011 09 12 - NASA - ScienceCasts  Visit To Pluto_mrD8gjnwMcg - transcript (automated).pdf","Transcript Link")</f>
        <v>Transcript Link</v>
      </c>
    </row>
    <row r="3887" ht="165" spans="1:13">
      <c r="A3887" s="1" t="s">
        <v>17473</v>
      </c>
      <c r="B3887" s="1" t="s">
        <v>13</v>
      </c>
      <c r="C3887" s="4" t="s">
        <v>17478</v>
      </c>
      <c r="D3887" s="1" t="s">
        <v>17479</v>
      </c>
      <c r="E3887" s="1" t="s">
        <v>17480</v>
      </c>
      <c r="F3887" s="4" t="s">
        <v>17</v>
      </c>
      <c r="G3887" s="1" t="s">
        <v>18</v>
      </c>
      <c r="H3887" s="1" t="s">
        <v>19</v>
      </c>
      <c r="I3887" s="1" t="s">
        <v>20</v>
      </c>
      <c r="J3887" s="1" t="s">
        <v>17481</v>
      </c>
      <c r="K3887" s="1" t="s">
        <v>22</v>
      </c>
      <c r="L3887" s="1" t="str">
        <f>HYPERLINK("https://files.afu.se/Downloads/Transcripts/0%20-%20Government/USA%20-%20NASA/2011 09 12 - NASA - ScienceCasts  Cool Stars_cTMzkHa8rCI - transcript (automated).pdf","Transcript Link")</f>
        <v>Transcript Link</v>
      </c>
      <c r="M3887" s="2" t="str">
        <f>HYPERLINK("https://files.afu.se/Downloads/Transcripts/0%20-%20Government/USA%20-%20NASA/2011 09 12 - NASA - ScienceCasts  Cool Stars_cTMzkHa8rCI - transcript (automated).pdf","Transcript Link")</f>
        <v>Transcript Link</v>
      </c>
    </row>
    <row r="3888" ht="165" spans="1:13">
      <c r="A3888" s="1" t="s">
        <v>17473</v>
      </c>
      <c r="B3888" s="1" t="s">
        <v>13</v>
      </c>
      <c r="C3888" s="4" t="s">
        <v>17482</v>
      </c>
      <c r="D3888" s="1" t="s">
        <v>17483</v>
      </c>
      <c r="E3888" s="1" t="s">
        <v>17484</v>
      </c>
      <c r="F3888" s="4" t="s">
        <v>17</v>
      </c>
      <c r="G3888" s="1" t="s">
        <v>18</v>
      </c>
      <c r="H3888" s="1" t="s">
        <v>19</v>
      </c>
      <c r="I3888" s="1" t="s">
        <v>20</v>
      </c>
      <c r="J3888" s="1" t="s">
        <v>17485</v>
      </c>
      <c r="K3888" s="1" t="s">
        <v>22</v>
      </c>
      <c r="L3888" s="1" t="str">
        <f>HYPERLINK("https://files.afu.se/Downloads/Transcripts/0%20-%20Government/USA%20-%20NASA/2011 09 12 - NASA - New ISS Lab Manager on This Week @NASA_YUwoKuQywrk - transcript (automated).pdf","Transcript Link")</f>
        <v>Transcript Link</v>
      </c>
      <c r="M3888" s="2" t="str">
        <f>HYPERLINK("https://files.afu.se/Downloads/Transcripts/0%20-%20Government/USA%20-%20NASA/2011 09 12 - NASA - New ISS Lab Manager on This Week @NASA_YUwoKuQywrk - transcript (automated).pdf","Transcript Link")</f>
        <v>Transcript Link</v>
      </c>
    </row>
    <row r="3889" ht="165" spans="1:13">
      <c r="A3889" s="1" t="s">
        <v>17486</v>
      </c>
      <c r="B3889" s="1" t="s">
        <v>13</v>
      </c>
      <c r="C3889" s="4" t="s">
        <v>17487</v>
      </c>
      <c r="D3889" s="1" t="s">
        <v>17488</v>
      </c>
      <c r="E3889" s="1" t="s">
        <v>17489</v>
      </c>
      <c r="F3889" s="4" t="s">
        <v>17</v>
      </c>
      <c r="G3889" s="1" t="s">
        <v>18</v>
      </c>
      <c r="H3889" s="1" t="s">
        <v>19</v>
      </c>
      <c r="I3889" s="1" t="s">
        <v>20</v>
      </c>
      <c r="J3889" s="1" t="s">
        <v>17490</v>
      </c>
      <c r="K3889" s="1" t="s">
        <v>22</v>
      </c>
      <c r="L3889" s="1" t="str">
        <f>HYPERLINK("https://files.afu.se/Downloads/Transcripts/0%20-%20Government/USA%20-%20NASA/2011 09 10 - NASA - NASA's GRAIL Spacecraft Launches on Lunar Mission_1elSL-w1B8g - transcript (automated).pdf","Transcript Link")</f>
        <v>Transcript Link</v>
      </c>
      <c r="M3889" s="2" t="str">
        <f>HYPERLINK("https://files.afu.se/Downloads/Transcripts/0%20-%20Government/USA%20-%20NASA/2011 09 10 - NASA - NASA's GRAIL Spacecraft Launches on Lunar Mission_1elSL-w1B8g - transcript (automated).pdf","Transcript Link")</f>
        <v>Transcript Link</v>
      </c>
    </row>
    <row r="3890" ht="165" spans="1:13">
      <c r="A3890" s="1" t="s">
        <v>17491</v>
      </c>
      <c r="B3890" s="1" t="s">
        <v>13</v>
      </c>
      <c r="C3890" s="4" t="s">
        <v>17492</v>
      </c>
      <c r="D3890" s="1" t="s">
        <v>17493</v>
      </c>
      <c r="E3890" s="1" t="s">
        <v>17494</v>
      </c>
      <c r="F3890" s="4" t="s">
        <v>17</v>
      </c>
      <c r="G3890" s="1" t="s">
        <v>18</v>
      </c>
      <c r="H3890" s="1" t="s">
        <v>19</v>
      </c>
      <c r="I3890" s="1" t="s">
        <v>20</v>
      </c>
      <c r="J3890" s="1" t="s">
        <v>17495</v>
      </c>
      <c r="K3890" s="1" t="s">
        <v>22</v>
      </c>
      <c r="L3890" s="1" t="str">
        <f>HYPERLINK("https://files.afu.se/Downloads/Transcripts/0%20-%20Government/USA%20-%20NASA/2011 09 09 - NASA - Satellite Sees Four Tropical Cyclones and Remnants Today_8-juzSr4HPI - transcript (automated).pdf","Transcript Link")</f>
        <v>Transcript Link</v>
      </c>
      <c r="M3890" s="2" t="str">
        <f>HYPERLINK("https://files.afu.se/Downloads/Transcripts/0%20-%20Government/USA%20-%20NASA/2011 09 09 - NASA - Satellite Sees Four Tropical Cyclones and Remnants Today_8-juzSr4HPI - transcript (automated).pdf","Transcript Link")</f>
        <v>Transcript Link</v>
      </c>
    </row>
    <row r="3891" ht="165" spans="1:13">
      <c r="A3891" s="1" t="s">
        <v>17491</v>
      </c>
      <c r="B3891" s="1" t="s">
        <v>13</v>
      </c>
      <c r="C3891" s="4" t="s">
        <v>17496</v>
      </c>
      <c r="D3891" s="1" t="s">
        <v>17497</v>
      </c>
      <c r="E3891" s="1" t="s">
        <v>17498</v>
      </c>
      <c r="F3891" s="4" t="s">
        <v>17</v>
      </c>
      <c r="G3891" s="1" t="s">
        <v>18</v>
      </c>
      <c r="H3891" s="1" t="s">
        <v>19</v>
      </c>
      <c r="I3891" s="1" t="s">
        <v>20</v>
      </c>
      <c r="J3891" s="1" t="s">
        <v>17499</v>
      </c>
      <c r="K3891" s="1" t="s">
        <v>22</v>
      </c>
      <c r="L3891" s="1" t="str">
        <f>HYPERLINK("https://files.afu.se/Downloads/Transcripts/0%20-%20Government/USA%20-%20NASA/2011 09 09 - NASA - ISS Astronaut Remembers 9 11_c6Rb5B0vrgI - transcript (automated).pdf","Transcript Link")</f>
        <v>Transcript Link</v>
      </c>
      <c r="M3891" s="2" t="str">
        <f>HYPERLINK("https://files.afu.se/Downloads/Transcripts/0%20-%20Government/USA%20-%20NASA/2011 09 09 - NASA - ISS Astronaut Remembers 9 11_c6Rb5B0vrgI - transcript (automated).pdf","Transcript Link")</f>
        <v>Transcript Link</v>
      </c>
    </row>
    <row r="3892" ht="210" spans="1:13">
      <c r="A3892" s="1" t="s">
        <v>17491</v>
      </c>
      <c r="B3892" s="1" t="s">
        <v>13</v>
      </c>
      <c r="C3892" s="4" t="s">
        <v>17500</v>
      </c>
      <c r="D3892" s="1" t="s">
        <v>17501</v>
      </c>
      <c r="E3892" s="1" t="s">
        <v>17502</v>
      </c>
      <c r="F3892" s="4" t="s">
        <v>17</v>
      </c>
      <c r="G3892" s="1" t="s">
        <v>18</v>
      </c>
      <c r="H3892" s="1" t="s">
        <v>19</v>
      </c>
      <c r="I3892" s="1" t="s">
        <v>20</v>
      </c>
      <c r="J3892" s="1" t="s">
        <v>17503</v>
      </c>
      <c r="K3892" s="1" t="s">
        <v>22</v>
      </c>
      <c r="L3892" s="1" t="str">
        <f>HYPERLINK("https://files.afu.se/Downloads/Transcripts/0%20-%20Government/USA%20-%20NASA/2011 09 09 - NASA - Space Station Continues Tropical Storms Watch_ThBMvOIkkII - transcript (automated).pdf","Transcript Link")</f>
        <v>Transcript Link</v>
      </c>
      <c r="M3892" s="2" t="str">
        <f>HYPERLINK("https://files.afu.se/Downloads/Transcripts/0%20-%20Government/USA%20-%20NASA/2011 09 09 - NASA - Space Station Continues Tropical Storms Watch_ThBMvOIkkII - transcript (automated).pdf","Transcript Link")</f>
        <v>Transcript Link</v>
      </c>
    </row>
    <row r="3893" ht="165" spans="1:13">
      <c r="A3893" s="1" t="s">
        <v>17504</v>
      </c>
      <c r="B3893" s="1" t="s">
        <v>13</v>
      </c>
      <c r="C3893" s="4" t="s">
        <v>17505</v>
      </c>
      <c r="D3893" s="1" t="s">
        <v>17506</v>
      </c>
      <c r="E3893" s="1" t="s">
        <v>17507</v>
      </c>
      <c r="F3893" s="4" t="s">
        <v>17</v>
      </c>
      <c r="G3893" s="1" t="s">
        <v>18</v>
      </c>
      <c r="H3893" s="1" t="s">
        <v>19</v>
      </c>
      <c r="I3893" s="1" t="s">
        <v>20</v>
      </c>
      <c r="J3893" s="1" t="s">
        <v>17508</v>
      </c>
      <c r="K3893" s="1" t="s">
        <v>22</v>
      </c>
      <c r="L3893" s="1" t="str">
        <f>HYPERLINK("https://files.afu.se/Downloads/Transcripts/0%20-%20Government/USA%20-%20NASA/2011 09 08 - NASA - Wax On, Wax Off_rFZ50AZedhw - transcript (automated).pdf","Transcript Link")</f>
        <v>Transcript Link</v>
      </c>
      <c r="M3893" s="2" t="str">
        <f>HYPERLINK("https://files.afu.se/Downloads/Transcripts/0%20-%20Government/USA%20-%20NASA/2011 09 08 - NASA - Wax On, Wax Off_rFZ50AZedhw - transcript (automated).pdf","Transcript Link")</f>
        <v>Transcript Link</v>
      </c>
    </row>
    <row r="3894" ht="165" spans="1:13">
      <c r="A3894" s="1" t="s">
        <v>17504</v>
      </c>
      <c r="B3894" s="1" t="s">
        <v>13</v>
      </c>
      <c r="C3894" s="4" t="s">
        <v>17509</v>
      </c>
      <c r="D3894" s="1" t="s">
        <v>17510</v>
      </c>
      <c r="E3894" s="1" t="s">
        <v>17511</v>
      </c>
      <c r="F3894" s="4" t="s">
        <v>17</v>
      </c>
      <c r="G3894" s="1" t="s">
        <v>18</v>
      </c>
      <c r="H3894" s="1" t="s">
        <v>19</v>
      </c>
      <c r="I3894" s="1" t="s">
        <v>20</v>
      </c>
      <c r="J3894" s="1" t="s">
        <v>17512</v>
      </c>
      <c r="K3894" s="1" t="s">
        <v>22</v>
      </c>
      <c r="L3894" s="1" t="str">
        <f>HYPERLINK("https://files.afu.se/Downloads/Transcripts/0%20-%20Government/USA%20-%20NASA/2011 09 08 - NASA - Not So Heavy Metal_S5Y94_rEsfs - transcript (automated).pdf","Transcript Link")</f>
        <v>Transcript Link</v>
      </c>
      <c r="M3894" s="2" t="str">
        <f>HYPERLINK("https://files.afu.se/Downloads/Transcripts/0%20-%20Government/USA%20-%20NASA/2011 09 08 - NASA - Not So Heavy Metal_S5Y94_rEsfs - transcript (automated).pdf","Transcript Link")</f>
        <v>Transcript Link</v>
      </c>
    </row>
    <row r="3895" ht="165" spans="1:13">
      <c r="A3895" s="1" t="s">
        <v>17504</v>
      </c>
      <c r="B3895" s="1" t="s">
        <v>13</v>
      </c>
      <c r="C3895" s="4" t="s">
        <v>17513</v>
      </c>
      <c r="D3895" s="1" t="s">
        <v>17493</v>
      </c>
      <c r="E3895" s="1" t="s">
        <v>17514</v>
      </c>
      <c r="F3895" s="4" t="s">
        <v>17</v>
      </c>
      <c r="G3895" s="1" t="s">
        <v>18</v>
      </c>
      <c r="H3895" s="1" t="s">
        <v>19</v>
      </c>
      <c r="I3895" s="1" t="s">
        <v>20</v>
      </c>
      <c r="J3895" s="1" t="s">
        <v>17515</v>
      </c>
      <c r="K3895" s="1" t="s">
        <v>22</v>
      </c>
      <c r="L3895" s="1" t="str">
        <f>HYPERLINK("https://files.afu.se/Downloads/Transcripts/0%20-%20Government/USA%20-%20NASA/2011 09 08 - NASA - Satellite Sees Four Tropical Cyclones and Remnants Today_pSUDohqwg3I - transcript (automated).pdf","Transcript Link")</f>
        <v>Transcript Link</v>
      </c>
      <c r="M3895" s="2" t="str">
        <f>HYPERLINK("https://files.afu.se/Downloads/Transcripts/0%20-%20Government/USA%20-%20NASA/2011 09 08 - NASA - Satellite Sees Four Tropical Cyclones and Remnants Today_pSUDohqwg3I - transcript (automated).pdf","Transcript Link")</f>
        <v>Transcript Link</v>
      </c>
    </row>
    <row r="3896" ht="165" spans="1:13">
      <c r="A3896" s="1" t="s">
        <v>17504</v>
      </c>
      <c r="B3896" s="1" t="s">
        <v>13</v>
      </c>
      <c r="C3896" s="4" t="s">
        <v>17516</v>
      </c>
      <c r="D3896" s="1" t="s">
        <v>17517</v>
      </c>
      <c r="E3896" s="1" t="s">
        <v>17518</v>
      </c>
      <c r="F3896" s="4" t="s">
        <v>17</v>
      </c>
      <c r="G3896" s="1" t="s">
        <v>18</v>
      </c>
      <c r="H3896" s="1" t="s">
        <v>19</v>
      </c>
      <c r="I3896" s="1" t="s">
        <v>20</v>
      </c>
      <c r="J3896" s="1" t="s">
        <v>17519</v>
      </c>
      <c r="K3896" s="1" t="s">
        <v>22</v>
      </c>
      <c r="L3896" s="1" t="str">
        <f>HYPERLINK("https://files.afu.se/Downloads/Transcripts/0%20-%20Government/USA%20-%20NASA/2011 09 08 - NASA - Station Cameras Capture Nature's Extremes_QZa0haNFy1M - transcript (automated).pdf","Transcript Link")</f>
        <v>Transcript Link</v>
      </c>
      <c r="M3896" s="2" t="str">
        <f>HYPERLINK("https://files.afu.se/Downloads/Transcripts/0%20-%20Government/USA%20-%20NASA/2011 09 08 - NASA - Station Cameras Capture Nature's Extremes_QZa0haNFy1M - transcript (automated).pdf","Transcript Link")</f>
        <v>Transcript Link</v>
      </c>
    </row>
    <row r="3897" ht="165" spans="1:13">
      <c r="A3897" s="1" t="s">
        <v>17504</v>
      </c>
      <c r="B3897" s="1" t="s">
        <v>13</v>
      </c>
      <c r="C3897" s="4" t="s">
        <v>17520</v>
      </c>
      <c r="D3897" s="1" t="s">
        <v>17521</v>
      </c>
      <c r="E3897" s="1" t="s">
        <v>17522</v>
      </c>
      <c r="F3897" s="4" t="s">
        <v>17</v>
      </c>
      <c r="G3897" s="1" t="s">
        <v>18</v>
      </c>
      <c r="H3897" s="1" t="s">
        <v>19</v>
      </c>
      <c r="I3897" s="1" t="s">
        <v>20</v>
      </c>
      <c r="J3897" s="1" t="s">
        <v>17523</v>
      </c>
      <c r="K3897" s="1" t="s">
        <v>22</v>
      </c>
      <c r="L3897" s="1" t="str">
        <f>HYPERLINK("https://files.afu.se/Downloads/Transcripts/0%20-%20Government/USA%20-%20NASA/2011 09 08 - NASA - Uncovering MIRI's Detectors__vHQBjvGg-k - transcript (automated).pdf","Transcript Link")</f>
        <v>Transcript Link</v>
      </c>
      <c r="M3897" s="2" t="str">
        <f>HYPERLINK("https://files.afu.se/Downloads/Transcripts/0%20-%20Government/USA%20-%20NASA/2011 09 08 - NASA - Uncovering MIRI's Detectors__vHQBjvGg-k - transcript (automated).pdf","Transcript Link")</f>
        <v>Transcript Link</v>
      </c>
    </row>
    <row r="3898" ht="165" spans="1:13">
      <c r="A3898" s="1" t="s">
        <v>17504</v>
      </c>
      <c r="B3898" s="1" t="s">
        <v>13</v>
      </c>
      <c r="C3898" s="4" t="s">
        <v>17524</v>
      </c>
      <c r="D3898" s="1" t="s">
        <v>17525</v>
      </c>
      <c r="E3898" s="1" t="s">
        <v>17526</v>
      </c>
      <c r="F3898" s="4" t="s">
        <v>17</v>
      </c>
      <c r="G3898" s="1" t="s">
        <v>18</v>
      </c>
      <c r="H3898" s="1" t="s">
        <v>19</v>
      </c>
      <c r="I3898" s="1" t="s">
        <v>20</v>
      </c>
      <c r="J3898" s="1" t="s">
        <v>17527</v>
      </c>
      <c r="K3898" s="1" t="s">
        <v>22</v>
      </c>
      <c r="L3898" s="1" t="str">
        <f>HYPERLINK("https://files.afu.se/Downloads/Transcripts/0%20-%20Government/USA%20-%20NASA/2011 09 08 - NASA - 9 11 Remembered by Space Station Crew Members_Ffxj35bxwnw - transcript (automated).pdf","Transcript Link")</f>
        <v>Transcript Link</v>
      </c>
      <c r="M3898" s="2" t="str">
        <f>HYPERLINK("https://files.afu.se/Downloads/Transcripts/0%20-%20Government/USA%20-%20NASA/2011 09 08 - NASA - 9 11 Remembered by Space Station Crew Members_Ffxj35bxwnw - transcript (automated).pdf","Transcript Link")</f>
        <v>Transcript Link</v>
      </c>
    </row>
    <row r="3899" ht="165" spans="1:13">
      <c r="A3899" s="1" t="s">
        <v>17528</v>
      </c>
      <c r="B3899" s="1" t="s">
        <v>13</v>
      </c>
      <c r="C3899" s="4" t="s">
        <v>17529</v>
      </c>
      <c r="D3899" s="1" t="s">
        <v>17530</v>
      </c>
      <c r="E3899" s="1" t="s">
        <v>17531</v>
      </c>
      <c r="F3899" s="4" t="s">
        <v>17</v>
      </c>
      <c r="G3899" s="1" t="s">
        <v>18</v>
      </c>
      <c r="H3899" s="1" t="s">
        <v>19</v>
      </c>
      <c r="I3899" s="1" t="s">
        <v>20</v>
      </c>
      <c r="J3899" s="1" t="s">
        <v>17532</v>
      </c>
      <c r="K3899" s="1" t="s">
        <v>22</v>
      </c>
      <c r="L3899" s="1" t="str">
        <f>HYPERLINK("https://files.afu.se/Downloads/Transcripts/0%20-%20Government/USA%20-%20NASA/2011 09 07 - NASA - SDO Detects  Late Phase  Solar Flares_9w3SakwPXQc - transcript (automated).pdf","Transcript Link")</f>
        <v>Transcript Link</v>
      </c>
      <c r="M3899" s="2" t="str">
        <f>HYPERLINK("https://files.afu.se/Downloads/Transcripts/0%20-%20Government/USA%20-%20NASA/2011 09 07 - NASA - SDO Detects  Late Phase  Solar Flares_9w3SakwPXQc - transcript (automated).pdf","Transcript Link")</f>
        <v>Transcript Link</v>
      </c>
    </row>
    <row r="3900" ht="165" spans="1:13">
      <c r="A3900" s="1" t="s">
        <v>17528</v>
      </c>
      <c r="B3900" s="1" t="s">
        <v>13</v>
      </c>
      <c r="C3900" s="4" t="s">
        <v>17533</v>
      </c>
      <c r="D3900" s="1" t="s">
        <v>17534</v>
      </c>
      <c r="E3900" s="1" t="s">
        <v>17535</v>
      </c>
      <c r="F3900" s="4" t="s">
        <v>17</v>
      </c>
      <c r="G3900" s="1" t="s">
        <v>18</v>
      </c>
      <c r="H3900" s="1" t="s">
        <v>19</v>
      </c>
      <c r="I3900" s="1" t="s">
        <v>20</v>
      </c>
      <c r="J3900" s="1" t="s">
        <v>17536</v>
      </c>
      <c r="K3900" s="1" t="s">
        <v>22</v>
      </c>
      <c r="L3900" s="1" t="str">
        <f>HYPERLINK("https://files.afu.se/Downloads/Transcripts/0%20-%20Government/USA%20-%20NASA/2011 09 07 - NASA - Station Cameras Hone In on Hurricane Katia_0vkXMHGSqKw - transcript (automated).pdf","Transcript Link")</f>
        <v>Transcript Link</v>
      </c>
      <c r="M3900" s="2" t="str">
        <f>HYPERLINK("https://files.afu.se/Downloads/Transcripts/0%20-%20Government/USA%20-%20NASA/2011 09 07 - NASA - Station Cameras Hone In on Hurricane Katia_0vkXMHGSqKw - transcript (automated).pdf","Transcript Link")</f>
        <v>Transcript Link</v>
      </c>
    </row>
    <row r="3901" ht="165" spans="1:13">
      <c r="A3901" s="1" t="s">
        <v>17528</v>
      </c>
      <c r="B3901" s="1" t="s">
        <v>13</v>
      </c>
      <c r="C3901" s="4" t="s">
        <v>17537</v>
      </c>
      <c r="D3901" s="1" t="s">
        <v>17538</v>
      </c>
      <c r="E3901" s="1" t="s">
        <v>17539</v>
      </c>
      <c r="F3901" s="4" t="s">
        <v>17</v>
      </c>
      <c r="G3901" s="1" t="s">
        <v>18</v>
      </c>
      <c r="H3901" s="1" t="s">
        <v>19</v>
      </c>
      <c r="I3901" s="1" t="s">
        <v>20</v>
      </c>
      <c r="J3901" s="1" t="s">
        <v>17540</v>
      </c>
      <c r="K3901" s="1" t="s">
        <v>22</v>
      </c>
      <c r="L3901" s="1" t="str">
        <f>HYPERLINK("https://files.afu.se/Downloads/Transcripts/0%20-%20Government/USA%20-%20NASA/2011 09 07 - NASA - ISS's New View of Texas Wildfires_CMnfcWTY4uQ - transcript (automated).pdf","Transcript Link")</f>
        <v>Transcript Link</v>
      </c>
      <c r="M3901" s="2" t="str">
        <f>HYPERLINK("https://files.afu.se/Downloads/Transcripts/0%20-%20Government/USA%20-%20NASA/2011 09 07 - NASA - ISS's New View of Texas Wildfires_CMnfcWTY4uQ - transcript (automated).pdf","Transcript Link")</f>
        <v>Transcript Link</v>
      </c>
    </row>
    <row r="3902" ht="165" spans="1:13">
      <c r="A3902" s="1" t="s">
        <v>17528</v>
      </c>
      <c r="B3902" s="1" t="s">
        <v>13</v>
      </c>
      <c r="C3902" s="4" t="s">
        <v>17541</v>
      </c>
      <c r="D3902" s="1" t="s">
        <v>17542</v>
      </c>
      <c r="E3902" s="1" t="s">
        <v>17543</v>
      </c>
      <c r="F3902" s="4" t="s">
        <v>17</v>
      </c>
      <c r="G3902" s="1" t="s">
        <v>18</v>
      </c>
      <c r="H3902" s="1" t="s">
        <v>19</v>
      </c>
      <c r="I3902" s="1" t="s">
        <v>20</v>
      </c>
      <c r="J3902" s="1" t="s">
        <v>17544</v>
      </c>
      <c r="K3902" s="1" t="s">
        <v>22</v>
      </c>
      <c r="L3902" s="1" t="str">
        <f>HYPERLINK("https://files.afu.se/Downloads/Transcripts/0%20-%20Government/USA%20-%20NASA/2011 09 07 - NASA - Sept. 11, 2001 Video From the International Space Station_bxtlzby4YjM - transcript (automated).pdf","Transcript Link")</f>
        <v>Transcript Link</v>
      </c>
      <c r="M3902" s="2" t="str">
        <f>HYPERLINK("https://files.afu.se/Downloads/Transcripts/0%20-%20Government/USA%20-%20NASA/2011 09 07 - NASA - Sept. 11, 2001 Video From the International Space Station_bxtlzby4YjM - transcript (automated).pdf","Transcript Link")</f>
        <v>Transcript Link</v>
      </c>
    </row>
    <row r="3903" ht="165" spans="1:13">
      <c r="A3903" s="1" t="s">
        <v>17528</v>
      </c>
      <c r="B3903" s="1" t="s">
        <v>13</v>
      </c>
      <c r="C3903" s="4" t="s">
        <v>17545</v>
      </c>
      <c r="D3903" s="1" t="s">
        <v>17546</v>
      </c>
      <c r="E3903" s="1" t="s">
        <v>17547</v>
      </c>
      <c r="F3903" s="4" t="s">
        <v>17</v>
      </c>
      <c r="G3903" s="1" t="s">
        <v>18</v>
      </c>
      <c r="H3903" s="1" t="s">
        <v>19</v>
      </c>
      <c r="I3903" s="1" t="s">
        <v>20</v>
      </c>
      <c r="J3903" s="1" t="s">
        <v>17548</v>
      </c>
      <c r="K3903" s="1" t="s">
        <v>22</v>
      </c>
      <c r="L3903" s="1" t="str">
        <f>HYPERLINK("https://files.afu.se/Downloads/Transcripts/0%20-%20Government/USA%20-%20NASA/2011 09 07 - NASA - GRAIL's Science Goals Outlined in Briefing_Jje78j9E6Hw - transcript (automated).pdf","Transcript Link")</f>
        <v>Transcript Link</v>
      </c>
      <c r="M3903" s="2" t="str">
        <f>HYPERLINK("https://files.afu.se/Downloads/Transcripts/0%20-%20Government/USA%20-%20NASA/2011 09 07 - NASA - GRAIL's Science Goals Outlined in Briefing_Jje78j9E6Hw - transcript (automated).pdf","Transcript Link")</f>
        <v>Transcript Link</v>
      </c>
    </row>
    <row r="3904" ht="165" spans="1:13">
      <c r="A3904" s="1" t="s">
        <v>17528</v>
      </c>
      <c r="B3904" s="1" t="s">
        <v>13</v>
      </c>
      <c r="C3904" s="4" t="s">
        <v>17549</v>
      </c>
      <c r="D3904" s="1" t="s">
        <v>17534</v>
      </c>
      <c r="E3904" s="1" t="s">
        <v>17535</v>
      </c>
      <c r="F3904" s="4" t="s">
        <v>17</v>
      </c>
      <c r="G3904" s="1" t="s">
        <v>18</v>
      </c>
      <c r="H3904" s="1" t="s">
        <v>19</v>
      </c>
      <c r="I3904" s="1" t="s">
        <v>20</v>
      </c>
      <c r="J3904" s="1" t="s">
        <v>17550</v>
      </c>
      <c r="K3904" s="1" t="s">
        <v>22</v>
      </c>
      <c r="L3904" s="1" t="str">
        <f>HYPERLINK("https://files.afu.se/Downloads/Transcripts/0%20-%20Government/USA%20-%20NASA/2011 09 07 - NASA - Station Cameras Hone In on Hurricane Katia_sbr9nH8ix4k - transcript (automated).pdf","Transcript Link")</f>
        <v>Transcript Link</v>
      </c>
      <c r="M3904" s="2" t="str">
        <f>HYPERLINK("https://files.afu.se/Downloads/Transcripts/0%20-%20Government/USA%20-%20NASA/2011 09 07 - NASA - Station Cameras Hone In on Hurricane Katia_sbr9nH8ix4k - transcript (automated).pdf","Transcript Link")</f>
        <v>Transcript Link</v>
      </c>
    </row>
    <row r="3905" ht="165" spans="1:13">
      <c r="A3905" s="1" t="s">
        <v>17551</v>
      </c>
      <c r="B3905" s="1" t="s">
        <v>13</v>
      </c>
      <c r="C3905" s="4" t="s">
        <v>17552</v>
      </c>
      <c r="D3905" s="1" t="s">
        <v>17553</v>
      </c>
      <c r="E3905" s="1" t="s">
        <v>17554</v>
      </c>
      <c r="F3905" s="4" t="s">
        <v>17</v>
      </c>
      <c r="G3905" s="1" t="s">
        <v>18</v>
      </c>
      <c r="H3905" s="1" t="s">
        <v>19</v>
      </c>
      <c r="I3905" s="1" t="s">
        <v>20</v>
      </c>
      <c r="J3905" s="1" t="s">
        <v>17555</v>
      </c>
      <c r="K3905" s="1" t="s">
        <v>22</v>
      </c>
      <c r="L3905" s="1" t="str">
        <f>HYPERLINK("https://files.afu.se/Downloads/Transcripts/0%20-%20Government/USA%20-%20NASA/2011 09 06 - NASA - LRO Revisits Apollo Landing Sites_PTeM4ZqEKR4 - transcript (automated).pdf","Transcript Link")</f>
        <v>Transcript Link</v>
      </c>
      <c r="M3905" s="2" t="str">
        <f>HYPERLINK("https://files.afu.se/Downloads/Transcripts/0%20-%20Government/USA%20-%20NASA/2011 09 06 - NASA - LRO Revisits Apollo Landing Sites_PTeM4ZqEKR4 - transcript (automated).pdf","Transcript Link")</f>
        <v>Transcript Link</v>
      </c>
    </row>
    <row r="3906" ht="165" spans="1:13">
      <c r="A3906" s="1" t="s">
        <v>17551</v>
      </c>
      <c r="B3906" s="1" t="s">
        <v>13</v>
      </c>
      <c r="C3906" s="4" t="s">
        <v>17556</v>
      </c>
      <c r="D3906" s="1" t="s">
        <v>17557</v>
      </c>
      <c r="E3906" s="1" t="s">
        <v>17558</v>
      </c>
      <c r="F3906" s="4" t="s">
        <v>17</v>
      </c>
      <c r="G3906" s="1" t="s">
        <v>18</v>
      </c>
      <c r="H3906" s="1" t="s">
        <v>19</v>
      </c>
      <c r="I3906" s="1" t="s">
        <v>20</v>
      </c>
      <c r="J3906" s="1" t="s">
        <v>17559</v>
      </c>
      <c r="K3906" s="1" t="s">
        <v>22</v>
      </c>
      <c r="L3906" s="1" t="str">
        <f>HYPERLINK("https://files.afu.se/Downloads/Transcripts/0%20-%20Government/USA%20-%20NASA/2011 09 06 - NASA - ISS Astros  Meet  with Media_p7zgcKFGbtk - transcript (automated).pdf","Transcript Link")</f>
        <v>Transcript Link</v>
      </c>
      <c r="M3906" s="2" t="str">
        <f>HYPERLINK("https://files.afu.se/Downloads/Transcripts/0%20-%20Government/USA%20-%20NASA/2011 09 06 - NASA - ISS Astros  Meet  with Media_p7zgcKFGbtk - transcript (automated).pdf","Transcript Link")</f>
        <v>Transcript Link</v>
      </c>
    </row>
    <row r="3907" ht="165" spans="1:13">
      <c r="A3907" s="1" t="s">
        <v>17551</v>
      </c>
      <c r="B3907" s="1" t="s">
        <v>13</v>
      </c>
      <c r="C3907" s="4" t="s">
        <v>17560</v>
      </c>
      <c r="D3907" s="1" t="s">
        <v>17561</v>
      </c>
      <c r="E3907" s="1" t="s">
        <v>17562</v>
      </c>
      <c r="F3907" s="4" t="s">
        <v>17</v>
      </c>
      <c r="G3907" s="1" t="s">
        <v>18</v>
      </c>
      <c r="H3907" s="1" t="s">
        <v>19</v>
      </c>
      <c r="I3907" s="1" t="s">
        <v>20</v>
      </c>
      <c r="J3907" s="1" t="s">
        <v>17563</v>
      </c>
      <c r="K3907" s="1" t="s">
        <v>22</v>
      </c>
      <c r="L3907" s="1" t="str">
        <f>HYPERLINK("https://files.afu.se/Downloads/Transcripts/0%20-%20Government/USA%20-%20NASA/2011 09 06 - NASA - GRAIL Launch Set for Sept. 8_p18j_vmIyso - transcript (automated).pdf","Transcript Link")</f>
        <v>Transcript Link</v>
      </c>
      <c r="M3907" s="2" t="str">
        <f>HYPERLINK("https://files.afu.se/Downloads/Transcripts/0%20-%20Government/USA%20-%20NASA/2011 09 06 - NASA - GRAIL Launch Set for Sept. 8_p18j_vmIyso - transcript (automated).pdf","Transcript Link")</f>
        <v>Transcript Link</v>
      </c>
    </row>
    <row r="3908" ht="165" spans="1:13">
      <c r="A3908" s="1" t="s">
        <v>17551</v>
      </c>
      <c r="B3908" s="1" t="s">
        <v>13</v>
      </c>
      <c r="C3908" s="4" t="s">
        <v>17564</v>
      </c>
      <c r="D3908" s="1" t="s">
        <v>17565</v>
      </c>
      <c r="E3908" s="1" t="s">
        <v>17566</v>
      </c>
      <c r="F3908" s="4" t="s">
        <v>17</v>
      </c>
      <c r="G3908" s="1" t="s">
        <v>18</v>
      </c>
      <c r="H3908" s="1" t="s">
        <v>19</v>
      </c>
      <c r="I3908" s="1" t="s">
        <v>20</v>
      </c>
      <c r="J3908" s="1" t="s">
        <v>17567</v>
      </c>
      <c r="K3908" s="1" t="s">
        <v>22</v>
      </c>
      <c r="L3908" s="1" t="str">
        <f>HYPERLINK("https://files.afu.se/Downloads/Transcripts/0%20-%20Government/USA%20-%20NASA/2011 09 06 - NASA - Katia's Latest Close-Up Captured by ISS Cameras_IdBbNdRsFeM - transcript (automated).pdf","Transcript Link")</f>
        <v>Transcript Link</v>
      </c>
      <c r="M3908" s="2" t="str">
        <f>HYPERLINK("https://files.afu.se/Downloads/Transcripts/0%20-%20Government/USA%20-%20NASA/2011 09 06 - NASA - Katia's Latest Close-Up Captured by ISS Cameras_IdBbNdRsFeM - transcript (automated).pdf","Transcript Link")</f>
        <v>Transcript Link</v>
      </c>
    </row>
    <row r="3909" ht="165" spans="1:13">
      <c r="A3909" s="1" t="s">
        <v>17551</v>
      </c>
      <c r="B3909" s="1" t="s">
        <v>13</v>
      </c>
      <c r="C3909" s="4" t="s">
        <v>17568</v>
      </c>
      <c r="D3909" s="1" t="s">
        <v>17569</v>
      </c>
      <c r="E3909" s="1" t="s">
        <v>17570</v>
      </c>
      <c r="F3909" s="4" t="s">
        <v>17</v>
      </c>
      <c r="G3909" s="1" t="s">
        <v>18</v>
      </c>
      <c r="H3909" s="1" t="s">
        <v>19</v>
      </c>
      <c r="I3909" s="1" t="s">
        <v>20</v>
      </c>
      <c r="J3909" s="1" t="s">
        <v>17571</v>
      </c>
      <c r="K3909" s="1" t="s">
        <v>22</v>
      </c>
      <c r="L3909" s="1" t="str">
        <f>HYPERLINK("https://files.afu.se/Downloads/Transcripts/0%20-%20Government/USA%20-%20NASA/2011 09 06 - NASA - Texas Wildfires Seen from Space Station_K-1mpjet12k - transcript (automated).pdf","Transcript Link")</f>
        <v>Transcript Link</v>
      </c>
      <c r="M3909" s="2" t="str">
        <f>HYPERLINK("https://files.afu.se/Downloads/Transcripts/0%20-%20Government/USA%20-%20NASA/2011 09 06 - NASA - Texas Wildfires Seen from Space Station_K-1mpjet12k - transcript (automated).pdf","Transcript Link")</f>
        <v>Transcript Link</v>
      </c>
    </row>
    <row r="3910" ht="165" spans="1:13">
      <c r="A3910" s="1" t="s">
        <v>17572</v>
      </c>
      <c r="B3910" s="1" t="s">
        <v>13</v>
      </c>
      <c r="C3910" s="4" t="s">
        <v>17573</v>
      </c>
      <c r="D3910" s="1" t="s">
        <v>17574</v>
      </c>
      <c r="E3910" s="1" t="s">
        <v>17575</v>
      </c>
      <c r="F3910" s="4" t="s">
        <v>17</v>
      </c>
      <c r="G3910" s="1" t="s">
        <v>18</v>
      </c>
      <c r="H3910" s="1" t="s">
        <v>19</v>
      </c>
      <c r="I3910" s="1" t="s">
        <v>20</v>
      </c>
      <c r="J3910" s="1" t="s">
        <v>17576</v>
      </c>
      <c r="K3910" s="1" t="s">
        <v>22</v>
      </c>
      <c r="L3910" s="1" t="str">
        <f>HYPERLINK("https://files.afu.se/Downloads/Transcripts/0%20-%20Government/USA%20-%20NASA/2011 09 02 - NASA - Tracking Katia on This Week @NASA_hG3Z3HcfWq0 - transcript (automated).pdf","Transcript Link")</f>
        <v>Transcript Link</v>
      </c>
      <c r="M3910" s="2" t="str">
        <f>HYPERLINK("https://files.afu.se/Downloads/Transcripts/0%20-%20Government/USA%20-%20NASA/2011 09 02 - NASA - Tracking Katia on This Week @NASA_hG3Z3HcfWq0 - transcript (automated).pdf","Transcript Link")</f>
        <v>Transcript Link</v>
      </c>
    </row>
    <row r="3911" ht="165" spans="1:13">
      <c r="A3911" s="1" t="s">
        <v>17572</v>
      </c>
      <c r="B3911" s="1" t="s">
        <v>13</v>
      </c>
      <c r="C3911" s="4" t="s">
        <v>17577</v>
      </c>
      <c r="D3911" s="1" t="s">
        <v>17578</v>
      </c>
      <c r="E3911" s="1" t="s">
        <v>17579</v>
      </c>
      <c r="F3911" s="4" t="s">
        <v>17</v>
      </c>
      <c r="G3911" s="1" t="s">
        <v>18</v>
      </c>
      <c r="H3911" s="1" t="s">
        <v>19</v>
      </c>
      <c r="I3911" s="1" t="s">
        <v>20</v>
      </c>
      <c r="J3911" s="1" t="s">
        <v>17580</v>
      </c>
      <c r="K3911" s="1" t="s">
        <v>22</v>
      </c>
      <c r="L3911" s="1" t="str">
        <f>HYPERLINK("https://files.afu.se/Downloads/Transcripts/0%20-%20Government/USA%20-%20NASA/2011 09 02 - NASA - ISS Sees Katia, Two More Storms_iBsgd-JQx9A - transcript (automated).pdf","Transcript Link")</f>
        <v>Transcript Link</v>
      </c>
      <c r="M3911" s="2" t="str">
        <f>HYPERLINK("https://files.afu.se/Downloads/Transcripts/0%20-%20Government/USA%20-%20NASA/2011 09 02 - NASA - ISS Sees Katia, Two More Storms_iBsgd-JQx9A - transcript (automated).pdf","Transcript Link")</f>
        <v>Transcript Link</v>
      </c>
    </row>
    <row r="3912" ht="165" spans="1:13">
      <c r="A3912" s="1" t="s">
        <v>17572</v>
      </c>
      <c r="B3912" s="1" t="s">
        <v>13</v>
      </c>
      <c r="C3912" s="4" t="s">
        <v>17581</v>
      </c>
      <c r="D3912" s="1" t="s">
        <v>17582</v>
      </c>
      <c r="E3912" s="1" t="s">
        <v>17583</v>
      </c>
      <c r="F3912" s="4" t="s">
        <v>17</v>
      </c>
      <c r="G3912" s="1" t="s">
        <v>18</v>
      </c>
      <c r="H3912" s="1" t="s">
        <v>19</v>
      </c>
      <c r="I3912" s="1" t="s">
        <v>20</v>
      </c>
      <c r="J3912" s="1" t="s">
        <v>17584</v>
      </c>
      <c r="K3912" s="1" t="s">
        <v>22</v>
      </c>
      <c r="L3912" s="1" t="str">
        <f>HYPERLINK("https://files.afu.se/Downloads/Transcripts/0%20-%20Government/USA%20-%20NASA/2011 09 02 - NASA - Huge Storm Threatens Northern Gulf States_qtSie19oVKE - transcript (automated).pdf","Transcript Link")</f>
        <v>Transcript Link</v>
      </c>
      <c r="M3912" s="2" t="str">
        <f>HYPERLINK("https://files.afu.se/Downloads/Transcripts/0%20-%20Government/USA%20-%20NASA/2011 09 02 - NASA - Huge Storm Threatens Northern Gulf States_qtSie19oVKE - transcript (automated).pdf","Transcript Link")</f>
        <v>Transcript Link</v>
      </c>
    </row>
    <row r="3913" ht="165" spans="1:13">
      <c r="A3913" s="1" t="s">
        <v>17585</v>
      </c>
      <c r="B3913" s="1" t="s">
        <v>13</v>
      </c>
      <c r="C3913" s="4" t="s">
        <v>17586</v>
      </c>
      <c r="D3913" s="1" t="s">
        <v>17521</v>
      </c>
      <c r="E3913" s="1" t="s">
        <v>17522</v>
      </c>
      <c r="F3913" s="4" t="s">
        <v>17</v>
      </c>
      <c r="G3913" s="1" t="s">
        <v>18</v>
      </c>
      <c r="H3913" s="1" t="s">
        <v>19</v>
      </c>
      <c r="I3913" s="1" t="s">
        <v>20</v>
      </c>
      <c r="J3913" s="1" t="s">
        <v>17587</v>
      </c>
      <c r="K3913" s="1" t="s">
        <v>22</v>
      </c>
      <c r="L3913" s="1" t="str">
        <f>HYPERLINK("https://files.afu.se/Downloads/Transcripts/0%20-%20Government/USA%20-%20NASA/2011 09 01 - NASA - Uncovering MIRI's Detectors_3VSD6YcgsBw - transcript (automated).pdf","Transcript Link")</f>
        <v>Transcript Link</v>
      </c>
      <c r="M3913" s="2" t="str">
        <f>HYPERLINK("https://files.afu.se/Downloads/Transcripts/0%20-%20Government/USA%20-%20NASA/2011 09 01 - NASA - Uncovering MIRI's Detectors_3VSD6YcgsBw - transcript (automated).pdf","Transcript Link")</f>
        <v>Transcript Link</v>
      </c>
    </row>
    <row r="3914" ht="195" spans="1:13">
      <c r="A3914" s="1" t="s">
        <v>17585</v>
      </c>
      <c r="B3914" s="1" t="s">
        <v>13</v>
      </c>
      <c r="C3914" s="4" t="s">
        <v>17588</v>
      </c>
      <c r="D3914" s="1" t="s">
        <v>17589</v>
      </c>
      <c r="E3914" s="1" t="s">
        <v>17590</v>
      </c>
      <c r="F3914" s="4" t="s">
        <v>17</v>
      </c>
      <c r="G3914" s="1" t="s">
        <v>18</v>
      </c>
      <c r="H3914" s="1" t="s">
        <v>19</v>
      </c>
      <c r="I3914" s="1" t="s">
        <v>20</v>
      </c>
      <c r="J3914" s="1" t="s">
        <v>17591</v>
      </c>
      <c r="K3914" s="1" t="s">
        <v>22</v>
      </c>
      <c r="L3914" s="1" t="str">
        <f>HYPERLINK("https://files.afu.se/Downloads/Transcripts/0%20-%20Government/USA%20-%20NASA/2011 09 01 - NASA - Satellite Eyes Hurricane Katia on the Move_3f7qFCYYB0E - transcript (automated).pdf","Transcript Link")</f>
        <v>Transcript Link</v>
      </c>
      <c r="M3914" s="2" t="str">
        <f>HYPERLINK("https://files.afu.se/Downloads/Transcripts/0%20-%20Government/USA%20-%20NASA/2011 09 01 - NASA - Satellite Eyes Hurricane Katia on the Move_3f7qFCYYB0E - transcript (automated).pdf","Transcript Link")</f>
        <v>Transcript Link</v>
      </c>
    </row>
    <row r="3915" ht="165" spans="1:13">
      <c r="A3915" s="1" t="s">
        <v>17585</v>
      </c>
      <c r="B3915" s="1" t="s">
        <v>13</v>
      </c>
      <c r="C3915" s="4" t="s">
        <v>17592</v>
      </c>
      <c r="D3915" s="1" t="s">
        <v>17593</v>
      </c>
      <c r="E3915" s="1" t="s">
        <v>17594</v>
      </c>
      <c r="F3915" s="4" t="s">
        <v>17</v>
      </c>
      <c r="G3915" s="1" t="s">
        <v>18</v>
      </c>
      <c r="H3915" s="1" t="s">
        <v>19</v>
      </c>
      <c r="I3915" s="1" t="s">
        <v>20</v>
      </c>
      <c r="J3915" s="1" t="s">
        <v>17595</v>
      </c>
      <c r="K3915" s="1" t="s">
        <v>22</v>
      </c>
      <c r="L3915" s="1" t="str">
        <f>HYPERLINK("https://files.afu.se/Downloads/Transcripts/0%20-%20Government/USA%20-%20NASA/2011 09 01 - NASA - Station Crew Discusses Life in Space with South Dakota Media_Oa1ayR3PVSE - transcript (automated).pdf","Transcript Link")</f>
        <v>Transcript Link</v>
      </c>
      <c r="M3915" s="2" t="str">
        <f>HYPERLINK("https://files.afu.se/Downloads/Transcripts/0%20-%20Government/USA%20-%20NASA/2011 09 01 - NASA - Station Crew Discusses Life in Space with South Dakota Media_Oa1ayR3PVSE - transcript (automated).pdf","Transcript Link")</f>
        <v>Transcript Link</v>
      </c>
    </row>
    <row r="3916" ht="165" spans="1:13">
      <c r="A3916" s="1" t="s">
        <v>17585</v>
      </c>
      <c r="B3916" s="1" t="s">
        <v>13</v>
      </c>
      <c r="C3916" s="4" t="s">
        <v>17596</v>
      </c>
      <c r="D3916" s="1" t="s">
        <v>17597</v>
      </c>
      <c r="E3916" s="1" t="s">
        <v>17598</v>
      </c>
      <c r="F3916" s="4" t="s">
        <v>17</v>
      </c>
      <c r="G3916" s="1" t="s">
        <v>18</v>
      </c>
      <c r="H3916" s="1" t="s">
        <v>19</v>
      </c>
      <c r="I3916" s="1" t="s">
        <v>20</v>
      </c>
      <c r="J3916" s="1" t="s">
        <v>17599</v>
      </c>
      <c r="K3916" s="1" t="s">
        <v>22</v>
      </c>
      <c r="L3916" s="1" t="str">
        <f>HYPERLINK("https://files.afu.se/Downloads/Transcripts/0%20-%20Government/USA%20-%20NASA/2011 09 01 - NASA - Katia's Newest View from Space Station Cameras_yw5m9QXYvRQ - transcript (automated).pdf","Transcript Link")</f>
        <v>Transcript Link</v>
      </c>
      <c r="M3916" s="2" t="str">
        <f>HYPERLINK("https://files.afu.se/Downloads/Transcripts/0%20-%20Government/USA%20-%20NASA/2011 09 01 - NASA - Katia's Newest View from Space Station Cameras_yw5m9QXYvRQ - transcript (automated).pdf","Transcript Link")</f>
        <v>Transcript Link</v>
      </c>
    </row>
    <row r="3917" ht="165" spans="1:13">
      <c r="A3917" s="1" t="s">
        <v>17600</v>
      </c>
      <c r="B3917" s="1" t="s">
        <v>13</v>
      </c>
      <c r="C3917" s="4" t="s">
        <v>17601</v>
      </c>
      <c r="D3917" s="1" t="s">
        <v>17602</v>
      </c>
      <c r="E3917" s="1" t="s">
        <v>17603</v>
      </c>
      <c r="F3917" s="4" t="s">
        <v>17</v>
      </c>
      <c r="G3917" s="1" t="s">
        <v>18</v>
      </c>
      <c r="H3917" s="1" t="s">
        <v>19</v>
      </c>
      <c r="I3917" s="1" t="s">
        <v>20</v>
      </c>
      <c r="J3917" s="1" t="s">
        <v>17604</v>
      </c>
      <c r="K3917" s="1" t="s">
        <v>22</v>
      </c>
      <c r="L3917" s="1" t="str">
        <f>HYPERLINK("https://files.afu.se/Downloads/Transcripts/0%20-%20Government/USA%20-%20NASA/2011 08 31 - NASA - Crew Return Set on This Week @NASA_SIuFcNphMzY - transcript (automated).pdf","Transcript Link")</f>
        <v>Transcript Link</v>
      </c>
      <c r="M3917" s="2" t="str">
        <f>HYPERLINK("https://files.afu.se/Downloads/Transcripts/0%20-%20Government/USA%20-%20NASA/2011 08 31 - NASA - Crew Return Set on This Week @NASA_SIuFcNphMzY - transcript (automated).pdf","Transcript Link")</f>
        <v>Transcript Link</v>
      </c>
    </row>
    <row r="3918" ht="165" spans="1:13">
      <c r="A3918" s="1" t="s">
        <v>17600</v>
      </c>
      <c r="B3918" s="1" t="s">
        <v>13</v>
      </c>
      <c r="C3918" s="4" t="s">
        <v>17605</v>
      </c>
      <c r="D3918" s="1" t="s">
        <v>17606</v>
      </c>
      <c r="E3918" s="1" t="s">
        <v>17607</v>
      </c>
      <c r="F3918" s="4" t="s">
        <v>17</v>
      </c>
      <c r="G3918" s="1" t="s">
        <v>18</v>
      </c>
      <c r="H3918" s="1" t="s">
        <v>19</v>
      </c>
      <c r="I3918" s="1" t="s">
        <v>20</v>
      </c>
      <c r="J3918" s="1" t="s">
        <v>17608</v>
      </c>
      <c r="K3918" s="1" t="s">
        <v>22</v>
      </c>
      <c r="L3918" s="1" t="str">
        <f>HYPERLINK("https://files.afu.se/Downloads/Transcripts/0%20-%20Government/USA%20-%20NASA/2011 08 31 - NASA - NASA's Chandra Finds  Nearby  Black Holes_0pm9DTgoVIM - transcript (automated).pdf","Transcript Link")</f>
        <v>Transcript Link</v>
      </c>
      <c r="M3918" s="2" t="str">
        <f>HYPERLINK("https://files.afu.se/Downloads/Transcripts/0%20-%20Government/USA%20-%20NASA/2011 08 31 - NASA - NASA's Chandra Finds  Nearby  Black Holes_0pm9DTgoVIM - transcript (automated).pdf","Transcript Link")</f>
        <v>Transcript Link</v>
      </c>
    </row>
    <row r="3919" ht="165" spans="1:13">
      <c r="A3919" s="1" t="s">
        <v>17600</v>
      </c>
      <c r="B3919" s="1" t="s">
        <v>13</v>
      </c>
      <c r="C3919" s="4" t="s">
        <v>17609</v>
      </c>
      <c r="D3919" s="1" t="s">
        <v>17610</v>
      </c>
      <c r="E3919" s="1" t="s">
        <v>17611</v>
      </c>
      <c r="F3919" s="4" t="s">
        <v>17</v>
      </c>
      <c r="G3919" s="1" t="s">
        <v>18</v>
      </c>
      <c r="H3919" s="1" t="s">
        <v>19</v>
      </c>
      <c r="I3919" s="1" t="s">
        <v>20</v>
      </c>
      <c r="J3919" s="1" t="s">
        <v>17612</v>
      </c>
      <c r="K3919" s="1" t="s">
        <v>22</v>
      </c>
      <c r="L3919" s="1" t="str">
        <f>HYPERLINK("https://files.afu.se/Downloads/Transcripts/0%20-%20Government/USA%20-%20NASA/2011 08 31 - NASA - ISS Cameras Capture Katia_vO45Gh_orM0 - transcript (automated).pdf","Transcript Link")</f>
        <v>Transcript Link</v>
      </c>
      <c r="M3919" s="2" t="str">
        <f>HYPERLINK("https://files.afu.se/Downloads/Transcripts/0%20-%20Government/USA%20-%20NASA/2011 08 31 - NASA - ISS Cameras Capture Katia_vO45Gh_orM0 - transcript (automated).pdf","Transcript Link")</f>
        <v>Transcript Link</v>
      </c>
    </row>
    <row r="3920" ht="165" spans="1:13">
      <c r="A3920" s="1" t="s">
        <v>17600</v>
      </c>
      <c r="B3920" s="1" t="s">
        <v>13</v>
      </c>
      <c r="C3920" s="4" t="s">
        <v>17613</v>
      </c>
      <c r="D3920" s="1" t="s">
        <v>17614</v>
      </c>
      <c r="E3920" s="1" t="s">
        <v>17615</v>
      </c>
      <c r="F3920" s="4" t="s">
        <v>17</v>
      </c>
      <c r="G3920" s="1" t="s">
        <v>18</v>
      </c>
      <c r="H3920" s="1" t="s">
        <v>19</v>
      </c>
      <c r="I3920" s="1" t="s">
        <v>20</v>
      </c>
      <c r="J3920" s="1" t="s">
        <v>17616</v>
      </c>
      <c r="K3920" s="1" t="s">
        <v>22</v>
      </c>
      <c r="L3920" s="1" t="str">
        <f>HYPERLINK("https://files.afu.se/Downloads/Transcripts/0%20-%20Government/USA%20-%20NASA/2011 08 31 - NASA - NASA Climate Satellite Arrives in California for Launch_2Jq42IqYlBo - transcript (automated).pdf","Transcript Link")</f>
        <v>Transcript Link</v>
      </c>
      <c r="M3920" s="2" t="str">
        <f>HYPERLINK("https://files.afu.se/Downloads/Transcripts/0%20-%20Government/USA%20-%20NASA/2011 08 31 - NASA - NASA Climate Satellite Arrives in California for Launch_2Jq42IqYlBo - transcript (automated).pdf","Transcript Link")</f>
        <v>Transcript Link</v>
      </c>
    </row>
    <row r="3921" ht="165" spans="1:13">
      <c r="A3921" s="1" t="s">
        <v>17617</v>
      </c>
      <c r="B3921" s="1" t="s">
        <v>13</v>
      </c>
      <c r="C3921" s="4" t="s">
        <v>17618</v>
      </c>
      <c r="D3921" s="1" t="s">
        <v>17619</v>
      </c>
      <c r="E3921" s="1" t="s">
        <v>17620</v>
      </c>
      <c r="F3921" s="4" t="s">
        <v>17</v>
      </c>
      <c r="G3921" s="1" t="s">
        <v>18</v>
      </c>
      <c r="H3921" s="1" t="s">
        <v>19</v>
      </c>
      <c r="I3921" s="1" t="s">
        <v>20</v>
      </c>
      <c r="J3921" s="1" t="s">
        <v>17621</v>
      </c>
      <c r="K3921" s="1" t="s">
        <v>22</v>
      </c>
      <c r="L3921" s="1" t="str">
        <f>HYPERLINK("https://files.afu.se/Downloads/Transcripts/0%20-%20Government/USA%20-%20NASA/2011 08 30 - NASA - ISS's Furukawa Speaks with Japan's  Young Astronauts _FwrrLhKNwN0 - transcript (automated).pdf","Transcript Link")</f>
        <v>Transcript Link</v>
      </c>
      <c r="M3921" s="2" t="str">
        <f>HYPERLINK("https://files.afu.se/Downloads/Transcripts/0%20-%20Government/USA%20-%20NASA/2011 08 30 - NASA - ISS's Furukawa Speaks with Japan's  Young Astronauts _FwrrLhKNwN0 - transcript (automated).pdf","Transcript Link")</f>
        <v>Transcript Link</v>
      </c>
    </row>
    <row r="3922" ht="165" spans="1:13">
      <c r="A3922" s="1" t="s">
        <v>17617</v>
      </c>
      <c r="B3922" s="1" t="s">
        <v>13</v>
      </c>
      <c r="C3922" s="4" t="s">
        <v>17622</v>
      </c>
      <c r="D3922" s="1" t="s">
        <v>17623</v>
      </c>
      <c r="E3922" s="1" t="s">
        <v>17624</v>
      </c>
      <c r="F3922" s="4" t="s">
        <v>17</v>
      </c>
      <c r="G3922" s="1" t="s">
        <v>18</v>
      </c>
      <c r="H3922" s="1" t="s">
        <v>19</v>
      </c>
      <c r="I3922" s="1" t="s">
        <v>20</v>
      </c>
      <c r="J3922" s="1" t="s">
        <v>17625</v>
      </c>
      <c r="K3922" s="1" t="s">
        <v>22</v>
      </c>
      <c r="L3922" s="1" t="str">
        <f>HYPERLINK("https://files.afu.se/Downloads/Transcripts/0%20-%20Government/USA%20-%20NASA/2011 08 30 - NASA - Hurricane Irene  From Caribbean to Canada_MrWqFOjBvMs - transcript (automated).pdf","Transcript Link")</f>
        <v>Transcript Link</v>
      </c>
      <c r="M3922" s="2" t="str">
        <f>HYPERLINK("https://files.afu.se/Downloads/Transcripts/0%20-%20Government/USA%20-%20NASA/2011 08 30 - NASA - Hurricane Irene  From Caribbean to Canada_MrWqFOjBvMs - transcript (automated).pdf","Transcript Link")</f>
        <v>Transcript Link</v>
      </c>
    </row>
    <row r="3923" ht="165" spans="1:13">
      <c r="A3923" s="1" t="s">
        <v>17626</v>
      </c>
      <c r="B3923" s="1" t="s">
        <v>13</v>
      </c>
      <c r="C3923" s="4" t="s">
        <v>17627</v>
      </c>
      <c r="D3923" s="1" t="s">
        <v>17628</v>
      </c>
      <c r="E3923" s="1" t="s">
        <v>17629</v>
      </c>
      <c r="F3923" s="4" t="s">
        <v>17</v>
      </c>
      <c r="G3923" s="1" t="s">
        <v>18</v>
      </c>
      <c r="H3923" s="1" t="s">
        <v>19</v>
      </c>
      <c r="I3923" s="1" t="s">
        <v>20</v>
      </c>
      <c r="J3923" s="1" t="s">
        <v>17630</v>
      </c>
      <c r="K3923" s="1" t="s">
        <v>22</v>
      </c>
      <c r="L3923" s="1" t="str">
        <f>HYPERLINK("https://files.afu.se/Downloads/Transcripts/0%20-%20Government/USA%20-%20NASA/2011 08 29 - NASA - ISS Crew Talks with Seattle Area Students_rrKMO_FuF-o - transcript (automated).pdf","Transcript Link")</f>
        <v>Transcript Link</v>
      </c>
      <c r="M3923" s="2" t="str">
        <f>HYPERLINK("https://files.afu.se/Downloads/Transcripts/0%20-%20Government/USA%20-%20NASA/2011 08 29 - NASA - ISS Crew Talks with Seattle Area Students_rrKMO_FuF-o - transcript (automated).pdf","Transcript Link")</f>
        <v>Transcript Link</v>
      </c>
    </row>
    <row r="3924" ht="165" spans="1:13">
      <c r="A3924" s="1" t="s">
        <v>17626</v>
      </c>
      <c r="B3924" s="1" t="s">
        <v>13</v>
      </c>
      <c r="C3924" s="4" t="s">
        <v>17631</v>
      </c>
      <c r="D3924" s="1" t="s">
        <v>17632</v>
      </c>
      <c r="E3924" s="1" t="s">
        <v>17633</v>
      </c>
      <c r="F3924" s="4" t="s">
        <v>17</v>
      </c>
      <c r="G3924" s="1" t="s">
        <v>18</v>
      </c>
      <c r="H3924" s="1" t="s">
        <v>19</v>
      </c>
      <c r="I3924" s="1" t="s">
        <v>20</v>
      </c>
      <c r="J3924" s="1" t="s">
        <v>17634</v>
      </c>
      <c r="K3924" s="1" t="s">
        <v>22</v>
      </c>
      <c r="L3924" s="1" t="str">
        <f>HYPERLINK("https://files.afu.se/Downloads/Transcripts/0%20-%20Government/USA%20-%20NASA/2011 08 29 - NASA - Station Manager Updates ISS Status_e4tB3RqveKQ - transcript (automated).pdf","Transcript Link")</f>
        <v>Transcript Link</v>
      </c>
      <c r="M3924" s="2" t="str">
        <f>HYPERLINK("https://files.afu.se/Downloads/Transcripts/0%20-%20Government/USA%20-%20NASA/2011 08 29 - NASA - Station Manager Updates ISS Status_e4tB3RqveKQ - transcript (automated).pdf","Transcript Link")</f>
        <v>Transcript Link</v>
      </c>
    </row>
    <row r="3925" ht="165" spans="1:13">
      <c r="A3925" s="1" t="s">
        <v>17635</v>
      </c>
      <c r="B3925" s="1" t="s">
        <v>13</v>
      </c>
      <c r="C3925" s="4" t="s">
        <v>17636</v>
      </c>
      <c r="D3925" s="1" t="s">
        <v>17637</v>
      </c>
      <c r="E3925" s="1" t="s">
        <v>17638</v>
      </c>
      <c r="F3925" s="4" t="s">
        <v>17</v>
      </c>
      <c r="G3925" s="1" t="s">
        <v>18</v>
      </c>
      <c r="H3925" s="1" t="s">
        <v>19</v>
      </c>
      <c r="I3925" s="1" t="s">
        <v>20</v>
      </c>
      <c r="J3925" s="1" t="s">
        <v>17639</v>
      </c>
      <c r="K3925" s="1" t="s">
        <v>22</v>
      </c>
      <c r="L3925" s="1" t="str">
        <f>HYPERLINK("https://files.afu.se/Downloads/Transcripts/0%20-%20Government/USA%20-%20NASA/2011 08 28 - NASA - Station Crew Spots Irene_vFY7gfHh4s0 - transcript (automated).pdf","Transcript Link")</f>
        <v>Transcript Link</v>
      </c>
      <c r="M3925" s="2" t="str">
        <f>HYPERLINK("https://files.afu.se/Downloads/Transcripts/0%20-%20Government/USA%20-%20NASA/2011 08 28 - NASA - Station Crew Spots Irene_vFY7gfHh4s0 - transcript (automated).pdf","Transcript Link")</f>
        <v>Transcript Link</v>
      </c>
    </row>
    <row r="3926" ht="165" spans="1:13">
      <c r="A3926" s="1" t="s">
        <v>17635</v>
      </c>
      <c r="B3926" s="1" t="s">
        <v>13</v>
      </c>
      <c r="C3926" s="4" t="s">
        <v>17640</v>
      </c>
      <c r="D3926" s="1" t="s">
        <v>17641</v>
      </c>
      <c r="E3926" s="1" t="s">
        <v>17642</v>
      </c>
      <c r="F3926" s="4" t="s">
        <v>17</v>
      </c>
      <c r="G3926" s="1" t="s">
        <v>18</v>
      </c>
      <c r="H3926" s="1" t="s">
        <v>19</v>
      </c>
      <c r="I3926" s="1" t="s">
        <v>20</v>
      </c>
      <c r="J3926" s="1" t="s">
        <v>17643</v>
      </c>
      <c r="K3926" s="1" t="s">
        <v>22</v>
      </c>
      <c r="L3926" s="1" t="str">
        <f>HYPERLINK("https://files.afu.se/Downloads/Transcripts/0%20-%20Government/USA%20-%20NASA/2011 08 28 - NASA - Space Station Views Tropical Storm Irene_J5jY2IsqSLA - transcript (automated).pdf","Transcript Link")</f>
        <v>Transcript Link</v>
      </c>
      <c r="M3926" s="2" t="str">
        <f>HYPERLINK("https://files.afu.se/Downloads/Transcripts/0%20-%20Government/USA%20-%20NASA/2011 08 28 - NASA - Space Station Views Tropical Storm Irene_J5jY2IsqSLA - transcript (automated).pdf","Transcript Link")</f>
        <v>Transcript Link</v>
      </c>
    </row>
    <row r="3927" ht="165" spans="1:13">
      <c r="A3927" s="1" t="s">
        <v>17644</v>
      </c>
      <c r="B3927" s="1" t="s">
        <v>13</v>
      </c>
      <c r="C3927" s="4" t="s">
        <v>17645</v>
      </c>
      <c r="D3927" s="1" t="s">
        <v>17646</v>
      </c>
      <c r="E3927" s="1" t="s">
        <v>17647</v>
      </c>
      <c r="F3927" s="4" t="s">
        <v>17</v>
      </c>
      <c r="G3927" s="1" t="s">
        <v>18</v>
      </c>
      <c r="H3927" s="1" t="s">
        <v>19</v>
      </c>
      <c r="I3927" s="1" t="s">
        <v>20</v>
      </c>
      <c r="J3927" s="1" t="s">
        <v>17648</v>
      </c>
      <c r="K3927" s="1" t="s">
        <v>22</v>
      </c>
      <c r="L3927" s="1" t="str">
        <f>HYPERLINK("https://files.afu.se/Downloads/Transcripts/0%20-%20Government/USA%20-%20NASA/2011 08 26 - NASA - Space Station Cameras View Hurricane Irene as it Approaches the U.S._lZTeKvukrso - transcript (automated).pdf","Transcript Link")</f>
        <v>Transcript Link</v>
      </c>
      <c r="M3927" s="2" t="str">
        <f>HYPERLINK("https://files.afu.se/Downloads/Transcripts/0%20-%20Government/USA%20-%20NASA/2011 08 26 - NASA - Space Station Cameras View Hurricane Irene as it Approaches the U.S._lZTeKvukrso - transcript (automated).pdf","Transcript Link")</f>
        <v>Transcript Link</v>
      </c>
    </row>
    <row r="3928" ht="165" spans="1:13">
      <c r="A3928" s="1" t="s">
        <v>17644</v>
      </c>
      <c r="B3928" s="1" t="s">
        <v>13</v>
      </c>
      <c r="C3928" s="4" t="s">
        <v>17649</v>
      </c>
      <c r="D3928" s="1" t="s">
        <v>17646</v>
      </c>
      <c r="E3928" s="1" t="s">
        <v>17650</v>
      </c>
      <c r="F3928" s="4" t="s">
        <v>17</v>
      </c>
      <c r="G3928" s="1" t="s">
        <v>18</v>
      </c>
      <c r="H3928" s="1" t="s">
        <v>19</v>
      </c>
      <c r="I3928" s="1" t="s">
        <v>20</v>
      </c>
      <c r="J3928" s="1" t="s">
        <v>17651</v>
      </c>
      <c r="K3928" s="1" t="s">
        <v>22</v>
      </c>
      <c r="L3928" s="1" t="str">
        <f>HYPERLINK("https://files.afu.se/Downloads/Transcripts/0%20-%20Government/USA%20-%20NASA/2011 08 26 - NASA - Space Station Cameras View Hurricane Irene as it Approaches the U.S._NiejvDFB5dI - transcript (automated).pdf","Transcript Link")</f>
        <v>Transcript Link</v>
      </c>
      <c r="M3928" s="2" t="str">
        <f>HYPERLINK("https://files.afu.se/Downloads/Transcripts/0%20-%20Government/USA%20-%20NASA/2011 08 26 - NASA - Space Station Cameras View Hurricane Irene as it Approaches the U.S._NiejvDFB5dI - transcript (automated).pdf","Transcript Link")</f>
        <v>Transcript Link</v>
      </c>
    </row>
    <row r="3929" ht="165" spans="1:13">
      <c r="A3929" s="1" t="s">
        <v>17644</v>
      </c>
      <c r="B3929" s="1" t="s">
        <v>13</v>
      </c>
      <c r="C3929" s="4" t="s">
        <v>17652</v>
      </c>
      <c r="D3929" s="1" t="s">
        <v>17653</v>
      </c>
      <c r="E3929" s="1" t="s">
        <v>17654</v>
      </c>
      <c r="F3929" s="4" t="s">
        <v>17</v>
      </c>
      <c r="G3929" s="1" t="s">
        <v>18</v>
      </c>
      <c r="H3929" s="1" t="s">
        <v>19</v>
      </c>
      <c r="I3929" s="1" t="s">
        <v>20</v>
      </c>
      <c r="J3929" s="1" t="s">
        <v>17655</v>
      </c>
      <c r="K3929" s="1" t="s">
        <v>22</v>
      </c>
      <c r="L3929" s="1" t="str">
        <f>HYPERLINK("https://files.afu.se/Downloads/Transcripts/0%20-%20Government/USA%20-%20NASA/2011 08 26 - NASA - Station Cameras Capture New Views of Major Hurricane Irene_u2i7FBzFgws - transcript (automated).pdf","Transcript Link")</f>
        <v>Transcript Link</v>
      </c>
      <c r="M3929" s="2" t="str">
        <f>HYPERLINK("https://files.afu.se/Downloads/Transcripts/0%20-%20Government/USA%20-%20NASA/2011 08 26 - NASA - Station Cameras Capture New Views of Major Hurricane Irene_u2i7FBzFgws - transcript (automated).pdf","Transcript Link")</f>
        <v>Transcript Link</v>
      </c>
    </row>
    <row r="3930" ht="165" spans="1:13">
      <c r="A3930" s="1" t="s">
        <v>17644</v>
      </c>
      <c r="B3930" s="1" t="s">
        <v>13</v>
      </c>
      <c r="C3930" s="4" t="s">
        <v>17656</v>
      </c>
      <c r="D3930" s="1" t="s">
        <v>17657</v>
      </c>
      <c r="E3930" s="1" t="s">
        <v>17658</v>
      </c>
      <c r="F3930" s="4" t="s">
        <v>17</v>
      </c>
      <c r="G3930" s="1" t="s">
        <v>18</v>
      </c>
      <c r="H3930" s="1" t="s">
        <v>19</v>
      </c>
      <c r="I3930" s="1" t="s">
        <v>20</v>
      </c>
      <c r="J3930" s="1" t="s">
        <v>17659</v>
      </c>
      <c r="K3930" s="1" t="s">
        <v>22</v>
      </c>
      <c r="L3930" s="1" t="str">
        <f>HYPERLINK("https://files.afu.se/Downloads/Transcripts/0%20-%20Government/USA%20-%20NASA/2011 08 26 - NASA - ScienceCasts  Bright Perseid Photographed from Space_24VOW3shcGQ - transcript (automated).pdf","Transcript Link")</f>
        <v>Transcript Link</v>
      </c>
      <c r="M3930" s="2" t="str">
        <f>HYPERLINK("https://files.afu.se/Downloads/Transcripts/0%20-%20Government/USA%20-%20NASA/2011 08 26 - NASA - ScienceCasts  Bright Perseid Photographed from Space_24VOW3shcGQ - transcript (automated).pdf","Transcript Link")</f>
        <v>Transcript Link</v>
      </c>
    </row>
    <row r="3931" ht="165" spans="1:13">
      <c r="A3931" s="1" t="s">
        <v>17644</v>
      </c>
      <c r="B3931" s="1" t="s">
        <v>13</v>
      </c>
      <c r="C3931" s="4" t="s">
        <v>17660</v>
      </c>
      <c r="D3931" s="1" t="s">
        <v>17661</v>
      </c>
      <c r="E3931" s="1" t="s">
        <v>17662</v>
      </c>
      <c r="F3931" s="4" t="s">
        <v>17</v>
      </c>
      <c r="G3931" s="1" t="s">
        <v>18</v>
      </c>
      <c r="H3931" s="1" t="s">
        <v>19</v>
      </c>
      <c r="I3931" s="1" t="s">
        <v>20</v>
      </c>
      <c r="J3931" s="1" t="s">
        <v>17663</v>
      </c>
      <c r="K3931" s="1" t="s">
        <v>22</v>
      </c>
      <c r="L3931" s="1" t="str">
        <f>HYPERLINK("https://files.afu.se/Downloads/Transcripts/0%20-%20Government/USA%20-%20NASA/2011 08 26 - NASA - ScienceCasts  Breath of Fresh Air_mmhJD0UHMPY - transcript (automated).pdf","Transcript Link")</f>
        <v>Transcript Link</v>
      </c>
      <c r="M3931" s="2" t="str">
        <f>HYPERLINK("https://files.afu.se/Downloads/Transcripts/0%20-%20Government/USA%20-%20NASA/2011 08 26 - NASA - ScienceCasts  Breath of Fresh Air_mmhJD0UHMPY - transcript (automated).pdf","Transcript Link")</f>
        <v>Transcript Link</v>
      </c>
    </row>
    <row r="3932" ht="165" spans="1:13">
      <c r="A3932" s="1" t="s">
        <v>17664</v>
      </c>
      <c r="B3932" s="1" t="s">
        <v>13</v>
      </c>
      <c r="C3932" s="4" t="s">
        <v>17665</v>
      </c>
      <c r="D3932" s="1" t="s">
        <v>17666</v>
      </c>
      <c r="E3932" s="1" t="s">
        <v>17667</v>
      </c>
      <c r="F3932" s="4" t="s">
        <v>17</v>
      </c>
      <c r="G3932" s="1" t="s">
        <v>18</v>
      </c>
      <c r="H3932" s="1" t="s">
        <v>19</v>
      </c>
      <c r="I3932" s="1" t="s">
        <v>20</v>
      </c>
      <c r="J3932" s="1" t="s">
        <v>17668</v>
      </c>
      <c r="K3932" s="1" t="s">
        <v>22</v>
      </c>
      <c r="L3932" s="1" t="str">
        <f>HYPERLINK("https://files.afu.se/Downloads/Transcripts/0%20-%20Government/USA%20-%20NASA/2011 08 25 - NASA - GRAIL Launch to Moon Nears_TJ-Oer3XpGI - transcript (automated).pdf","Transcript Link")</f>
        <v>Transcript Link</v>
      </c>
      <c r="M3932" s="2" t="str">
        <f>HYPERLINK("https://files.afu.se/Downloads/Transcripts/0%20-%20Government/USA%20-%20NASA/2011 08 25 - NASA - GRAIL Launch to Moon Nears_TJ-Oer3XpGI - transcript (automated).pdf","Transcript Link")</f>
        <v>Transcript Link</v>
      </c>
    </row>
    <row r="3933" ht="165" spans="1:13">
      <c r="A3933" s="1" t="s">
        <v>17664</v>
      </c>
      <c r="B3933" s="1" t="s">
        <v>13</v>
      </c>
      <c r="C3933" s="4" t="s">
        <v>17669</v>
      </c>
      <c r="D3933" s="1" t="s">
        <v>17670</v>
      </c>
      <c r="E3933" s="1" t="s">
        <v>17671</v>
      </c>
      <c r="F3933" s="4" t="s">
        <v>17</v>
      </c>
      <c r="G3933" s="1" t="s">
        <v>18</v>
      </c>
      <c r="H3933" s="1" t="s">
        <v>19</v>
      </c>
      <c r="I3933" s="1" t="s">
        <v>20</v>
      </c>
      <c r="J3933" s="1" t="s">
        <v>17672</v>
      </c>
      <c r="K3933" s="1" t="s">
        <v>22</v>
      </c>
      <c r="L3933" s="1" t="str">
        <f>HYPERLINK("https://files.afu.se/Downloads/Transcripts/0%20-%20Government/USA%20-%20NASA/2011 08 25 - NASA - Station Crew Interviewed by TV, Web Media_6UNDq1eTgPQ - transcript (automated).pdf","Transcript Link")</f>
        <v>Transcript Link</v>
      </c>
      <c r="M3933" s="2" t="str">
        <f>HYPERLINK("https://files.afu.se/Downloads/Transcripts/0%20-%20Government/USA%20-%20NASA/2011 08 25 - NASA - Station Crew Interviewed by TV, Web Media_6UNDq1eTgPQ - transcript (automated).pdf","Transcript Link")</f>
        <v>Transcript Link</v>
      </c>
    </row>
    <row r="3934" ht="165" spans="1:13">
      <c r="A3934" s="1" t="s">
        <v>17664</v>
      </c>
      <c r="B3934" s="1" t="s">
        <v>13</v>
      </c>
      <c r="C3934" s="4" t="s">
        <v>17673</v>
      </c>
      <c r="D3934" s="1" t="s">
        <v>17674</v>
      </c>
      <c r="E3934" s="1" t="s">
        <v>17675</v>
      </c>
      <c r="F3934" s="4" t="s">
        <v>17</v>
      </c>
      <c r="G3934" s="1" t="s">
        <v>18</v>
      </c>
      <c r="H3934" s="1" t="s">
        <v>19</v>
      </c>
      <c r="I3934" s="1" t="s">
        <v>20</v>
      </c>
      <c r="J3934" s="1" t="s">
        <v>17676</v>
      </c>
      <c r="K3934" s="1" t="s">
        <v>22</v>
      </c>
      <c r="L3934" s="1" t="str">
        <f>HYPERLINK("https://files.afu.se/Downloads/Transcripts/0%20-%20Government/USA%20-%20NASA/2011 08 25 - NASA - Commercial Cargo Module Arrives at Wallops_9i2j7gdHuuE - transcript (automated).pdf","Transcript Link")</f>
        <v>Transcript Link</v>
      </c>
      <c r="M3934" s="2" t="str">
        <f>HYPERLINK("https://files.afu.se/Downloads/Transcripts/0%20-%20Government/USA%20-%20NASA/2011 08 25 - NASA - Commercial Cargo Module Arrives at Wallops_9i2j7gdHuuE - transcript (automated).pdf","Transcript Link")</f>
        <v>Transcript Link</v>
      </c>
    </row>
    <row r="3935" ht="165" spans="1:13">
      <c r="A3935" s="1" t="s">
        <v>17677</v>
      </c>
      <c r="B3935" s="1" t="s">
        <v>13</v>
      </c>
      <c r="C3935" s="4" t="s">
        <v>17678</v>
      </c>
      <c r="D3935" s="1" t="s">
        <v>17653</v>
      </c>
      <c r="E3935" s="1" t="s">
        <v>17679</v>
      </c>
      <c r="F3935" s="4" t="s">
        <v>17</v>
      </c>
      <c r="G3935" s="1" t="s">
        <v>18</v>
      </c>
      <c r="H3935" s="1" t="s">
        <v>19</v>
      </c>
      <c r="I3935" s="1" t="s">
        <v>20</v>
      </c>
      <c r="J3935" s="1" t="s">
        <v>17680</v>
      </c>
      <c r="K3935" s="1" t="s">
        <v>22</v>
      </c>
      <c r="L3935" s="1" t="str">
        <f>HYPERLINK("https://files.afu.se/Downloads/Transcripts/0%20-%20Government/USA%20-%20NASA/2011 08 24 - NASA - Station Cameras Capture New Views of Major Hurricane Irene_9lq6eNqQ4_0 - transcript (automated).pdf","Transcript Link")</f>
        <v>Transcript Link</v>
      </c>
      <c r="M3935" s="2" t="str">
        <f>HYPERLINK("https://files.afu.se/Downloads/Transcripts/0%20-%20Government/USA%20-%20NASA/2011 08 24 - NASA - Station Cameras Capture New Views of Major Hurricane Irene_9lq6eNqQ4_0 - transcript (automated).pdf","Transcript Link")</f>
        <v>Transcript Link</v>
      </c>
    </row>
    <row r="3936" ht="165" spans="1:13">
      <c r="A3936" s="1" t="s">
        <v>17677</v>
      </c>
      <c r="B3936" s="1" t="s">
        <v>13</v>
      </c>
      <c r="C3936" s="4" t="s">
        <v>17681</v>
      </c>
      <c r="D3936" s="1" t="s">
        <v>17682</v>
      </c>
      <c r="E3936" s="1" t="s">
        <v>17683</v>
      </c>
      <c r="F3936" s="4" t="s">
        <v>17</v>
      </c>
      <c r="G3936" s="1" t="s">
        <v>18</v>
      </c>
      <c r="H3936" s="1" t="s">
        <v>19</v>
      </c>
      <c r="I3936" s="1" t="s">
        <v>20</v>
      </c>
      <c r="J3936" s="1" t="s">
        <v>17684</v>
      </c>
      <c r="K3936" s="1" t="s">
        <v>22</v>
      </c>
      <c r="L3936" s="1" t="str">
        <f>HYPERLINK("https://files.afu.se/Downloads/Transcripts/0%20-%20Government/USA%20-%20NASA/2011 08 24 - NASA - Cargo Craft Lost After Launch_29OIVEIU0W0 - transcript (automated).pdf","Transcript Link")</f>
        <v>Transcript Link</v>
      </c>
      <c r="M3936" s="2" t="str">
        <f>HYPERLINK("https://files.afu.se/Downloads/Transcripts/0%20-%20Government/USA%20-%20NASA/2011 08 24 - NASA - Cargo Craft Lost After Launch_29OIVEIU0W0 - transcript (automated).pdf","Transcript Link")</f>
        <v>Transcript Link</v>
      </c>
    </row>
    <row r="3937" ht="165" spans="1:13">
      <c r="A3937" s="1" t="s">
        <v>17685</v>
      </c>
      <c r="B3937" s="1" t="s">
        <v>13</v>
      </c>
      <c r="C3937" s="4" t="s">
        <v>17686</v>
      </c>
      <c r="D3937" s="1" t="s">
        <v>17687</v>
      </c>
      <c r="E3937" s="1" t="s">
        <v>17688</v>
      </c>
      <c r="F3937" s="4" t="s">
        <v>17</v>
      </c>
      <c r="G3937" s="1" t="s">
        <v>18</v>
      </c>
      <c r="H3937" s="1" t="s">
        <v>19</v>
      </c>
      <c r="I3937" s="1" t="s">
        <v>20</v>
      </c>
      <c r="J3937" s="1" t="s">
        <v>17689</v>
      </c>
      <c r="K3937" s="1" t="s">
        <v>22</v>
      </c>
      <c r="L3937" s="1" t="str">
        <f>HYPERLINK("https://files.afu.se/Downloads/Transcripts/0%20-%20Government/USA%20-%20NASA/2011 08 23 - NASA - Expedition 28 Crew Records Video of Hurricane Irene from the ISS_fki5r9T6dZk - transcript (automated).pdf","Transcript Link")</f>
        <v>Transcript Link</v>
      </c>
      <c r="M3937" s="2" t="str">
        <f>HYPERLINK("https://files.afu.se/Downloads/Transcripts/0%20-%20Government/USA%20-%20NASA/2011 08 23 - NASA - Expedition 28 Crew Records Video of Hurricane Irene from the ISS_fki5r9T6dZk - transcript (automated).pdf","Transcript Link")</f>
        <v>Transcript Link</v>
      </c>
    </row>
    <row r="3938" ht="165" spans="1:13">
      <c r="A3938" s="1" t="s">
        <v>17685</v>
      </c>
      <c r="B3938" s="1" t="s">
        <v>13</v>
      </c>
      <c r="C3938" s="4" t="s">
        <v>17690</v>
      </c>
      <c r="D3938" s="1" t="s">
        <v>17691</v>
      </c>
      <c r="E3938" s="1" t="s">
        <v>17692</v>
      </c>
      <c r="F3938" s="4" t="s">
        <v>17</v>
      </c>
      <c r="G3938" s="1" t="s">
        <v>18</v>
      </c>
      <c r="H3938" s="1" t="s">
        <v>19</v>
      </c>
      <c r="I3938" s="1" t="s">
        <v>20</v>
      </c>
      <c r="J3938" s="1" t="s">
        <v>17693</v>
      </c>
      <c r="K3938" s="1" t="s">
        <v>22</v>
      </c>
      <c r="L3938" s="1" t="str">
        <f>HYPERLINK("https://files.afu.se/Downloads/Transcripts/0%20-%20Government/USA%20-%20NASA/2011 08 23 - NASA -  World  in Space_VmmBrd7LzMk - transcript (automated).pdf","Transcript Link")</f>
        <v>Transcript Link</v>
      </c>
      <c r="M3938" s="2" t="str">
        <f>HYPERLINK("https://files.afu.se/Downloads/Transcripts/0%20-%20Government/USA%20-%20NASA/2011 08 23 - NASA -  World  in Space_VmmBrd7LzMk - transcript (automated).pdf","Transcript Link")</f>
        <v>Transcript Link</v>
      </c>
    </row>
    <row r="3939" ht="165" spans="1:13">
      <c r="A3939" s="1" t="s">
        <v>17685</v>
      </c>
      <c r="B3939" s="1" t="s">
        <v>13</v>
      </c>
      <c r="C3939" s="4" t="s">
        <v>17694</v>
      </c>
      <c r="D3939" s="1" t="s">
        <v>17695</v>
      </c>
      <c r="E3939" s="1" t="s">
        <v>17696</v>
      </c>
      <c r="F3939" s="4" t="s">
        <v>17</v>
      </c>
      <c r="G3939" s="1" t="s">
        <v>18</v>
      </c>
      <c r="H3939" s="1" t="s">
        <v>19</v>
      </c>
      <c r="I3939" s="1" t="s">
        <v>20</v>
      </c>
      <c r="J3939" s="1" t="s">
        <v>17697</v>
      </c>
      <c r="K3939" s="1" t="s">
        <v>22</v>
      </c>
      <c r="L3939" s="1" t="str">
        <f>HYPERLINK("https://files.afu.se/Downloads/Transcripts/0%20-%20Government/USA%20-%20NASA/2011 08 23 - NASA - Japanese Prime Minister Calls ISS_0a6H0EuvOZQ - transcript (automated).pdf","Transcript Link")</f>
        <v>Transcript Link</v>
      </c>
      <c r="M3939" s="2" t="str">
        <f>HYPERLINK("https://files.afu.se/Downloads/Transcripts/0%20-%20Government/USA%20-%20NASA/2011 08 23 - NASA - Japanese Prime Minister Calls ISS_0a6H0EuvOZQ - transcript (automated).pdf","Transcript Link")</f>
        <v>Transcript Link</v>
      </c>
    </row>
    <row r="3940" ht="165" spans="1:13">
      <c r="A3940" s="1" t="s">
        <v>17698</v>
      </c>
      <c r="B3940" s="1" t="s">
        <v>13</v>
      </c>
      <c r="C3940" s="4" t="s">
        <v>17699</v>
      </c>
      <c r="D3940" s="1" t="s">
        <v>17700</v>
      </c>
      <c r="E3940" s="1" t="s">
        <v>17701</v>
      </c>
      <c r="F3940" s="4" t="s">
        <v>17</v>
      </c>
      <c r="G3940" s="1" t="s">
        <v>18</v>
      </c>
      <c r="H3940" s="1" t="s">
        <v>19</v>
      </c>
      <c r="I3940" s="1" t="s">
        <v>20</v>
      </c>
      <c r="J3940" s="1" t="s">
        <v>17702</v>
      </c>
      <c r="K3940" s="1" t="s">
        <v>22</v>
      </c>
      <c r="L3940" s="1" t="str">
        <f>HYPERLINK("https://files.afu.se/Downloads/Transcripts/0%20-%20Government/USA%20-%20NASA/2011 08 22 - NASA - Space Weather Forecasts in STEREO on This Week @NASA_KpKwKLP2Ans - transcript (automated).pdf","Transcript Link")</f>
        <v>Transcript Link</v>
      </c>
      <c r="M3940" s="2" t="str">
        <f>HYPERLINK("https://files.afu.se/Downloads/Transcripts/0%20-%20Government/USA%20-%20NASA/2011 08 22 - NASA - Space Weather Forecasts in STEREO on This Week @NASA_KpKwKLP2Ans - transcript (automated).pdf","Transcript Link")</f>
        <v>Transcript Link</v>
      </c>
    </row>
    <row r="3941" ht="165" spans="1:13">
      <c r="A3941" s="1" t="s">
        <v>17703</v>
      </c>
      <c r="B3941" s="1" t="s">
        <v>13</v>
      </c>
      <c r="C3941" s="4" t="s">
        <v>17704</v>
      </c>
      <c r="D3941" s="1" t="s">
        <v>17705</v>
      </c>
      <c r="E3941" s="1" t="s">
        <v>17706</v>
      </c>
      <c r="F3941" s="4" t="s">
        <v>17</v>
      </c>
      <c r="G3941" s="1" t="s">
        <v>18</v>
      </c>
      <c r="H3941" s="1" t="s">
        <v>19</v>
      </c>
      <c r="I3941" s="1" t="s">
        <v>20</v>
      </c>
      <c r="J3941" s="1" t="s">
        <v>17707</v>
      </c>
      <c r="K3941" s="1" t="s">
        <v>22</v>
      </c>
      <c r="L3941" s="1" t="str">
        <f>HYPERLINK("https://files.afu.se/Downloads/Transcripts/0%20-%20Government/USA%20-%20NASA/2011 08 19 - NASA - Stretching Webb's Wings_dXHRcDM6Tv8 - transcript (automated).pdf","Transcript Link")</f>
        <v>Transcript Link</v>
      </c>
      <c r="M3941" s="2" t="str">
        <f>HYPERLINK("https://files.afu.se/Downloads/Transcripts/0%20-%20Government/USA%20-%20NASA/2011 08 19 - NASA - Stretching Webb's Wings_dXHRcDM6Tv8 - transcript (automated).pdf","Transcript Link")</f>
        <v>Transcript Link</v>
      </c>
    </row>
    <row r="3942" ht="165" spans="1:13">
      <c r="A3942" s="1" t="s">
        <v>17703</v>
      </c>
      <c r="B3942" s="1" t="s">
        <v>13</v>
      </c>
      <c r="C3942" s="4" t="s">
        <v>17708</v>
      </c>
      <c r="D3942" s="1" t="s">
        <v>17709</v>
      </c>
      <c r="E3942" s="1" t="s">
        <v>17710</v>
      </c>
      <c r="F3942" s="4" t="s">
        <v>17</v>
      </c>
      <c r="G3942" s="1" t="s">
        <v>18</v>
      </c>
      <c r="H3942" s="1" t="s">
        <v>19</v>
      </c>
      <c r="I3942" s="1" t="s">
        <v>20</v>
      </c>
      <c r="J3942" s="1" t="s">
        <v>17711</v>
      </c>
      <c r="K3942" s="1" t="s">
        <v>22</v>
      </c>
      <c r="L3942" s="1" t="str">
        <f>HYPERLINK("https://files.afu.se/Downloads/Transcripts/0%20-%20Government/USA%20-%20NASA/2011 08 19 - NASA - Got Your Back_zA1R5xZdlbQ - transcript (automated).pdf","Transcript Link")</f>
        <v>Transcript Link</v>
      </c>
      <c r="M3942" s="2" t="str">
        <f>HYPERLINK("https://files.afu.se/Downloads/Transcripts/0%20-%20Government/USA%20-%20NASA/2011 08 19 - NASA - Got Your Back_zA1R5xZdlbQ - transcript (automated).pdf","Transcript Link")</f>
        <v>Transcript Link</v>
      </c>
    </row>
    <row r="3943" ht="165" spans="1:13">
      <c r="A3943" s="1" t="s">
        <v>17703</v>
      </c>
      <c r="B3943" s="1" t="s">
        <v>13</v>
      </c>
      <c r="C3943" s="4" t="s">
        <v>17712</v>
      </c>
      <c r="D3943" s="1" t="s">
        <v>17713</v>
      </c>
      <c r="E3943" s="1" t="s">
        <v>17714</v>
      </c>
      <c r="F3943" s="4" t="s">
        <v>17</v>
      </c>
      <c r="G3943" s="1" t="s">
        <v>18</v>
      </c>
      <c r="H3943" s="1" t="s">
        <v>19</v>
      </c>
      <c r="I3943" s="1" t="s">
        <v>20</v>
      </c>
      <c r="J3943" s="1" t="s">
        <v>17715</v>
      </c>
      <c r="K3943" s="1" t="s">
        <v>22</v>
      </c>
      <c r="L3943" s="1" t="str">
        <f>HYPERLINK("https://files.afu.se/Downloads/Transcripts/0%20-%20Government/USA%20-%20NASA/2011 08 19 - NASA - Troubleshooting Webb_mRY-E8eBkXE - transcript (automated).pdf","Transcript Link")</f>
        <v>Transcript Link</v>
      </c>
      <c r="M3943" s="2" t="str">
        <f>HYPERLINK("https://files.afu.se/Downloads/Transcripts/0%20-%20Government/USA%20-%20NASA/2011 08 19 - NASA - Troubleshooting Webb_mRY-E8eBkXE - transcript (automated).pdf","Transcript Link")</f>
        <v>Transcript Link</v>
      </c>
    </row>
    <row r="3944" ht="165" spans="1:13">
      <c r="A3944" s="1" t="s">
        <v>17703</v>
      </c>
      <c r="B3944" s="1" t="s">
        <v>13</v>
      </c>
      <c r="C3944" s="4" t="s">
        <v>17716</v>
      </c>
      <c r="D3944" s="1" t="s">
        <v>17717</v>
      </c>
      <c r="E3944" s="1" t="s">
        <v>17718</v>
      </c>
      <c r="F3944" s="4" t="s">
        <v>17</v>
      </c>
      <c r="G3944" s="1" t="s">
        <v>18</v>
      </c>
      <c r="H3944" s="1" t="s">
        <v>19</v>
      </c>
      <c r="I3944" s="1" t="s">
        <v>20</v>
      </c>
      <c r="J3944" s="1" t="s">
        <v>17719</v>
      </c>
      <c r="K3944" s="1" t="s">
        <v>22</v>
      </c>
      <c r="L3944" s="1" t="str">
        <f>HYPERLINK("https://files.afu.se/Downloads/Transcripts/0%20-%20Government/USA%20-%20NASA/2011 08 19 - NASA - Webb at the World Science Festival_aaB8ca5GJ-Y - transcript (automated).pdf","Transcript Link")</f>
        <v>Transcript Link</v>
      </c>
      <c r="M3944" s="2" t="str">
        <f>HYPERLINK("https://files.afu.se/Downloads/Transcripts/0%20-%20Government/USA%20-%20NASA/2011 08 19 - NASA - Webb at the World Science Festival_aaB8ca5GJ-Y - transcript (automated).pdf","Transcript Link")</f>
        <v>Transcript Link</v>
      </c>
    </row>
    <row r="3945" ht="165" spans="1:13">
      <c r="A3945" s="1" t="s">
        <v>17703</v>
      </c>
      <c r="B3945" s="1" t="s">
        <v>13</v>
      </c>
      <c r="C3945" s="4" t="s">
        <v>17720</v>
      </c>
      <c r="D3945" s="1" t="s">
        <v>17721</v>
      </c>
      <c r="E3945" s="1" t="s">
        <v>17722</v>
      </c>
      <c r="F3945" s="4" t="s">
        <v>17</v>
      </c>
      <c r="G3945" s="1" t="s">
        <v>18</v>
      </c>
      <c r="H3945" s="1" t="s">
        <v>19</v>
      </c>
      <c r="I3945" s="1" t="s">
        <v>20</v>
      </c>
      <c r="J3945" s="1" t="s">
        <v>17723</v>
      </c>
      <c r="K3945" s="1" t="s">
        <v>22</v>
      </c>
      <c r="L3945" s="1" t="str">
        <f>HYPERLINK("https://files.afu.se/Downloads/Transcripts/0%20-%20Government/USA%20-%20NASA/2011 08 19 - NASA - Reflecting on Webb's Mirrors_la1--kuU_5U - transcript (automated).pdf","Transcript Link")</f>
        <v>Transcript Link</v>
      </c>
      <c r="M3945" s="2" t="str">
        <f>HYPERLINK("https://files.afu.se/Downloads/Transcripts/0%20-%20Government/USA%20-%20NASA/2011 08 19 - NASA - Reflecting on Webb's Mirrors_la1--kuU_5U - transcript (automated).pdf","Transcript Link")</f>
        <v>Transcript Link</v>
      </c>
    </row>
    <row r="3946" ht="165" spans="1:13">
      <c r="A3946" s="1" t="s">
        <v>17703</v>
      </c>
      <c r="B3946" s="1" t="s">
        <v>13</v>
      </c>
      <c r="C3946" s="4" t="s">
        <v>17724</v>
      </c>
      <c r="D3946" s="1" t="s">
        <v>17725</v>
      </c>
      <c r="E3946" s="1" t="s">
        <v>17726</v>
      </c>
      <c r="F3946" s="4" t="s">
        <v>17</v>
      </c>
      <c r="G3946" s="1" t="s">
        <v>18</v>
      </c>
      <c r="H3946" s="1" t="s">
        <v>19</v>
      </c>
      <c r="I3946" s="1" t="s">
        <v>20</v>
      </c>
      <c r="J3946" s="1" t="s">
        <v>17727</v>
      </c>
      <c r="K3946" s="1" t="s">
        <v>22</v>
      </c>
      <c r="L3946" s="1" t="str">
        <f>HYPERLINK("https://files.afu.se/Downloads/Transcripts/0%20-%20Government/USA%20-%20NASA/2011 08 19 - NASA - The Big Chill_VVVozYAvPkk - transcript (automated).pdf","Transcript Link")</f>
        <v>Transcript Link</v>
      </c>
      <c r="M3946" s="2" t="str">
        <f>HYPERLINK("https://files.afu.se/Downloads/Transcripts/0%20-%20Government/USA%20-%20NASA/2011 08 19 - NASA - The Big Chill_VVVozYAvPkk - transcript (automated).pdf","Transcript Link")</f>
        <v>Transcript Link</v>
      </c>
    </row>
    <row r="3947" ht="165" spans="1:13">
      <c r="A3947" s="1" t="s">
        <v>17703</v>
      </c>
      <c r="B3947" s="1" t="s">
        <v>13</v>
      </c>
      <c r="C3947" s="4" t="s">
        <v>17728</v>
      </c>
      <c r="D3947" s="1" t="s">
        <v>17729</v>
      </c>
      <c r="E3947" s="1" t="s">
        <v>17730</v>
      </c>
      <c r="F3947" s="4" t="s">
        <v>17</v>
      </c>
      <c r="G3947" s="1" t="s">
        <v>18</v>
      </c>
      <c r="H3947" s="1" t="s">
        <v>19</v>
      </c>
      <c r="I3947" s="1" t="s">
        <v>20</v>
      </c>
      <c r="J3947" s="1" t="s">
        <v>17731</v>
      </c>
      <c r="K3947" s="1" t="s">
        <v>22</v>
      </c>
      <c r="L3947" s="1" t="str">
        <f>HYPERLINK("https://files.afu.se/Downloads/Transcripts/0%20-%20Government/USA%20-%20NASA/2011 08 19 - NASA - Jack of All Sunshields_zWBHO8FIP8Y - transcript (automated).pdf","Transcript Link")</f>
        <v>Transcript Link</v>
      </c>
      <c r="M3947" s="2" t="str">
        <f>HYPERLINK("https://files.afu.se/Downloads/Transcripts/0%20-%20Government/USA%20-%20NASA/2011 08 19 - NASA - Jack of All Sunshields_zWBHO8FIP8Y - transcript (automated).pdf","Transcript Link")</f>
        <v>Transcript Link</v>
      </c>
    </row>
    <row r="3948" ht="165" spans="1:13">
      <c r="A3948" s="1" t="s">
        <v>17732</v>
      </c>
      <c r="B3948" s="1" t="s">
        <v>13</v>
      </c>
      <c r="C3948" s="4" t="s">
        <v>17733</v>
      </c>
      <c r="D3948" s="1" t="s">
        <v>17734</v>
      </c>
      <c r="E3948" s="1" t="s">
        <v>17735</v>
      </c>
      <c r="F3948" s="4" t="s">
        <v>17</v>
      </c>
      <c r="G3948" s="1" t="s">
        <v>18</v>
      </c>
      <c r="H3948" s="1" t="s">
        <v>19</v>
      </c>
      <c r="I3948" s="1" t="s">
        <v>20</v>
      </c>
      <c r="J3948" s="1" t="s">
        <v>17736</v>
      </c>
      <c r="K3948" s="1" t="s">
        <v>22</v>
      </c>
      <c r="L3948" s="1" t="str">
        <f>HYPERLINK("https://files.afu.se/Downloads/Transcripts/0%20-%20Government/USA%20-%20NASA/2011 08 18 - NASA - STEREO Scopes Out Solar Storms_wtdhAXBSZ6M - transcript (automated).pdf","Transcript Link")</f>
        <v>Transcript Link</v>
      </c>
      <c r="M3948" s="2" t="str">
        <f>HYPERLINK("https://files.afu.se/Downloads/Transcripts/0%20-%20Government/USA%20-%20NASA/2011 08 18 - NASA - STEREO Scopes Out Solar Storms_wtdhAXBSZ6M - transcript (automated).pdf","Transcript Link")</f>
        <v>Transcript Link</v>
      </c>
    </row>
    <row r="3949" ht="165" spans="1:13">
      <c r="A3949" s="1" t="s">
        <v>17732</v>
      </c>
      <c r="B3949" s="1" t="s">
        <v>13</v>
      </c>
      <c r="C3949" s="4" t="s">
        <v>17737</v>
      </c>
      <c r="D3949" s="1" t="s">
        <v>17738</v>
      </c>
      <c r="E3949" s="1" t="s">
        <v>17739</v>
      </c>
      <c r="F3949" s="4" t="s">
        <v>17</v>
      </c>
      <c r="G3949" s="1" t="s">
        <v>18</v>
      </c>
      <c r="H3949" s="1" t="s">
        <v>19</v>
      </c>
      <c r="I3949" s="1" t="s">
        <v>20</v>
      </c>
      <c r="J3949" s="1" t="s">
        <v>17740</v>
      </c>
      <c r="K3949" s="1" t="s">
        <v>22</v>
      </c>
      <c r="L3949" s="1" t="str">
        <f>HYPERLINK("https://files.afu.se/Downloads/Transcripts/0%20-%20Government/USA%20-%20NASA/2011 08 18 - NASA - Students at Stennis Question Station Crew_x5zzf4L8Ec4 - transcript (automated).pdf","Transcript Link")</f>
        <v>Transcript Link</v>
      </c>
      <c r="M3949" s="2" t="str">
        <f>HYPERLINK("https://files.afu.se/Downloads/Transcripts/0%20-%20Government/USA%20-%20NASA/2011 08 18 - NASA - Students at Stennis Question Station Crew_x5zzf4L8Ec4 - transcript (automated).pdf","Transcript Link")</f>
        <v>Transcript Link</v>
      </c>
    </row>
    <row r="3950" ht="165" spans="1:13">
      <c r="A3950" s="1" t="s">
        <v>17741</v>
      </c>
      <c r="B3950" s="1" t="s">
        <v>13</v>
      </c>
      <c r="C3950" s="4" t="s">
        <v>17742</v>
      </c>
      <c r="D3950" s="1" t="s">
        <v>17743</v>
      </c>
      <c r="E3950" s="1" t="s">
        <v>17744</v>
      </c>
      <c r="F3950" s="4" t="s">
        <v>17</v>
      </c>
      <c r="G3950" s="1" t="s">
        <v>18</v>
      </c>
      <c r="H3950" s="1" t="s">
        <v>19</v>
      </c>
      <c r="I3950" s="1" t="s">
        <v>20</v>
      </c>
      <c r="J3950" s="1" t="s">
        <v>17745</v>
      </c>
      <c r="K3950" s="1" t="s">
        <v>22</v>
      </c>
      <c r="L3950" s="1" t="str">
        <f>HYPERLINK("https://files.afu.se/Downloads/Transcripts/0%20-%20Government/USA%20-%20NASA/2011 08 16 - NASA - Opportunity Rover Reaches Martian Crater on This Week @NASA_UdtsueWG2mM - transcript (automated).pdf","Transcript Link")</f>
        <v>Transcript Link</v>
      </c>
      <c r="M3950" s="2" t="str">
        <f>HYPERLINK("https://files.afu.se/Downloads/Transcripts/0%20-%20Government/USA%20-%20NASA/2011 08 16 - NASA - Opportunity Rover Reaches Martian Crater on This Week @NASA_UdtsueWG2mM - transcript (automated).pdf","Transcript Link")</f>
        <v>Transcript Link</v>
      </c>
    </row>
    <row r="3951" ht="165" spans="1:13">
      <c r="A3951" s="1" t="s">
        <v>17741</v>
      </c>
      <c r="B3951" s="1" t="s">
        <v>13</v>
      </c>
      <c r="C3951" s="4" t="s">
        <v>17746</v>
      </c>
      <c r="D3951" s="1" t="s">
        <v>17747</v>
      </c>
      <c r="E3951" s="1" t="s">
        <v>17748</v>
      </c>
      <c r="F3951" s="4" t="s">
        <v>17</v>
      </c>
      <c r="G3951" s="1" t="s">
        <v>18</v>
      </c>
      <c r="H3951" s="1" t="s">
        <v>19</v>
      </c>
      <c r="I3951" s="1" t="s">
        <v>20</v>
      </c>
      <c r="J3951" s="1" t="s">
        <v>17749</v>
      </c>
      <c r="K3951" s="1" t="s">
        <v>22</v>
      </c>
      <c r="L3951" s="1" t="str">
        <f>HYPERLINK("https://files.afu.se/Downloads/Transcripts/0%20-%20Government/USA%20-%20NASA/2011 08 16 - NASA - ISS Crew Member Talks with  TV Tokyo _l9hoWRovfpM - transcript (automated).pdf","Transcript Link")</f>
        <v>Transcript Link</v>
      </c>
      <c r="M3951" s="2" t="str">
        <f>HYPERLINK("https://files.afu.se/Downloads/Transcripts/0%20-%20Government/USA%20-%20NASA/2011 08 16 - NASA - ISS Crew Member Talks with  TV Tokyo _l9hoWRovfpM - transcript (automated).pdf","Transcript Link")</f>
        <v>Transcript Link</v>
      </c>
    </row>
    <row r="3952" ht="270" spans="1:13">
      <c r="A3952" s="1" t="s">
        <v>17741</v>
      </c>
      <c r="B3952" s="1" t="s">
        <v>13</v>
      </c>
      <c r="C3952" s="4" t="s">
        <v>17750</v>
      </c>
      <c r="D3952" s="1" t="s">
        <v>17751</v>
      </c>
      <c r="E3952" s="1" t="s">
        <v>17752</v>
      </c>
      <c r="F3952" s="4" t="s">
        <v>17</v>
      </c>
      <c r="G3952" s="1" t="s">
        <v>18</v>
      </c>
      <c r="H3952" s="1" t="s">
        <v>19</v>
      </c>
      <c r="I3952" s="1" t="s">
        <v>20</v>
      </c>
      <c r="J3952" s="1" t="s">
        <v>17753</v>
      </c>
      <c r="K3952" s="1" t="s">
        <v>22</v>
      </c>
      <c r="L3952" s="1" t="str">
        <f>HYPERLINK("https://files.afu.se/Downloads/Transcripts/0%20-%20Government/USA%20-%20NASA/2011 08 16 - NASA - NASA Holds Future Forum at U of Maryland (Pt. 1 of 4)_EZzIk2JFSQw - transcript (automated).pdf","Transcript Link")</f>
        <v>Transcript Link</v>
      </c>
      <c r="M3952" s="2" t="str">
        <f>HYPERLINK("https://files.afu.se/Downloads/Transcripts/0%20-%20Government/USA%20-%20NASA/2011 08 16 - NASA - NASA Holds Future Forum at U of Maryland (Pt. 1 of 4)_EZzIk2JFSQw - transcript (automated).pdf","Transcript Link")</f>
        <v>Transcript Link</v>
      </c>
    </row>
    <row r="3953" ht="165" spans="1:13">
      <c r="A3953" s="1" t="s">
        <v>17754</v>
      </c>
      <c r="B3953" s="1" t="s">
        <v>13</v>
      </c>
      <c r="C3953" s="4" t="s">
        <v>17755</v>
      </c>
      <c r="D3953" s="1" t="s">
        <v>17756</v>
      </c>
      <c r="E3953" s="1" t="s">
        <v>17757</v>
      </c>
      <c r="F3953" s="4" t="s">
        <v>17</v>
      </c>
      <c r="G3953" s="1" t="s">
        <v>18</v>
      </c>
      <c r="H3953" s="1" t="s">
        <v>19</v>
      </c>
      <c r="I3953" s="1" t="s">
        <v>20</v>
      </c>
      <c r="J3953" s="1" t="s">
        <v>17758</v>
      </c>
      <c r="K3953" s="1" t="s">
        <v>22</v>
      </c>
      <c r="L3953" s="1" t="str">
        <f>HYPERLINK("https://files.afu.se/Downloads/Transcripts/0%20-%20Government/USA%20-%20NASA/2011 08 15 - NASA -  Pushing the Limits  Future Forum Panel on Science and Discovery (Pt. 2 of 4)_ME51bNgsDaM - transcript (automated).pdf","Transcript Link")</f>
        <v>Transcript Link</v>
      </c>
      <c r="M3953" s="2" t="str">
        <f>HYPERLINK("https://files.afu.se/Downloads/Transcripts/0%20-%20Government/USA%20-%20NASA/2011 08 15 - NASA -  Pushing the Limits  Future Forum Panel on Science and Discovery (Pt. 2 of 4)_ME51bNgsDaM - transcript (automated).pdf","Transcript Link")</f>
        <v>Transcript Link</v>
      </c>
    </row>
    <row r="3954" ht="270" spans="1:13">
      <c r="A3954" s="1" t="s">
        <v>17754</v>
      </c>
      <c r="B3954" s="1" t="s">
        <v>13</v>
      </c>
      <c r="C3954" s="4" t="s">
        <v>17759</v>
      </c>
      <c r="D3954" s="1" t="s">
        <v>17751</v>
      </c>
      <c r="E3954" s="1" t="s">
        <v>17752</v>
      </c>
      <c r="F3954" s="4" t="s">
        <v>17</v>
      </c>
      <c r="G3954" s="1" t="s">
        <v>18</v>
      </c>
      <c r="H3954" s="1" t="s">
        <v>19</v>
      </c>
      <c r="I3954" s="1" t="s">
        <v>20</v>
      </c>
      <c r="J3954" s="1" t="s">
        <v>17760</v>
      </c>
      <c r="K3954" s="1" t="s">
        <v>22</v>
      </c>
      <c r="L3954" s="1" t="str">
        <f>HYPERLINK("https://files.afu.se/Downloads/Transcripts/0%20-%20Government/USA%20-%20NASA/2011 08 15 - NASA - NASA Holds Future Forum at U of Maryland (Pt. 1 of 4)_GVE1JJaPJiI - transcript (automated).pdf","Transcript Link")</f>
        <v>Transcript Link</v>
      </c>
      <c r="M3954" s="2" t="str">
        <f>HYPERLINK("https://files.afu.se/Downloads/Transcripts/0%20-%20Government/USA%20-%20NASA/2011 08 15 - NASA - NASA Holds Future Forum at U of Maryland (Pt. 1 of 4)_GVE1JJaPJiI - transcript (automated).pdf","Transcript Link")</f>
        <v>Transcript Link</v>
      </c>
    </row>
    <row r="3955" ht="165" spans="1:13">
      <c r="A3955" s="1" t="s">
        <v>17761</v>
      </c>
      <c r="B3955" s="1" t="s">
        <v>13</v>
      </c>
      <c r="C3955" s="4" t="s">
        <v>17762</v>
      </c>
      <c r="D3955" s="1" t="s">
        <v>17763</v>
      </c>
      <c r="E3955" s="1" t="s">
        <v>17764</v>
      </c>
      <c r="F3955" s="4" t="s">
        <v>17</v>
      </c>
      <c r="G3955" s="1" t="s">
        <v>18</v>
      </c>
      <c r="H3955" s="1" t="s">
        <v>19</v>
      </c>
      <c r="I3955" s="1" t="s">
        <v>20</v>
      </c>
      <c r="J3955" s="1" t="s">
        <v>17765</v>
      </c>
      <c r="K3955" s="1" t="s">
        <v>22</v>
      </c>
      <c r="L3955" s="1" t="str">
        <f>HYPERLINK("https://files.afu.se/Downloads/Transcripts/0%20-%20Government/USA%20-%20NASA/2011 08 13 - NASA -  Building Idea Factories  Future Forum's Focus on Education (Pt. 4 of 4)_4qkpTy7Ba9E - transcript (automated).pdf","Transcript Link")</f>
        <v>Transcript Link</v>
      </c>
      <c r="M3955" s="2" t="str">
        <f>HYPERLINK("https://files.afu.se/Downloads/Transcripts/0%20-%20Government/USA%20-%20NASA/2011 08 13 - NASA -  Building Idea Factories  Future Forum's Focus on Education (Pt. 4 of 4)_4qkpTy7Ba9E - transcript (automated).pdf","Transcript Link")</f>
        <v>Transcript Link</v>
      </c>
    </row>
    <row r="3956" ht="165" spans="1:13">
      <c r="A3956" s="1" t="s">
        <v>17761</v>
      </c>
      <c r="B3956" s="1" t="s">
        <v>13</v>
      </c>
      <c r="C3956" s="4" t="s">
        <v>17766</v>
      </c>
      <c r="D3956" s="1" t="s">
        <v>17767</v>
      </c>
      <c r="E3956" s="1" t="s">
        <v>17768</v>
      </c>
      <c r="F3956" s="4" t="s">
        <v>17</v>
      </c>
      <c r="G3956" s="1" t="s">
        <v>18</v>
      </c>
      <c r="H3956" s="1" t="s">
        <v>19</v>
      </c>
      <c r="I3956" s="1" t="s">
        <v>20</v>
      </c>
      <c r="J3956" s="1" t="s">
        <v>17769</v>
      </c>
      <c r="K3956" s="1" t="s">
        <v>22</v>
      </c>
      <c r="L3956" s="1" t="str">
        <f>HYPERLINK("https://files.afu.se/Downloads/Transcripts/0%20-%20Government/USA%20-%20NASA/2011 08 13 - NASA - Future Forum Panel Spotlights Technology Transfer (Pt. 3 of 4)_OfqV8cwCbkQ - transcript (automated).pdf","Transcript Link")</f>
        <v>Transcript Link</v>
      </c>
      <c r="M3956" s="2" t="str">
        <f>HYPERLINK("https://files.afu.se/Downloads/Transcripts/0%20-%20Government/USA%20-%20NASA/2011 08 13 - NASA - Future Forum Panel Spotlights Technology Transfer (Pt. 3 of 4)_OfqV8cwCbkQ - transcript (automated).pdf","Transcript Link")</f>
        <v>Transcript Link</v>
      </c>
    </row>
    <row r="3957" ht="165" spans="1:13">
      <c r="A3957" s="1" t="s">
        <v>17770</v>
      </c>
      <c r="B3957" s="1" t="s">
        <v>13</v>
      </c>
      <c r="C3957" s="4" t="s">
        <v>17771</v>
      </c>
      <c r="D3957" s="1" t="s">
        <v>17743</v>
      </c>
      <c r="E3957" s="1" t="s">
        <v>17772</v>
      </c>
      <c r="F3957" s="4" t="s">
        <v>17</v>
      </c>
      <c r="G3957" s="1" t="s">
        <v>18</v>
      </c>
      <c r="H3957" s="1" t="s">
        <v>19</v>
      </c>
      <c r="I3957" s="1" t="s">
        <v>20</v>
      </c>
      <c r="J3957" s="1" t="s">
        <v>17773</v>
      </c>
      <c r="K3957" s="1" t="s">
        <v>22</v>
      </c>
      <c r="L3957" s="1" t="str">
        <f>HYPERLINK("https://files.afu.se/Downloads/Transcripts/0%20-%20Government/USA%20-%20NASA/2011 08 12 - NASA - Opportunity Rover Reaches Martian Crater on This Week @NASA_eA-iWUXMCic - transcript (automated).pdf","Transcript Link")</f>
        <v>Transcript Link</v>
      </c>
      <c r="M3957" s="2" t="str">
        <f>HYPERLINK("https://files.afu.se/Downloads/Transcripts/0%20-%20Government/USA%20-%20NASA/2011 08 12 - NASA - Opportunity Rover Reaches Martian Crater on This Week @NASA_eA-iWUXMCic - transcript (automated).pdf","Transcript Link")</f>
        <v>Transcript Link</v>
      </c>
    </row>
    <row r="3958" ht="165" spans="1:13">
      <c r="A3958" s="1" t="s">
        <v>17770</v>
      </c>
      <c r="B3958" s="1" t="s">
        <v>13</v>
      </c>
      <c r="C3958" s="4" t="s">
        <v>17774</v>
      </c>
      <c r="D3958" s="1" t="s">
        <v>17775</v>
      </c>
      <c r="E3958" s="1" t="s">
        <v>17776</v>
      </c>
      <c r="F3958" s="4" t="s">
        <v>17</v>
      </c>
      <c r="G3958" s="1" t="s">
        <v>18</v>
      </c>
      <c r="H3958" s="1" t="s">
        <v>19</v>
      </c>
      <c r="I3958" s="1" t="s">
        <v>20</v>
      </c>
      <c r="J3958" s="1" t="s">
        <v>17777</v>
      </c>
      <c r="K3958" s="1" t="s">
        <v>22</v>
      </c>
      <c r="L3958" s="1" t="str">
        <f>HYPERLINK("https://files.afu.se/Downloads/Transcripts/0%20-%20Government/USA%20-%20NASA/2011 08 12 - NASA - ScienceCasts  Dawn's Smooth Move_iHGIN3RlbP8 - transcript (automated).pdf","Transcript Link")</f>
        <v>Transcript Link</v>
      </c>
      <c r="M3958" s="2" t="str">
        <f>HYPERLINK("https://files.afu.se/Downloads/Transcripts/0%20-%20Government/USA%20-%20NASA/2011 08 12 - NASA - ScienceCasts  Dawn's Smooth Move_iHGIN3RlbP8 - transcript (automated).pdf","Transcript Link")</f>
        <v>Transcript Link</v>
      </c>
    </row>
    <row r="3959" ht="165" spans="1:13">
      <c r="A3959" s="1" t="s">
        <v>17778</v>
      </c>
      <c r="B3959" s="1" t="s">
        <v>13</v>
      </c>
      <c r="C3959" s="4" t="s">
        <v>17779</v>
      </c>
      <c r="D3959" s="1" t="s">
        <v>17780</v>
      </c>
      <c r="E3959" s="1" t="s">
        <v>17781</v>
      </c>
      <c r="F3959" s="4" t="s">
        <v>17</v>
      </c>
      <c r="G3959" s="1" t="s">
        <v>18</v>
      </c>
      <c r="H3959" s="1" t="s">
        <v>19</v>
      </c>
      <c r="I3959" s="1" t="s">
        <v>20</v>
      </c>
      <c r="J3959" s="1" t="s">
        <v>17782</v>
      </c>
      <c r="K3959" s="1" t="s">
        <v>22</v>
      </c>
      <c r="L3959" s="1" t="str">
        <f>HYPERLINK("https://files.afu.se/Downloads/Transcripts/0%20-%20Government/USA%20-%20NASA/2011 08 10 - NASA - Opportunity Reaches Next Destination on Mars_iMnt6PWYscg - transcript (automated).pdf","Transcript Link")</f>
        <v>Transcript Link</v>
      </c>
      <c r="M3959" s="2" t="str">
        <f>HYPERLINK("https://files.afu.se/Downloads/Transcripts/0%20-%20Government/USA%20-%20NASA/2011 08 10 - NASA - Opportunity Reaches Next Destination on Mars_iMnt6PWYscg - transcript (automated).pdf","Transcript Link")</f>
        <v>Transcript Link</v>
      </c>
    </row>
    <row r="3960" ht="165" spans="1:13">
      <c r="A3960" s="1" t="s">
        <v>17778</v>
      </c>
      <c r="B3960" s="1" t="s">
        <v>13</v>
      </c>
      <c r="C3960" s="4" t="s">
        <v>17783</v>
      </c>
      <c r="D3960" s="1" t="s">
        <v>17784</v>
      </c>
      <c r="E3960" s="1" t="s">
        <v>17785</v>
      </c>
      <c r="F3960" s="4" t="s">
        <v>17</v>
      </c>
      <c r="G3960" s="1" t="s">
        <v>18</v>
      </c>
      <c r="H3960" s="1" t="s">
        <v>19</v>
      </c>
      <c r="I3960" s="1" t="s">
        <v>20</v>
      </c>
      <c r="J3960" s="1" t="s">
        <v>17786</v>
      </c>
      <c r="K3960" s="1" t="s">
        <v>22</v>
      </c>
      <c r="L3960" s="1" t="str">
        <f>HYPERLINK("https://files.afu.se/Downloads/Transcripts/0%20-%20Government/USA%20-%20NASA/2011 08 10 - NASA - ISS Crew Interviewed by Houston Media_51lS4UkrXt4 - transcript (automated).pdf","Transcript Link")</f>
        <v>Transcript Link</v>
      </c>
      <c r="M3960" s="2" t="str">
        <f>HYPERLINK("https://files.afu.se/Downloads/Transcripts/0%20-%20Government/USA%20-%20NASA/2011 08 10 - NASA - ISS Crew Interviewed by Houston Media_51lS4UkrXt4 - transcript (automated).pdf","Transcript Link")</f>
        <v>Transcript Link</v>
      </c>
    </row>
    <row r="3961" ht="165" spans="1:13">
      <c r="A3961" s="1" t="s">
        <v>17787</v>
      </c>
      <c r="B3961" s="1" t="s">
        <v>13</v>
      </c>
      <c r="C3961" s="4" t="s">
        <v>17788</v>
      </c>
      <c r="D3961" s="1" t="s">
        <v>17789</v>
      </c>
      <c r="E3961" s="1" t="s">
        <v>17790</v>
      </c>
      <c r="F3961" s="4" t="s">
        <v>17</v>
      </c>
      <c r="G3961" s="1" t="s">
        <v>18</v>
      </c>
      <c r="H3961" s="1" t="s">
        <v>19</v>
      </c>
      <c r="I3961" s="1" t="s">
        <v>20</v>
      </c>
      <c r="J3961" s="1" t="s">
        <v>17791</v>
      </c>
      <c r="K3961" s="1" t="s">
        <v>22</v>
      </c>
      <c r="L3961" s="1" t="str">
        <f>HYPERLINK("https://files.afu.se/Downloads/Transcripts/0%20-%20Government/USA%20-%20NASA/2011 08 09 - NASA - Station Crew Meets with Minnesota Scouts_qnkeD04jveg - transcript (automated).pdf","Transcript Link")</f>
        <v>Transcript Link</v>
      </c>
      <c r="M3961" s="2" t="str">
        <f>HYPERLINK("https://files.afu.se/Downloads/Transcripts/0%20-%20Government/USA%20-%20NASA/2011 08 09 - NASA - Station Crew Meets with Minnesota Scouts_qnkeD04jveg - transcript (automated).pdf","Transcript Link")</f>
        <v>Transcript Link</v>
      </c>
    </row>
    <row r="3962" ht="165" spans="1:13">
      <c r="A3962" s="1" t="s">
        <v>17792</v>
      </c>
      <c r="B3962" s="1" t="s">
        <v>13</v>
      </c>
      <c r="C3962" s="4" t="s">
        <v>17793</v>
      </c>
      <c r="D3962" s="1" t="s">
        <v>17794</v>
      </c>
      <c r="E3962" s="1" t="s">
        <v>17795</v>
      </c>
      <c r="F3962" s="4" t="s">
        <v>17</v>
      </c>
      <c r="G3962" s="1" t="s">
        <v>18</v>
      </c>
      <c r="H3962" s="1" t="s">
        <v>19</v>
      </c>
      <c r="I3962" s="1" t="s">
        <v>20</v>
      </c>
      <c r="J3962" s="1" t="s">
        <v>17796</v>
      </c>
      <c r="K3962" s="1" t="s">
        <v>22</v>
      </c>
      <c r="L3962" s="1" t="str">
        <f>HYPERLINK("https://files.afu.se/Downloads/Transcripts/0%20-%20Government/USA%20-%20NASA/2011 08 05 - NASA - Juno to Jupiter on This Week @NASA_BrG-8bVL-v4 - transcript (automated).pdf","Transcript Link")</f>
        <v>Transcript Link</v>
      </c>
      <c r="M3962" s="2" t="str">
        <f>HYPERLINK("https://files.afu.se/Downloads/Transcripts/0%20-%20Government/USA%20-%20NASA/2011 08 05 - NASA - Juno to Jupiter on This Week @NASA_BrG-8bVL-v4 - transcript (automated).pdf","Transcript Link")</f>
        <v>Transcript Link</v>
      </c>
    </row>
    <row r="3963" ht="165" spans="1:13">
      <c r="A3963" s="1" t="s">
        <v>17792</v>
      </c>
      <c r="B3963" s="1" t="s">
        <v>13</v>
      </c>
      <c r="C3963" s="4" t="s">
        <v>17797</v>
      </c>
      <c r="D3963" s="1" t="s">
        <v>17798</v>
      </c>
      <c r="E3963" s="1" t="s">
        <v>17799</v>
      </c>
      <c r="F3963" s="4" t="s">
        <v>17</v>
      </c>
      <c r="G3963" s="1" t="s">
        <v>18</v>
      </c>
      <c r="H3963" s="1" t="s">
        <v>19</v>
      </c>
      <c r="I3963" s="1" t="s">
        <v>20</v>
      </c>
      <c r="J3963" s="1" t="s">
        <v>17800</v>
      </c>
      <c r="K3963" s="1" t="s">
        <v>22</v>
      </c>
      <c r="L3963" s="1" t="str">
        <f>HYPERLINK("https://files.afu.se/Downloads/Transcripts/0%20-%20Government/USA%20-%20NASA/2011 08 05 - NASA - Juno Mission Holds Key to Solar System's Origins_2jo3DsRP5vA - transcript (automated).pdf","Transcript Link")</f>
        <v>Transcript Link</v>
      </c>
      <c r="M3963" s="2" t="str">
        <f>HYPERLINK("https://files.afu.se/Downloads/Transcripts/0%20-%20Government/USA%20-%20NASA/2011 08 05 - NASA - Juno Mission Holds Key to Solar System's Origins_2jo3DsRP5vA - transcript (automated).pdf","Transcript Link")</f>
        <v>Transcript Link</v>
      </c>
    </row>
    <row r="3964" ht="165" spans="1:13">
      <c r="A3964" s="1" t="s">
        <v>17792</v>
      </c>
      <c r="B3964" s="1" t="s">
        <v>13</v>
      </c>
      <c r="C3964" s="4" t="s">
        <v>17801</v>
      </c>
      <c r="D3964" s="1" t="s">
        <v>17802</v>
      </c>
      <c r="E3964" s="1" t="s">
        <v>17803</v>
      </c>
      <c r="F3964" s="4" t="s">
        <v>17</v>
      </c>
      <c r="G3964" s="1" t="s">
        <v>18</v>
      </c>
      <c r="H3964" s="1" t="s">
        <v>19</v>
      </c>
      <c r="I3964" s="1" t="s">
        <v>20</v>
      </c>
      <c r="J3964" s="1" t="s">
        <v>17804</v>
      </c>
      <c r="K3964" s="1" t="s">
        <v>22</v>
      </c>
      <c r="L3964" s="1" t="str">
        <f>HYPERLINK("https://files.afu.se/Downloads/Transcripts/0%20-%20Government/USA%20-%20NASA/2011 08 05 - NASA - Juno Mission Launches to Jupiter_EIyt5EBUlfM - transcript (automated).pdf","Transcript Link")</f>
        <v>Transcript Link</v>
      </c>
      <c r="M3964" s="2" t="str">
        <f>HYPERLINK("https://files.afu.se/Downloads/Transcripts/0%20-%20Government/USA%20-%20NASA/2011 08 05 - NASA - Juno Mission Launches to Jupiter_EIyt5EBUlfM - transcript (automated).pdf","Transcript Link")</f>
        <v>Transcript Link</v>
      </c>
    </row>
    <row r="3965" ht="165" spans="1:13">
      <c r="A3965" s="1" t="s">
        <v>17792</v>
      </c>
      <c r="B3965" s="1" t="s">
        <v>13</v>
      </c>
      <c r="C3965" s="4" t="s">
        <v>17805</v>
      </c>
      <c r="D3965" s="1" t="s">
        <v>17806</v>
      </c>
      <c r="E3965" s="1" t="s">
        <v>17807</v>
      </c>
      <c r="F3965" s="4" t="s">
        <v>17</v>
      </c>
      <c r="G3965" s="1" t="s">
        <v>18</v>
      </c>
      <c r="H3965" s="1" t="s">
        <v>19</v>
      </c>
      <c r="I3965" s="1" t="s">
        <v>20</v>
      </c>
      <c r="J3965" s="1" t="s">
        <v>17808</v>
      </c>
      <c r="K3965" s="1" t="s">
        <v>22</v>
      </c>
      <c r="L3965" s="1" t="str">
        <f>HYPERLINK("https://files.afu.se/Downloads/Transcripts/0%20-%20Government/USA%20-%20NASA/2011 08 05 - NASA - Station Crew Discusses Life in Space During In-Flight Interviews_Do9xkkSqOCw - transcript (automated).pdf","Transcript Link")</f>
        <v>Transcript Link</v>
      </c>
      <c r="M3965" s="2" t="str">
        <f>HYPERLINK("https://files.afu.se/Downloads/Transcripts/0%20-%20Government/USA%20-%20NASA/2011 08 05 - NASA - Station Crew Discusses Life in Space During In-Flight Interviews_Do9xkkSqOCw - transcript (automated).pdf","Transcript Link")</f>
        <v>Transcript Link</v>
      </c>
    </row>
    <row r="3966" ht="165" spans="1:13">
      <c r="A3966" s="1" t="s">
        <v>17809</v>
      </c>
      <c r="B3966" s="1" t="s">
        <v>13</v>
      </c>
      <c r="C3966" s="4" t="s">
        <v>17810</v>
      </c>
      <c r="D3966" s="1" t="s">
        <v>17811</v>
      </c>
      <c r="E3966" s="1" t="s">
        <v>17812</v>
      </c>
      <c r="F3966" s="4" t="s">
        <v>17</v>
      </c>
      <c r="G3966" s="1" t="s">
        <v>18</v>
      </c>
      <c r="H3966" s="1" t="s">
        <v>19</v>
      </c>
      <c r="I3966" s="1" t="s">
        <v>20</v>
      </c>
      <c r="J3966" s="1" t="s">
        <v>17813</v>
      </c>
      <c r="K3966" s="1" t="s">
        <v>22</v>
      </c>
      <c r="L3966" s="1" t="str">
        <f>HYPERLINK("https://files.afu.se/Downloads/Transcripts/0%20-%20Government/USA%20-%20NASA/2011 08 04 - NASA - Tweeps Tweet About Juno Mission_5iWgZ_TmL0M - transcript (automated).pdf","Transcript Link")</f>
        <v>Transcript Link</v>
      </c>
      <c r="M3966" s="2" t="str">
        <f>HYPERLINK("https://files.afu.se/Downloads/Transcripts/0%20-%20Government/USA%20-%20NASA/2011 08 04 - NASA - Tweeps Tweet About Juno Mission_5iWgZ_TmL0M - transcript (automated).pdf","Transcript Link")</f>
        <v>Transcript Link</v>
      </c>
    </row>
    <row r="3967" ht="165" spans="1:13">
      <c r="A3967" s="1" t="s">
        <v>17809</v>
      </c>
      <c r="B3967" s="1" t="s">
        <v>13</v>
      </c>
      <c r="C3967" s="4" t="s">
        <v>17814</v>
      </c>
      <c r="D3967" s="1" t="s">
        <v>17815</v>
      </c>
      <c r="E3967" s="1" t="s">
        <v>17816</v>
      </c>
      <c r="F3967" s="4" t="s">
        <v>17</v>
      </c>
      <c r="G3967" s="1" t="s">
        <v>18</v>
      </c>
      <c r="H3967" s="1" t="s">
        <v>19</v>
      </c>
      <c r="I3967" s="1" t="s">
        <v>20</v>
      </c>
      <c r="J3967" s="1" t="s">
        <v>17817</v>
      </c>
      <c r="K3967" s="1" t="s">
        <v>22</v>
      </c>
      <c r="L3967" s="1" t="str">
        <f>HYPERLINK("https://files.afu.se/Downloads/Transcripts/0%20-%20Government/USA%20-%20NASA/2011 08 04 - NASA - NASA's MRO Sees Possible Martian Water Flows_Em_KPz8OtCw - transcript (automated).pdf","Transcript Link")</f>
        <v>Transcript Link</v>
      </c>
      <c r="M3967" s="2" t="str">
        <f>HYPERLINK("https://files.afu.se/Downloads/Transcripts/0%20-%20Government/USA%20-%20NASA/2011 08 04 - NASA - NASA's MRO Sees Possible Martian Water Flows_Em_KPz8OtCw - transcript (automated).pdf","Transcript Link")</f>
        <v>Transcript Link</v>
      </c>
    </row>
    <row r="3968" ht="165" spans="1:13">
      <c r="A3968" s="1" t="s">
        <v>17809</v>
      </c>
      <c r="B3968" s="1" t="s">
        <v>13</v>
      </c>
      <c r="C3968" s="4" t="s">
        <v>17818</v>
      </c>
      <c r="D3968" s="1" t="s">
        <v>17819</v>
      </c>
      <c r="E3968" s="1" t="s">
        <v>17820</v>
      </c>
      <c r="F3968" s="4" t="s">
        <v>17</v>
      </c>
      <c r="G3968" s="1" t="s">
        <v>18</v>
      </c>
      <c r="H3968" s="1" t="s">
        <v>19</v>
      </c>
      <c r="I3968" s="1" t="s">
        <v>20</v>
      </c>
      <c r="J3968" s="1" t="s">
        <v>17821</v>
      </c>
      <c r="K3968" s="1" t="s">
        <v>22</v>
      </c>
      <c r="L3968" s="1" t="str">
        <f>HYPERLINK("https://files.afu.se/Downloads/Transcripts/0%20-%20Government/USA%20-%20NASA/2011 08 04 - NASA - Station, Shuttle Crews Visit NASA Headquarters_kCfTLc9oHa8 - transcript (automated).pdf","Transcript Link")</f>
        <v>Transcript Link</v>
      </c>
      <c r="M3968" s="2" t="str">
        <f>HYPERLINK("https://files.afu.se/Downloads/Transcripts/0%20-%20Government/USA%20-%20NASA/2011 08 04 - NASA - Station, Shuttle Crews Visit NASA Headquarters_kCfTLc9oHa8 - transcript (automated).pdf","Transcript Link")</f>
        <v>Transcript Link</v>
      </c>
    </row>
    <row r="3969" ht="165" spans="1:13">
      <c r="A3969" s="1" t="s">
        <v>17822</v>
      </c>
      <c r="B3969" s="1" t="s">
        <v>13</v>
      </c>
      <c r="C3969" s="4" t="s">
        <v>17823</v>
      </c>
      <c r="D3969" s="1" t="s">
        <v>17824</v>
      </c>
      <c r="E3969" s="1" t="s">
        <v>17825</v>
      </c>
      <c r="F3969" s="4" t="s">
        <v>17</v>
      </c>
      <c r="G3969" s="1" t="s">
        <v>18</v>
      </c>
      <c r="H3969" s="1" t="s">
        <v>19</v>
      </c>
      <c r="I3969" s="1" t="s">
        <v>20</v>
      </c>
      <c r="J3969" s="1" t="s">
        <v>17826</v>
      </c>
      <c r="K3969" s="1" t="s">
        <v>22</v>
      </c>
      <c r="L3969" s="1" t="str">
        <f>HYPERLINK("https://files.afu.se/Downloads/Transcripts/0%20-%20Government/USA%20-%20NASA/2011 08 03 - NASA - Juno Team Holds Pre-Launch Briefing_35StUm25Qg0 - transcript (automated).pdf","Transcript Link")</f>
        <v>Transcript Link</v>
      </c>
      <c r="M3969" s="2" t="str">
        <f>HYPERLINK("https://files.afu.se/Downloads/Transcripts/0%20-%20Government/USA%20-%20NASA/2011 08 03 - NASA - Juno Team Holds Pre-Launch Briefing_35StUm25Qg0 - transcript (automated).pdf","Transcript Link")</f>
        <v>Transcript Link</v>
      </c>
    </row>
    <row r="3970" ht="165" spans="1:13">
      <c r="A3970" s="1" t="s">
        <v>17822</v>
      </c>
      <c r="B3970" s="1" t="s">
        <v>13</v>
      </c>
      <c r="C3970" s="4" t="s">
        <v>17827</v>
      </c>
      <c r="D3970" s="1" t="s">
        <v>17828</v>
      </c>
      <c r="E3970" s="1" t="s">
        <v>17829</v>
      </c>
      <c r="F3970" s="4" t="s">
        <v>17</v>
      </c>
      <c r="G3970" s="1" t="s">
        <v>18</v>
      </c>
      <c r="H3970" s="1" t="s">
        <v>19</v>
      </c>
      <c r="I3970" s="1" t="s">
        <v>20</v>
      </c>
      <c r="J3970" s="1" t="s">
        <v>17830</v>
      </c>
      <c r="K3970" s="1" t="s">
        <v>22</v>
      </c>
      <c r="L3970" s="1" t="str">
        <f>HYPERLINK("https://files.afu.se/Downloads/Transcripts/0%20-%20Government/USA%20-%20NASA/2011 08 03 - NASA - NASA's Juno to Sharpen Understanding of Jupiter's Origins_j1qnGXbGf0o - transcript (automated).pdf","Transcript Link")</f>
        <v>Transcript Link</v>
      </c>
      <c r="M3970" s="2" t="str">
        <f>HYPERLINK("https://files.afu.se/Downloads/Transcripts/0%20-%20Government/USA%20-%20NASA/2011 08 03 - NASA - NASA's Juno to Sharpen Understanding of Jupiter's Origins_j1qnGXbGf0o - transcript (automated).pdf","Transcript Link")</f>
        <v>Transcript Link</v>
      </c>
    </row>
    <row r="3971" ht="165" spans="1:13">
      <c r="A3971" s="1" t="s">
        <v>17831</v>
      </c>
      <c r="B3971" s="1" t="s">
        <v>13</v>
      </c>
      <c r="C3971" s="4" t="s">
        <v>17832</v>
      </c>
      <c r="D3971" s="1" t="s">
        <v>17833</v>
      </c>
      <c r="E3971" s="1" t="s">
        <v>17834</v>
      </c>
      <c r="F3971" s="4" t="s">
        <v>17</v>
      </c>
      <c r="G3971" s="1" t="s">
        <v>18</v>
      </c>
      <c r="H3971" s="1" t="s">
        <v>19</v>
      </c>
      <c r="I3971" s="1" t="s">
        <v>20</v>
      </c>
      <c r="J3971" s="1" t="s">
        <v>17835</v>
      </c>
      <c r="K3971" s="1" t="s">
        <v>22</v>
      </c>
      <c r="L3971" s="1" t="str">
        <f>HYPERLINK("https://files.afu.se/Downloads/Transcripts/0%20-%20Government/USA%20-%20NASA/2011 08 01 - NASA - Dawn Spacecraft Unveils Vesta Images_DJBcxfxNo-M - transcript (automated).pdf","Transcript Link")</f>
        <v>Transcript Link</v>
      </c>
      <c r="M3971" s="2" t="str">
        <f>HYPERLINK("https://files.afu.se/Downloads/Transcripts/0%20-%20Government/USA%20-%20NASA/2011 08 01 - NASA - Dawn Spacecraft Unveils Vesta Images_DJBcxfxNo-M - transcript (automated).pdf","Transcript Link")</f>
        <v>Transcript Link</v>
      </c>
    </row>
    <row r="3972" ht="165" spans="1:13">
      <c r="A3972" s="1" t="s">
        <v>17831</v>
      </c>
      <c r="B3972" s="1" t="s">
        <v>13</v>
      </c>
      <c r="C3972" s="4" t="s">
        <v>17836</v>
      </c>
      <c r="D3972" s="1" t="s">
        <v>17837</v>
      </c>
      <c r="E3972" s="1" t="s">
        <v>17838</v>
      </c>
      <c r="F3972" s="4" t="s">
        <v>17</v>
      </c>
      <c r="G3972" s="1" t="s">
        <v>18</v>
      </c>
      <c r="H3972" s="1" t="s">
        <v>19</v>
      </c>
      <c r="I3972" s="1" t="s">
        <v>20</v>
      </c>
      <c r="J3972" s="1" t="s">
        <v>17839</v>
      </c>
      <c r="K3972" s="1" t="s">
        <v>22</v>
      </c>
      <c r="L3972" s="1" t="str">
        <f>HYPERLINK("https://files.afu.se/Downloads/Transcripts/0%20-%20Government/USA%20-%20NASA/2011 08 01 - NASA - JAXA Flight Engineer Chats with Japanese Media_BLy6bvwmAxk - transcript (automated).pdf","Transcript Link")</f>
        <v>Transcript Link</v>
      </c>
      <c r="M3972" s="2" t="str">
        <f>HYPERLINK("https://files.afu.se/Downloads/Transcripts/0%20-%20Government/USA%20-%20NASA/2011 08 01 - NASA - JAXA Flight Engineer Chats with Japanese Media_BLy6bvwmAxk - transcript (automated).pdf","Transcript Link")</f>
        <v>Transcript Link</v>
      </c>
    </row>
    <row r="3973" ht="165" spans="1:13">
      <c r="A3973" s="1" t="s">
        <v>17840</v>
      </c>
      <c r="B3973" s="1" t="s">
        <v>13</v>
      </c>
      <c r="C3973" s="4" t="s">
        <v>17841</v>
      </c>
      <c r="D3973" s="1" t="s">
        <v>17842</v>
      </c>
      <c r="E3973" s="1" t="s">
        <v>17843</v>
      </c>
      <c r="F3973" s="4" t="s">
        <v>17</v>
      </c>
      <c r="G3973" s="1" t="s">
        <v>18</v>
      </c>
      <c r="H3973" s="1" t="s">
        <v>19</v>
      </c>
      <c r="I3973" s="1" t="s">
        <v>20</v>
      </c>
      <c r="J3973" s="1" t="s">
        <v>17844</v>
      </c>
      <c r="K3973" s="1" t="s">
        <v>22</v>
      </c>
      <c r="L3973" s="1" t="str">
        <f>HYPERLINK("https://files.afu.se/Downloads/Transcripts/0%20-%20Government/USA%20-%20NASA/2011 07 29 - NASA - Juno's Ready on This Week @NASA_uYMq4PvWKnE - transcript (automated).pdf","Transcript Link")</f>
        <v>Transcript Link</v>
      </c>
      <c r="M3973" s="2" t="str">
        <f>HYPERLINK("https://files.afu.se/Downloads/Transcripts/0%20-%20Government/USA%20-%20NASA/2011 07 29 - NASA - Juno's Ready on This Week @NASA_uYMq4PvWKnE - transcript (automated).pdf","Transcript Link")</f>
        <v>Transcript Link</v>
      </c>
    </row>
    <row r="3974" ht="165" spans="1:13">
      <c r="A3974" s="1" t="s">
        <v>17840</v>
      </c>
      <c r="B3974" s="1" t="s">
        <v>13</v>
      </c>
      <c r="C3974" s="4" t="s">
        <v>17845</v>
      </c>
      <c r="D3974" s="1" t="s">
        <v>17846</v>
      </c>
      <c r="E3974" s="1" t="s">
        <v>17847</v>
      </c>
      <c r="F3974" s="4" t="s">
        <v>17</v>
      </c>
      <c r="G3974" s="1" t="s">
        <v>18</v>
      </c>
      <c r="H3974" s="1" t="s">
        <v>19</v>
      </c>
      <c r="I3974" s="1" t="s">
        <v>20</v>
      </c>
      <c r="J3974" s="1" t="s">
        <v>17848</v>
      </c>
      <c r="K3974" s="1" t="s">
        <v>22</v>
      </c>
      <c r="L3974" s="1" t="str">
        <f>HYPERLINK("https://files.afu.se/Downloads/Transcripts/0%20-%20Government/USA%20-%20NASA/2011 07 29 - NASA - ScienceCasts  What Lies Inside Jupiter _x8DG72R6pqw - transcript (automated).pdf","Transcript Link")</f>
        <v>Transcript Link</v>
      </c>
      <c r="M3974" s="2" t="str">
        <f>HYPERLINK("https://files.afu.se/Downloads/Transcripts/0%20-%20Government/USA%20-%20NASA/2011 07 29 - NASA - ScienceCasts  What Lies Inside Jupiter _x8DG72R6pqw - transcript (automated).pdf","Transcript Link")</f>
        <v>Transcript Link</v>
      </c>
    </row>
    <row r="3975" ht="165" spans="1:13">
      <c r="A3975" s="1" t="s">
        <v>17840</v>
      </c>
      <c r="B3975" s="1" t="s">
        <v>13</v>
      </c>
      <c r="C3975" s="4" t="s">
        <v>17849</v>
      </c>
      <c r="D3975" s="1" t="s">
        <v>17850</v>
      </c>
      <c r="E3975" s="1" t="s">
        <v>17851</v>
      </c>
      <c r="F3975" s="4" t="s">
        <v>17</v>
      </c>
      <c r="G3975" s="1" t="s">
        <v>18</v>
      </c>
      <c r="H3975" s="1" t="s">
        <v>19</v>
      </c>
      <c r="I3975" s="1" t="s">
        <v>20</v>
      </c>
      <c r="J3975" s="1" t="s">
        <v>17852</v>
      </c>
      <c r="K3975" s="1" t="s">
        <v>22</v>
      </c>
      <c r="L3975" s="1" t="str">
        <f>HYPERLINK("https://files.afu.se/Downloads/Transcripts/0%20-%20Government/USA%20-%20NASA/2011 07 29 - NASA - ISS Crew Interviewed by Texas and Big Apple Media_POW95rQSNj8 - transcript (automated).pdf","Transcript Link")</f>
        <v>Transcript Link</v>
      </c>
      <c r="M3975" s="2" t="str">
        <f>HYPERLINK("https://files.afu.se/Downloads/Transcripts/0%20-%20Government/USA%20-%20NASA/2011 07 29 - NASA - ISS Crew Interviewed by Texas and Big Apple Media_POW95rQSNj8 - transcript (automated).pdf","Transcript Link")</f>
        <v>Transcript Link</v>
      </c>
    </row>
    <row r="3976" ht="165" spans="1:13">
      <c r="A3976" s="1" t="s">
        <v>17840</v>
      </c>
      <c r="B3976" s="1" t="s">
        <v>13</v>
      </c>
      <c r="C3976" s="4" t="s">
        <v>17853</v>
      </c>
      <c r="D3976" s="1" t="s">
        <v>17854</v>
      </c>
      <c r="E3976" s="1" t="s">
        <v>17855</v>
      </c>
      <c r="F3976" s="4" t="s">
        <v>17</v>
      </c>
      <c r="G3976" s="1" t="s">
        <v>18</v>
      </c>
      <c r="H3976" s="1" t="s">
        <v>19</v>
      </c>
      <c r="I3976" s="1" t="s">
        <v>20</v>
      </c>
      <c r="J3976" s="1" t="s">
        <v>17856</v>
      </c>
      <c r="K3976" s="1" t="s">
        <v>22</v>
      </c>
      <c r="L3976" s="1" t="str">
        <f>HYPERLINK("https://files.afu.se/Downloads/Transcripts/0%20-%20Government/USA%20-%20NASA/2011 07 29 - NASA - Shuttle Mission to Feature One EVA_Kq6qKhs5jFg - transcript (automated).pdf","Transcript Link")</f>
        <v>Transcript Link</v>
      </c>
      <c r="M3976" s="2" t="str">
        <f>HYPERLINK("https://files.afu.se/Downloads/Transcripts/0%20-%20Government/USA%20-%20NASA/2011 07 29 - NASA - Shuttle Mission to Feature One EVA_Kq6qKhs5jFg - transcript (automated).pdf","Transcript Link")</f>
        <v>Transcript Link</v>
      </c>
    </row>
    <row r="3977" ht="165" spans="1:13">
      <c r="A3977" s="1" t="s">
        <v>17857</v>
      </c>
      <c r="B3977" s="1" t="s">
        <v>13</v>
      </c>
      <c r="C3977" s="4" t="s">
        <v>17858</v>
      </c>
      <c r="D3977" s="1" t="s">
        <v>17859</v>
      </c>
      <c r="E3977" s="1" t="s">
        <v>17860</v>
      </c>
      <c r="F3977" s="4" t="s">
        <v>17</v>
      </c>
      <c r="G3977" s="1" t="s">
        <v>18</v>
      </c>
      <c r="H3977" s="1" t="s">
        <v>19</v>
      </c>
      <c r="I3977" s="1" t="s">
        <v>20</v>
      </c>
      <c r="J3977" s="1" t="s">
        <v>17861</v>
      </c>
      <c r="K3977" s="1" t="s">
        <v>22</v>
      </c>
      <c r="L3977" s="1" t="str">
        <f>HYPERLINK("https://files.afu.se/Downloads/Transcripts/0%20-%20Government/USA%20-%20NASA/2011 07 28 - NASA - JAXA Astronaut Talks with Japanese Students_POB8Bnpxo6Y - transcript (automated).pdf","Transcript Link")</f>
        <v>Transcript Link</v>
      </c>
      <c r="M3977" s="2" t="str">
        <f>HYPERLINK("https://files.afu.se/Downloads/Transcripts/0%20-%20Government/USA%20-%20NASA/2011 07 28 - NASA - JAXA Astronaut Talks with Japanese Students_POB8Bnpxo6Y - transcript (automated).pdf","Transcript Link")</f>
        <v>Transcript Link</v>
      </c>
    </row>
    <row r="3978" ht="165" spans="1:13">
      <c r="A3978" s="1" t="s">
        <v>17862</v>
      </c>
      <c r="B3978" s="1" t="s">
        <v>13</v>
      </c>
      <c r="C3978" s="4" t="s">
        <v>17863</v>
      </c>
      <c r="D3978" s="1" t="s">
        <v>17864</v>
      </c>
      <c r="E3978" s="1" t="s">
        <v>17865</v>
      </c>
      <c r="F3978" s="4" t="s">
        <v>17</v>
      </c>
      <c r="G3978" s="1" t="s">
        <v>18</v>
      </c>
      <c r="H3978" s="1" t="s">
        <v>19</v>
      </c>
      <c r="I3978" s="1" t="s">
        <v>20</v>
      </c>
      <c r="J3978" s="1" t="s">
        <v>17866</v>
      </c>
      <c r="K3978" s="1" t="s">
        <v>22</v>
      </c>
      <c r="L3978" s="1" t="str">
        <f>HYPERLINK("https://files.afu.se/Downloads/Transcripts/0%20-%20Government/USA%20-%20NASA/2011 07 27 - NASA - NASA Mission to Jupiter Ready for Launch_sNMOOjemMG8 - transcript (automated).pdf","Transcript Link")</f>
        <v>Transcript Link</v>
      </c>
      <c r="M3978" s="2" t="str">
        <f>HYPERLINK("https://files.afu.se/Downloads/Transcripts/0%20-%20Government/USA%20-%20NASA/2011 07 27 - NASA - NASA Mission to Jupiter Ready for Launch_sNMOOjemMG8 - transcript (automated).pdf","Transcript Link")</f>
        <v>Transcript Link</v>
      </c>
    </row>
    <row r="3979" ht="165" spans="1:13">
      <c r="A3979" s="1" t="s">
        <v>17862</v>
      </c>
      <c r="B3979" s="1" t="s">
        <v>13</v>
      </c>
      <c r="C3979" s="4" t="s">
        <v>17867</v>
      </c>
      <c r="D3979" s="1" t="s">
        <v>17868</v>
      </c>
      <c r="E3979" s="1" t="s">
        <v>17869</v>
      </c>
      <c r="F3979" s="4" t="s">
        <v>17</v>
      </c>
      <c r="G3979" s="1" t="s">
        <v>18</v>
      </c>
      <c r="H3979" s="1" t="s">
        <v>19</v>
      </c>
      <c r="I3979" s="1" t="s">
        <v>20</v>
      </c>
      <c r="J3979" s="1" t="s">
        <v>17870</v>
      </c>
      <c r="K3979" s="1" t="s">
        <v>22</v>
      </c>
      <c r="L3979" s="1" t="str">
        <f>HYPERLINK("https://files.afu.se/Downloads/Transcripts/0%20-%20Government/USA%20-%20NASA/2011 07 27 - NASA - Juno Mission to Jupiter Previewed_7LlnAk5NiyA - transcript (automated).pdf","Transcript Link")</f>
        <v>Transcript Link</v>
      </c>
      <c r="M3979" s="2" t="str">
        <f>HYPERLINK("https://files.afu.se/Downloads/Transcripts/0%20-%20Government/USA%20-%20NASA/2011 07 27 - NASA - Juno Mission to Jupiter Previewed_7LlnAk5NiyA - transcript (automated).pdf","Transcript Link")</f>
        <v>Transcript Link</v>
      </c>
    </row>
    <row r="3980" ht="165" spans="1:13">
      <c r="A3980" s="1" t="s">
        <v>17862</v>
      </c>
      <c r="B3980" s="1" t="s">
        <v>13</v>
      </c>
      <c r="C3980" s="4" t="s">
        <v>17871</v>
      </c>
      <c r="D3980" s="1" t="s">
        <v>17872</v>
      </c>
      <c r="E3980" s="1" t="s">
        <v>17873</v>
      </c>
      <c r="F3980" s="4" t="s">
        <v>17</v>
      </c>
      <c r="G3980" s="1" t="s">
        <v>18</v>
      </c>
      <c r="H3980" s="1" t="s">
        <v>19</v>
      </c>
      <c r="I3980" s="1" t="s">
        <v>20</v>
      </c>
      <c r="J3980" s="1" t="s">
        <v>17874</v>
      </c>
      <c r="K3980" s="1" t="s">
        <v>22</v>
      </c>
      <c r="L3980" s="1" t="str">
        <f>HYPERLINK("https://files.afu.se/Downloads/Transcripts/0%20-%20Government/USA%20-%20NASA/2011 07 27 - NASA - Next ISS Residents Meet the Media_9--Ns_AYdwQ - transcript (automated).pdf","Transcript Link")</f>
        <v>Transcript Link</v>
      </c>
      <c r="M3980" s="2" t="str">
        <f>HYPERLINK("https://files.afu.se/Downloads/Transcripts/0%20-%20Government/USA%20-%20NASA/2011 07 27 - NASA - Next ISS Residents Meet the Media_9--Ns_AYdwQ - transcript (automated).pdf","Transcript Link")</f>
        <v>Transcript Link</v>
      </c>
    </row>
    <row r="3981" ht="195" spans="1:13">
      <c r="A3981" s="1" t="s">
        <v>17862</v>
      </c>
      <c r="B3981" s="1" t="s">
        <v>13</v>
      </c>
      <c r="C3981" s="4" t="s">
        <v>17875</v>
      </c>
      <c r="D3981" s="1" t="s">
        <v>17876</v>
      </c>
      <c r="E3981" s="1" t="s">
        <v>17877</v>
      </c>
      <c r="F3981" s="4" t="s">
        <v>17</v>
      </c>
      <c r="G3981" s="1" t="s">
        <v>18</v>
      </c>
      <c r="H3981" s="1" t="s">
        <v>19</v>
      </c>
      <c r="I3981" s="1" t="s">
        <v>20</v>
      </c>
      <c r="J3981" s="1" t="s">
        <v>17878</v>
      </c>
      <c r="K3981" s="1" t="s">
        <v>22</v>
      </c>
      <c r="L3981" s="1" t="str">
        <f>HYPERLINK("https://files.afu.se/Downloads/Transcripts/0%20-%20Government/USA%20-%20NASA/2011 07 27 - NASA - Final Shuttle Crew Honors Flight Control Teams_POq-HEiNbHA - transcript (automated).pdf","Transcript Link")</f>
        <v>Transcript Link</v>
      </c>
      <c r="M3981" s="2" t="str">
        <f>HYPERLINK("https://files.afu.se/Downloads/Transcripts/0%20-%20Government/USA%20-%20NASA/2011 07 27 - NASA - Final Shuttle Crew Honors Flight Control Teams_POq-HEiNbHA - transcript (automated).pdf","Transcript Link")</f>
        <v>Transcript Link</v>
      </c>
    </row>
    <row r="3982" ht="165" spans="1:13">
      <c r="A3982" s="1" t="s">
        <v>17862</v>
      </c>
      <c r="B3982" s="1" t="s">
        <v>13</v>
      </c>
      <c r="C3982" s="4" t="s">
        <v>17879</v>
      </c>
      <c r="D3982" s="1" t="s">
        <v>17880</v>
      </c>
      <c r="E3982" s="1" t="s">
        <v>17881</v>
      </c>
      <c r="F3982" s="4" t="s">
        <v>17</v>
      </c>
      <c r="G3982" s="1" t="s">
        <v>18</v>
      </c>
      <c r="H3982" s="1" t="s">
        <v>19</v>
      </c>
      <c r="I3982" s="1" t="s">
        <v>20</v>
      </c>
      <c r="J3982" s="1" t="s">
        <v>17882</v>
      </c>
      <c r="K3982" s="1" t="s">
        <v>22</v>
      </c>
      <c r="L3982" s="1" t="str">
        <f>HYPERLINK("https://files.afu.se/Downloads/Transcripts/0%20-%20Government/USA%20-%20NASA/2011 07 27 - NASA - ScienceCasts  Sun Grazing Comet_6Yzg4QoP64A - transcript (automated).pdf","Transcript Link")</f>
        <v>Transcript Link</v>
      </c>
      <c r="M3982" s="2" t="str">
        <f>HYPERLINK("https://files.afu.se/Downloads/Transcripts/0%20-%20Government/USA%20-%20NASA/2011 07 27 - NASA - ScienceCasts  Sun Grazing Comet_6Yzg4QoP64A - transcript (automated).pdf","Transcript Link")</f>
        <v>Transcript Link</v>
      </c>
    </row>
    <row r="3983" ht="255" spans="1:13">
      <c r="A3983" s="1" t="s">
        <v>17883</v>
      </c>
      <c r="B3983" s="1" t="s">
        <v>13</v>
      </c>
      <c r="C3983" s="4" t="s">
        <v>17884</v>
      </c>
      <c r="D3983" s="1" t="s">
        <v>17885</v>
      </c>
      <c r="E3983" s="1" t="s">
        <v>17886</v>
      </c>
      <c r="F3983" s="4" t="s">
        <v>17</v>
      </c>
      <c r="G3983" s="1" t="s">
        <v>18</v>
      </c>
      <c r="H3983" s="1" t="s">
        <v>19</v>
      </c>
      <c r="I3983" s="1" t="s">
        <v>20</v>
      </c>
      <c r="J3983" s="1" t="s">
        <v>17887</v>
      </c>
      <c r="K3983" s="1" t="s">
        <v>22</v>
      </c>
      <c r="L3983" s="1" t="str">
        <f>HYPERLINK("https://files.afu.se/Downloads/Transcripts/0%20-%20Government/USA%20-%20NASA/2011 07 26 - NASA - Final Shuttle Crew Excited About Mission_rVG53nAeUEk - transcript (automated).pdf","Transcript Link")</f>
        <v>Transcript Link</v>
      </c>
      <c r="M3983" s="2" t="str">
        <f>HYPERLINK("https://files.afu.se/Downloads/Transcripts/0%20-%20Government/USA%20-%20NASA/2011 07 26 - NASA - Final Shuttle Crew Excited About Mission_rVG53nAeUEk - transcript (automated).pdf","Transcript Link")</f>
        <v>Transcript Link</v>
      </c>
    </row>
    <row r="3984" ht="165" spans="1:13">
      <c r="A3984" s="1" t="s">
        <v>17888</v>
      </c>
      <c r="B3984" s="1" t="s">
        <v>13</v>
      </c>
      <c r="C3984" s="4" t="s">
        <v>17889</v>
      </c>
      <c r="D3984" s="1" t="s">
        <v>17890</v>
      </c>
      <c r="E3984" s="1" t="s">
        <v>17891</v>
      </c>
      <c r="F3984" s="4" t="s">
        <v>17</v>
      </c>
      <c r="G3984" s="1" t="s">
        <v>18</v>
      </c>
      <c r="H3984" s="1" t="s">
        <v>19</v>
      </c>
      <c r="I3984" s="1" t="s">
        <v>20</v>
      </c>
      <c r="J3984" s="1" t="s">
        <v>17892</v>
      </c>
      <c r="K3984" s="1" t="s">
        <v>22</v>
      </c>
      <c r="L3984" s="1" t="str">
        <f>HYPERLINK("https://files.afu.se/Downloads/Transcripts/0%20-%20Government/USA%20-%20NASA/2011 07 25 - NASA - Apollo 15 Remembered 40 Years Later_zrbS0B3l56A - transcript (automated).pdf","Transcript Link")</f>
        <v>Transcript Link</v>
      </c>
      <c r="M3984" s="2" t="str">
        <f>HYPERLINK("https://files.afu.se/Downloads/Transcripts/0%20-%20Government/USA%20-%20NASA/2011 07 25 - NASA - Apollo 15 Remembered 40 Years Later_zrbS0B3l56A - transcript (automated).pdf","Transcript Link")</f>
        <v>Transcript Link</v>
      </c>
    </row>
    <row r="3985" ht="165" spans="1:13">
      <c r="A3985" s="1" t="s">
        <v>17893</v>
      </c>
      <c r="B3985" s="1" t="s">
        <v>13</v>
      </c>
      <c r="C3985" s="4" t="s">
        <v>17894</v>
      </c>
      <c r="D3985" s="1" t="s">
        <v>17895</v>
      </c>
      <c r="E3985" s="1" t="s">
        <v>17896</v>
      </c>
      <c r="F3985" s="4" t="s">
        <v>17</v>
      </c>
      <c r="G3985" s="1" t="s">
        <v>18</v>
      </c>
      <c r="H3985" s="1" t="s">
        <v>19</v>
      </c>
      <c r="I3985" s="1" t="s">
        <v>20</v>
      </c>
      <c r="J3985" s="1" t="s">
        <v>17897</v>
      </c>
      <c r="K3985" s="1" t="s">
        <v>22</v>
      </c>
      <c r="L3985" s="1" t="str">
        <f>HYPERLINK("https://files.afu.se/Downloads/Transcripts/0%20-%20Government/USA%20-%20NASA/2011 07 22 - NASA - Atlantis Crew Returns to Houston_3QCRriFKanM - transcript (automated).pdf","Transcript Link")</f>
        <v>Transcript Link</v>
      </c>
      <c r="M3985" s="2" t="str">
        <f>HYPERLINK("https://files.afu.se/Downloads/Transcripts/0%20-%20Government/USA%20-%20NASA/2011 07 22 - NASA - Atlantis Crew Returns to Houston_3QCRriFKanM - transcript (automated).pdf","Transcript Link")</f>
        <v>Transcript Link</v>
      </c>
    </row>
    <row r="3986" ht="165" spans="1:13">
      <c r="A3986" s="1" t="s">
        <v>17893</v>
      </c>
      <c r="B3986" s="1" t="s">
        <v>13</v>
      </c>
      <c r="C3986" s="4" t="s">
        <v>17898</v>
      </c>
      <c r="D3986" s="1" t="s">
        <v>17899</v>
      </c>
      <c r="E3986" s="1" t="s">
        <v>17900</v>
      </c>
      <c r="F3986" s="4" t="s">
        <v>17</v>
      </c>
      <c r="G3986" s="1" t="s">
        <v>18</v>
      </c>
      <c r="H3986" s="1" t="s">
        <v>19</v>
      </c>
      <c r="I3986" s="1" t="s">
        <v>20</v>
      </c>
      <c r="J3986" s="1" t="s">
        <v>17901</v>
      </c>
      <c r="K3986" s="1" t="s">
        <v>22</v>
      </c>
      <c r="L3986" s="1" t="str">
        <f>HYPERLINK("https://files.afu.se/Downloads/Transcripts/0%20-%20Government/USA%20-%20NASA/2011 07 22 - NASA - Shuttle's Mission Complete on This Week @NASA_Rpfe2d3EX0o - transcript (automated).pdf","Transcript Link")</f>
        <v>Transcript Link</v>
      </c>
      <c r="M3986" s="2" t="str">
        <f>HYPERLINK("https://files.afu.se/Downloads/Transcripts/0%20-%20Government/USA%20-%20NASA/2011 07 22 - NASA - Shuttle's Mission Complete on This Week @NASA_Rpfe2d3EX0o - transcript (automated).pdf","Transcript Link")</f>
        <v>Transcript Link</v>
      </c>
    </row>
    <row r="3987" ht="165" spans="1:13">
      <c r="A3987" s="1" t="s">
        <v>17893</v>
      </c>
      <c r="B3987" s="1" t="s">
        <v>13</v>
      </c>
      <c r="C3987" s="4" t="s">
        <v>17902</v>
      </c>
      <c r="D3987" s="1" t="s">
        <v>17903</v>
      </c>
      <c r="E3987" s="1" t="s">
        <v>17904</v>
      </c>
      <c r="F3987" s="4" t="s">
        <v>17</v>
      </c>
      <c r="G3987" s="1" t="s">
        <v>18</v>
      </c>
      <c r="H3987" s="1" t="s">
        <v>19</v>
      </c>
      <c r="I3987" s="1" t="s">
        <v>20</v>
      </c>
      <c r="J3987" s="1" t="s">
        <v>17905</v>
      </c>
      <c r="K3987" s="1" t="s">
        <v>22</v>
      </c>
      <c r="L3987" s="1" t="str">
        <f>HYPERLINK("https://files.afu.se/Downloads/Transcripts/0%20-%20Government/USA%20-%20NASA/2011 07 22 - NASA - Next Mars Rover to Storm Gale Crater_IknfWcps40g - transcript (automated).pdf","Transcript Link")</f>
        <v>Transcript Link</v>
      </c>
      <c r="M3987" s="2" t="str">
        <f>HYPERLINK("https://files.afu.se/Downloads/Transcripts/0%20-%20Government/USA%20-%20NASA/2011 07 22 - NASA - Next Mars Rover to Storm Gale Crater_IknfWcps40g - transcript (automated).pdf","Transcript Link")</f>
        <v>Transcript Link</v>
      </c>
    </row>
    <row r="3988" ht="165" spans="1:13">
      <c r="A3988" s="1" t="s">
        <v>17893</v>
      </c>
      <c r="B3988" s="1" t="s">
        <v>13</v>
      </c>
      <c r="C3988" s="4" t="s">
        <v>17906</v>
      </c>
      <c r="D3988" s="1" t="s">
        <v>17907</v>
      </c>
      <c r="E3988" s="1" t="s">
        <v>17908</v>
      </c>
      <c r="F3988" s="4" t="s">
        <v>17</v>
      </c>
      <c r="G3988" s="1" t="s">
        <v>18</v>
      </c>
      <c r="H3988" s="1" t="s">
        <v>19</v>
      </c>
      <c r="I3988" s="1" t="s">
        <v>20</v>
      </c>
      <c r="J3988" s="1" t="s">
        <v>17909</v>
      </c>
      <c r="K3988" s="1" t="s">
        <v>22</v>
      </c>
      <c r="L3988" s="1" t="str">
        <f>HYPERLINK("https://files.afu.se/Downloads/Transcripts/0%20-%20Government/USA%20-%20NASA/2011 07 22 - NASA - Station Gives LEGO Leg Up on Inspiration_Ar1rnwLwP3M - transcript (automated).pdf","Transcript Link")</f>
        <v>Transcript Link</v>
      </c>
      <c r="M3988" s="2" t="str">
        <f>HYPERLINK("https://files.afu.se/Downloads/Transcripts/0%20-%20Government/USA%20-%20NASA/2011 07 22 - NASA - Station Gives LEGO Leg Up on Inspiration_Ar1rnwLwP3M - transcript (automated).pdf","Transcript Link")</f>
        <v>Transcript Link</v>
      </c>
    </row>
    <row r="3989" ht="165" spans="1:13">
      <c r="A3989" s="1" t="s">
        <v>17910</v>
      </c>
      <c r="B3989" s="1" t="s">
        <v>13</v>
      </c>
      <c r="C3989" s="4" t="s">
        <v>17911</v>
      </c>
      <c r="D3989" s="1" t="s">
        <v>17912</v>
      </c>
      <c r="E3989" s="1" t="s">
        <v>17913</v>
      </c>
      <c r="F3989" s="4" t="s">
        <v>17</v>
      </c>
      <c r="G3989" s="1" t="s">
        <v>18</v>
      </c>
      <c r="H3989" s="1" t="s">
        <v>19</v>
      </c>
      <c r="I3989" s="1" t="s">
        <v>20</v>
      </c>
      <c r="J3989" s="1" t="s">
        <v>17914</v>
      </c>
      <c r="K3989" s="1" t="s">
        <v>22</v>
      </c>
      <c r="L3989" s="1" t="str">
        <f>HYPERLINK("https://files.afu.se/Downloads/Transcripts/0%20-%20Government/USA%20-%20NASA/2011 07 21 - NASA - STS-135 Crew Shares Mission Highlights From Final Mission_87Tu23BrLh8 - transcript (automated).pdf","Transcript Link")</f>
        <v>Transcript Link</v>
      </c>
      <c r="M3989" s="2" t="str">
        <f>HYPERLINK("https://files.afu.se/Downloads/Transcripts/0%20-%20Government/USA%20-%20NASA/2011 07 21 - NASA - STS-135 Crew Shares Mission Highlights From Final Mission_87Tu23BrLh8 - transcript (automated).pdf","Transcript Link")</f>
        <v>Transcript Link</v>
      </c>
    </row>
    <row r="3990" ht="165" spans="1:13">
      <c r="A3990" s="1" t="s">
        <v>17910</v>
      </c>
      <c r="B3990" s="1" t="s">
        <v>13</v>
      </c>
      <c r="C3990" s="4" t="s">
        <v>17915</v>
      </c>
      <c r="D3990" s="1" t="s">
        <v>17916</v>
      </c>
      <c r="E3990" s="1" t="s">
        <v>17917</v>
      </c>
      <c r="F3990" s="4" t="s">
        <v>17</v>
      </c>
      <c r="G3990" s="1" t="s">
        <v>18</v>
      </c>
      <c r="H3990" s="1" t="s">
        <v>19</v>
      </c>
      <c r="I3990" s="1" t="s">
        <v>20</v>
      </c>
      <c r="J3990" s="1" t="s">
        <v>17918</v>
      </c>
      <c r="K3990" s="1" t="s">
        <v>22</v>
      </c>
      <c r="L3990" s="1" t="str">
        <f>HYPERLINK("https://files.afu.se/Downloads/Transcripts/0%20-%20Government/USA%20-%20NASA/2011 07 21 - NASA - ScienceCasts  Summer Meteor Shower_He2kGMRMjPk - transcript (automated).pdf","Transcript Link")</f>
        <v>Transcript Link</v>
      </c>
      <c r="M3990" s="2" t="str">
        <f>HYPERLINK("https://files.afu.se/Downloads/Transcripts/0%20-%20Government/USA%20-%20NASA/2011 07 21 - NASA - ScienceCasts  Summer Meteor Shower_He2kGMRMjPk - transcript (automated).pdf","Transcript Link")</f>
        <v>Transcript Link</v>
      </c>
    </row>
    <row r="3991" ht="165" spans="1:13">
      <c r="A3991" s="1" t="s">
        <v>17910</v>
      </c>
      <c r="B3991" s="1" t="s">
        <v>13</v>
      </c>
      <c r="C3991" s="4" t="s">
        <v>17919</v>
      </c>
      <c r="D3991" s="1" t="s">
        <v>17920</v>
      </c>
      <c r="E3991" s="1" t="s">
        <v>17921</v>
      </c>
      <c r="F3991" s="4" t="s">
        <v>17</v>
      </c>
      <c r="G3991" s="1" t="s">
        <v>18</v>
      </c>
      <c r="H3991" s="1" t="s">
        <v>19</v>
      </c>
      <c r="I3991" s="1" t="s">
        <v>20</v>
      </c>
      <c r="J3991" s="1" t="s">
        <v>17922</v>
      </c>
      <c r="K3991" s="1" t="s">
        <v>22</v>
      </c>
      <c r="L3991" s="1" t="str">
        <f>HYPERLINK("https://files.afu.se/Downloads/Transcripts/0%20-%20Government/USA%20-%20NASA/2011 07 21 - NASA - The Last Shuttle Crew Addresses Kennedy Space Center_evhdrNmcaqM - transcript (automated).pdf","Transcript Link")</f>
        <v>Transcript Link</v>
      </c>
      <c r="M3991" s="2" t="str">
        <f>HYPERLINK("https://files.afu.se/Downloads/Transcripts/0%20-%20Government/USA%20-%20NASA/2011 07 21 - NASA - The Last Shuttle Crew Addresses Kennedy Space Center_evhdrNmcaqM - transcript (automated).pdf","Transcript Link")</f>
        <v>Transcript Link</v>
      </c>
    </row>
    <row r="3992" ht="165" spans="1:13">
      <c r="A3992" s="1" t="s">
        <v>17910</v>
      </c>
      <c r="B3992" s="1" t="s">
        <v>13</v>
      </c>
      <c r="C3992" s="4" t="s">
        <v>17923</v>
      </c>
      <c r="D3992" s="1" t="s">
        <v>17912</v>
      </c>
      <c r="E3992" s="1" t="s">
        <v>17913</v>
      </c>
      <c r="F3992" s="4" t="s">
        <v>17</v>
      </c>
      <c r="G3992" s="1" t="s">
        <v>18</v>
      </c>
      <c r="H3992" s="1" t="s">
        <v>19</v>
      </c>
      <c r="I3992" s="1" t="s">
        <v>20</v>
      </c>
      <c r="J3992" s="1" t="s">
        <v>17924</v>
      </c>
      <c r="K3992" s="1" t="s">
        <v>22</v>
      </c>
      <c r="L3992" s="1" t="str">
        <f>HYPERLINK("https://files.afu.se/Downloads/Transcripts/0%20-%20Government/USA%20-%20NASA/2011 07 21 - NASA - STS-135 Crew Shares Mission Highlights From Final Mission_JhwgG3V_GA8 - transcript (automated).pdf","Transcript Link")</f>
        <v>Transcript Link</v>
      </c>
      <c r="M3992" s="2" t="str">
        <f>HYPERLINK("https://files.afu.se/Downloads/Transcripts/0%20-%20Government/USA%20-%20NASA/2011 07 21 - NASA - STS-135 Crew Shares Mission Highlights From Final Mission_JhwgG3V_GA8 - transcript (automated).pdf","Transcript Link")</f>
        <v>Transcript Link</v>
      </c>
    </row>
    <row r="3993" ht="165" spans="1:13">
      <c r="A3993" s="1" t="s">
        <v>17910</v>
      </c>
      <c r="B3993" s="1" t="s">
        <v>13</v>
      </c>
      <c r="C3993" s="4" t="s">
        <v>17925</v>
      </c>
      <c r="D3993" s="1" t="s">
        <v>17926</v>
      </c>
      <c r="E3993" s="1" t="s">
        <v>17927</v>
      </c>
      <c r="F3993" s="4" t="s">
        <v>17</v>
      </c>
      <c r="G3993" s="1" t="s">
        <v>18</v>
      </c>
      <c r="H3993" s="1" t="s">
        <v>19</v>
      </c>
      <c r="I3993" s="1" t="s">
        <v>20</v>
      </c>
      <c r="J3993" s="1" t="s">
        <v>17928</v>
      </c>
      <c r="K3993" s="1" t="s">
        <v>22</v>
      </c>
      <c r="L3993" s="1" t="str">
        <f>HYPERLINK("https://files.afu.se/Downloads/Transcripts/0%20-%20Government/USA%20-%20NASA/2011 07 21 - NASA - Space Shuttle Program Employee Appreciation Event_9OtJLltVpZI - transcript (automated).pdf","Transcript Link")</f>
        <v>Transcript Link</v>
      </c>
      <c r="M3993" s="2" t="str">
        <f>HYPERLINK("https://files.afu.se/Downloads/Transcripts/0%20-%20Government/USA%20-%20NASA/2011 07 21 - NASA - Space Shuttle Program Employee Appreciation Event_9OtJLltVpZI - transcript (automated).pdf","Transcript Link")</f>
        <v>Transcript Link</v>
      </c>
    </row>
    <row r="3994" ht="165" spans="1:13">
      <c r="A3994" s="1" t="s">
        <v>17910</v>
      </c>
      <c r="B3994" s="1" t="s">
        <v>13</v>
      </c>
      <c r="C3994" s="4" t="s">
        <v>17929</v>
      </c>
      <c r="D3994" s="1" t="s">
        <v>17930</v>
      </c>
      <c r="E3994" s="1" t="s">
        <v>17931</v>
      </c>
      <c r="F3994" s="4" t="s">
        <v>17</v>
      </c>
      <c r="G3994" s="1" t="s">
        <v>18</v>
      </c>
      <c r="H3994" s="1" t="s">
        <v>19</v>
      </c>
      <c r="I3994" s="1" t="s">
        <v>20</v>
      </c>
      <c r="J3994" s="1" t="s">
        <v>17932</v>
      </c>
      <c r="K3994" s="1" t="s">
        <v>22</v>
      </c>
      <c r="L3994" s="1" t="str">
        <f>HYPERLINK("https://files.afu.se/Downloads/Transcripts/0%20-%20Government/USA%20-%20NASA/2011 07 21 - NASA - Shuttle Managers Address Media after Last Space Shuttle Comes Home_lzf-edLOo-8 - transcript (automated).pdf","Transcript Link")</f>
        <v>Transcript Link</v>
      </c>
      <c r="M3994" s="2" t="str">
        <f>HYPERLINK("https://files.afu.se/Downloads/Transcripts/0%20-%20Government/USA%20-%20NASA/2011 07 21 - NASA - Shuttle Managers Address Media after Last Space Shuttle Comes Home_lzf-edLOo-8 - transcript (automated).pdf","Transcript Link")</f>
        <v>Transcript Link</v>
      </c>
    </row>
    <row r="3995" ht="165" spans="1:13">
      <c r="A3995" s="1" t="s">
        <v>17910</v>
      </c>
      <c r="B3995" s="1" t="s">
        <v>13</v>
      </c>
      <c r="C3995" s="4" t="s">
        <v>17933</v>
      </c>
      <c r="D3995" s="1" t="s">
        <v>17934</v>
      </c>
      <c r="E3995" s="1" t="s">
        <v>17935</v>
      </c>
      <c r="F3995" s="4" t="s">
        <v>17</v>
      </c>
      <c r="G3995" s="1" t="s">
        <v>18</v>
      </c>
      <c r="H3995" s="1" t="s">
        <v>19</v>
      </c>
      <c r="I3995" s="1" t="s">
        <v>20</v>
      </c>
      <c r="J3995" s="1" t="s">
        <v>17936</v>
      </c>
      <c r="K3995" s="1" t="s">
        <v>22</v>
      </c>
      <c r="L3995" s="1" t="str">
        <f>HYPERLINK("https://files.afu.se/Downloads/Transcripts/0%20-%20Government/USA%20-%20NASA/2011 07 21 - NASA - STS-135 Entry Flight Control Team Guides Atlantis Back to Earth_1Wmi2uCiEsU - transcript (automated).pdf","Transcript Link")</f>
        <v>Transcript Link</v>
      </c>
      <c r="M3995" s="2" t="str">
        <f>HYPERLINK("https://files.afu.se/Downloads/Transcripts/0%20-%20Government/USA%20-%20NASA/2011 07 21 - NASA - STS-135 Entry Flight Control Team Guides Atlantis Back to Earth_1Wmi2uCiEsU - transcript (automated).pdf","Transcript Link")</f>
        <v>Transcript Link</v>
      </c>
    </row>
    <row r="3996" ht="165" spans="1:13">
      <c r="A3996" s="1" t="s">
        <v>17910</v>
      </c>
      <c r="B3996" s="1" t="s">
        <v>13</v>
      </c>
      <c r="C3996" s="4" t="s">
        <v>17937</v>
      </c>
      <c r="D3996" s="1" t="s">
        <v>17938</v>
      </c>
      <c r="E3996" s="1" t="s">
        <v>17939</v>
      </c>
      <c r="F3996" s="4" t="s">
        <v>17</v>
      </c>
      <c r="G3996" s="1" t="s">
        <v>18</v>
      </c>
      <c r="H3996" s="1" t="s">
        <v>19</v>
      </c>
      <c r="I3996" s="1" t="s">
        <v>20</v>
      </c>
      <c r="J3996" s="1" t="s">
        <v>17940</v>
      </c>
      <c r="K3996" s="1" t="s">
        <v>22</v>
      </c>
      <c r="L3996" s="1" t="str">
        <f>HYPERLINK("https://files.afu.se/Downloads/Transcripts/0%20-%20Government/USA%20-%20NASA/2011 07 21 - NASA - STS-135 Mission Highlights_e7dISGGxLRk - transcript (automated).pdf","Transcript Link")</f>
        <v>Transcript Link</v>
      </c>
      <c r="M3996" s="2" t="str">
        <f>HYPERLINK("https://files.afu.se/Downloads/Transcripts/0%20-%20Government/USA%20-%20NASA/2011 07 21 - NASA - STS-135 Mission Highlights_e7dISGGxLRk - transcript (automated).pdf","Transcript Link")</f>
        <v>Transcript Link</v>
      </c>
    </row>
    <row r="3997" ht="165" spans="1:13">
      <c r="A3997" s="1" t="s">
        <v>17910</v>
      </c>
      <c r="B3997" s="1" t="s">
        <v>13</v>
      </c>
      <c r="C3997" s="4" t="s">
        <v>17941</v>
      </c>
      <c r="D3997" s="1" t="s">
        <v>17942</v>
      </c>
      <c r="E3997" s="1" t="s">
        <v>17943</v>
      </c>
      <c r="F3997" s="4" t="s">
        <v>17</v>
      </c>
      <c r="G3997" s="1" t="s">
        <v>18</v>
      </c>
      <c r="H3997" s="1" t="s">
        <v>19</v>
      </c>
      <c r="I3997" s="1" t="s">
        <v>20</v>
      </c>
      <c r="J3997" s="1" t="s">
        <v>17944</v>
      </c>
      <c r="K3997" s="1" t="s">
        <v>22</v>
      </c>
      <c r="L3997" s="1" t="str">
        <f>HYPERLINK("https://files.afu.se/Downloads/Transcripts/0%20-%20Government/USA%20-%20NASA/2011 07 21 - NASA - STS-135 Crew Welcomed at KSC_8nl69I9ZX1A - transcript (automated).pdf","Transcript Link")</f>
        <v>Transcript Link</v>
      </c>
      <c r="M3997" s="2" t="str">
        <f>HYPERLINK("https://files.afu.se/Downloads/Transcripts/0%20-%20Government/USA%20-%20NASA/2011 07 21 - NASA - STS-135 Crew Welcomed at KSC_8nl69I9ZX1A - transcript (automated).pdf","Transcript Link")</f>
        <v>Transcript Link</v>
      </c>
    </row>
    <row r="3998" ht="165" spans="1:13">
      <c r="A3998" s="1" t="s">
        <v>17910</v>
      </c>
      <c r="B3998" s="1" t="s">
        <v>13</v>
      </c>
      <c r="C3998" s="4" t="s">
        <v>17945</v>
      </c>
      <c r="D3998" s="1" t="s">
        <v>17946</v>
      </c>
      <c r="E3998" s="1" t="s">
        <v>17947</v>
      </c>
      <c r="F3998" s="4" t="s">
        <v>17</v>
      </c>
      <c r="G3998" s="1" t="s">
        <v>18</v>
      </c>
      <c r="H3998" s="1" t="s">
        <v>19</v>
      </c>
      <c r="I3998" s="1" t="s">
        <v>20</v>
      </c>
      <c r="J3998" s="1" t="s">
        <v>17948</v>
      </c>
      <c r="K3998" s="1" t="s">
        <v>22</v>
      </c>
      <c r="L3998" s="1" t="str">
        <f>HYPERLINK("https://files.afu.se/Downloads/Transcripts/0%20-%20Government/USA%20-%20NASA/2011 07 21 - NASA - Atlantis's Final Landing at Kennedy Space Center_HLDG5sNMX2M - transcript (automated).pdf","Transcript Link")</f>
        <v>Transcript Link</v>
      </c>
      <c r="M3998" s="2" t="str">
        <f>HYPERLINK("https://files.afu.se/Downloads/Transcripts/0%20-%20Government/USA%20-%20NASA/2011 07 21 - NASA - Atlantis's Final Landing at Kennedy Space Center_HLDG5sNMX2M - transcript (automated).pdf","Transcript Link")</f>
        <v>Transcript Link</v>
      </c>
    </row>
    <row r="3999" ht="165" spans="1:13">
      <c r="A3999" s="1" t="s">
        <v>17949</v>
      </c>
      <c r="B3999" s="1" t="s">
        <v>13</v>
      </c>
      <c r="C3999" s="4" t="s">
        <v>17950</v>
      </c>
      <c r="D3999" s="1" t="s">
        <v>17951</v>
      </c>
      <c r="E3999" s="1" t="s">
        <v>17952</v>
      </c>
      <c r="F3999" s="4" t="s">
        <v>17</v>
      </c>
      <c r="G3999" s="1" t="s">
        <v>18</v>
      </c>
      <c r="H3999" s="1" t="s">
        <v>19</v>
      </c>
      <c r="I3999" s="1" t="s">
        <v>20</v>
      </c>
      <c r="J3999" s="1" t="s">
        <v>17953</v>
      </c>
      <c r="K3999" s="1" t="s">
        <v>22</v>
      </c>
      <c r="L3999" s="1" t="str">
        <f>HYPERLINK("https://files.afu.se/Downloads/Transcripts/0%20-%20Government/USA%20-%20NASA/2011 07 20 - NASA - STS-135 Daily Mission Recap - Flight Day 13_DRQbGB4T5Os - transcript (automated).pdf","Transcript Link")</f>
        <v>Transcript Link</v>
      </c>
      <c r="M3999" s="2" t="str">
        <f>HYPERLINK("https://files.afu.se/Downloads/Transcripts/0%20-%20Government/USA%20-%20NASA/2011 07 20 - NASA - STS-135 Daily Mission Recap - Flight Day 13_DRQbGB4T5Os - transcript (automated).pdf","Transcript Link")</f>
        <v>Transcript Link</v>
      </c>
    </row>
    <row r="4000" ht="165" spans="1:13">
      <c r="A4000" s="1" t="s">
        <v>17949</v>
      </c>
      <c r="B4000" s="1" t="s">
        <v>13</v>
      </c>
      <c r="C4000" s="4" t="s">
        <v>17954</v>
      </c>
      <c r="D4000" s="1" t="s">
        <v>17955</v>
      </c>
      <c r="E4000" s="1" t="s">
        <v>17956</v>
      </c>
      <c r="F4000" s="4" t="s">
        <v>17</v>
      </c>
      <c r="G4000" s="1" t="s">
        <v>18</v>
      </c>
      <c r="H4000" s="1" t="s">
        <v>19</v>
      </c>
      <c r="I4000" s="1" t="s">
        <v>20</v>
      </c>
      <c r="J4000" s="1" t="s">
        <v>17957</v>
      </c>
      <c r="K4000" s="1" t="s">
        <v>22</v>
      </c>
      <c r="L4000" s="1" t="str">
        <f>HYPERLINK("https://files.afu.se/Downloads/Transcripts/0%20-%20Government/USA%20-%20NASA/2011 07 20 - NASA - STS-135 Flight Day Highlights - Day 13_VVGrS7jVq90 - transcript (automated).pdf","Transcript Link")</f>
        <v>Transcript Link</v>
      </c>
      <c r="M4000" s="2" t="str">
        <f>HYPERLINK("https://files.afu.se/Downloads/Transcripts/0%20-%20Government/USA%20-%20NASA/2011 07 20 - NASA - STS-135 Flight Day Highlights - Day 13_VVGrS7jVq90 - transcript (automated).pdf","Transcript Link")</f>
        <v>Transcript Link</v>
      </c>
    </row>
    <row r="4001" ht="165" spans="1:13">
      <c r="A4001" s="1" t="s">
        <v>17949</v>
      </c>
      <c r="B4001" s="1" t="s">
        <v>13</v>
      </c>
      <c r="C4001" s="4" t="s">
        <v>17958</v>
      </c>
      <c r="D4001" s="1" t="s">
        <v>17959</v>
      </c>
      <c r="E4001" s="1" t="s">
        <v>17960</v>
      </c>
      <c r="F4001" s="4" t="s">
        <v>17</v>
      </c>
      <c r="G4001" s="1" t="s">
        <v>18</v>
      </c>
      <c r="H4001" s="1" t="s">
        <v>19</v>
      </c>
      <c r="I4001" s="1" t="s">
        <v>20</v>
      </c>
      <c r="J4001" s="1" t="s">
        <v>17961</v>
      </c>
      <c r="K4001" s="1" t="s">
        <v>22</v>
      </c>
      <c r="L4001" s="1" t="str">
        <f>HYPERLINK("https://files.afu.se/Downloads/Transcripts/0%20-%20Government/USA%20-%20NASA/2011 07 20 - NASA - Mission Status Briefing - Day 13_9MWJi9BBznU - transcript (automated).pdf","Transcript Link")</f>
        <v>Transcript Link</v>
      </c>
      <c r="M4001" s="2" t="str">
        <f>HYPERLINK("https://files.afu.se/Downloads/Transcripts/0%20-%20Government/USA%20-%20NASA/2011 07 20 - NASA - Mission Status Briefing - Day 13_9MWJi9BBznU - transcript (automated).pdf","Transcript Link")</f>
        <v>Transcript Link</v>
      </c>
    </row>
    <row r="4002" ht="165" spans="1:13">
      <c r="A4002" s="1" t="s">
        <v>17949</v>
      </c>
      <c r="B4002" s="1" t="s">
        <v>13</v>
      </c>
      <c r="C4002" s="4" t="s">
        <v>17962</v>
      </c>
      <c r="D4002" s="1" t="s">
        <v>17963</v>
      </c>
      <c r="E4002" s="1" t="s">
        <v>17964</v>
      </c>
      <c r="F4002" s="4" t="s">
        <v>17</v>
      </c>
      <c r="G4002" s="1" t="s">
        <v>18</v>
      </c>
      <c r="H4002" s="1" t="s">
        <v>19</v>
      </c>
      <c r="I4002" s="1" t="s">
        <v>20</v>
      </c>
      <c r="J4002" s="1" t="s">
        <v>17965</v>
      </c>
      <c r="K4002" s="1" t="s">
        <v>22</v>
      </c>
      <c r="L4002" s="1" t="str">
        <f>HYPERLINK("https://files.afu.se/Downloads/Transcripts/0%20-%20Government/USA%20-%20NASA/2011 07 20 - NASA - Atlantis Crew Members Speak with Reporters on the Last Day of their Mission_4jkdq-BCkDI - transcript (automated).pdf","Transcript Link")</f>
        <v>Transcript Link</v>
      </c>
      <c r="M4002" s="2" t="str">
        <f>HYPERLINK("https://files.afu.se/Downloads/Transcripts/0%20-%20Government/USA%20-%20NASA/2011 07 20 - NASA - Atlantis Crew Members Speak with Reporters on the Last Day of their Mission_4jkdq-BCkDI - transcript (automated).pdf","Transcript Link")</f>
        <v>Transcript Link</v>
      </c>
    </row>
    <row r="4003" ht="165" spans="1:13">
      <c r="A4003" s="1" t="s">
        <v>17966</v>
      </c>
      <c r="B4003" s="1" t="s">
        <v>13</v>
      </c>
      <c r="C4003" s="4" t="s">
        <v>17967</v>
      </c>
      <c r="D4003" s="1" t="s">
        <v>17968</v>
      </c>
      <c r="E4003" s="1" t="s">
        <v>17969</v>
      </c>
      <c r="F4003" s="4" t="s">
        <v>17</v>
      </c>
      <c r="G4003" s="1" t="s">
        <v>18</v>
      </c>
      <c r="H4003" s="1" t="s">
        <v>19</v>
      </c>
      <c r="I4003" s="1" t="s">
        <v>20</v>
      </c>
      <c r="J4003" s="1" t="s">
        <v>17970</v>
      </c>
      <c r="K4003" s="1" t="s">
        <v>22</v>
      </c>
      <c r="L4003" s="1" t="str">
        <f>HYPERLINK("https://files.afu.se/Downloads/Transcripts/0%20-%20Government/USA%20-%20NASA/2011 07 19 - NASA - STS-135 Daily Mission Recap - Flight Day 12_dEQF_C3E-Q4 - transcript (automated).pdf","Transcript Link")</f>
        <v>Transcript Link</v>
      </c>
      <c r="M4003" s="2" t="str">
        <f>HYPERLINK("https://files.afu.se/Downloads/Transcripts/0%20-%20Government/USA%20-%20NASA/2011 07 19 - NASA - STS-135 Daily Mission Recap - Flight Day 12_dEQF_C3E-Q4 - transcript (automated).pdf","Transcript Link")</f>
        <v>Transcript Link</v>
      </c>
    </row>
    <row r="4004" ht="165" spans="1:13">
      <c r="A4004" s="1" t="s">
        <v>17966</v>
      </c>
      <c r="B4004" s="1" t="s">
        <v>13</v>
      </c>
      <c r="C4004" s="4" t="s">
        <v>17971</v>
      </c>
      <c r="D4004" s="1" t="s">
        <v>17972</v>
      </c>
      <c r="E4004" s="1" t="s">
        <v>17973</v>
      </c>
      <c r="F4004" s="4" t="s">
        <v>17</v>
      </c>
      <c r="G4004" s="1" t="s">
        <v>18</v>
      </c>
      <c r="H4004" s="1" t="s">
        <v>19</v>
      </c>
      <c r="I4004" s="1" t="s">
        <v>20</v>
      </c>
      <c r="J4004" s="1" t="s">
        <v>17974</v>
      </c>
      <c r="K4004" s="1" t="s">
        <v>22</v>
      </c>
      <c r="L4004" s="1" t="str">
        <f>HYPERLINK("https://files.afu.se/Downloads/Transcripts/0%20-%20Government/USA%20-%20NASA/2011 07 19 - NASA - Atlantis Undocking from ISS Marks Flight Day 12_KjA17RHNF0M - transcript (automated).pdf","Transcript Link")</f>
        <v>Transcript Link</v>
      </c>
      <c r="M4004" s="2" t="str">
        <f>HYPERLINK("https://files.afu.se/Downloads/Transcripts/0%20-%20Government/USA%20-%20NASA/2011 07 19 - NASA - Atlantis Undocking from ISS Marks Flight Day 12_KjA17RHNF0M - transcript (automated).pdf","Transcript Link")</f>
        <v>Transcript Link</v>
      </c>
    </row>
    <row r="4005" ht="165" spans="1:13">
      <c r="A4005" s="1" t="s">
        <v>17966</v>
      </c>
      <c r="B4005" s="1" t="s">
        <v>13</v>
      </c>
      <c r="C4005" s="4" t="s">
        <v>17975</v>
      </c>
      <c r="D4005" s="1" t="s">
        <v>17976</v>
      </c>
      <c r="E4005" s="1" t="s">
        <v>17977</v>
      </c>
      <c r="F4005" s="4" t="s">
        <v>17</v>
      </c>
      <c r="G4005" s="1" t="s">
        <v>18</v>
      </c>
      <c r="H4005" s="1" t="s">
        <v>19</v>
      </c>
      <c r="I4005" s="1" t="s">
        <v>20</v>
      </c>
      <c r="J4005" s="1" t="s">
        <v>17978</v>
      </c>
      <c r="K4005" s="1" t="s">
        <v>22</v>
      </c>
      <c r="L4005" s="1" t="str">
        <f>HYPERLINK("https://files.afu.se/Downloads/Transcripts/0%20-%20Government/USA%20-%20NASA/2011 07 19 - NASA - Managers Review Final Phase of STS-135_40YpG8j8O5s - transcript (automated).pdf","Transcript Link")</f>
        <v>Transcript Link</v>
      </c>
      <c r="M4005" s="2" t="str">
        <f>HYPERLINK("https://files.afu.se/Downloads/Transcripts/0%20-%20Government/USA%20-%20NASA/2011 07 19 - NASA - Managers Review Final Phase of STS-135_40YpG8j8O5s - transcript (automated).pdf","Transcript Link")</f>
        <v>Transcript Link</v>
      </c>
    </row>
    <row r="4006" ht="165" spans="1:13">
      <c r="A4006" s="1" t="s">
        <v>17966</v>
      </c>
      <c r="B4006" s="1" t="s">
        <v>13</v>
      </c>
      <c r="C4006" s="4" t="s">
        <v>17979</v>
      </c>
      <c r="D4006" s="1" t="s">
        <v>17980</v>
      </c>
      <c r="E4006" s="1" t="s">
        <v>17981</v>
      </c>
      <c r="F4006" s="4" t="s">
        <v>17</v>
      </c>
      <c r="G4006" s="1" t="s">
        <v>18</v>
      </c>
      <c r="H4006" s="1" t="s">
        <v>19</v>
      </c>
      <c r="I4006" s="1" t="s">
        <v>20</v>
      </c>
      <c r="J4006" s="1" t="s">
        <v>17982</v>
      </c>
      <c r="K4006" s="1" t="s">
        <v>22</v>
      </c>
      <c r="L4006" s="1" t="str">
        <f>HYPERLINK("https://files.afu.se/Downloads/Transcripts/0%20-%20Government/USA%20-%20NASA/2011 07 19 - NASA - STS-135 Ascent Imagery Highlights_u37hsZQ2hUc - transcript (automated).pdf","Transcript Link")</f>
        <v>Transcript Link</v>
      </c>
      <c r="M4006" s="2" t="str">
        <f>HYPERLINK("https://files.afu.se/Downloads/Transcripts/0%20-%20Government/USA%20-%20NASA/2011 07 19 - NASA - STS-135 Ascent Imagery Highlights_u37hsZQ2hUc - transcript (automated).pdf","Transcript Link")</f>
        <v>Transcript Link</v>
      </c>
    </row>
    <row r="4007" ht="165" spans="1:13">
      <c r="A4007" s="1" t="s">
        <v>17966</v>
      </c>
      <c r="B4007" s="1" t="s">
        <v>13</v>
      </c>
      <c r="C4007" s="4" t="s">
        <v>17983</v>
      </c>
      <c r="D4007" s="1" t="s">
        <v>17984</v>
      </c>
      <c r="E4007" s="1" t="s">
        <v>17985</v>
      </c>
      <c r="F4007" s="4" t="s">
        <v>17</v>
      </c>
      <c r="G4007" s="1" t="s">
        <v>18</v>
      </c>
      <c r="H4007" s="1" t="s">
        <v>19</v>
      </c>
      <c r="I4007" s="1" t="s">
        <v>20</v>
      </c>
      <c r="J4007" s="1" t="s">
        <v>17986</v>
      </c>
      <c r="K4007" s="1" t="s">
        <v>22</v>
      </c>
      <c r="L4007" s="1" t="str">
        <f>HYPERLINK("https://files.afu.se/Downloads/Transcripts/0%20-%20Government/USA%20-%20NASA/2011 07 19 - NASA - End of Shuttle Era Draws Nearer_rW4CUDLZtCQ - transcript (automated).pdf","Transcript Link")</f>
        <v>Transcript Link</v>
      </c>
      <c r="M4007" s="2" t="str">
        <f>HYPERLINK("https://files.afu.se/Downloads/Transcripts/0%20-%20Government/USA%20-%20NASA/2011 07 19 - NASA - End of Shuttle Era Draws Nearer_rW4CUDLZtCQ - transcript (automated).pdf","Transcript Link")</f>
        <v>Transcript Link</v>
      </c>
    </row>
    <row r="4008" ht="165" spans="1:13">
      <c r="A4008" s="1" t="s">
        <v>17966</v>
      </c>
      <c r="B4008" s="1" t="s">
        <v>13</v>
      </c>
      <c r="C4008" s="4" t="s">
        <v>17987</v>
      </c>
      <c r="D4008" s="1" t="s">
        <v>17988</v>
      </c>
      <c r="E4008" s="1" t="s">
        <v>17989</v>
      </c>
      <c r="F4008" s="4" t="s">
        <v>17</v>
      </c>
      <c r="G4008" s="1" t="s">
        <v>18</v>
      </c>
      <c r="H4008" s="1" t="s">
        <v>19</v>
      </c>
      <c r="I4008" s="1" t="s">
        <v>20</v>
      </c>
      <c r="J4008" s="1" t="s">
        <v>17990</v>
      </c>
      <c r="K4008" s="1" t="s">
        <v>22</v>
      </c>
      <c r="L4008" s="1" t="str">
        <f>HYPERLINK("https://files.afu.se/Downloads/Transcripts/0%20-%20Government/USA%20-%20NASA/2011 07 19 - NASA - Undocking as Seen from Shuttle_r3SYMALDFWE - transcript (automated).pdf","Transcript Link")</f>
        <v>Transcript Link</v>
      </c>
      <c r="M4008" s="2" t="str">
        <f>HYPERLINK("https://files.afu.se/Downloads/Transcripts/0%20-%20Government/USA%20-%20NASA/2011 07 19 - NASA - Undocking as Seen from Shuttle_r3SYMALDFWE - transcript (automated).pdf","Transcript Link")</f>
        <v>Transcript Link</v>
      </c>
    </row>
    <row r="4009" ht="165" spans="1:13">
      <c r="A4009" s="1" t="s">
        <v>17966</v>
      </c>
      <c r="B4009" s="1" t="s">
        <v>13</v>
      </c>
      <c r="C4009" s="4" t="s">
        <v>17991</v>
      </c>
      <c r="D4009" s="1" t="s">
        <v>17992</v>
      </c>
      <c r="E4009" s="1" t="s">
        <v>17993</v>
      </c>
      <c r="F4009" s="4" t="s">
        <v>17</v>
      </c>
      <c r="G4009" s="1" t="s">
        <v>18</v>
      </c>
      <c r="H4009" s="1" t="s">
        <v>19</v>
      </c>
      <c r="I4009" s="1" t="s">
        <v>20</v>
      </c>
      <c r="J4009" s="1" t="s">
        <v>17994</v>
      </c>
      <c r="K4009" s="1" t="s">
        <v>22</v>
      </c>
      <c r="L4009" s="1" t="str">
        <f>HYPERLINK("https://files.afu.se/Downloads/Transcripts/0%20-%20Government/USA%20-%20NASA/2011 07 19 - NASA - Atlantis Undocks from the ISS_T4ikciBsT9E - transcript (automated).pdf","Transcript Link")</f>
        <v>Transcript Link</v>
      </c>
      <c r="M4009" s="2" t="str">
        <f>HYPERLINK("https://files.afu.se/Downloads/Transcripts/0%20-%20Government/USA%20-%20NASA/2011 07 19 - NASA - Atlantis Undocks from the ISS_T4ikciBsT9E - transcript (automated).pdf","Transcript Link")</f>
        <v>Transcript Link</v>
      </c>
    </row>
    <row r="4010" ht="165" spans="1:13">
      <c r="A4010" s="1" t="s">
        <v>17995</v>
      </c>
      <c r="B4010" s="1" t="s">
        <v>13</v>
      </c>
      <c r="C4010" s="4" t="s">
        <v>17996</v>
      </c>
      <c r="D4010" s="1" t="s">
        <v>17997</v>
      </c>
      <c r="E4010" s="1" t="s">
        <v>17998</v>
      </c>
      <c r="F4010" s="4" t="s">
        <v>17</v>
      </c>
      <c r="G4010" s="1" t="s">
        <v>18</v>
      </c>
      <c r="H4010" s="1" t="s">
        <v>19</v>
      </c>
      <c r="I4010" s="1" t="s">
        <v>20</v>
      </c>
      <c r="J4010" s="1" t="s">
        <v>17999</v>
      </c>
      <c r="K4010" s="1" t="s">
        <v>22</v>
      </c>
      <c r="L4010" s="1" t="str">
        <f>HYPERLINK("https://files.afu.se/Downloads/Transcripts/0%20-%20Government/USA%20-%20NASA/2011 07 18 - NASA - STS-135 Daily Mission Recap - Flight Day 11_LycueAyuATg - transcript (automated).pdf","Transcript Link")</f>
        <v>Transcript Link</v>
      </c>
      <c r="M4010" s="2" t="str">
        <f>HYPERLINK("https://files.afu.se/Downloads/Transcripts/0%20-%20Government/USA%20-%20NASA/2011 07 18 - NASA - STS-135 Daily Mission Recap - Flight Day 11_LycueAyuATg - transcript (automated).pdf","Transcript Link")</f>
        <v>Transcript Link</v>
      </c>
    </row>
    <row r="4011" ht="165" spans="1:13">
      <c r="A4011" s="1" t="s">
        <v>17995</v>
      </c>
      <c r="B4011" s="1" t="s">
        <v>13</v>
      </c>
      <c r="C4011" s="4" t="s">
        <v>18000</v>
      </c>
      <c r="D4011" s="1" t="s">
        <v>18001</v>
      </c>
      <c r="E4011" s="1" t="s">
        <v>18002</v>
      </c>
      <c r="F4011" s="4" t="s">
        <v>17</v>
      </c>
      <c r="G4011" s="1" t="s">
        <v>18</v>
      </c>
      <c r="H4011" s="1" t="s">
        <v>19</v>
      </c>
      <c r="I4011" s="1" t="s">
        <v>20</v>
      </c>
      <c r="J4011" s="1" t="s">
        <v>18003</v>
      </c>
      <c r="K4011" s="1" t="s">
        <v>22</v>
      </c>
      <c r="L4011" s="1" t="str">
        <f>HYPERLINK("https://files.afu.se/Downloads/Transcripts/0%20-%20Government/USA%20-%20NASA/2011 07 18 - NASA - Hatch Closure, Fond Farewells Featured on Flight Day 11 Highlights_uOCjF8MtRVg - transcript (automated).pdf","Transcript Link")</f>
        <v>Transcript Link</v>
      </c>
      <c r="M4011" s="2" t="str">
        <f>HYPERLINK("https://files.afu.se/Downloads/Transcripts/0%20-%20Government/USA%20-%20NASA/2011 07 18 - NASA - Hatch Closure, Fond Farewells Featured on Flight Day 11 Highlights_uOCjF8MtRVg - transcript (automated).pdf","Transcript Link")</f>
        <v>Transcript Link</v>
      </c>
    </row>
    <row r="4012" ht="165" spans="1:13">
      <c r="A4012" s="1" t="s">
        <v>17995</v>
      </c>
      <c r="B4012" s="1" t="s">
        <v>13</v>
      </c>
      <c r="C4012" s="4" t="s">
        <v>18004</v>
      </c>
      <c r="D4012" s="1" t="s">
        <v>18005</v>
      </c>
      <c r="E4012" s="1" t="s">
        <v>18006</v>
      </c>
      <c r="F4012" s="4" t="s">
        <v>17</v>
      </c>
      <c r="G4012" s="1" t="s">
        <v>18</v>
      </c>
      <c r="H4012" s="1" t="s">
        <v>19</v>
      </c>
      <c r="I4012" s="1" t="s">
        <v>20</v>
      </c>
      <c r="J4012" s="1" t="s">
        <v>18007</v>
      </c>
      <c r="K4012" s="1" t="s">
        <v>22</v>
      </c>
      <c r="L4012" s="1" t="str">
        <f>HYPERLINK("https://files.afu.se/Downloads/Transcripts/0%20-%20Government/USA%20-%20NASA/2011 07 18 - NASA - Farewell for Shuttle Crew_8Drno0nGT3Q - transcript (automated).pdf","Transcript Link")</f>
        <v>Transcript Link</v>
      </c>
      <c r="M4012" s="2" t="str">
        <f>HYPERLINK("https://files.afu.se/Downloads/Transcripts/0%20-%20Government/USA%20-%20NASA/2011 07 18 - NASA - Farewell for Shuttle Crew_8Drno0nGT3Q - transcript (automated).pdf","Transcript Link")</f>
        <v>Transcript Link</v>
      </c>
    </row>
    <row r="4013" ht="165" spans="1:13">
      <c r="A4013" s="1" t="s">
        <v>17995</v>
      </c>
      <c r="B4013" s="1" t="s">
        <v>13</v>
      </c>
      <c r="C4013" s="4" t="s">
        <v>18008</v>
      </c>
      <c r="D4013" s="1" t="s">
        <v>18005</v>
      </c>
      <c r="E4013" s="1" t="s">
        <v>18006</v>
      </c>
      <c r="F4013" s="4" t="s">
        <v>17</v>
      </c>
      <c r="G4013" s="1" t="s">
        <v>18</v>
      </c>
      <c r="H4013" s="1" t="s">
        <v>19</v>
      </c>
      <c r="I4013" s="1" t="s">
        <v>20</v>
      </c>
      <c r="J4013" s="1" t="s">
        <v>18009</v>
      </c>
      <c r="K4013" s="1" t="s">
        <v>22</v>
      </c>
      <c r="L4013" s="1" t="str">
        <f>HYPERLINK("https://files.afu.se/Downloads/Transcripts/0%20-%20Government/USA%20-%20NASA/2011 07 18 - NASA - Farewell for Shuttle Crew_qWIqW3CysGw - transcript (automated).pdf","Transcript Link")</f>
        <v>Transcript Link</v>
      </c>
      <c r="M4013" s="2" t="str">
        <f>HYPERLINK("https://files.afu.se/Downloads/Transcripts/0%20-%20Government/USA%20-%20NASA/2011 07 18 - NASA - Farewell for Shuttle Crew_qWIqW3CysGw - transcript (automated).pdf","Transcript Link")</f>
        <v>Transcript Link</v>
      </c>
    </row>
    <row r="4014" ht="165" spans="1:13">
      <c r="A4014" s="1" t="s">
        <v>17995</v>
      </c>
      <c r="B4014" s="1" t="s">
        <v>13</v>
      </c>
      <c r="C4014" s="4" t="s">
        <v>18010</v>
      </c>
      <c r="D4014" s="1" t="s">
        <v>18011</v>
      </c>
      <c r="E4014" s="1" t="s">
        <v>18012</v>
      </c>
      <c r="F4014" s="4" t="s">
        <v>17</v>
      </c>
      <c r="G4014" s="1" t="s">
        <v>18</v>
      </c>
      <c r="H4014" s="1" t="s">
        <v>19</v>
      </c>
      <c r="I4014" s="1" t="s">
        <v>20</v>
      </c>
      <c r="J4014" s="1" t="s">
        <v>18013</v>
      </c>
      <c r="K4014" s="1" t="s">
        <v>22</v>
      </c>
      <c r="L4014" s="1" t="str">
        <f>HYPERLINK("https://files.afu.se/Downloads/Transcripts/0%20-%20Government/USA%20-%20NASA/2011 07 18 - NASA - Shuttle Crew Preps for Landing_8aZjVA90wio - transcript (automated).pdf","Transcript Link")</f>
        <v>Transcript Link</v>
      </c>
      <c r="M4014" s="2" t="str">
        <f>HYPERLINK("https://files.afu.se/Downloads/Transcripts/0%20-%20Government/USA%20-%20NASA/2011 07 18 - NASA - Shuttle Crew Preps for Landing_8aZjVA90wio - transcript (automated).pdf","Transcript Link")</f>
        <v>Transcript Link</v>
      </c>
    </row>
    <row r="4015" ht="165" spans="1:13">
      <c r="A4015" s="1" t="s">
        <v>18014</v>
      </c>
      <c r="B4015" s="1" t="s">
        <v>13</v>
      </c>
      <c r="C4015" s="4" t="s">
        <v>18015</v>
      </c>
      <c r="D4015" s="1" t="s">
        <v>18016</v>
      </c>
      <c r="E4015" s="1" t="s">
        <v>18017</v>
      </c>
      <c r="F4015" s="4" t="s">
        <v>17</v>
      </c>
      <c r="G4015" s="1" t="s">
        <v>18</v>
      </c>
      <c r="H4015" s="1" t="s">
        <v>19</v>
      </c>
      <c r="I4015" s="1" t="s">
        <v>20</v>
      </c>
      <c r="J4015" s="1" t="s">
        <v>18018</v>
      </c>
      <c r="K4015" s="1" t="s">
        <v>22</v>
      </c>
      <c r="L4015" s="1" t="str">
        <f>HYPERLINK("https://files.afu.se/Downloads/Transcripts/0%20-%20Government/USA%20-%20NASA/2011 07 17 - NASA - Completion of Cargo Transfers Tops Flight Day 10 Highlights_ALe_MYH1q58 - transcript (automated).pdf","Transcript Link")</f>
        <v>Transcript Link</v>
      </c>
      <c r="M4015" s="2" t="str">
        <f>HYPERLINK("https://files.afu.se/Downloads/Transcripts/0%20-%20Government/USA%20-%20NASA/2011 07 17 - NASA - Completion of Cargo Transfers Tops Flight Day 10 Highlights_ALe_MYH1q58 - transcript (automated).pdf","Transcript Link")</f>
        <v>Transcript Link</v>
      </c>
    </row>
    <row r="4016" ht="165" spans="1:13">
      <c r="A4016" s="1" t="s">
        <v>18014</v>
      </c>
      <c r="B4016" s="1" t="s">
        <v>13</v>
      </c>
      <c r="C4016" s="4" t="s">
        <v>18019</v>
      </c>
      <c r="D4016" s="1" t="s">
        <v>18020</v>
      </c>
      <c r="E4016" s="1" t="s">
        <v>18021</v>
      </c>
      <c r="F4016" s="4" t="s">
        <v>17</v>
      </c>
      <c r="G4016" s="1" t="s">
        <v>18</v>
      </c>
      <c r="H4016" s="1" t="s">
        <v>19</v>
      </c>
      <c r="I4016" s="1" t="s">
        <v>20</v>
      </c>
      <c r="J4016" s="1" t="s">
        <v>18022</v>
      </c>
      <c r="K4016" s="1" t="s">
        <v>22</v>
      </c>
      <c r="L4016" s="1" t="str">
        <f>HYPERLINK("https://files.afu.se/Downloads/Transcripts/0%20-%20Government/USA%20-%20NASA/2011 07 17 - NASA - STS-135 Daily Mission Recap - Flight Day 10_lJ7i9az_yU4 - transcript (automated).pdf","Transcript Link")</f>
        <v>Transcript Link</v>
      </c>
      <c r="M4016" s="2" t="str">
        <f>HYPERLINK("https://files.afu.se/Downloads/Transcripts/0%20-%20Government/USA%20-%20NASA/2011 07 17 - NASA - STS-135 Daily Mission Recap - Flight Day 10_lJ7i9az_yU4 - transcript (automated).pdf","Transcript Link")</f>
        <v>Transcript Link</v>
      </c>
    </row>
    <row r="4017" ht="165" spans="1:13">
      <c r="A4017" s="1" t="s">
        <v>18014</v>
      </c>
      <c r="B4017" s="1" t="s">
        <v>13</v>
      </c>
      <c r="C4017" s="4" t="s">
        <v>18023</v>
      </c>
      <c r="D4017" s="1" t="s">
        <v>18024</v>
      </c>
      <c r="E4017" s="1" t="s">
        <v>18025</v>
      </c>
      <c r="F4017" s="4" t="s">
        <v>17</v>
      </c>
      <c r="G4017" s="1" t="s">
        <v>18</v>
      </c>
      <c r="H4017" s="1" t="s">
        <v>19</v>
      </c>
      <c r="I4017" s="1" t="s">
        <v>20</v>
      </c>
      <c r="J4017" s="1" t="s">
        <v>18026</v>
      </c>
      <c r="K4017" s="1" t="s">
        <v>22</v>
      </c>
      <c r="L4017" s="1" t="str">
        <f>HYPERLINK("https://files.afu.se/Downloads/Transcripts/0%20-%20Government/USA%20-%20NASA/2011 07 17 - NASA - STS-135 Mission Status Briefing FD10_GFceGcsLSuY - transcript (automated).pdf","Transcript Link")</f>
        <v>Transcript Link</v>
      </c>
      <c r="M4017" s="2" t="str">
        <f>HYPERLINK("https://files.afu.se/Downloads/Transcripts/0%20-%20Government/USA%20-%20NASA/2011 07 17 - NASA - STS-135 Mission Status Briefing FD10_GFceGcsLSuY - transcript (automated).pdf","Transcript Link")</f>
        <v>Transcript Link</v>
      </c>
    </row>
    <row r="4018" ht="165" spans="1:13">
      <c r="A4018" s="1" t="s">
        <v>18014</v>
      </c>
      <c r="B4018" s="1" t="s">
        <v>13</v>
      </c>
      <c r="C4018" s="4" t="s">
        <v>18027</v>
      </c>
      <c r="D4018" s="1" t="s">
        <v>18028</v>
      </c>
      <c r="E4018" s="1" t="s">
        <v>18029</v>
      </c>
      <c r="F4018" s="4" t="s">
        <v>17</v>
      </c>
      <c r="G4018" s="1" t="s">
        <v>18</v>
      </c>
      <c r="H4018" s="1" t="s">
        <v>19</v>
      </c>
      <c r="I4018" s="1" t="s">
        <v>20</v>
      </c>
      <c r="J4018" s="1" t="s">
        <v>18030</v>
      </c>
      <c r="K4018" s="1" t="s">
        <v>22</v>
      </c>
      <c r="L4018" s="1" t="str">
        <f>HYPERLINK("https://files.afu.se/Downloads/Transcripts/0%20-%20Government/USA%20-%20NASA/2011 07 17 - NASA - STS-135 Daily Mission Recap - Flight Day 9_PVlpNMtoeHE - transcript (automated).pdf","Transcript Link")</f>
        <v>Transcript Link</v>
      </c>
      <c r="M4018" s="2" t="str">
        <f>HYPERLINK("https://files.afu.se/Downloads/Transcripts/0%20-%20Government/USA%20-%20NASA/2011 07 17 - NASA - STS-135 Daily Mission Recap - Flight Day 9_PVlpNMtoeHE - transcript (automated).pdf","Transcript Link")</f>
        <v>Transcript Link</v>
      </c>
    </row>
    <row r="4019" ht="165" spans="1:13">
      <c r="A4019" s="1" t="s">
        <v>18014</v>
      </c>
      <c r="B4019" s="1" t="s">
        <v>13</v>
      </c>
      <c r="C4019" s="4" t="s">
        <v>18031</v>
      </c>
      <c r="D4019" s="1" t="s">
        <v>18032</v>
      </c>
      <c r="E4019" s="1" t="s">
        <v>18033</v>
      </c>
      <c r="F4019" s="4" t="s">
        <v>17</v>
      </c>
      <c r="G4019" s="1" t="s">
        <v>18</v>
      </c>
      <c r="H4019" s="1" t="s">
        <v>19</v>
      </c>
      <c r="I4019" s="1" t="s">
        <v>20</v>
      </c>
      <c r="J4019" s="1" t="s">
        <v>18034</v>
      </c>
      <c r="K4019" s="1" t="s">
        <v>22</v>
      </c>
      <c r="L4019" s="1" t="str">
        <f>HYPERLINK("https://files.afu.se/Downloads/Transcripts/0%20-%20Government/USA%20-%20NASA/2011 07 17 - NASA - Shuttle Astronauts Inspire Students_LnvzphT1XCY - transcript (automated).pdf","Transcript Link")</f>
        <v>Transcript Link</v>
      </c>
      <c r="M4019" s="2" t="str">
        <f>HYPERLINK("https://files.afu.se/Downloads/Transcripts/0%20-%20Government/USA%20-%20NASA/2011 07 17 - NASA - Shuttle Astronauts Inspire Students_LnvzphT1XCY - transcript (automated).pdf","Transcript Link")</f>
        <v>Transcript Link</v>
      </c>
    </row>
    <row r="4020" ht="165" spans="1:13">
      <c r="A4020" s="1" t="s">
        <v>18035</v>
      </c>
      <c r="B4020" s="1" t="s">
        <v>13</v>
      </c>
      <c r="C4020" s="4" t="s">
        <v>18036</v>
      </c>
      <c r="D4020" s="1" t="s">
        <v>18037</v>
      </c>
      <c r="E4020" s="1" t="s">
        <v>18038</v>
      </c>
      <c r="F4020" s="4" t="s">
        <v>17</v>
      </c>
      <c r="G4020" s="1" t="s">
        <v>18</v>
      </c>
      <c r="H4020" s="1" t="s">
        <v>19</v>
      </c>
      <c r="I4020" s="1" t="s">
        <v>20</v>
      </c>
      <c r="J4020" s="1" t="s">
        <v>18039</v>
      </c>
      <c r="K4020" s="1" t="s">
        <v>22</v>
      </c>
      <c r="L4020" s="1" t="str">
        <f>HYPERLINK("https://files.afu.se/Downloads/Transcripts/0%20-%20Government/USA%20-%20NASA/2011 07 16 - NASA - Beyonce, Shifting Supplies Top Atlantis Astronauts' Flight Day 9_Vo9Y9i1nN3U - transcript (automated).pdf","Transcript Link")</f>
        <v>Transcript Link</v>
      </c>
      <c r="M4020" s="2" t="str">
        <f>HYPERLINK("https://files.afu.se/Downloads/Transcripts/0%20-%20Government/USA%20-%20NASA/2011 07 16 - NASA - Beyonce, Shifting Supplies Top Atlantis Astronauts' Flight Day 9_Vo9Y9i1nN3U - transcript (automated).pdf","Transcript Link")</f>
        <v>Transcript Link</v>
      </c>
    </row>
    <row r="4021" ht="165" spans="1:13">
      <c r="A4021" s="1" t="s">
        <v>18035</v>
      </c>
      <c r="B4021" s="1" t="s">
        <v>13</v>
      </c>
      <c r="C4021" s="4" t="s">
        <v>18040</v>
      </c>
      <c r="D4021" s="1" t="s">
        <v>18041</v>
      </c>
      <c r="E4021" s="1" t="s">
        <v>18042</v>
      </c>
      <c r="F4021" s="4" t="s">
        <v>17</v>
      </c>
      <c r="G4021" s="1" t="s">
        <v>18</v>
      </c>
      <c r="H4021" s="1" t="s">
        <v>19</v>
      </c>
      <c r="I4021" s="1" t="s">
        <v>20</v>
      </c>
      <c r="J4021" s="1" t="s">
        <v>18043</v>
      </c>
      <c r="K4021" s="1" t="s">
        <v>22</v>
      </c>
      <c r="L4021" s="1" t="str">
        <f>HYPERLINK("https://files.afu.se/Downloads/Transcripts/0%20-%20Government/USA%20-%20NASA/2011 07 16 - NASA - Beyonce  Brings It  On Orbit_ON1tBvz5e5w - transcript (automated).pdf","Transcript Link")</f>
        <v>Transcript Link</v>
      </c>
      <c r="M4021" s="2" t="str">
        <f>HYPERLINK("https://files.afu.se/Downloads/Transcripts/0%20-%20Government/USA%20-%20NASA/2011 07 16 - NASA - Beyonce  Brings It  On Orbit_ON1tBvz5e5w - transcript (automated).pdf","Transcript Link")</f>
        <v>Transcript Link</v>
      </c>
    </row>
    <row r="4022" ht="165" spans="1:13">
      <c r="A4022" s="1" t="s">
        <v>18044</v>
      </c>
      <c r="B4022" s="1" t="s">
        <v>13</v>
      </c>
      <c r="C4022" s="4" t="s">
        <v>18045</v>
      </c>
      <c r="D4022" s="1" t="s">
        <v>18046</v>
      </c>
      <c r="E4022" s="1" t="s">
        <v>18047</v>
      </c>
      <c r="F4022" s="4" t="s">
        <v>17</v>
      </c>
      <c r="G4022" s="1" t="s">
        <v>18</v>
      </c>
      <c r="H4022" s="1" t="s">
        <v>19</v>
      </c>
      <c r="I4022" s="1" t="s">
        <v>20</v>
      </c>
      <c r="J4022" s="1" t="s">
        <v>18048</v>
      </c>
      <c r="K4022" s="1" t="s">
        <v>22</v>
      </c>
      <c r="L4022" s="1" t="str">
        <f>HYPERLINK("https://files.afu.se/Downloads/Transcripts/0%20-%20Government/USA%20-%20NASA/2011 07 15 - NASA - McCartney, Shuttle's Offload Continues on FD 8 Highlights_r1mKjY15XFU - transcript (automated).pdf","Transcript Link")</f>
        <v>Transcript Link</v>
      </c>
      <c r="M4022" s="2" t="str">
        <f>HYPERLINK("https://files.afu.se/Downloads/Transcripts/0%20-%20Government/USA%20-%20NASA/2011 07 15 - NASA - McCartney, Shuttle's Offload Continues on FD 8 Highlights_r1mKjY15XFU - transcript (automated).pdf","Transcript Link")</f>
        <v>Transcript Link</v>
      </c>
    </row>
    <row r="4023" ht="165" spans="1:13">
      <c r="A4023" s="1" t="s">
        <v>18044</v>
      </c>
      <c r="B4023" s="1" t="s">
        <v>13</v>
      </c>
      <c r="C4023" s="4" t="s">
        <v>18049</v>
      </c>
      <c r="D4023" s="1" t="s">
        <v>18050</v>
      </c>
      <c r="E4023" s="1" t="s">
        <v>18051</v>
      </c>
      <c r="F4023" s="4" t="s">
        <v>17</v>
      </c>
      <c r="G4023" s="1" t="s">
        <v>18</v>
      </c>
      <c r="H4023" s="1" t="s">
        <v>19</v>
      </c>
      <c r="I4023" s="1" t="s">
        <v>20</v>
      </c>
      <c r="J4023" s="1" t="s">
        <v>18052</v>
      </c>
      <c r="K4023" s="1" t="s">
        <v>22</v>
      </c>
      <c r="L4023" s="1" t="str">
        <f>HYPERLINK("https://files.afu.se/Downloads/Transcripts/0%20-%20Government/USA%20-%20NASA/2011 07 15 - NASA - STS-135 Daily Mission Recap - Flight Day 8_6Oaw9rNdRrQ - transcript (automated).pdf","Transcript Link")</f>
        <v>Transcript Link</v>
      </c>
      <c r="M4023" s="2" t="str">
        <f>HYPERLINK("https://files.afu.se/Downloads/Transcripts/0%20-%20Government/USA%20-%20NASA/2011 07 15 - NASA - STS-135 Daily Mission Recap - Flight Day 8_6Oaw9rNdRrQ - transcript (automated).pdf","Transcript Link")</f>
        <v>Transcript Link</v>
      </c>
    </row>
    <row r="4024" ht="165" spans="1:13">
      <c r="A4024" s="1" t="s">
        <v>18044</v>
      </c>
      <c r="B4024" s="1" t="s">
        <v>13</v>
      </c>
      <c r="C4024" s="4" t="s">
        <v>18053</v>
      </c>
      <c r="D4024" s="1" t="s">
        <v>18054</v>
      </c>
      <c r="E4024" s="1" t="s">
        <v>18055</v>
      </c>
      <c r="F4024" s="4" t="s">
        <v>17</v>
      </c>
      <c r="G4024" s="1" t="s">
        <v>18</v>
      </c>
      <c r="H4024" s="1" t="s">
        <v>19</v>
      </c>
      <c r="I4024" s="1" t="s">
        <v>20</v>
      </c>
      <c r="J4024" s="1" t="s">
        <v>18056</v>
      </c>
      <c r="K4024" s="1" t="s">
        <v>22</v>
      </c>
      <c r="L4024" s="1" t="str">
        <f>HYPERLINK("https://files.afu.se/Downloads/Transcripts/0%20-%20Government/USA%20-%20NASA/2011 07 15 - NASA - Shuttle, Station Crews in Joint News Conference_0Z6B4OB1Kr0 - transcript (automated).pdf","Transcript Link")</f>
        <v>Transcript Link</v>
      </c>
      <c r="M4024" s="2" t="str">
        <f>HYPERLINK("https://files.afu.se/Downloads/Transcripts/0%20-%20Government/USA%20-%20NASA/2011 07 15 - NASA - Shuttle, Station Crews in Joint News Conference_0Z6B4OB1Kr0 - transcript (automated).pdf","Transcript Link")</f>
        <v>Transcript Link</v>
      </c>
    </row>
    <row r="4025" ht="165" spans="1:13">
      <c r="A4025" s="1" t="s">
        <v>18044</v>
      </c>
      <c r="B4025" s="1" t="s">
        <v>13</v>
      </c>
      <c r="C4025" s="4" t="s">
        <v>18057</v>
      </c>
      <c r="D4025" s="1" t="s">
        <v>18058</v>
      </c>
      <c r="E4025" s="1" t="s">
        <v>18059</v>
      </c>
      <c r="F4025" s="4" t="s">
        <v>17</v>
      </c>
      <c r="G4025" s="1" t="s">
        <v>18</v>
      </c>
      <c r="H4025" s="1" t="s">
        <v>19</v>
      </c>
      <c r="I4025" s="1" t="s">
        <v>20</v>
      </c>
      <c r="J4025" s="1" t="s">
        <v>18060</v>
      </c>
      <c r="K4025" s="1" t="s">
        <v>22</v>
      </c>
      <c r="L4025" s="1" t="str">
        <f>HYPERLINK("https://files.afu.se/Downloads/Transcripts/0%20-%20Government/USA%20-%20NASA/2011 07 15 - NASA - Shuttle Crew Keeps Busy with Cargo_Us18oQTAm9k - transcript (automated).pdf","Transcript Link")</f>
        <v>Transcript Link</v>
      </c>
      <c r="M4025" s="2" t="str">
        <f>HYPERLINK("https://files.afu.se/Downloads/Transcripts/0%20-%20Government/USA%20-%20NASA/2011 07 15 - NASA - Shuttle Crew Keeps Busy with Cargo_Us18oQTAm9k - transcript (automated).pdf","Transcript Link")</f>
        <v>Transcript Link</v>
      </c>
    </row>
    <row r="4026" ht="165" spans="1:13">
      <c r="A4026" s="1" t="s">
        <v>18044</v>
      </c>
      <c r="B4026" s="1" t="s">
        <v>13</v>
      </c>
      <c r="C4026" s="4" t="s">
        <v>18061</v>
      </c>
      <c r="D4026" s="1" t="s">
        <v>18062</v>
      </c>
      <c r="E4026" s="1" t="s">
        <v>18063</v>
      </c>
      <c r="F4026" s="4" t="s">
        <v>17</v>
      </c>
      <c r="G4026" s="1" t="s">
        <v>18</v>
      </c>
      <c r="H4026" s="1" t="s">
        <v>19</v>
      </c>
      <c r="I4026" s="1" t="s">
        <v>20</v>
      </c>
      <c r="J4026" s="1" t="s">
        <v>18064</v>
      </c>
      <c r="K4026" s="1" t="s">
        <v>22</v>
      </c>
      <c r="L4026" s="1" t="str">
        <f>HYPERLINK("https://files.afu.se/Downloads/Transcripts/0%20-%20Government/USA%20-%20NASA/2011 07 15 - NASA - President Obama Speaks with Shuttle, ISS Crews_oXzkdYVzlcc - transcript (automated).pdf","Transcript Link")</f>
        <v>Transcript Link</v>
      </c>
      <c r="M4026" s="2" t="str">
        <f>HYPERLINK("https://files.afu.se/Downloads/Transcripts/0%20-%20Government/USA%20-%20NASA/2011 07 15 - NASA - President Obama Speaks with Shuttle, ISS Crews_oXzkdYVzlcc - transcript (automated).pdf","Transcript Link")</f>
        <v>Transcript Link</v>
      </c>
    </row>
    <row r="4027" ht="165" spans="1:13">
      <c r="A4027" s="1" t="s">
        <v>18044</v>
      </c>
      <c r="B4027" s="1" t="s">
        <v>13</v>
      </c>
      <c r="C4027" s="4" t="s">
        <v>18065</v>
      </c>
      <c r="D4027" s="1" t="s">
        <v>18066</v>
      </c>
      <c r="E4027" s="1" t="s">
        <v>18067</v>
      </c>
      <c r="F4027" s="4" t="s">
        <v>17</v>
      </c>
      <c r="G4027" s="1" t="s">
        <v>18</v>
      </c>
      <c r="H4027" s="1" t="s">
        <v>19</v>
      </c>
      <c r="I4027" s="1" t="s">
        <v>20</v>
      </c>
      <c r="J4027" s="1" t="s">
        <v>18068</v>
      </c>
      <c r="K4027" s="1" t="s">
        <v>22</v>
      </c>
      <c r="L4027" s="1" t="str">
        <f>HYPERLINK("https://files.afu.se/Downloads/Transcripts/0%20-%20Government/USA%20-%20NASA/2011 07 15 - NASA - More Media Make Call to Shuttle_e8AHmDxiHZs - transcript (automated).pdf","Transcript Link")</f>
        <v>Transcript Link</v>
      </c>
      <c r="M4027" s="2" t="str">
        <f>HYPERLINK("https://files.afu.se/Downloads/Transcripts/0%20-%20Government/USA%20-%20NASA/2011 07 15 - NASA - More Media Make Call to Shuttle_e8AHmDxiHZs - transcript (automated).pdf","Transcript Link")</f>
        <v>Transcript Link</v>
      </c>
    </row>
    <row r="4028" ht="165" spans="1:13">
      <c r="A4028" s="1" t="s">
        <v>18044</v>
      </c>
      <c r="B4028" s="1" t="s">
        <v>13</v>
      </c>
      <c r="C4028" s="4" t="s">
        <v>18069</v>
      </c>
      <c r="D4028" s="1" t="s">
        <v>18070</v>
      </c>
      <c r="E4028" s="1" t="s">
        <v>18071</v>
      </c>
      <c r="F4028" s="4" t="s">
        <v>17</v>
      </c>
      <c r="G4028" s="1" t="s">
        <v>18</v>
      </c>
      <c r="H4028" s="1" t="s">
        <v>19</v>
      </c>
      <c r="I4028" s="1" t="s">
        <v>20</v>
      </c>
      <c r="J4028" s="1" t="s">
        <v>18072</v>
      </c>
      <c r="K4028" s="1" t="s">
        <v>22</v>
      </c>
      <c r="L4028" s="1" t="str">
        <f>HYPERLINK("https://files.afu.se/Downloads/Transcripts/0%20-%20Government/USA%20-%20NASA/2011 07 15 - NASA - Atlantis Astronauts Chat with Reporters_NreQUWr8fOs - transcript (automated).pdf","Transcript Link")</f>
        <v>Transcript Link</v>
      </c>
      <c r="M4028" s="2" t="str">
        <f>HYPERLINK("https://files.afu.se/Downloads/Transcripts/0%20-%20Government/USA%20-%20NASA/2011 07 15 - NASA - Atlantis Astronauts Chat with Reporters_NreQUWr8fOs - transcript (automated).pdf","Transcript Link")</f>
        <v>Transcript Link</v>
      </c>
    </row>
    <row r="4029" ht="165" spans="1:13">
      <c r="A4029" s="1" t="s">
        <v>18044</v>
      </c>
      <c r="B4029" s="1" t="s">
        <v>13</v>
      </c>
      <c r="C4029" s="4" t="s">
        <v>18073</v>
      </c>
      <c r="D4029" s="1" t="s">
        <v>18074</v>
      </c>
      <c r="E4029" s="1" t="s">
        <v>18075</v>
      </c>
      <c r="F4029" s="4" t="s">
        <v>17</v>
      </c>
      <c r="G4029" s="1" t="s">
        <v>18</v>
      </c>
      <c r="H4029" s="1" t="s">
        <v>19</v>
      </c>
      <c r="I4029" s="1" t="s">
        <v>20</v>
      </c>
      <c r="J4029" s="1" t="s">
        <v>18076</v>
      </c>
      <c r="K4029" s="1" t="s">
        <v>22</v>
      </c>
      <c r="L4029" s="1" t="str">
        <f>HYPERLINK("https://files.afu.se/Downloads/Transcripts/0%20-%20Government/USA%20-%20NASA/2011 07 15 - NASA - Sir Paul Awakens Final Shuttle Crew_0k1RZdKz3Zk - transcript (automated).pdf","Transcript Link")</f>
        <v>Transcript Link</v>
      </c>
      <c r="M4029" s="2" t="str">
        <f>HYPERLINK("https://files.afu.se/Downloads/Transcripts/0%20-%20Government/USA%20-%20NASA/2011 07 15 - NASA - Sir Paul Awakens Final Shuttle Crew_0k1RZdKz3Zk - transcript (automated).pdf","Transcript Link")</f>
        <v>Transcript Link</v>
      </c>
    </row>
    <row r="4030" ht="345" spans="1:13">
      <c r="A4030" s="1" t="s">
        <v>18044</v>
      </c>
      <c r="B4030" s="1" t="s">
        <v>13</v>
      </c>
      <c r="C4030" s="4" t="s">
        <v>18077</v>
      </c>
      <c r="D4030" s="1" t="s">
        <v>18078</v>
      </c>
      <c r="E4030" s="1" t="s">
        <v>18079</v>
      </c>
      <c r="F4030" s="4" t="s">
        <v>17</v>
      </c>
      <c r="G4030" s="1" t="s">
        <v>18</v>
      </c>
      <c r="H4030" s="1" t="s">
        <v>19</v>
      </c>
      <c r="I4030" s="1" t="s">
        <v>20</v>
      </c>
      <c r="J4030" s="1" t="s">
        <v>18080</v>
      </c>
      <c r="K4030" s="1" t="s">
        <v>22</v>
      </c>
      <c r="L4030" s="1" t="str">
        <f>HYPERLINK("https://files.afu.se/Downloads/Transcripts/0%20-%20Government/USA%20-%20NASA/2011 07 15 - NASA - -Sir Paul Awakens Final Shuttle Crew_-w6w9w-MQJM - transcript (automated).pdf","Transcript Link")</f>
        <v>Transcript Link</v>
      </c>
      <c r="M4030" s="2" t="str">
        <f>HYPERLINK("https://files.afu.se/Downloads/Transcripts/0%20-%20Government/USA%20-%20NASA/2011 07 15 - NASA - -Sir Paul Awakens Final Shuttle Crew_-w6w9w-MQJM - transcript (automated).pdf","Transcript Link")</f>
        <v>Transcript Link</v>
      </c>
    </row>
    <row r="4031" ht="165" spans="1:13">
      <c r="A4031" s="1" t="s">
        <v>18081</v>
      </c>
      <c r="B4031" s="1" t="s">
        <v>13</v>
      </c>
      <c r="C4031" s="4" t="s">
        <v>18082</v>
      </c>
      <c r="D4031" s="1" t="s">
        <v>18083</v>
      </c>
      <c r="E4031" s="1" t="s">
        <v>18084</v>
      </c>
      <c r="F4031" s="4" t="s">
        <v>17</v>
      </c>
      <c r="G4031" s="1" t="s">
        <v>18</v>
      </c>
      <c r="H4031" s="1" t="s">
        <v>19</v>
      </c>
      <c r="I4031" s="1" t="s">
        <v>20</v>
      </c>
      <c r="J4031" s="1" t="s">
        <v>18085</v>
      </c>
      <c r="K4031" s="1" t="s">
        <v>22</v>
      </c>
      <c r="L4031" s="1" t="str">
        <f>HYPERLINK("https://files.afu.se/Downloads/Transcripts/0%20-%20Government/USA%20-%20NASA/2011 07 14 - NASA - Message From REM, Crew  On the Move  Highlight Flight Day 7_V___dKNv1pM - transcript (automated).pdf","Transcript Link")</f>
        <v>Transcript Link</v>
      </c>
      <c r="M4031" s="2" t="str">
        <f>HYPERLINK("https://files.afu.se/Downloads/Transcripts/0%20-%20Government/USA%20-%20NASA/2011 07 14 - NASA - Message From REM, Crew  On the Move  Highlight Flight Day 7_V___dKNv1pM - transcript (automated).pdf","Transcript Link")</f>
        <v>Transcript Link</v>
      </c>
    </row>
    <row r="4032" ht="165" spans="1:13">
      <c r="A4032" s="1" t="s">
        <v>18081</v>
      </c>
      <c r="B4032" s="1" t="s">
        <v>13</v>
      </c>
      <c r="C4032" s="4" t="s">
        <v>18086</v>
      </c>
      <c r="D4032" s="1" t="s">
        <v>18087</v>
      </c>
      <c r="E4032" s="1" t="s">
        <v>18088</v>
      </c>
      <c r="F4032" s="4" t="s">
        <v>17</v>
      </c>
      <c r="G4032" s="1" t="s">
        <v>18</v>
      </c>
      <c r="H4032" s="1" t="s">
        <v>19</v>
      </c>
      <c r="I4032" s="1" t="s">
        <v>20</v>
      </c>
      <c r="J4032" s="1" t="s">
        <v>18089</v>
      </c>
      <c r="K4032" s="1" t="s">
        <v>22</v>
      </c>
      <c r="L4032" s="1" t="str">
        <f>HYPERLINK("https://files.afu.se/Downloads/Transcripts/0%20-%20Government/USA%20-%20NASA/2011 07 14 - NASA - ScienceCasts  Dark Fireworks_Y3QSYZA_NK4 - transcript (automated).pdf","Transcript Link")</f>
        <v>Transcript Link</v>
      </c>
      <c r="M4032" s="2" t="str">
        <f>HYPERLINK("https://files.afu.se/Downloads/Transcripts/0%20-%20Government/USA%20-%20NASA/2011 07 14 - NASA - ScienceCasts  Dark Fireworks_Y3QSYZA_NK4 - transcript (automated).pdf","Transcript Link")</f>
        <v>Transcript Link</v>
      </c>
    </row>
    <row r="4033" ht="165" spans="1:13">
      <c r="A4033" s="1" t="s">
        <v>18081</v>
      </c>
      <c r="B4033" s="1" t="s">
        <v>13</v>
      </c>
      <c r="C4033" s="4" t="s">
        <v>18090</v>
      </c>
      <c r="D4033" s="1" t="s">
        <v>18091</v>
      </c>
      <c r="E4033" s="1" t="s">
        <v>18092</v>
      </c>
      <c r="F4033" s="4" t="s">
        <v>17</v>
      </c>
      <c r="G4033" s="1" t="s">
        <v>18</v>
      </c>
      <c r="H4033" s="1" t="s">
        <v>19</v>
      </c>
      <c r="I4033" s="1" t="s">
        <v>20</v>
      </c>
      <c r="J4033" s="1" t="s">
        <v>18093</v>
      </c>
      <c r="K4033" s="1" t="s">
        <v>22</v>
      </c>
      <c r="L4033" s="1" t="str">
        <f>HYPERLINK("https://files.afu.se/Downloads/Transcripts/0%20-%20Government/USA%20-%20NASA/2011 07 14 - NASA - More Cargo Transferred to ISS from Shuttle_c7ON6zZ2pCY - transcript (automated).pdf","Transcript Link")</f>
        <v>Transcript Link</v>
      </c>
      <c r="M4033" s="2" t="str">
        <f>HYPERLINK("https://files.afu.se/Downloads/Transcripts/0%20-%20Government/USA%20-%20NASA/2011 07 14 - NASA - More Cargo Transferred to ISS from Shuttle_c7ON6zZ2pCY - transcript (automated).pdf","Transcript Link")</f>
        <v>Transcript Link</v>
      </c>
    </row>
    <row r="4034" ht="165" spans="1:13">
      <c r="A4034" s="1" t="s">
        <v>18081</v>
      </c>
      <c r="B4034" s="1" t="s">
        <v>13</v>
      </c>
      <c r="C4034" s="4" t="s">
        <v>18094</v>
      </c>
      <c r="D4034" s="1" t="s">
        <v>18095</v>
      </c>
      <c r="E4034" s="1" t="s">
        <v>18096</v>
      </c>
      <c r="F4034" s="4" t="s">
        <v>17</v>
      </c>
      <c r="G4034" s="1" t="s">
        <v>18</v>
      </c>
      <c r="H4034" s="1" t="s">
        <v>19</v>
      </c>
      <c r="I4034" s="1" t="s">
        <v>20</v>
      </c>
      <c r="J4034" s="1" t="s">
        <v>18097</v>
      </c>
      <c r="K4034" s="1" t="s">
        <v>22</v>
      </c>
      <c r="L4034" s="1" t="str">
        <f>HYPERLINK("https://files.afu.se/Downloads/Transcripts/0%20-%20Government/USA%20-%20NASA/2011 07 14 - NASA - STS-135 Daily Mission Recap - Flight Day 7_6KWknGuxUx4 - transcript (automated).pdf","Transcript Link")</f>
        <v>Transcript Link</v>
      </c>
      <c r="M4034" s="2" t="str">
        <f>HYPERLINK("https://files.afu.se/Downloads/Transcripts/0%20-%20Government/USA%20-%20NASA/2011 07 14 - NASA - STS-135 Daily Mission Recap - Flight Day 7_6KWknGuxUx4 - transcript (automated).pdf","Transcript Link")</f>
        <v>Transcript Link</v>
      </c>
    </row>
    <row r="4035" ht="165" spans="1:13">
      <c r="A4035" s="1" t="s">
        <v>18081</v>
      </c>
      <c r="B4035" s="1" t="s">
        <v>13</v>
      </c>
      <c r="C4035" s="4" t="s">
        <v>18098</v>
      </c>
      <c r="D4035" s="1" t="s">
        <v>18099</v>
      </c>
      <c r="E4035" s="1" t="s">
        <v>18100</v>
      </c>
      <c r="F4035" s="4" t="s">
        <v>17</v>
      </c>
      <c r="G4035" s="1" t="s">
        <v>18</v>
      </c>
      <c r="H4035" s="1" t="s">
        <v>19</v>
      </c>
      <c r="I4035" s="1" t="s">
        <v>20</v>
      </c>
      <c r="J4035" s="1" t="s">
        <v>18101</v>
      </c>
      <c r="K4035" s="1" t="s">
        <v>22</v>
      </c>
      <c r="L4035" s="1" t="str">
        <f>HYPERLINK("https://files.afu.se/Downloads/Transcripts/0%20-%20Government/USA%20-%20NASA/2011 07 14 - NASA - Fergie and  Friends  on Fox Radio, TV_OiXtvQEVKWI - transcript (automated).pdf","Transcript Link")</f>
        <v>Transcript Link</v>
      </c>
      <c r="M4035" s="2" t="str">
        <f>HYPERLINK("https://files.afu.se/Downloads/Transcripts/0%20-%20Government/USA%20-%20NASA/2011 07 14 - NASA - Fergie and  Friends  on Fox Radio, TV_OiXtvQEVKWI - transcript (automated).pdf","Transcript Link")</f>
        <v>Transcript Link</v>
      </c>
    </row>
    <row r="4036" ht="165" spans="1:13">
      <c r="A4036" s="1" t="s">
        <v>18081</v>
      </c>
      <c r="B4036" s="1" t="s">
        <v>13</v>
      </c>
      <c r="C4036" s="4" t="s">
        <v>18102</v>
      </c>
      <c r="D4036" s="1" t="s">
        <v>18103</v>
      </c>
      <c r="E4036" s="1" t="s">
        <v>18104</v>
      </c>
      <c r="F4036" s="4" t="s">
        <v>17</v>
      </c>
      <c r="G4036" s="1" t="s">
        <v>18</v>
      </c>
      <c r="H4036" s="1" t="s">
        <v>19</v>
      </c>
      <c r="I4036" s="1" t="s">
        <v>20</v>
      </c>
      <c r="J4036" s="1" t="s">
        <v>18105</v>
      </c>
      <c r="K4036" s="1" t="s">
        <v>22</v>
      </c>
      <c r="L4036" s="1" t="str">
        <f>HYPERLINK("https://files.afu.se/Downloads/Transcripts/0%20-%20Government/USA%20-%20NASA/2011 07 14 - NASA - Booster Camera  Video of Atlantis Launch_zxE3KBRorZI - transcript (automated).pdf","Transcript Link")</f>
        <v>Transcript Link</v>
      </c>
      <c r="M4036" s="2" t="str">
        <f>HYPERLINK("https://files.afu.se/Downloads/Transcripts/0%20-%20Government/USA%20-%20NASA/2011 07 14 - NASA - Booster Camera  Video of Atlantis Launch_zxE3KBRorZI - transcript (automated).pdf","Transcript Link")</f>
        <v>Transcript Link</v>
      </c>
    </row>
    <row r="4037" ht="165" spans="1:13">
      <c r="A4037" s="1" t="s">
        <v>18081</v>
      </c>
      <c r="B4037" s="1" t="s">
        <v>13</v>
      </c>
      <c r="C4037" s="4" t="s">
        <v>18106</v>
      </c>
      <c r="D4037" s="1" t="s">
        <v>18107</v>
      </c>
      <c r="E4037" s="1" t="s">
        <v>18108</v>
      </c>
      <c r="F4037" s="4" t="s">
        <v>17</v>
      </c>
      <c r="G4037" s="1" t="s">
        <v>18</v>
      </c>
      <c r="H4037" s="1" t="s">
        <v>19</v>
      </c>
      <c r="I4037" s="1" t="s">
        <v>20</v>
      </c>
      <c r="J4037" s="1" t="s">
        <v>18109</v>
      </c>
      <c r="K4037" s="1" t="s">
        <v>22</v>
      </c>
      <c r="L4037" s="1" t="str">
        <f>HYPERLINK("https://files.afu.se/Downloads/Transcripts/0%20-%20Government/USA%20-%20NASA/2011 07 14 - NASA - TV Reporters Talk with Shuttle Crew_S_exKI8MXOA - transcript (automated).pdf","Transcript Link")</f>
        <v>Transcript Link</v>
      </c>
      <c r="M4037" s="2" t="str">
        <f>HYPERLINK("https://files.afu.se/Downloads/Transcripts/0%20-%20Government/USA%20-%20NASA/2011 07 14 - NASA - TV Reporters Talk with Shuttle Crew_S_exKI8MXOA - transcript (automated).pdf","Transcript Link")</f>
        <v>Transcript Link</v>
      </c>
    </row>
    <row r="4038" ht="225" spans="1:13">
      <c r="A4038" s="1" t="s">
        <v>18081</v>
      </c>
      <c r="B4038" s="1" t="s">
        <v>13</v>
      </c>
      <c r="C4038" s="4" t="s">
        <v>18110</v>
      </c>
      <c r="D4038" s="1" t="s">
        <v>18111</v>
      </c>
      <c r="E4038" s="1" t="s">
        <v>18112</v>
      </c>
      <c r="F4038" s="4" t="s">
        <v>17</v>
      </c>
      <c r="G4038" s="1" t="s">
        <v>18</v>
      </c>
      <c r="H4038" s="1" t="s">
        <v>19</v>
      </c>
      <c r="I4038" s="1" t="s">
        <v>20</v>
      </c>
      <c r="J4038" s="1" t="s">
        <v>18113</v>
      </c>
      <c r="K4038" s="1" t="s">
        <v>22</v>
      </c>
      <c r="L4038" s="1" t="str">
        <f>HYPERLINK("https://files.afu.se/Downloads/Transcripts/0%20-%20Government/USA%20-%20NASA/2011 07 14 - NASA - Michael Stipe Wake-Up Song and Greeting_ALtA-kve86c - transcript (automated).pdf","Transcript Link")</f>
        <v>Transcript Link</v>
      </c>
      <c r="M4038" s="2" t="str">
        <f>HYPERLINK("https://files.afu.se/Downloads/Transcripts/0%20-%20Government/USA%20-%20NASA/2011 07 14 - NASA - Michael Stipe Wake-Up Song and Greeting_ALtA-kve86c - transcript (automated).pdf","Transcript Link")</f>
        <v>Transcript Link</v>
      </c>
    </row>
    <row r="4039" ht="270" spans="1:13">
      <c r="A4039" s="1" t="s">
        <v>18081</v>
      </c>
      <c r="B4039" s="1" t="s">
        <v>13</v>
      </c>
      <c r="C4039" s="4" t="s">
        <v>18114</v>
      </c>
      <c r="D4039" s="1" t="s">
        <v>18115</v>
      </c>
      <c r="E4039" s="1" t="s">
        <v>18116</v>
      </c>
      <c r="F4039" s="4" t="s">
        <v>17</v>
      </c>
      <c r="G4039" s="1" t="s">
        <v>18</v>
      </c>
      <c r="H4039" s="1" t="s">
        <v>19</v>
      </c>
      <c r="I4039" s="1" t="s">
        <v>20</v>
      </c>
      <c r="J4039" s="1" t="s">
        <v>18117</v>
      </c>
      <c r="K4039" s="1" t="s">
        <v>22</v>
      </c>
      <c r="L4039" s="1" t="str">
        <f>HYPERLINK("https://files.afu.se/Downloads/Transcripts/0%20-%20Government/USA%20-%20NASA/2011 07 14 - NASA - - Michael Stipe Wake-Up Song and Greeting_KqDKDD1M9Dg - transcript (automated).pdf","Transcript Link")</f>
        <v>Transcript Link</v>
      </c>
      <c r="M4039" s="2" t="str">
        <f>HYPERLINK("https://files.afu.se/Downloads/Transcripts/0%20-%20Government/USA%20-%20NASA/2011 07 14 - NASA - - Michael Stipe Wake-Up Song and Greeting_KqDKDD1M9Dg - transcript (automated).pdf","Transcript Link")</f>
        <v>Transcript Link</v>
      </c>
    </row>
    <row r="4040" ht="165" spans="1:13">
      <c r="A4040" s="1" t="s">
        <v>18081</v>
      </c>
      <c r="B4040" s="1" t="s">
        <v>13</v>
      </c>
      <c r="C4040" s="4" t="s">
        <v>18118</v>
      </c>
      <c r="D4040" s="1" t="s">
        <v>18119</v>
      </c>
      <c r="E4040" s="1" t="s">
        <v>18120</v>
      </c>
      <c r="F4040" s="4" t="s">
        <v>17</v>
      </c>
      <c r="G4040" s="1" t="s">
        <v>18</v>
      </c>
      <c r="H4040" s="1" t="s">
        <v>19</v>
      </c>
      <c r="I4040" s="1" t="s">
        <v>20</v>
      </c>
      <c r="J4040" s="1" t="s">
        <v>18121</v>
      </c>
      <c r="K4040" s="1" t="s">
        <v>22</v>
      </c>
      <c r="L4040" s="1" t="str">
        <f>HYPERLINK("https://files.afu.se/Downloads/Transcripts/0%20-%20Government/USA%20-%20NASA/2011 07 14 - NASA -  Rocket Man,  Cleanup Caps FD 6 Highlights_ADBZji-VTGU - transcript (automated).pdf","Transcript Link")</f>
        <v>Transcript Link</v>
      </c>
      <c r="M4040" s="2" t="str">
        <f>HYPERLINK("https://files.afu.se/Downloads/Transcripts/0%20-%20Government/USA%20-%20NASA/2011 07 14 - NASA -  Rocket Man,  Cleanup Caps FD 6 Highlights_ADBZji-VTGU - transcript (automated).pdf","Transcript Link")</f>
        <v>Transcript Link</v>
      </c>
    </row>
    <row r="4041" ht="165" spans="1:13">
      <c r="A4041" s="1" t="s">
        <v>18122</v>
      </c>
      <c r="B4041" s="1" t="s">
        <v>13</v>
      </c>
      <c r="C4041" s="4" t="s">
        <v>18123</v>
      </c>
      <c r="D4041" s="1" t="s">
        <v>18124</v>
      </c>
      <c r="E4041" s="1" t="s">
        <v>18125</v>
      </c>
      <c r="F4041" s="4" t="s">
        <v>17</v>
      </c>
      <c r="G4041" s="1" t="s">
        <v>18</v>
      </c>
      <c r="H4041" s="1" t="s">
        <v>19</v>
      </c>
      <c r="I4041" s="1" t="s">
        <v>20</v>
      </c>
      <c r="J4041" s="1" t="s">
        <v>18126</v>
      </c>
      <c r="K4041" s="1" t="s">
        <v>22</v>
      </c>
      <c r="L4041" s="1" t="str">
        <f>HYPERLINK("https://files.afu.se/Downloads/Transcripts/0%20-%20Government/USA%20-%20NASA/2011 07 13 - NASA - STS-135 Daily Mission Recap - Flight Day 6_krVj1FLDJB4 - transcript (automated).pdf","Transcript Link")</f>
        <v>Transcript Link</v>
      </c>
      <c r="M4041" s="2" t="str">
        <f>HYPERLINK("https://files.afu.se/Downloads/Transcripts/0%20-%20Government/USA%20-%20NASA/2011 07 13 - NASA - STS-135 Daily Mission Recap - Flight Day 6_krVj1FLDJB4 - transcript (automated).pdf","Transcript Link")</f>
        <v>Transcript Link</v>
      </c>
    </row>
    <row r="4042" ht="165" spans="1:13">
      <c r="A4042" s="1" t="s">
        <v>18122</v>
      </c>
      <c r="B4042" s="1" t="s">
        <v>13</v>
      </c>
      <c r="C4042" s="4" t="s">
        <v>18127</v>
      </c>
      <c r="D4042" s="1" t="s">
        <v>18128</v>
      </c>
      <c r="E4042" s="1" t="s">
        <v>18129</v>
      </c>
      <c r="F4042" s="4" t="s">
        <v>17</v>
      </c>
      <c r="G4042" s="1" t="s">
        <v>18</v>
      </c>
      <c r="H4042" s="1" t="s">
        <v>19</v>
      </c>
      <c r="I4042" s="1" t="s">
        <v>20</v>
      </c>
      <c r="J4042" s="1" t="s">
        <v>18130</v>
      </c>
      <c r="K4042" s="1" t="s">
        <v>22</v>
      </c>
      <c r="L4042" s="1" t="str">
        <f>HYPERLINK("https://files.afu.se/Downloads/Transcripts/0%20-%20Government/USA%20-%20NASA/2011 07 13 - NASA - Media Updated on Trash Transfers_fBzj2bHQENQ - transcript (automated).pdf","Transcript Link")</f>
        <v>Transcript Link</v>
      </c>
      <c r="M4042" s="2" t="str">
        <f>HYPERLINK("https://files.afu.se/Downloads/Transcripts/0%20-%20Government/USA%20-%20NASA/2011 07 13 - NASA - Media Updated on Trash Transfers_fBzj2bHQENQ - transcript (automated).pdf","Transcript Link")</f>
        <v>Transcript Link</v>
      </c>
    </row>
    <row r="4043" ht="165" spans="1:13">
      <c r="A4043" s="1" t="s">
        <v>18122</v>
      </c>
      <c r="B4043" s="1" t="s">
        <v>13</v>
      </c>
      <c r="C4043" s="4" t="s">
        <v>18131</v>
      </c>
      <c r="D4043" s="1" t="s">
        <v>18132</v>
      </c>
      <c r="E4043" s="1" t="s">
        <v>18133</v>
      </c>
      <c r="F4043" s="4" t="s">
        <v>17</v>
      </c>
      <c r="G4043" s="1" t="s">
        <v>18</v>
      </c>
      <c r="H4043" s="1" t="s">
        <v>19</v>
      </c>
      <c r="I4043" s="1" t="s">
        <v>20</v>
      </c>
      <c r="J4043" s="1" t="s">
        <v>18134</v>
      </c>
      <c r="K4043" s="1" t="s">
        <v>22</v>
      </c>
      <c r="L4043" s="1" t="str">
        <f>HYPERLINK("https://files.afu.se/Downloads/Transcripts/0%20-%20Government/USA%20-%20NASA/2011 07 13 - NASA - Crew Vehicle Gets Dropped!_ALaUAjtw7cg - transcript (automated).pdf","Transcript Link")</f>
        <v>Transcript Link</v>
      </c>
      <c r="M4043" s="2" t="str">
        <f>HYPERLINK("https://files.afu.se/Downloads/Transcripts/0%20-%20Government/USA%20-%20NASA/2011 07 13 - NASA - Crew Vehicle Gets Dropped!_ALaUAjtw7cg - transcript (automated).pdf","Transcript Link")</f>
        <v>Transcript Link</v>
      </c>
    </row>
    <row r="4044" ht="165" spans="1:13">
      <c r="A4044" s="1" t="s">
        <v>18122</v>
      </c>
      <c r="B4044" s="1" t="s">
        <v>13</v>
      </c>
      <c r="C4044" s="4" t="s">
        <v>18135</v>
      </c>
      <c r="D4044" s="1" t="s">
        <v>18136</v>
      </c>
      <c r="E4044" s="1" t="s">
        <v>18137</v>
      </c>
      <c r="F4044" s="4" t="s">
        <v>17</v>
      </c>
      <c r="G4044" s="1" t="s">
        <v>18</v>
      </c>
      <c r="H4044" s="1" t="s">
        <v>19</v>
      </c>
      <c r="I4044" s="1" t="s">
        <v>20</v>
      </c>
      <c r="J4044" s="1" t="s">
        <v>18138</v>
      </c>
      <c r="K4044" s="1" t="s">
        <v>22</v>
      </c>
      <c r="L4044" s="1" t="str">
        <f>HYPERLINK("https://files.afu.se/Downloads/Transcripts/0%20-%20Government/USA%20-%20NASA/2011 07 13 - NASA - Atlantis Crew Thanks Space Shuttle Workforce_nLEZQZxd3pA - transcript (automated).pdf","Transcript Link")</f>
        <v>Transcript Link</v>
      </c>
      <c r="M4044" s="2" t="str">
        <f>HYPERLINK("https://files.afu.se/Downloads/Transcripts/0%20-%20Government/USA%20-%20NASA/2011 07 13 - NASA - Atlantis Crew Thanks Space Shuttle Workforce_nLEZQZxd3pA - transcript (automated).pdf","Transcript Link")</f>
        <v>Transcript Link</v>
      </c>
    </row>
    <row r="4045" ht="165" spans="1:13">
      <c r="A4045" s="1" t="s">
        <v>18122</v>
      </c>
      <c r="B4045" s="1" t="s">
        <v>13</v>
      </c>
      <c r="C4045" s="4" t="s">
        <v>18139</v>
      </c>
      <c r="D4045" s="1" t="s">
        <v>18140</v>
      </c>
      <c r="E4045" s="1" t="s">
        <v>18141</v>
      </c>
      <c r="F4045" s="4" t="s">
        <v>17</v>
      </c>
      <c r="G4045" s="1" t="s">
        <v>18</v>
      </c>
      <c r="H4045" s="1" t="s">
        <v>19</v>
      </c>
      <c r="I4045" s="1" t="s">
        <v>20</v>
      </c>
      <c r="J4045" s="1" t="s">
        <v>18142</v>
      </c>
      <c r="K4045" s="1" t="s">
        <v>22</v>
      </c>
      <c r="L4045" s="1" t="str">
        <f>HYPERLINK("https://files.afu.se/Downloads/Transcripts/0%20-%20Government/USA%20-%20NASA/2011 07 13 - NASA - Final Shuttle Crew Interviewed by Hometown Reporters_sCE47dK7f2E - transcript (automated).pdf","Transcript Link")</f>
        <v>Transcript Link</v>
      </c>
      <c r="M4045" s="2" t="str">
        <f>HYPERLINK("https://files.afu.se/Downloads/Transcripts/0%20-%20Government/USA%20-%20NASA/2011 07 13 - NASA - Final Shuttle Crew Interviewed by Hometown Reporters_sCE47dK7f2E - transcript (automated).pdf","Transcript Link")</f>
        <v>Transcript Link</v>
      </c>
    </row>
    <row r="4046" ht="225" spans="1:13">
      <c r="A4046" s="1" t="s">
        <v>18122</v>
      </c>
      <c r="B4046" s="1" t="s">
        <v>13</v>
      </c>
      <c r="C4046" s="4" t="s">
        <v>18143</v>
      </c>
      <c r="D4046" s="1" t="s">
        <v>18144</v>
      </c>
      <c r="E4046" s="1" t="s">
        <v>18145</v>
      </c>
      <c r="F4046" s="4" t="s">
        <v>17</v>
      </c>
      <c r="G4046" s="1" t="s">
        <v>18</v>
      </c>
      <c r="H4046" s="1" t="s">
        <v>19</v>
      </c>
      <c r="I4046" s="1" t="s">
        <v>20</v>
      </c>
      <c r="J4046" s="1" t="s">
        <v>18146</v>
      </c>
      <c r="K4046" s="1" t="s">
        <v>22</v>
      </c>
      <c r="L4046" s="1" t="str">
        <f>HYPERLINK("https://files.afu.se/Downloads/Transcripts/0%20-%20Government/USA%20-%20NASA/2011 07 13 - NASA -  Rocket Man  Greets Atlantis Astronauts_3sBlQnF3cpc - transcript (automated).pdf","Transcript Link")</f>
        <v>Transcript Link</v>
      </c>
      <c r="M4046" s="2" t="str">
        <f>HYPERLINK("https://files.afu.se/Downloads/Transcripts/0%20-%20Government/USA%20-%20NASA/2011 07 13 - NASA -  Rocket Man  Greets Atlantis Astronauts_3sBlQnF3cpc - transcript (automated).pdf","Transcript Link")</f>
        <v>Transcript Link</v>
      </c>
    </row>
    <row r="4047" ht="225" spans="1:13">
      <c r="A4047" s="1" t="s">
        <v>18122</v>
      </c>
      <c r="B4047" s="1" t="s">
        <v>13</v>
      </c>
      <c r="C4047" s="4" t="s">
        <v>18147</v>
      </c>
      <c r="D4047" s="1" t="s">
        <v>18148</v>
      </c>
      <c r="E4047" s="1" t="s">
        <v>18145</v>
      </c>
      <c r="F4047" s="4" t="s">
        <v>17</v>
      </c>
      <c r="G4047" s="1" t="s">
        <v>18</v>
      </c>
      <c r="H4047" s="1" t="s">
        <v>19</v>
      </c>
      <c r="I4047" s="1" t="s">
        <v>20</v>
      </c>
      <c r="J4047" s="1" t="s">
        <v>18149</v>
      </c>
      <c r="K4047" s="1" t="s">
        <v>22</v>
      </c>
      <c r="L4047" s="1" t="str">
        <f>HYPERLINK("https://files.afu.se/Downloads/Transcripts/0%20-%20Government/USA%20-%20NASA/2011 07 13 - NASA -   Rocket Man  Greets Atlantis Astronauts_VyYUCseZ4i8 - transcript (automated).pdf","Transcript Link")</f>
        <v>Transcript Link</v>
      </c>
      <c r="M4047" s="2" t="str">
        <f>HYPERLINK("https://files.afu.se/Downloads/Transcripts/0%20-%20Government/USA%20-%20NASA/2011 07 13 - NASA -   Rocket Man  Greets Atlantis Astronauts_VyYUCseZ4i8 - transcript (automated).pdf","Transcript Link")</f>
        <v>Transcript Link</v>
      </c>
    </row>
    <row r="4048" ht="165" spans="1:13">
      <c r="A4048" s="1" t="s">
        <v>18122</v>
      </c>
      <c r="B4048" s="1" t="s">
        <v>13</v>
      </c>
      <c r="C4048" s="4" t="s">
        <v>18150</v>
      </c>
      <c r="D4048" s="1" t="s">
        <v>18151</v>
      </c>
      <c r="E4048" s="1" t="s">
        <v>18152</v>
      </c>
      <c r="F4048" s="4" t="s">
        <v>17</v>
      </c>
      <c r="G4048" s="1" t="s">
        <v>18</v>
      </c>
      <c r="H4048" s="1" t="s">
        <v>19</v>
      </c>
      <c r="I4048" s="1" t="s">
        <v>20</v>
      </c>
      <c r="J4048" s="1" t="s">
        <v>18153</v>
      </c>
      <c r="K4048" s="1" t="s">
        <v>22</v>
      </c>
      <c r="L4048" s="1" t="str">
        <f>HYPERLINK("https://files.afu.se/Downloads/Transcripts/0%20-%20Government/USA%20-%20NASA/2011 07 13 - NASA - STS-135 Daily Mission Recap - Flight Day 5_XLlBD5IaWbo - transcript (automated).pdf","Transcript Link")</f>
        <v>Transcript Link</v>
      </c>
      <c r="M4048" s="2" t="str">
        <f>HYPERLINK("https://files.afu.se/Downloads/Transcripts/0%20-%20Government/USA%20-%20NASA/2011 07 13 - NASA - STS-135 Daily Mission Recap - Flight Day 5_XLlBD5IaWbo - transcript (automated).pdf","Transcript Link")</f>
        <v>Transcript Link</v>
      </c>
    </row>
    <row r="4049" ht="165" spans="1:13">
      <c r="A4049" s="1" t="s">
        <v>18122</v>
      </c>
      <c r="B4049" s="1" t="s">
        <v>13</v>
      </c>
      <c r="C4049" s="4" t="s">
        <v>18154</v>
      </c>
      <c r="D4049" s="1" t="s">
        <v>18155</v>
      </c>
      <c r="E4049" s="1" t="s">
        <v>18152</v>
      </c>
      <c r="F4049" s="4" t="s">
        <v>17</v>
      </c>
      <c r="G4049" s="1" t="s">
        <v>18</v>
      </c>
      <c r="H4049" s="1" t="s">
        <v>19</v>
      </c>
      <c r="I4049" s="1" t="s">
        <v>20</v>
      </c>
      <c r="J4049" s="1" t="s">
        <v>18156</v>
      </c>
      <c r="K4049" s="1" t="s">
        <v>22</v>
      </c>
      <c r="L4049" s="1" t="str">
        <f>HYPERLINK("https://files.afu.se/Downloads/Transcripts/0%20-%20Government/USA%20-%20NASA/2011 07 13 - NASA - STS-135 Flight Day 5 Highlights_sIjys2D8L_A - transcript (automated).pdf","Transcript Link")</f>
        <v>Transcript Link</v>
      </c>
      <c r="M4049" s="2" t="str">
        <f>HYPERLINK("https://files.afu.se/Downloads/Transcripts/0%20-%20Government/USA%20-%20NASA/2011 07 13 - NASA - STS-135 Flight Day 5 Highlights_sIjys2D8L_A - transcript (automated).pdf","Transcript Link")</f>
        <v>Transcript Link</v>
      </c>
    </row>
    <row r="4050" ht="165" spans="1:13">
      <c r="A4050" s="1" t="s">
        <v>18157</v>
      </c>
      <c r="B4050" s="1" t="s">
        <v>13</v>
      </c>
      <c r="C4050" s="4" t="s">
        <v>18158</v>
      </c>
      <c r="D4050" s="1" t="s">
        <v>18159</v>
      </c>
      <c r="E4050" s="1" t="s">
        <v>18160</v>
      </c>
      <c r="F4050" s="4" t="s">
        <v>17</v>
      </c>
      <c r="G4050" s="1" t="s">
        <v>18</v>
      </c>
      <c r="H4050" s="1" t="s">
        <v>19</v>
      </c>
      <c r="I4050" s="1" t="s">
        <v>20</v>
      </c>
      <c r="J4050" s="1" t="s">
        <v>18161</v>
      </c>
      <c r="K4050" s="1" t="s">
        <v>22</v>
      </c>
      <c r="L4050" s="1" t="str">
        <f>HYPERLINK("https://files.afu.se/Downloads/Transcripts/0%20-%20Government/USA%20-%20NASA/2011 07 12 - NASA - STS-135 Mission Status Briefing - Flight Day 5_q3zgUWD7EZY - transcript (automated).pdf","Transcript Link")</f>
        <v>Transcript Link</v>
      </c>
      <c r="M4050" s="2" t="str">
        <f>HYPERLINK("https://files.afu.se/Downloads/Transcripts/0%20-%20Government/USA%20-%20NASA/2011 07 12 - NASA - STS-135 Mission Status Briefing - Flight Day 5_q3zgUWD7EZY - transcript (automated).pdf","Transcript Link")</f>
        <v>Transcript Link</v>
      </c>
    </row>
    <row r="4051" ht="180" spans="1:13">
      <c r="A4051" s="1" t="s">
        <v>18157</v>
      </c>
      <c r="B4051" s="1" t="s">
        <v>13</v>
      </c>
      <c r="C4051" s="4" t="s">
        <v>18162</v>
      </c>
      <c r="D4051" s="1" t="s">
        <v>18163</v>
      </c>
      <c r="E4051" s="1" t="s">
        <v>18164</v>
      </c>
      <c r="F4051" s="4" t="s">
        <v>17</v>
      </c>
      <c r="G4051" s="1" t="s">
        <v>18</v>
      </c>
      <c r="H4051" s="1" t="s">
        <v>19</v>
      </c>
      <c r="I4051" s="1" t="s">
        <v>20</v>
      </c>
      <c r="J4051" s="1" t="s">
        <v>18165</v>
      </c>
      <c r="K4051" s="1" t="s">
        <v>22</v>
      </c>
      <c r="L4051" s="1" t="str">
        <f>HYPERLINK("https://files.afu.se/Downloads/Transcripts/0%20-%20Government/USA%20-%20NASA/2011 07 12 - NASA - NASA Ships Retrieve Solid Rocket Boosters Following Final Shuttle Launch_l5cXp5ZZiZA - transcript (automated).pdf","Transcript Link")</f>
        <v>Transcript Link</v>
      </c>
      <c r="M4051" s="2" t="str">
        <f>HYPERLINK("https://files.afu.se/Downloads/Transcripts/0%20-%20Government/USA%20-%20NASA/2011 07 12 - NASA - NASA Ships Retrieve Solid Rocket Boosters Following Final Shuttle Launch_l5cXp5ZZiZA - transcript (automated).pdf","Transcript Link")</f>
        <v>Transcript Link</v>
      </c>
    </row>
    <row r="4052" ht="165" spans="1:13">
      <c r="A4052" s="1" t="s">
        <v>18157</v>
      </c>
      <c r="B4052" s="1" t="s">
        <v>13</v>
      </c>
      <c r="C4052" s="4" t="s">
        <v>18166</v>
      </c>
      <c r="D4052" s="1" t="s">
        <v>18167</v>
      </c>
      <c r="E4052" s="1" t="s">
        <v>18168</v>
      </c>
      <c r="F4052" s="4" t="s">
        <v>17</v>
      </c>
      <c r="G4052" s="1" t="s">
        <v>18</v>
      </c>
      <c r="H4052" s="1" t="s">
        <v>19</v>
      </c>
      <c r="I4052" s="1" t="s">
        <v>20</v>
      </c>
      <c r="J4052" s="1" t="s">
        <v>18169</v>
      </c>
      <c r="K4052" s="1" t="s">
        <v>22</v>
      </c>
      <c r="L4052" s="1" t="str">
        <f>HYPERLINK("https://files.afu.se/Downloads/Transcripts/0%20-%20Government/USA%20-%20NASA/2011 07 12 - NASA - Raffaelo's Installation Tops Flight Day 4_L-oMCEemI08 - transcript (automated).pdf","Transcript Link")</f>
        <v>Transcript Link</v>
      </c>
      <c r="M4052" s="2" t="str">
        <f>HYPERLINK("https://files.afu.se/Downloads/Transcripts/0%20-%20Government/USA%20-%20NASA/2011 07 12 - NASA - Raffaelo's Installation Tops Flight Day 4_L-oMCEemI08 - transcript (automated).pdf","Transcript Link")</f>
        <v>Transcript Link</v>
      </c>
    </row>
    <row r="4053" ht="165" spans="1:13">
      <c r="A4053" s="1" t="s">
        <v>18157</v>
      </c>
      <c r="B4053" s="1" t="s">
        <v>13</v>
      </c>
      <c r="C4053" s="4" t="s">
        <v>18170</v>
      </c>
      <c r="D4053" s="1" t="s">
        <v>18171</v>
      </c>
      <c r="E4053" s="1" t="s">
        <v>18172</v>
      </c>
      <c r="F4053" s="4" t="s">
        <v>17</v>
      </c>
      <c r="G4053" s="1" t="s">
        <v>18</v>
      </c>
      <c r="H4053" s="1" t="s">
        <v>19</v>
      </c>
      <c r="I4053" s="1" t="s">
        <v>20</v>
      </c>
      <c r="J4053" s="1" t="s">
        <v>18173</v>
      </c>
      <c r="K4053" s="1" t="s">
        <v>22</v>
      </c>
      <c r="L4053" s="1" t="str">
        <f>HYPERLINK("https://files.afu.se/Downloads/Transcripts/0%20-%20Government/USA%20-%20NASA/2011 07 12 - NASA - STS-135 Daily Mission Recap - Flight Day 4_iiPFT5OwDMI - transcript (automated).pdf","Transcript Link")</f>
        <v>Transcript Link</v>
      </c>
      <c r="M4053" s="2" t="str">
        <f>HYPERLINK("https://files.afu.se/Downloads/Transcripts/0%20-%20Government/USA%20-%20NASA/2011 07 12 - NASA - STS-135 Daily Mission Recap - Flight Day 4_iiPFT5OwDMI - transcript (automated).pdf","Transcript Link")</f>
        <v>Transcript Link</v>
      </c>
    </row>
    <row r="4054" ht="165" spans="1:13">
      <c r="A4054" s="1" t="s">
        <v>18174</v>
      </c>
      <c r="B4054" s="1" t="s">
        <v>13</v>
      </c>
      <c r="C4054" s="4" t="s">
        <v>18175</v>
      </c>
      <c r="D4054" s="1" t="s">
        <v>18176</v>
      </c>
      <c r="E4054" s="1" t="s">
        <v>18177</v>
      </c>
      <c r="F4054" s="4" t="s">
        <v>17</v>
      </c>
      <c r="G4054" s="1" t="s">
        <v>18</v>
      </c>
      <c r="H4054" s="1" t="s">
        <v>19</v>
      </c>
      <c r="I4054" s="1" t="s">
        <v>20</v>
      </c>
      <c r="J4054" s="1" t="s">
        <v>18178</v>
      </c>
      <c r="K4054" s="1" t="s">
        <v>22</v>
      </c>
      <c r="L4054" s="1" t="str">
        <f>HYPERLINK("https://files.afu.se/Downloads/Transcripts/0%20-%20Government/USA%20-%20NASA/2011 07 11 - NASA - STS-135 Managers Say Mission Going Well; Spacewalk Set for Tomorrow_hqYhL8agRYM - transcript (automated).pdf","Transcript Link")</f>
        <v>Transcript Link</v>
      </c>
      <c r="M4054" s="2" t="str">
        <f>HYPERLINK("https://files.afu.se/Downloads/Transcripts/0%20-%20Government/USA%20-%20NASA/2011 07 11 - NASA - STS-135 Managers Say Mission Going Well; Spacewalk Set for Tomorrow_hqYhL8agRYM - transcript (automated).pdf","Transcript Link")</f>
        <v>Transcript Link</v>
      </c>
    </row>
    <row r="4055" ht="165" spans="1:13">
      <c r="A4055" s="1" t="s">
        <v>18174</v>
      </c>
      <c r="B4055" s="1" t="s">
        <v>13</v>
      </c>
      <c r="C4055" s="4" t="s">
        <v>18179</v>
      </c>
      <c r="D4055" s="1" t="s">
        <v>18180</v>
      </c>
      <c r="E4055" s="1" t="s">
        <v>18181</v>
      </c>
      <c r="F4055" s="4" t="s">
        <v>17</v>
      </c>
      <c r="G4055" s="1" t="s">
        <v>18</v>
      </c>
      <c r="H4055" s="1" t="s">
        <v>19</v>
      </c>
      <c r="I4055" s="1" t="s">
        <v>20</v>
      </c>
      <c r="J4055" s="1" t="s">
        <v>18182</v>
      </c>
      <c r="K4055" s="1" t="s">
        <v>22</v>
      </c>
      <c r="L4055" s="1" t="str">
        <f>HYPERLINK("https://files.afu.se/Downloads/Transcripts/0%20-%20Government/USA%20-%20NASA/2011 07 11 - NASA - STS-135 Daily Mission Recap - Flight Day 3_wCHo5C5EPKM - transcript (automated).pdf","Transcript Link")</f>
        <v>Transcript Link</v>
      </c>
      <c r="M4055" s="2" t="str">
        <f>HYPERLINK("https://files.afu.se/Downloads/Transcripts/0%20-%20Government/USA%20-%20NASA/2011 07 11 - NASA - STS-135 Daily Mission Recap - Flight Day 3_wCHo5C5EPKM - transcript (automated).pdf","Transcript Link")</f>
        <v>Transcript Link</v>
      </c>
    </row>
    <row r="4056" ht="165" spans="1:13">
      <c r="A4056" s="1" t="s">
        <v>18174</v>
      </c>
      <c r="B4056" s="1" t="s">
        <v>13</v>
      </c>
      <c r="C4056" s="4" t="s">
        <v>18183</v>
      </c>
      <c r="D4056" s="1" t="s">
        <v>18184</v>
      </c>
      <c r="E4056" s="1" t="s">
        <v>18185</v>
      </c>
      <c r="F4056" s="4" t="s">
        <v>17</v>
      </c>
      <c r="G4056" s="1" t="s">
        <v>18</v>
      </c>
      <c r="H4056" s="1" t="s">
        <v>19</v>
      </c>
      <c r="I4056" s="1" t="s">
        <v>20</v>
      </c>
      <c r="J4056" s="1" t="s">
        <v>18186</v>
      </c>
      <c r="K4056" s="1" t="s">
        <v>22</v>
      </c>
      <c r="L4056" s="1" t="str">
        <f>HYPERLINK("https://files.afu.se/Downloads/Transcripts/0%20-%20Government/USA%20-%20NASA/2011 07 11 - NASA - STS-135 Daily Mission Recap - Flight Day 2_bJM3rOhfje0 - transcript (automated).pdf","Transcript Link")</f>
        <v>Transcript Link</v>
      </c>
      <c r="M4056" s="2" t="str">
        <f>HYPERLINK("https://files.afu.se/Downloads/Transcripts/0%20-%20Government/USA%20-%20NASA/2011 07 11 - NASA - STS-135 Daily Mission Recap - Flight Day 2_bJM3rOhfje0 - transcript (automated).pdf","Transcript Link")</f>
        <v>Transcript Link</v>
      </c>
    </row>
    <row r="4057" ht="165" spans="1:13">
      <c r="A4057" s="1" t="s">
        <v>18174</v>
      </c>
      <c r="B4057" s="1" t="s">
        <v>13</v>
      </c>
      <c r="C4057" s="4" t="s">
        <v>18187</v>
      </c>
      <c r="D4057" s="1" t="s">
        <v>18188</v>
      </c>
      <c r="E4057" s="1" t="s">
        <v>18189</v>
      </c>
      <c r="F4057" s="4" t="s">
        <v>17</v>
      </c>
      <c r="G4057" s="1" t="s">
        <v>18</v>
      </c>
      <c r="H4057" s="1" t="s">
        <v>19</v>
      </c>
      <c r="I4057" s="1" t="s">
        <v>20</v>
      </c>
      <c r="J4057" s="1" t="s">
        <v>18190</v>
      </c>
      <c r="K4057" s="1" t="s">
        <v>22</v>
      </c>
      <c r="L4057" s="1" t="str">
        <f>HYPERLINK("https://files.afu.se/Downloads/Transcripts/0%20-%20Government/USA%20-%20NASA/2011 07 11 - NASA - STS-135 Daily Mission Recap - Flight Day 1_fU4dAyVbgWw - transcript (automated).pdf","Transcript Link")</f>
        <v>Transcript Link</v>
      </c>
      <c r="M4057" s="2" t="str">
        <f>HYPERLINK("https://files.afu.se/Downloads/Transcripts/0%20-%20Government/USA%20-%20NASA/2011 07 11 - NASA - STS-135 Daily Mission Recap - Flight Day 1_fU4dAyVbgWw - transcript (automated).pdf","Transcript Link")</f>
        <v>Transcript Link</v>
      </c>
    </row>
    <row r="4058" ht="165" spans="1:13">
      <c r="A4058" s="1" t="s">
        <v>18174</v>
      </c>
      <c r="B4058" s="1" t="s">
        <v>13</v>
      </c>
      <c r="C4058" s="4" t="s">
        <v>18191</v>
      </c>
      <c r="D4058" s="1" t="s">
        <v>18192</v>
      </c>
      <c r="E4058" s="1" t="s">
        <v>18193</v>
      </c>
      <c r="F4058" s="4" t="s">
        <v>17</v>
      </c>
      <c r="G4058" s="1" t="s">
        <v>18</v>
      </c>
      <c r="H4058" s="1" t="s">
        <v>19</v>
      </c>
      <c r="I4058" s="1" t="s">
        <v>20</v>
      </c>
      <c r="J4058" s="1" t="s">
        <v>18194</v>
      </c>
      <c r="K4058" s="1" t="s">
        <v>22</v>
      </c>
      <c r="L4058" s="1" t="str">
        <f>HYPERLINK("https://files.afu.se/Downloads/Transcripts/0%20-%20Government/USA%20-%20NASA/2011 07 11 - NASA - NASA's Increase of Awesome to Continue_aml4u8JMn5A - transcript (automated).pdf","Transcript Link")</f>
        <v>Transcript Link</v>
      </c>
      <c r="M4058" s="2" t="str">
        <f>HYPERLINK("https://files.afu.se/Downloads/Transcripts/0%20-%20Government/USA%20-%20NASA/2011 07 11 - NASA - NASA's Increase of Awesome to Continue_aml4u8JMn5A - transcript (automated).pdf","Transcript Link")</f>
        <v>Transcript Link</v>
      </c>
    </row>
    <row r="4059" ht="165" spans="1:13">
      <c r="A4059" s="1" t="s">
        <v>18174</v>
      </c>
      <c r="B4059" s="1" t="s">
        <v>13</v>
      </c>
      <c r="C4059" s="4" t="s">
        <v>18195</v>
      </c>
      <c r="D4059" s="1" t="s">
        <v>18196</v>
      </c>
      <c r="E4059" s="1" t="s">
        <v>18197</v>
      </c>
      <c r="F4059" s="4" t="s">
        <v>17</v>
      </c>
      <c r="G4059" s="1" t="s">
        <v>18</v>
      </c>
      <c r="H4059" s="1" t="s">
        <v>19</v>
      </c>
      <c r="I4059" s="1" t="s">
        <v>20</v>
      </c>
      <c r="J4059" s="1" t="s">
        <v>18198</v>
      </c>
      <c r="K4059" s="1" t="s">
        <v>22</v>
      </c>
      <c r="L4059" s="1" t="str">
        <f>HYPERLINK("https://files.afu.se/Downloads/Transcripts/0%20-%20Government/USA%20-%20NASA/2011 07 11 - NASA - Atlantis Mission Sticking to Plan_Y53pI0Wj6KY - transcript (automated).pdf","Transcript Link")</f>
        <v>Transcript Link</v>
      </c>
      <c r="M4059" s="2" t="str">
        <f>HYPERLINK("https://files.afu.se/Downloads/Transcripts/0%20-%20Government/USA%20-%20NASA/2011 07 11 - NASA - Atlantis Mission Sticking to Plan_Y53pI0Wj6KY - transcript (automated).pdf","Transcript Link")</f>
        <v>Transcript Link</v>
      </c>
    </row>
    <row r="4060" ht="165" spans="1:13">
      <c r="A4060" s="1" t="s">
        <v>18174</v>
      </c>
      <c r="B4060" s="1" t="s">
        <v>13</v>
      </c>
      <c r="C4060" s="4" t="s">
        <v>18199</v>
      </c>
      <c r="D4060" s="1" t="s">
        <v>18200</v>
      </c>
      <c r="E4060" s="1" t="s">
        <v>18201</v>
      </c>
      <c r="F4060" s="4" t="s">
        <v>17</v>
      </c>
      <c r="G4060" s="1" t="s">
        <v>18</v>
      </c>
      <c r="H4060" s="1" t="s">
        <v>19</v>
      </c>
      <c r="I4060" s="1" t="s">
        <v>20</v>
      </c>
      <c r="J4060" s="1" t="s">
        <v>18202</v>
      </c>
      <c r="K4060" s="1" t="s">
        <v>22</v>
      </c>
      <c r="L4060" s="1" t="str">
        <f>HYPERLINK("https://files.afu.se/Downloads/Transcripts/0%20-%20Government/USA%20-%20NASA/2011 07 11 - NASA - Atlantis Docking to ISS Tops Flight Day 3 Highlights_CNpLLtW0xC0 - transcript (automated).pdf","Transcript Link")</f>
        <v>Transcript Link</v>
      </c>
      <c r="M4060" s="2" t="str">
        <f>HYPERLINK("https://files.afu.se/Downloads/Transcripts/0%20-%20Government/USA%20-%20NASA/2011 07 11 - NASA - Atlantis Docking to ISS Tops Flight Day 3 Highlights_CNpLLtW0xC0 - transcript (automated).pdf","Transcript Link")</f>
        <v>Transcript Link</v>
      </c>
    </row>
    <row r="4061" ht="165" spans="1:13">
      <c r="A4061" s="1" t="s">
        <v>18203</v>
      </c>
      <c r="B4061" s="1" t="s">
        <v>13</v>
      </c>
      <c r="C4061" s="4" t="s">
        <v>18204</v>
      </c>
      <c r="D4061" s="1" t="s">
        <v>18205</v>
      </c>
      <c r="E4061" s="1" t="s">
        <v>18206</v>
      </c>
      <c r="F4061" s="4" t="s">
        <v>17</v>
      </c>
      <c r="G4061" s="1" t="s">
        <v>18</v>
      </c>
      <c r="H4061" s="1" t="s">
        <v>19</v>
      </c>
      <c r="I4061" s="1" t="s">
        <v>20</v>
      </c>
      <c r="J4061" s="1" t="s">
        <v>18207</v>
      </c>
      <c r="K4061" s="1" t="s">
        <v>22</v>
      </c>
      <c r="L4061" s="1" t="str">
        <f>HYPERLINK("https://files.afu.se/Downloads/Transcripts/0%20-%20Government/USA%20-%20NASA/2011 07 10 - NASA - STS-135 Post MMT Briefing - Flight Day 3_vujmgfuL3Wk - transcript (automated).pdf","Transcript Link")</f>
        <v>Transcript Link</v>
      </c>
      <c r="M4061" s="2" t="str">
        <f>HYPERLINK("https://files.afu.se/Downloads/Transcripts/0%20-%20Government/USA%20-%20NASA/2011 07 10 - NASA - STS-135 Post MMT Briefing - Flight Day 3_vujmgfuL3Wk - transcript (automated).pdf","Transcript Link")</f>
        <v>Transcript Link</v>
      </c>
    </row>
    <row r="4062" ht="165" spans="1:13">
      <c r="A4062" s="1" t="s">
        <v>18203</v>
      </c>
      <c r="B4062" s="1" t="s">
        <v>13</v>
      </c>
      <c r="C4062" s="4" t="s">
        <v>18208</v>
      </c>
      <c r="D4062" s="1" t="s">
        <v>18209</v>
      </c>
      <c r="E4062" s="1" t="s">
        <v>18210</v>
      </c>
      <c r="F4062" s="4" t="s">
        <v>17</v>
      </c>
      <c r="G4062" s="1" t="s">
        <v>18</v>
      </c>
      <c r="H4062" s="1" t="s">
        <v>19</v>
      </c>
      <c r="I4062" s="1" t="s">
        <v>20</v>
      </c>
      <c r="J4062" s="1" t="s">
        <v>18211</v>
      </c>
      <c r="K4062" s="1" t="s">
        <v>22</v>
      </c>
      <c r="L4062" s="1" t="str">
        <f>HYPERLINK("https://files.afu.se/Downloads/Transcripts/0%20-%20Government/USA%20-%20NASA/2011 07 10 - NASA - STS-135 Mission Status Briefing - Flight Day 3_VEERQzt-9l8 - transcript (automated).pdf","Transcript Link")</f>
        <v>Transcript Link</v>
      </c>
      <c r="M4062" s="2" t="str">
        <f>HYPERLINK("https://files.afu.se/Downloads/Transcripts/0%20-%20Government/USA%20-%20NASA/2011 07 10 - NASA - STS-135 Mission Status Briefing - Flight Day 3_VEERQzt-9l8 - transcript (automated).pdf","Transcript Link")</f>
        <v>Transcript Link</v>
      </c>
    </row>
    <row r="4063" ht="165" spans="1:13">
      <c r="A4063" s="1" t="s">
        <v>18203</v>
      </c>
      <c r="B4063" s="1" t="s">
        <v>13</v>
      </c>
      <c r="C4063" s="4" t="s">
        <v>18212</v>
      </c>
      <c r="D4063" s="1" t="s">
        <v>18213</v>
      </c>
      <c r="E4063" s="1" t="s">
        <v>18214</v>
      </c>
      <c r="F4063" s="4" t="s">
        <v>17</v>
      </c>
      <c r="G4063" s="1" t="s">
        <v>18</v>
      </c>
      <c r="H4063" s="1" t="s">
        <v>19</v>
      </c>
      <c r="I4063" s="1" t="s">
        <v>20</v>
      </c>
      <c r="J4063" s="1" t="s">
        <v>18215</v>
      </c>
      <c r="K4063" s="1" t="s">
        <v>22</v>
      </c>
      <c r="L4063" s="1" t="str">
        <f>HYPERLINK("https://files.afu.se/Downloads/Transcripts/0%20-%20Government/USA%20-%20NASA/2011 07 10 - NASA - Expedition 28 Greets the Crew of Space Shuttle Atlantis_SAj12ESML_0 - transcript (automated).pdf","Transcript Link")</f>
        <v>Transcript Link</v>
      </c>
      <c r="M4063" s="2" t="str">
        <f>HYPERLINK("https://files.afu.se/Downloads/Transcripts/0%20-%20Government/USA%20-%20NASA/2011 07 10 - NASA - Expedition 28 Greets the Crew of Space Shuttle Atlantis_SAj12ESML_0 - transcript (automated).pdf","Transcript Link")</f>
        <v>Transcript Link</v>
      </c>
    </row>
    <row r="4064" ht="165" spans="1:13">
      <c r="A4064" s="1" t="s">
        <v>18203</v>
      </c>
      <c r="B4064" s="1" t="s">
        <v>13</v>
      </c>
      <c r="C4064" s="4" t="s">
        <v>18216</v>
      </c>
      <c r="D4064" s="1" t="s">
        <v>18217</v>
      </c>
      <c r="E4064" s="1" t="s">
        <v>18218</v>
      </c>
      <c r="F4064" s="4" t="s">
        <v>17</v>
      </c>
      <c r="G4064" s="1" t="s">
        <v>18</v>
      </c>
      <c r="H4064" s="1" t="s">
        <v>19</v>
      </c>
      <c r="I4064" s="1" t="s">
        <v>20</v>
      </c>
      <c r="J4064" s="1" t="s">
        <v>18219</v>
      </c>
      <c r="K4064" s="1" t="s">
        <v>22</v>
      </c>
      <c r="L4064" s="1" t="str">
        <f>HYPERLINK("https://files.afu.se/Downloads/Transcripts/0%20-%20Government/USA%20-%20NASA/2011 07 10 - NASA - Space Shuttle Atlantis docks to the International Space Station_YUnQCs77PoY - transcript (automated).pdf","Transcript Link")</f>
        <v>Transcript Link</v>
      </c>
      <c r="M4064" s="2" t="str">
        <f>HYPERLINK("https://files.afu.se/Downloads/Transcripts/0%20-%20Government/USA%20-%20NASA/2011 07 10 - NASA - Space Shuttle Atlantis docks to the International Space Station_YUnQCs77PoY - transcript (automated).pdf","Transcript Link")</f>
        <v>Transcript Link</v>
      </c>
    </row>
    <row r="4065" ht="165" spans="1:13">
      <c r="A4065" s="1" t="s">
        <v>18203</v>
      </c>
      <c r="B4065" s="1" t="s">
        <v>13</v>
      </c>
      <c r="C4065" s="4" t="s">
        <v>18220</v>
      </c>
      <c r="D4065" s="1" t="s">
        <v>18221</v>
      </c>
      <c r="E4065" s="1" t="s">
        <v>18222</v>
      </c>
      <c r="F4065" s="4" t="s">
        <v>17</v>
      </c>
      <c r="G4065" s="1" t="s">
        <v>18</v>
      </c>
      <c r="H4065" s="1" t="s">
        <v>19</v>
      </c>
      <c r="I4065" s="1" t="s">
        <v>20</v>
      </c>
      <c r="J4065" s="1" t="s">
        <v>18223</v>
      </c>
      <c r="K4065" s="1" t="s">
        <v>22</v>
      </c>
      <c r="L4065" s="1" t="str">
        <f>HYPERLINK("https://files.afu.se/Downloads/Transcripts/0%20-%20Government/USA%20-%20NASA/2011 07 10 - NASA - Atlantis Performs RBAR Pitch Maneuver_ZYb0p991x1Y - transcript (automated).pdf","Transcript Link")</f>
        <v>Transcript Link</v>
      </c>
      <c r="M4065" s="2" t="str">
        <f>HYPERLINK("https://files.afu.se/Downloads/Transcripts/0%20-%20Government/USA%20-%20NASA/2011 07 10 - NASA - Atlantis Performs RBAR Pitch Maneuver_ZYb0p991x1Y - transcript (automated).pdf","Transcript Link")</f>
        <v>Transcript Link</v>
      </c>
    </row>
    <row r="4066" ht="165" spans="1:13">
      <c r="A4066" s="1" t="s">
        <v>18203</v>
      </c>
      <c r="B4066" s="1" t="s">
        <v>13</v>
      </c>
      <c r="C4066" s="4" t="s">
        <v>18224</v>
      </c>
      <c r="D4066" s="1" t="s">
        <v>18225</v>
      </c>
      <c r="E4066" s="1" t="s">
        <v>18226</v>
      </c>
      <c r="F4066" s="4" t="s">
        <v>17</v>
      </c>
      <c r="G4066" s="1" t="s">
        <v>18</v>
      </c>
      <c r="H4066" s="1" t="s">
        <v>19</v>
      </c>
      <c r="I4066" s="1" t="s">
        <v>20</v>
      </c>
      <c r="J4066" s="1" t="s">
        <v>18227</v>
      </c>
      <c r="K4066" s="1" t="s">
        <v>22</v>
      </c>
      <c r="L4066" s="1" t="str">
        <f>HYPERLINK("https://files.afu.se/Downloads/Transcripts/0%20-%20Government/USA%20-%20NASA/2011 07 10 - NASA - STS-135 Flight Day 2 Highlights_gooXoVf_llw - transcript (automated).pdf","Transcript Link")</f>
        <v>Transcript Link</v>
      </c>
      <c r="M4066" s="2" t="str">
        <f>HYPERLINK("https://files.afu.se/Downloads/Transcripts/0%20-%20Government/USA%20-%20NASA/2011 07 10 - NASA - STS-135 Flight Day 2 Highlights_gooXoVf_llw - transcript (automated).pdf","Transcript Link")</f>
        <v>Transcript Link</v>
      </c>
    </row>
    <row r="4067" ht="165" spans="1:13">
      <c r="A4067" s="1" t="s">
        <v>18228</v>
      </c>
      <c r="B4067" s="1" t="s">
        <v>13</v>
      </c>
      <c r="C4067" s="4" t="s">
        <v>18229</v>
      </c>
      <c r="D4067" s="1" t="s">
        <v>18230</v>
      </c>
      <c r="E4067" s="1" t="s">
        <v>18231</v>
      </c>
      <c r="F4067" s="4" t="s">
        <v>17</v>
      </c>
      <c r="G4067" s="1" t="s">
        <v>18</v>
      </c>
      <c r="H4067" s="1" t="s">
        <v>19</v>
      </c>
      <c r="I4067" s="1" t="s">
        <v>20</v>
      </c>
      <c r="J4067" s="1" t="s">
        <v>18232</v>
      </c>
      <c r="K4067" s="1" t="s">
        <v>22</v>
      </c>
      <c r="L4067" s="1" t="str">
        <f>HYPERLINK("https://files.afu.se/Downloads/Transcripts/0%20-%20Government/USA%20-%20NASA/2011 07 09 - NASA - Final Flight of the Shuttle Program Tops Flight Day 1 Highlights_EbU7dFoCoyU - transcript (automated).pdf","Transcript Link")</f>
        <v>Transcript Link</v>
      </c>
      <c r="M4067" s="2" t="str">
        <f>HYPERLINK("https://files.afu.se/Downloads/Transcripts/0%20-%20Government/USA%20-%20NASA/2011 07 09 - NASA - Final Flight of the Shuttle Program Tops Flight Day 1 Highlights_EbU7dFoCoyU - transcript (automated).pdf","Transcript Link")</f>
        <v>Transcript Link</v>
      </c>
    </row>
    <row r="4068" ht="165" spans="1:13">
      <c r="A4068" s="1" t="s">
        <v>18228</v>
      </c>
      <c r="B4068" s="1" t="s">
        <v>13</v>
      </c>
      <c r="C4068" s="4" t="s">
        <v>18233</v>
      </c>
      <c r="D4068" s="1" t="s">
        <v>18234</v>
      </c>
      <c r="E4068" s="1" t="s">
        <v>18235</v>
      </c>
      <c r="F4068" s="4" t="s">
        <v>17</v>
      </c>
      <c r="G4068" s="1" t="s">
        <v>18</v>
      </c>
      <c r="H4068" s="1" t="s">
        <v>19</v>
      </c>
      <c r="I4068" s="1" t="s">
        <v>20</v>
      </c>
      <c r="J4068" s="1" t="s">
        <v>18236</v>
      </c>
      <c r="K4068" s="1" t="s">
        <v>22</v>
      </c>
      <c r="L4068" s="1" t="str">
        <f>HYPERLINK("https://files.afu.se/Downloads/Transcripts/0%20-%20Government/USA%20-%20NASA/2011 07 09 - NASA - Post MMT Briefing - Flight Day 2_AX_muSpK8dU - transcript (automated).pdf","Transcript Link")</f>
        <v>Transcript Link</v>
      </c>
      <c r="M4068" s="2" t="str">
        <f>HYPERLINK("https://files.afu.se/Downloads/Transcripts/0%20-%20Government/USA%20-%20NASA/2011 07 09 - NASA - Post MMT Briefing - Flight Day 2_AX_muSpK8dU - transcript (automated).pdf","Transcript Link")</f>
        <v>Transcript Link</v>
      </c>
    </row>
    <row r="4069" ht="165" spans="1:13">
      <c r="A4069" s="1" t="s">
        <v>18228</v>
      </c>
      <c r="B4069" s="1" t="s">
        <v>13</v>
      </c>
      <c r="C4069" s="4" t="s">
        <v>18237</v>
      </c>
      <c r="D4069" s="1" t="s">
        <v>18238</v>
      </c>
      <c r="E4069" s="1" t="s">
        <v>18239</v>
      </c>
      <c r="F4069" s="4" t="s">
        <v>17</v>
      </c>
      <c r="G4069" s="1" t="s">
        <v>18</v>
      </c>
      <c r="H4069" s="1" t="s">
        <v>19</v>
      </c>
      <c r="I4069" s="1" t="s">
        <v>20</v>
      </c>
      <c r="J4069" s="1" t="s">
        <v>18240</v>
      </c>
      <c r="K4069" s="1" t="s">
        <v>22</v>
      </c>
      <c r="L4069" s="1" t="str">
        <f>HYPERLINK("https://files.afu.se/Downloads/Transcripts/0%20-%20Government/USA%20-%20NASA/2011 07 09 - NASA - STS-135 Mission Status Briefing - Flight Day 2_Mz8jPvhUjy0 - transcript (automated).pdf","Transcript Link")</f>
        <v>Transcript Link</v>
      </c>
      <c r="M4069" s="2" t="str">
        <f>HYPERLINK("https://files.afu.se/Downloads/Transcripts/0%20-%20Government/USA%20-%20NASA/2011 07 09 - NASA - STS-135 Mission Status Briefing - Flight Day 2_Mz8jPvhUjy0 - transcript (automated).pdf","Transcript Link")</f>
        <v>Transcript Link</v>
      </c>
    </row>
    <row r="4070" ht="195" spans="1:13">
      <c r="A4070" s="1" t="s">
        <v>18241</v>
      </c>
      <c r="B4070" s="1" t="s">
        <v>13</v>
      </c>
      <c r="C4070" s="4" t="s">
        <v>18242</v>
      </c>
      <c r="D4070" s="1" t="s">
        <v>18243</v>
      </c>
      <c r="E4070" s="1" t="s">
        <v>18244</v>
      </c>
      <c r="F4070" s="4" t="s">
        <v>17</v>
      </c>
      <c r="G4070" s="1" t="s">
        <v>18</v>
      </c>
      <c r="H4070" s="1" t="s">
        <v>19</v>
      </c>
      <c r="I4070" s="1" t="s">
        <v>20</v>
      </c>
      <c r="J4070" s="1" t="s">
        <v>18245</v>
      </c>
      <c r="K4070" s="1" t="s">
        <v>22</v>
      </c>
      <c r="L4070" s="1" t="str">
        <f>HYPERLINK("https://files.afu.se/Downloads/Transcripts/0%20-%20Government/USA%20-%20NASA/2011 07 08 - NASA - Atlantis launches for ISS on This Week@NASA_-eznixDTqCc - transcript (automated).pdf","Transcript Link")</f>
        <v>Transcript Link</v>
      </c>
      <c r="M4070" s="2" t="str">
        <f>HYPERLINK("https://files.afu.se/Downloads/Transcripts/0%20-%20Government/USA%20-%20NASA/2011 07 08 - NASA - Atlantis launches for ISS on This Week@NASA_-eznixDTqCc - transcript (automated).pdf","Transcript Link")</f>
        <v>Transcript Link</v>
      </c>
    </row>
    <row r="4071" ht="165" spans="1:13">
      <c r="A4071" s="1" t="s">
        <v>18241</v>
      </c>
      <c r="B4071" s="1" t="s">
        <v>13</v>
      </c>
      <c r="C4071" s="4" t="s">
        <v>18246</v>
      </c>
      <c r="D4071" s="1" t="s">
        <v>18247</v>
      </c>
      <c r="E4071" s="1" t="s">
        <v>18248</v>
      </c>
      <c r="F4071" s="4" t="s">
        <v>17</v>
      </c>
      <c r="G4071" s="1" t="s">
        <v>18</v>
      </c>
      <c r="H4071" s="1" t="s">
        <v>19</v>
      </c>
      <c r="I4071" s="1" t="s">
        <v>20</v>
      </c>
      <c r="J4071" s="1" t="s">
        <v>18249</v>
      </c>
      <c r="K4071" s="1" t="s">
        <v>22</v>
      </c>
      <c r="L4071" s="1" t="str">
        <f>HYPERLINK("https://files.afu.se/Downloads/Transcripts/0%20-%20Government/USA%20-%20NASA/2011 07 08 - NASA - STS-135 Atlantis Post-Launch News Conference_eGxJwX4HOXY - transcript (automated).pdf","Transcript Link")</f>
        <v>Transcript Link</v>
      </c>
      <c r="M4071" s="2" t="str">
        <f>HYPERLINK("https://files.afu.se/Downloads/Transcripts/0%20-%20Government/USA%20-%20NASA/2011 07 08 - NASA - STS-135 Atlantis Post-Launch News Conference_eGxJwX4HOXY - transcript (automated).pdf","Transcript Link")</f>
        <v>Transcript Link</v>
      </c>
    </row>
    <row r="4072" ht="180" spans="1:13">
      <c r="A4072" s="1" t="s">
        <v>18241</v>
      </c>
      <c r="B4072" s="1" t="s">
        <v>13</v>
      </c>
      <c r="C4072" s="4" t="s">
        <v>18250</v>
      </c>
      <c r="D4072" s="1" t="s">
        <v>18251</v>
      </c>
      <c r="E4072" s="1" t="s">
        <v>18252</v>
      </c>
      <c r="F4072" s="4" t="s">
        <v>17</v>
      </c>
      <c r="G4072" s="1" t="s">
        <v>18</v>
      </c>
      <c r="H4072" s="1" t="s">
        <v>19</v>
      </c>
      <c r="I4072" s="1" t="s">
        <v>20</v>
      </c>
      <c r="J4072" s="1" t="s">
        <v>18253</v>
      </c>
      <c r="K4072" s="1" t="s">
        <v>22</v>
      </c>
      <c r="L4072" s="1" t="str">
        <f>HYPERLINK("https://files.afu.se/Downloads/Transcripts/0%20-%20Government/USA%20-%20NASA/2011 07 08 - NASA - STS-135  Final Launch of the Space Shuttle Program_3deA3BXAnHs - transcript (automated).pdf","Transcript Link")</f>
        <v>Transcript Link</v>
      </c>
      <c r="M4072" s="2" t="str">
        <f>HYPERLINK("https://files.afu.se/Downloads/Transcripts/0%20-%20Government/USA%20-%20NASA/2011 07 08 - NASA - STS-135  Final Launch of the Space Shuttle Program_3deA3BXAnHs - transcript (automated).pdf","Transcript Link")</f>
        <v>Transcript Link</v>
      </c>
    </row>
    <row r="4073" ht="165" spans="1:13">
      <c r="A4073" s="1" t="s">
        <v>18241</v>
      </c>
      <c r="B4073" s="1" t="s">
        <v>13</v>
      </c>
      <c r="C4073" s="4" t="s">
        <v>18254</v>
      </c>
      <c r="D4073" s="1" t="s">
        <v>18255</v>
      </c>
      <c r="E4073" s="1" t="s">
        <v>18256</v>
      </c>
      <c r="F4073" s="4" t="s">
        <v>17</v>
      </c>
      <c r="G4073" s="1" t="s">
        <v>18</v>
      </c>
      <c r="H4073" s="1" t="s">
        <v>19</v>
      </c>
      <c r="I4073" s="1" t="s">
        <v>20</v>
      </c>
      <c r="J4073" s="1" t="s">
        <v>18257</v>
      </c>
      <c r="K4073" s="1" t="s">
        <v>22</v>
      </c>
      <c r="L4073" s="1" t="str">
        <f>HYPERLINK("https://files.afu.se/Downloads/Transcripts/0%20-%20Government/USA%20-%20NASA/2011 07 08 - NASA - The Journey Continues for NASA's Human Space Exploration_1cFdhyVtNUw - transcript (automated).pdf","Transcript Link")</f>
        <v>Transcript Link</v>
      </c>
      <c r="M4073" s="2" t="str">
        <f>HYPERLINK("https://files.afu.se/Downloads/Transcripts/0%20-%20Government/USA%20-%20NASA/2011 07 08 - NASA - The Journey Continues for NASA's Human Space Exploration_1cFdhyVtNUw - transcript (automated).pdf","Transcript Link")</f>
        <v>Transcript Link</v>
      </c>
    </row>
    <row r="4074" ht="165" spans="1:13">
      <c r="A4074" s="1" t="s">
        <v>18241</v>
      </c>
      <c r="B4074" s="1" t="s">
        <v>13</v>
      </c>
      <c r="C4074" s="4" t="s">
        <v>18258</v>
      </c>
      <c r="D4074" s="1" t="s">
        <v>18259</v>
      </c>
      <c r="E4074" s="1" t="s">
        <v>18260</v>
      </c>
      <c r="F4074" s="4" t="s">
        <v>17</v>
      </c>
      <c r="G4074" s="1" t="s">
        <v>18</v>
      </c>
      <c r="H4074" s="1" t="s">
        <v>19</v>
      </c>
      <c r="I4074" s="1" t="s">
        <v>20</v>
      </c>
      <c r="J4074" s="1" t="s">
        <v>18261</v>
      </c>
      <c r="K4074" s="1" t="s">
        <v>22</v>
      </c>
      <c r="L4074" s="1" t="str">
        <f>HYPERLINK("https://files.afu.se/Downloads/Transcripts/0%20-%20Government/USA%20-%20NASA/2011 07 08 - NASA - What's Next for NASA Spaceflight_V-wXjYid4_8 - transcript (automated).pdf","Transcript Link")</f>
        <v>Transcript Link</v>
      </c>
      <c r="M4074" s="2" t="str">
        <f>HYPERLINK("https://files.afu.se/Downloads/Transcripts/0%20-%20Government/USA%20-%20NASA/2011 07 08 - NASA - What's Next for NASA Spaceflight_V-wXjYid4_8 - transcript (automated).pdf","Transcript Link")</f>
        <v>Transcript Link</v>
      </c>
    </row>
    <row r="4075" ht="165" spans="1:13">
      <c r="A4075" s="1" t="s">
        <v>18262</v>
      </c>
      <c r="B4075" s="1" t="s">
        <v>13</v>
      </c>
      <c r="C4075" s="4" t="s">
        <v>18263</v>
      </c>
      <c r="D4075" s="1" t="s">
        <v>18264</v>
      </c>
      <c r="E4075" s="1" t="s">
        <v>18265</v>
      </c>
      <c r="F4075" s="4" t="s">
        <v>17</v>
      </c>
      <c r="G4075" s="1" t="s">
        <v>18</v>
      </c>
      <c r="H4075" s="1" t="s">
        <v>19</v>
      </c>
      <c r="I4075" s="1" t="s">
        <v>20</v>
      </c>
      <c r="J4075" s="1" t="s">
        <v>18266</v>
      </c>
      <c r="K4075" s="1" t="s">
        <v>22</v>
      </c>
      <c r="L4075" s="1" t="str">
        <f>HYPERLINK("https://files.afu.se/Downloads/Transcripts/0%20-%20Government/USA%20-%20NASA/2011 07 07 - NASA - ScienceCasts  An Astronomer's Dilemma_PDlnNrl64S8 - transcript (automated).pdf","Transcript Link")</f>
        <v>Transcript Link</v>
      </c>
      <c r="M4075" s="2" t="str">
        <f>HYPERLINK("https://files.afu.se/Downloads/Transcripts/0%20-%20Government/USA%20-%20NASA/2011 07 07 - NASA - ScienceCasts  An Astronomer's Dilemma_PDlnNrl64S8 - transcript (automated).pdf","Transcript Link")</f>
        <v>Transcript Link</v>
      </c>
    </row>
    <row r="4076" ht="165" spans="1:13">
      <c r="A4076" s="1" t="s">
        <v>18262</v>
      </c>
      <c r="B4076" s="1" t="s">
        <v>13</v>
      </c>
      <c r="C4076" s="4" t="s">
        <v>18267</v>
      </c>
      <c r="D4076" s="1" t="s">
        <v>18268</v>
      </c>
      <c r="E4076" s="1" t="s">
        <v>18269</v>
      </c>
      <c r="F4076" s="4" t="s">
        <v>17</v>
      </c>
      <c r="G4076" s="1" t="s">
        <v>18</v>
      </c>
      <c r="H4076" s="1" t="s">
        <v>19</v>
      </c>
      <c r="I4076" s="1" t="s">
        <v>20</v>
      </c>
      <c r="J4076" s="1" t="s">
        <v>18270</v>
      </c>
      <c r="K4076" s="1" t="s">
        <v>22</v>
      </c>
      <c r="L4076" s="1" t="str">
        <f>HYPERLINK("https://files.afu.se/Downloads/Transcripts/0%20-%20Government/USA%20-%20NASA/2011 07 07 - NASA - The STS-135 Countdown Status Briefing_knRwq9DRHbw - transcript (automated).pdf","Transcript Link")</f>
        <v>Transcript Link</v>
      </c>
      <c r="M4076" s="2" t="str">
        <f>HYPERLINK("https://files.afu.se/Downloads/Transcripts/0%20-%20Government/USA%20-%20NASA/2011 07 07 - NASA - The STS-135 Countdown Status Briefing_knRwq9DRHbw - transcript (automated).pdf","Transcript Link")</f>
        <v>Transcript Link</v>
      </c>
    </row>
    <row r="4077" ht="165" spans="1:13">
      <c r="A4077" s="1" t="s">
        <v>18262</v>
      </c>
      <c r="B4077" s="1" t="s">
        <v>13</v>
      </c>
      <c r="C4077" s="4" t="s">
        <v>18271</v>
      </c>
      <c r="D4077" s="1" t="s">
        <v>18272</v>
      </c>
      <c r="E4077" s="1" t="s">
        <v>18273</v>
      </c>
      <c r="F4077" s="4" t="s">
        <v>17</v>
      </c>
      <c r="G4077" s="1" t="s">
        <v>18</v>
      </c>
      <c r="H4077" s="1" t="s">
        <v>19</v>
      </c>
      <c r="I4077" s="1" t="s">
        <v>20</v>
      </c>
      <c r="J4077" s="1" t="s">
        <v>18274</v>
      </c>
      <c r="K4077" s="1" t="s">
        <v>22</v>
      </c>
      <c r="L4077" s="1" t="str">
        <f>HYPERLINK("https://files.afu.se/Downloads/Transcripts/0%20-%20Government/USA%20-%20NASA/2011 07 07 - NASA - Orion Multi-Purpose Crew Vehicle Demonstration_0KDyezVYPBY - transcript (automated).pdf","Transcript Link")</f>
        <v>Transcript Link</v>
      </c>
      <c r="M4077" s="2" t="str">
        <f>HYPERLINK("https://files.afu.se/Downloads/Transcripts/0%20-%20Government/USA%20-%20NASA/2011 07 07 - NASA - Orion Multi-Purpose Crew Vehicle Demonstration_0KDyezVYPBY - transcript (automated).pdf","Transcript Link")</f>
        <v>Transcript Link</v>
      </c>
    </row>
    <row r="4078" ht="165" spans="1:13">
      <c r="A4078" s="1" t="s">
        <v>18275</v>
      </c>
      <c r="B4078" s="1" t="s">
        <v>13</v>
      </c>
      <c r="C4078" s="4" t="s">
        <v>18276</v>
      </c>
      <c r="D4078" s="1" t="s">
        <v>18277</v>
      </c>
      <c r="E4078" s="1" t="s">
        <v>18278</v>
      </c>
      <c r="F4078" s="4" t="s">
        <v>17</v>
      </c>
      <c r="G4078" s="1" t="s">
        <v>18</v>
      </c>
      <c r="H4078" s="1" t="s">
        <v>19</v>
      </c>
      <c r="I4078" s="1" t="s">
        <v>20</v>
      </c>
      <c r="J4078" s="1" t="s">
        <v>18279</v>
      </c>
      <c r="K4078" s="1" t="s">
        <v>22</v>
      </c>
      <c r="L4078" s="1" t="str">
        <f>HYPERLINK("https://files.afu.se/Downloads/Transcripts/0%20-%20Government/USA%20-%20NASA/2011 07 06 - NASA - ISS Continues as Orbiting Lab_R69tCTKMP6g - transcript (automated).pdf","Transcript Link")</f>
        <v>Transcript Link</v>
      </c>
      <c r="M4078" s="2" t="str">
        <f>HYPERLINK("https://files.afu.se/Downloads/Transcripts/0%20-%20Government/USA%20-%20NASA/2011 07 06 - NASA - ISS Continues as Orbiting Lab_R69tCTKMP6g - transcript (automated).pdf","Transcript Link")</f>
        <v>Transcript Link</v>
      </c>
    </row>
    <row r="4079" ht="165" spans="1:13">
      <c r="A4079" s="1" t="s">
        <v>18275</v>
      </c>
      <c r="B4079" s="1" t="s">
        <v>13</v>
      </c>
      <c r="C4079" s="4" t="s">
        <v>18280</v>
      </c>
      <c r="D4079" s="1" t="s">
        <v>18281</v>
      </c>
      <c r="E4079" s="1" t="s">
        <v>18282</v>
      </c>
      <c r="F4079" s="4" t="s">
        <v>17</v>
      </c>
      <c r="G4079" s="1" t="s">
        <v>18</v>
      </c>
      <c r="H4079" s="1" t="s">
        <v>19</v>
      </c>
      <c r="I4079" s="1" t="s">
        <v>20</v>
      </c>
      <c r="J4079" s="1" t="s">
        <v>18283</v>
      </c>
      <c r="K4079" s="1" t="s">
        <v>22</v>
      </c>
      <c r="L4079" s="1" t="str">
        <f>HYPERLINK("https://files.afu.se/Downloads/Transcripts/0%20-%20Government/USA%20-%20NASA/2011 07 06 - NASA - Refueling Satellites Subject of STS-135 Experiment_ejk5GL3nE5I - transcript (automated).pdf","Transcript Link")</f>
        <v>Transcript Link</v>
      </c>
      <c r="M4079" s="2" t="str">
        <f>HYPERLINK("https://files.afu.se/Downloads/Transcripts/0%20-%20Government/USA%20-%20NASA/2011 07 06 - NASA - Refueling Satellites Subject of STS-135 Experiment_ejk5GL3nE5I - transcript (automated).pdf","Transcript Link")</f>
        <v>Transcript Link</v>
      </c>
    </row>
    <row r="4080" ht="165" spans="1:13">
      <c r="A4080" s="1" t="s">
        <v>18275</v>
      </c>
      <c r="B4080" s="1" t="s">
        <v>13</v>
      </c>
      <c r="C4080" s="4" t="s">
        <v>18284</v>
      </c>
      <c r="D4080" s="1" t="s">
        <v>18285</v>
      </c>
      <c r="E4080" s="1" t="s">
        <v>18286</v>
      </c>
      <c r="F4080" s="4" t="s">
        <v>17</v>
      </c>
      <c r="G4080" s="1" t="s">
        <v>18</v>
      </c>
      <c r="H4080" s="1" t="s">
        <v>19</v>
      </c>
      <c r="I4080" s="1" t="s">
        <v>20</v>
      </c>
      <c r="J4080" s="1" t="s">
        <v>18287</v>
      </c>
      <c r="K4080" s="1" t="s">
        <v>22</v>
      </c>
      <c r="L4080" s="1" t="str">
        <f>HYPERLINK("https://files.afu.se/Downloads/Transcripts/0%20-%20Government/USA%20-%20NASA/2011 07 06 - NASA - All Systems  Go  for Atlantis Launch_s6twVLxek2g - transcript (automated).pdf","Transcript Link")</f>
        <v>Transcript Link</v>
      </c>
      <c r="M4080" s="2" t="str">
        <f>HYPERLINK("https://files.afu.se/Downloads/Transcripts/0%20-%20Government/USA%20-%20NASA/2011 07 06 - NASA - All Systems  Go  for Atlantis Launch_s6twVLxek2g - transcript (automated).pdf","Transcript Link")</f>
        <v>Transcript Link</v>
      </c>
    </row>
    <row r="4081" ht="165" spans="1:13">
      <c r="A4081" s="1" t="s">
        <v>18275</v>
      </c>
      <c r="B4081" s="1" t="s">
        <v>13</v>
      </c>
      <c r="C4081" s="4" t="s">
        <v>18288</v>
      </c>
      <c r="D4081" s="1" t="s">
        <v>18289</v>
      </c>
      <c r="E4081" s="1" t="s">
        <v>18290</v>
      </c>
      <c r="F4081" s="4" t="s">
        <v>17</v>
      </c>
      <c r="G4081" s="1" t="s">
        <v>18</v>
      </c>
      <c r="H4081" s="1" t="s">
        <v>19</v>
      </c>
      <c r="I4081" s="1" t="s">
        <v>20</v>
      </c>
      <c r="J4081" s="1" t="s">
        <v>18291</v>
      </c>
      <c r="K4081" s="1" t="s">
        <v>22</v>
      </c>
      <c r="L4081" s="1" t="str">
        <f>HYPERLINK("https://files.afu.se/Downloads/Transcripts/0%20-%20Government/USA%20-%20NASA/2011 07 06 - NASA - NASA Details Future Science Missions &amp; Launches_hBnO8lJd2JU - transcript (automated).pdf","Transcript Link")</f>
        <v>Transcript Link</v>
      </c>
      <c r="M4081" s="2" t="str">
        <f>HYPERLINK("https://files.afu.se/Downloads/Transcripts/0%20-%20Government/USA%20-%20NASA/2011 07 06 - NASA - NASA Details Future Science Missions &amp; Launches_hBnO8lJd2JU - transcript (automated).pdf","Transcript Link")</f>
        <v>Transcript Link</v>
      </c>
    </row>
    <row r="4082" ht="165" spans="1:13">
      <c r="A4082" s="1" t="s">
        <v>18275</v>
      </c>
      <c r="B4082" s="1" t="s">
        <v>13</v>
      </c>
      <c r="C4082" s="4" t="s">
        <v>18292</v>
      </c>
      <c r="D4082" s="1" t="s">
        <v>18293</v>
      </c>
      <c r="E4082" s="1" t="s">
        <v>18294</v>
      </c>
      <c r="F4082" s="4" t="s">
        <v>17</v>
      </c>
      <c r="G4082" s="1" t="s">
        <v>18</v>
      </c>
      <c r="H4082" s="1" t="s">
        <v>19</v>
      </c>
      <c r="I4082" s="1" t="s">
        <v>20</v>
      </c>
      <c r="J4082" s="1" t="s">
        <v>18295</v>
      </c>
      <c r="K4082" s="1" t="s">
        <v>22</v>
      </c>
      <c r="L4082" s="1" t="str">
        <f>HYPERLINK("https://files.afu.se/Downloads/Transcripts/0%20-%20Government/USA%20-%20NASA/2011 07 06 - NASA - Solving Aviation's Challenges Through NASA Innovation__lOio5YxVz8 - transcript (automated).pdf","Transcript Link")</f>
        <v>Transcript Link</v>
      </c>
      <c r="M4082" s="2" t="str">
        <f>HYPERLINK("https://files.afu.se/Downloads/Transcripts/0%20-%20Government/USA%20-%20NASA/2011 07 06 - NASA - Solving Aviation's Challenges Through NASA Innovation__lOio5YxVz8 - transcript (automated).pdf","Transcript Link")</f>
        <v>Transcript Link</v>
      </c>
    </row>
    <row r="4083" ht="165" spans="1:13">
      <c r="A4083" s="1" t="s">
        <v>18296</v>
      </c>
      <c r="B4083" s="1" t="s">
        <v>13</v>
      </c>
      <c r="C4083" s="4" t="s">
        <v>18297</v>
      </c>
      <c r="D4083" s="1" t="s">
        <v>18298</v>
      </c>
      <c r="E4083" s="1" t="s">
        <v>18299</v>
      </c>
      <c r="F4083" s="4" t="s">
        <v>17</v>
      </c>
      <c r="G4083" s="1" t="s">
        <v>18</v>
      </c>
      <c r="H4083" s="1" t="s">
        <v>19</v>
      </c>
      <c r="I4083" s="1" t="s">
        <v>20</v>
      </c>
      <c r="J4083" s="1" t="s">
        <v>18300</v>
      </c>
      <c r="K4083" s="1" t="s">
        <v>22</v>
      </c>
      <c r="L4083" s="1" t="str">
        <f>HYPERLINK("https://files.afu.se/Downloads/Transcripts/0%20-%20Government/USA%20-%20NASA/2011 07 05 - NASA - The Space Shuttle (Narrated by William Shatner)_SvaG0xDdP8g - transcript (automated).pdf","Transcript Link")</f>
        <v>Transcript Link</v>
      </c>
      <c r="M4083" s="2" t="str">
        <f>HYPERLINK("https://files.afu.se/Downloads/Transcripts/0%20-%20Government/USA%20-%20NASA/2011 07 05 - NASA - The Space Shuttle (Narrated by William Shatner)_SvaG0xDdP8g - transcript (automated).pdf","Transcript Link")</f>
        <v>Transcript Link</v>
      </c>
    </row>
    <row r="4084" ht="165" spans="1:13">
      <c r="A4084" s="1" t="s">
        <v>18296</v>
      </c>
      <c r="B4084" s="1" t="s">
        <v>13</v>
      </c>
      <c r="C4084" s="4" t="s">
        <v>18301</v>
      </c>
      <c r="D4084" s="1" t="s">
        <v>18302</v>
      </c>
      <c r="E4084" s="1" t="s">
        <v>18303</v>
      </c>
      <c r="F4084" s="4" t="s">
        <v>17</v>
      </c>
      <c r="G4084" s="1" t="s">
        <v>18</v>
      </c>
      <c r="H4084" s="1" t="s">
        <v>19</v>
      </c>
      <c r="I4084" s="1" t="s">
        <v>20</v>
      </c>
      <c r="J4084" s="1" t="s">
        <v>18304</v>
      </c>
      <c r="K4084" s="1" t="s">
        <v>22</v>
      </c>
      <c r="L4084" s="1" t="str">
        <f>HYPERLINK("https://files.afu.se/Downloads/Transcripts/0%20-%20Government/USA%20-%20NASA/2011 07 05 - NASA - Atlantis Astronauts Test Water Recycling_9jqtxyvH4Vc - transcript (automated).pdf","Transcript Link")</f>
        <v>Transcript Link</v>
      </c>
      <c r="M4084" s="2" t="str">
        <f>HYPERLINK("https://files.afu.se/Downloads/Transcripts/0%20-%20Government/USA%20-%20NASA/2011 07 05 - NASA - Atlantis Astronauts Test Water Recycling_9jqtxyvH4Vc - transcript (automated).pdf","Transcript Link")</f>
        <v>Transcript Link</v>
      </c>
    </row>
    <row r="4085" ht="165" spans="1:13">
      <c r="A4085" s="1" t="s">
        <v>18296</v>
      </c>
      <c r="B4085" s="1" t="s">
        <v>13</v>
      </c>
      <c r="C4085" s="4" t="s">
        <v>18305</v>
      </c>
      <c r="D4085" s="1" t="s">
        <v>18306</v>
      </c>
      <c r="E4085" s="1" t="s">
        <v>18307</v>
      </c>
      <c r="F4085" s="4" t="s">
        <v>17</v>
      </c>
      <c r="G4085" s="1" t="s">
        <v>18</v>
      </c>
      <c r="H4085" s="1" t="s">
        <v>19</v>
      </c>
      <c r="I4085" s="1" t="s">
        <v>20</v>
      </c>
      <c r="J4085" s="1" t="s">
        <v>18308</v>
      </c>
      <c r="K4085" s="1" t="s">
        <v>22</v>
      </c>
      <c r="L4085" s="1" t="str">
        <f>HYPERLINK("https://files.afu.se/Downloads/Transcripts/0%20-%20Government/USA%20-%20NASA/2011 07 05 - NASA - NASA Holds Pre-Countdown Briefing to Discuss the Status of Shuttle Mission STS-135_BE8LojTjo2A - transcript (automated).pdf","Transcript Link")</f>
        <v>Transcript Link</v>
      </c>
      <c r="M4085" s="2" t="str">
        <f>HYPERLINK("https://files.afu.se/Downloads/Transcripts/0%20-%20Government/USA%20-%20NASA/2011 07 05 - NASA - NASA Holds Pre-Countdown Briefing to Discuss the Status of Shuttle Mission STS-135_BE8LojTjo2A - transcript (automated).pdf","Transcript Link")</f>
        <v>Transcript Link</v>
      </c>
    </row>
    <row r="4086" ht="180" spans="1:13">
      <c r="A4086" s="1" t="s">
        <v>18309</v>
      </c>
      <c r="B4086" s="1" t="s">
        <v>13</v>
      </c>
      <c r="C4086" s="4" t="s">
        <v>18310</v>
      </c>
      <c r="D4086" s="1" t="s">
        <v>18311</v>
      </c>
      <c r="E4086" s="1" t="s">
        <v>18312</v>
      </c>
      <c r="F4086" s="4" t="s">
        <v>17</v>
      </c>
      <c r="G4086" s="1" t="s">
        <v>18</v>
      </c>
      <c r="H4086" s="1" t="s">
        <v>19</v>
      </c>
      <c r="I4086" s="1" t="s">
        <v>20</v>
      </c>
      <c r="J4086" s="1" t="s">
        <v>18313</v>
      </c>
      <c r="K4086" s="1" t="s">
        <v>22</v>
      </c>
      <c r="L4086" s="1" t="str">
        <f>HYPERLINK("https://files.afu.se/Downloads/Transcripts/0%20-%20Government/USA%20-%20NASA/2011 07 04 - NASA - Final Shuttle Crew Arrives at Kennedy for Launch_SgP5N8tJisg - transcript (automated).pdf","Transcript Link")</f>
        <v>Transcript Link</v>
      </c>
      <c r="M4086" s="2" t="str">
        <f>HYPERLINK("https://files.afu.se/Downloads/Transcripts/0%20-%20Government/USA%20-%20NASA/2011 07 04 - NASA - Final Shuttle Crew Arrives at Kennedy for Launch_SgP5N8tJisg - transcript (automated).pdf","Transcript Link")</f>
        <v>Transcript Link</v>
      </c>
    </row>
    <row r="4087" ht="165" spans="1:13">
      <c r="A4087" s="1" t="s">
        <v>18314</v>
      </c>
      <c r="B4087" s="1" t="s">
        <v>13</v>
      </c>
      <c r="C4087" s="4" t="s">
        <v>18315</v>
      </c>
      <c r="D4087" s="1" t="s">
        <v>18316</v>
      </c>
      <c r="E4087" s="1" t="s">
        <v>18317</v>
      </c>
      <c r="F4087" s="4" t="s">
        <v>17</v>
      </c>
      <c r="G4087" s="1" t="s">
        <v>18</v>
      </c>
      <c r="H4087" s="1" t="s">
        <v>19</v>
      </c>
      <c r="I4087" s="1" t="s">
        <v>20</v>
      </c>
      <c r="J4087" s="1" t="s">
        <v>18318</v>
      </c>
      <c r="K4087" s="1" t="s">
        <v>22</v>
      </c>
      <c r="L4087" s="1" t="str">
        <f>HYPERLINK("https://files.afu.se/Downloads/Transcripts/0%20-%20Government/USA%20-%20NASA/2011 07 02 - NASA - Crew Readies for Final Shuttle Mission on This Week @NASA_lswDRdT3zJw - transcript (automated).pdf","Transcript Link")</f>
        <v>Transcript Link</v>
      </c>
      <c r="M4087" s="2" t="str">
        <f>HYPERLINK("https://files.afu.se/Downloads/Transcripts/0%20-%20Government/USA%20-%20NASA/2011 07 02 - NASA - Crew Readies for Final Shuttle Mission on This Week @NASA_lswDRdT3zJw - transcript (automated).pdf","Transcript Link")</f>
        <v>Transcript Link</v>
      </c>
    </row>
    <row r="4088" ht="165" spans="1:13">
      <c r="A4088" s="1" t="s">
        <v>18319</v>
      </c>
      <c r="B4088" s="1" t="s">
        <v>13</v>
      </c>
      <c r="C4088" s="4" t="s">
        <v>18320</v>
      </c>
      <c r="D4088" s="1" t="s">
        <v>18321</v>
      </c>
      <c r="E4088" s="1" t="s">
        <v>18322</v>
      </c>
      <c r="F4088" s="4" t="s">
        <v>17</v>
      </c>
      <c r="G4088" s="1" t="s">
        <v>18</v>
      </c>
      <c r="H4088" s="1" t="s">
        <v>19</v>
      </c>
      <c r="I4088" s="1" t="s">
        <v>20</v>
      </c>
      <c r="J4088" s="1" t="s">
        <v>18323</v>
      </c>
      <c r="K4088" s="1" t="s">
        <v>22</v>
      </c>
      <c r="L4088" s="1" t="str">
        <f>HYPERLINK("https://files.afu.se/Downloads/Transcripts/0%20-%20Government/USA%20-%20NASA/2011 07 01 - NASA - ScienceCasts  Wild Weather_t7nVTByMiZA - transcript (automated).pdf","Transcript Link")</f>
        <v>Transcript Link</v>
      </c>
      <c r="M4088" s="2" t="str">
        <f>HYPERLINK("https://files.afu.se/Downloads/Transcripts/0%20-%20Government/USA%20-%20NASA/2011 07 01 - NASA - ScienceCasts  Wild Weather_t7nVTByMiZA - transcript (automated).pdf","Transcript Link")</f>
        <v>Transcript Link</v>
      </c>
    </row>
    <row r="4089" ht="240" spans="1:13">
      <c r="A4089" s="1" t="s">
        <v>18319</v>
      </c>
      <c r="B4089" s="1" t="s">
        <v>13</v>
      </c>
      <c r="C4089" s="4" t="s">
        <v>18324</v>
      </c>
      <c r="D4089" s="1" t="s">
        <v>18325</v>
      </c>
      <c r="E4089" s="1" t="s">
        <v>18326</v>
      </c>
      <c r="F4089" s="4" t="s">
        <v>17</v>
      </c>
      <c r="G4089" s="1" t="s">
        <v>18</v>
      </c>
      <c r="H4089" s="1" t="s">
        <v>19</v>
      </c>
      <c r="I4089" s="1" t="s">
        <v>20</v>
      </c>
      <c r="J4089" s="1" t="s">
        <v>18327</v>
      </c>
      <c r="K4089" s="1" t="s">
        <v>22</v>
      </c>
      <c r="L4089" s="1" t="str">
        <f>HYPERLINK("https://files.afu.se/Downloads/Transcripts/0%20-%20Government/USA%20-%20NASA/2011 07 01 - NASA - Bolden Speaks at National Press Club_xR0004YvK2s - transcript (automated).pdf","Transcript Link")</f>
        <v>Transcript Link</v>
      </c>
      <c r="M4089" s="2" t="str">
        <f>HYPERLINK("https://files.afu.se/Downloads/Transcripts/0%20-%20Government/USA%20-%20NASA/2011 07 01 - NASA - Bolden Speaks at National Press Club_xR0004YvK2s - transcript (automated).pdf","Transcript Link")</f>
        <v>Transcript Link</v>
      </c>
    </row>
    <row r="4090" ht="165" spans="1:13">
      <c r="A4090" s="1" t="s">
        <v>18319</v>
      </c>
      <c r="B4090" s="1" t="s">
        <v>13</v>
      </c>
      <c r="C4090" s="4" t="s">
        <v>18328</v>
      </c>
      <c r="D4090" s="1" t="s">
        <v>18329</v>
      </c>
      <c r="E4090" s="1" t="s">
        <v>18330</v>
      </c>
      <c r="F4090" s="4" t="s">
        <v>17</v>
      </c>
      <c r="G4090" s="1" t="s">
        <v>18</v>
      </c>
      <c r="H4090" s="1" t="s">
        <v>19</v>
      </c>
      <c r="I4090" s="1" t="s">
        <v>20</v>
      </c>
      <c r="J4090" s="1" t="s">
        <v>18331</v>
      </c>
      <c r="K4090" s="1" t="s">
        <v>22</v>
      </c>
      <c r="L4090" s="1" t="str">
        <f>HYPERLINK("https://files.afu.se/Downloads/Transcripts/0%20-%20Government/USA%20-%20NASA/2011 07 01 - NASA - Future of Human Space Flight_VYaNE49vv9I - transcript (automated).pdf","Transcript Link")</f>
        <v>Transcript Link</v>
      </c>
      <c r="M4090" s="2" t="str">
        <f>HYPERLINK("https://files.afu.se/Downloads/Transcripts/0%20-%20Government/USA%20-%20NASA/2011 07 01 - NASA - Future of Human Space Flight_VYaNE49vv9I - transcript (automated).pdf","Transcript Link")</f>
        <v>Transcript Link</v>
      </c>
    </row>
    <row r="4091" ht="165" spans="1:13">
      <c r="A4091" s="1" t="s">
        <v>18332</v>
      </c>
      <c r="B4091" s="1" t="s">
        <v>13</v>
      </c>
      <c r="C4091" s="4" t="s">
        <v>18333</v>
      </c>
      <c r="D4091" s="1" t="s">
        <v>18334</v>
      </c>
      <c r="E4091" s="1" t="s">
        <v>18335</v>
      </c>
      <c r="F4091" s="4" t="s">
        <v>17</v>
      </c>
      <c r="G4091" s="1" t="s">
        <v>18</v>
      </c>
      <c r="H4091" s="1" t="s">
        <v>19</v>
      </c>
      <c r="I4091" s="1" t="s">
        <v>20</v>
      </c>
      <c r="J4091" s="1" t="s">
        <v>18336</v>
      </c>
      <c r="K4091" s="1" t="s">
        <v>22</v>
      </c>
      <c r="L4091" s="1" t="str">
        <f>HYPERLINK("https://files.afu.se/Downloads/Transcripts/0%20-%20Government/USA%20-%20NASA/2011 06 30 - NASA - NASA Celebrates Its Best &amp; Brightest_peKQyXZ_g5w - transcript (automated).pdf","Transcript Link")</f>
        <v>Transcript Link</v>
      </c>
      <c r="M4091" s="2" t="str">
        <f>HYPERLINK("https://files.afu.se/Downloads/Transcripts/0%20-%20Government/USA%20-%20NASA/2011 06 30 - NASA - NASA Celebrates Its Best &amp; Brightest_peKQyXZ_g5w - transcript (automated).pdf","Transcript Link")</f>
        <v>Transcript Link</v>
      </c>
    </row>
    <row r="4092" ht="165" spans="1:13">
      <c r="A4092" s="1" t="s">
        <v>18332</v>
      </c>
      <c r="B4092" s="1" t="s">
        <v>13</v>
      </c>
      <c r="C4092" s="4" t="s">
        <v>18337</v>
      </c>
      <c r="D4092" s="1" t="s">
        <v>18338</v>
      </c>
      <c r="E4092" s="1" t="s">
        <v>18339</v>
      </c>
      <c r="F4092" s="4" t="s">
        <v>17</v>
      </c>
      <c r="G4092" s="1" t="s">
        <v>18</v>
      </c>
      <c r="H4092" s="1" t="s">
        <v>19</v>
      </c>
      <c r="I4092" s="1" t="s">
        <v>20</v>
      </c>
      <c r="J4092" s="1" t="s">
        <v>18340</v>
      </c>
      <c r="K4092" s="1" t="s">
        <v>22</v>
      </c>
      <c r="L4092" s="1" t="str">
        <f>HYPERLINK("https://files.afu.se/Downloads/Transcripts/0%20-%20Government/USA%20-%20NASA/2011 06 30 - NASA - Media Gets Overview of Shuttle, ISS Programs_lSz0JifzWSU - transcript (automated).pdf","Transcript Link")</f>
        <v>Transcript Link</v>
      </c>
      <c r="M4092" s="2" t="str">
        <f>HYPERLINK("https://files.afu.se/Downloads/Transcripts/0%20-%20Government/USA%20-%20NASA/2011 06 30 - NASA - Media Gets Overview of Shuttle, ISS Programs_lSz0JifzWSU - transcript (automated).pdf","Transcript Link")</f>
        <v>Transcript Link</v>
      </c>
    </row>
    <row r="4093" ht="165" spans="1:13">
      <c r="A4093" s="1" t="s">
        <v>18332</v>
      </c>
      <c r="B4093" s="1" t="s">
        <v>13</v>
      </c>
      <c r="C4093" s="4" t="s">
        <v>18341</v>
      </c>
      <c r="D4093" s="1" t="s">
        <v>18342</v>
      </c>
      <c r="E4093" s="1" t="s">
        <v>18343</v>
      </c>
      <c r="F4093" s="4" t="s">
        <v>17</v>
      </c>
      <c r="G4093" s="1" t="s">
        <v>18</v>
      </c>
      <c r="H4093" s="1" t="s">
        <v>19</v>
      </c>
      <c r="I4093" s="1" t="s">
        <v>20</v>
      </c>
      <c r="J4093" s="1" t="s">
        <v>18344</v>
      </c>
      <c r="K4093" s="1" t="s">
        <v>22</v>
      </c>
      <c r="L4093" s="1" t="str">
        <f>HYPERLINK("https://files.afu.se/Downloads/Transcripts/0%20-%20Government/USA%20-%20NASA/2011 06 30 - NASA - Final Shuttle Mission Detailed for Reporters_mkjBW5CZWkc - transcript (automated).pdf","Transcript Link")</f>
        <v>Transcript Link</v>
      </c>
      <c r="M4093" s="2" t="str">
        <f>HYPERLINK("https://files.afu.se/Downloads/Transcripts/0%20-%20Government/USA%20-%20NASA/2011 06 30 - NASA - Final Shuttle Mission Detailed for Reporters_mkjBW5CZWkc - transcript (automated).pdf","Transcript Link")</f>
        <v>Transcript Link</v>
      </c>
    </row>
    <row r="4094" ht="165" spans="1:13">
      <c r="A4094" s="1" t="s">
        <v>18345</v>
      </c>
      <c r="B4094" s="1" t="s">
        <v>13</v>
      </c>
      <c r="C4094" s="4" t="s">
        <v>18346</v>
      </c>
      <c r="D4094" s="1" t="s">
        <v>18347</v>
      </c>
      <c r="E4094" s="1" t="s">
        <v>18348</v>
      </c>
      <c r="F4094" s="4" t="s">
        <v>17</v>
      </c>
      <c r="G4094" s="1" t="s">
        <v>18</v>
      </c>
      <c r="H4094" s="1" t="s">
        <v>19</v>
      </c>
      <c r="I4094" s="1" t="s">
        <v>20</v>
      </c>
      <c r="J4094" s="1" t="s">
        <v>18349</v>
      </c>
      <c r="K4094" s="1" t="s">
        <v>22</v>
      </c>
      <c r="L4094" s="1" t="str">
        <f>HYPERLINK("https://files.afu.se/Downloads/Transcripts/0%20-%20Government/USA%20-%20NASA/2011 06 29 - NASA - Shatner-Narrated Shuttle Documentary Premieres July 1 on NTV_f-MgyVJq-y4 - transcript (automated).pdf","Transcript Link")</f>
        <v>Transcript Link</v>
      </c>
      <c r="M4094" s="2" t="str">
        <f>HYPERLINK("https://files.afu.se/Downloads/Transcripts/0%20-%20Government/USA%20-%20NASA/2011 06 29 - NASA - Shatner-Narrated Shuttle Documentary Premieres July 1 on NTV_f-MgyVJq-y4 - transcript (automated).pdf","Transcript Link")</f>
        <v>Transcript Link</v>
      </c>
    </row>
    <row r="4095" ht="165" spans="1:13">
      <c r="A4095" s="1" t="s">
        <v>18345</v>
      </c>
      <c r="B4095" s="1" t="s">
        <v>13</v>
      </c>
      <c r="C4095" s="4" t="s">
        <v>18350</v>
      </c>
      <c r="D4095" s="1" t="s">
        <v>18351</v>
      </c>
      <c r="E4095" s="1" t="s">
        <v>18352</v>
      </c>
      <c r="F4095" s="4" t="s">
        <v>17</v>
      </c>
      <c r="G4095" s="1" t="s">
        <v>18</v>
      </c>
      <c r="H4095" s="1" t="s">
        <v>19</v>
      </c>
      <c r="I4095" s="1" t="s">
        <v>20</v>
      </c>
      <c r="J4095" s="1" t="s">
        <v>18353</v>
      </c>
      <c r="K4095" s="1" t="s">
        <v>22</v>
      </c>
      <c r="L4095" s="1" t="str">
        <f>HYPERLINK("https://files.afu.se/Downloads/Transcripts/0%20-%20Government/USA%20-%20NASA/2011 06 29 - NASA - Space Shuttle 30th Anniversary_Y-5VO2nlRYA - transcript (automated).pdf","Transcript Link")</f>
        <v>Transcript Link</v>
      </c>
      <c r="M4095" s="2" t="str">
        <f>HYPERLINK("https://files.afu.se/Downloads/Transcripts/0%20-%20Government/USA%20-%20NASA/2011 06 29 - NASA - Space Shuttle 30th Anniversary_Y-5VO2nlRYA - transcript (automated).pdf","Transcript Link")</f>
        <v>Transcript Link</v>
      </c>
    </row>
    <row r="4096" ht="165" spans="1:13">
      <c r="A4096" s="1" t="s">
        <v>18345</v>
      </c>
      <c r="B4096" s="1" t="s">
        <v>13</v>
      </c>
      <c r="C4096" s="4" t="s">
        <v>18354</v>
      </c>
      <c r="D4096" s="1" t="s">
        <v>18355</v>
      </c>
      <c r="E4096" s="1" t="s">
        <v>18356</v>
      </c>
      <c r="F4096" s="4" t="s">
        <v>17</v>
      </c>
      <c r="G4096" s="1" t="s">
        <v>18</v>
      </c>
      <c r="H4096" s="1" t="s">
        <v>19</v>
      </c>
      <c r="I4096" s="1" t="s">
        <v>20</v>
      </c>
      <c r="J4096" s="1" t="s">
        <v>18357</v>
      </c>
      <c r="K4096" s="1" t="s">
        <v>22</v>
      </c>
      <c r="L4096" s="1" t="str">
        <f>HYPERLINK("https://files.afu.se/Downloads/Transcripts/0%20-%20Government/USA%20-%20NASA/2011 06 29 - NASA - Garan and Fossum on Big Apple, Texas TV_-lhmzhNYLbU - transcript (automated).pdf","Transcript Link")</f>
        <v>Transcript Link</v>
      </c>
      <c r="M4096" s="2" t="str">
        <f>HYPERLINK("https://files.afu.se/Downloads/Transcripts/0%20-%20Government/USA%20-%20NASA/2011 06 29 - NASA - Garan and Fossum on Big Apple, Texas TV_-lhmzhNYLbU - transcript (automated).pdf","Transcript Link")</f>
        <v>Transcript Link</v>
      </c>
    </row>
    <row r="4097" ht="165" spans="1:13">
      <c r="A4097" s="1" t="s">
        <v>18345</v>
      </c>
      <c r="B4097" s="1" t="s">
        <v>13</v>
      </c>
      <c r="C4097" s="4" t="s">
        <v>18358</v>
      </c>
      <c r="D4097" s="1" t="s">
        <v>18359</v>
      </c>
      <c r="E4097" s="1" t="s">
        <v>18360</v>
      </c>
      <c r="F4097" s="4" t="s">
        <v>17</v>
      </c>
      <c r="G4097" s="1" t="s">
        <v>18</v>
      </c>
      <c r="H4097" s="1" t="s">
        <v>19</v>
      </c>
      <c r="I4097" s="1" t="s">
        <v>20</v>
      </c>
      <c r="J4097" s="1" t="s">
        <v>18361</v>
      </c>
      <c r="K4097" s="1" t="s">
        <v>22</v>
      </c>
      <c r="L4097" s="1" t="str">
        <f>HYPERLINK("https://files.afu.se/Downloads/Transcripts/0%20-%20Government/USA%20-%20NASA/2011 06 29 - NASA - Shuttle Managers Give  Go  to July 8 Launch_UleTHCoU-Zc - transcript (automated).pdf","Transcript Link")</f>
        <v>Transcript Link</v>
      </c>
      <c r="M4097" s="2" t="str">
        <f>HYPERLINK("https://files.afu.se/Downloads/Transcripts/0%20-%20Government/USA%20-%20NASA/2011 06 29 - NASA - Shuttle Managers Give  Go  to July 8 Launch_UleTHCoU-Zc - transcript (automated).pdf","Transcript Link")</f>
        <v>Transcript Link</v>
      </c>
    </row>
    <row r="4098" ht="165" spans="1:13">
      <c r="A4098" s="1" t="s">
        <v>18362</v>
      </c>
      <c r="B4098" s="1" t="s">
        <v>13</v>
      </c>
      <c r="C4098" s="4" t="s">
        <v>18363</v>
      </c>
      <c r="D4098" s="1" t="s">
        <v>18364</v>
      </c>
      <c r="E4098" s="1" t="s">
        <v>18365</v>
      </c>
      <c r="F4098" s="4" t="s">
        <v>17</v>
      </c>
      <c r="G4098" s="1" t="s">
        <v>18</v>
      </c>
      <c r="H4098" s="1" t="s">
        <v>19</v>
      </c>
      <c r="I4098" s="1" t="s">
        <v>20</v>
      </c>
      <c r="J4098" s="1" t="s">
        <v>18366</v>
      </c>
      <c r="K4098" s="1" t="s">
        <v>22</v>
      </c>
      <c r="L4098" s="1" t="str">
        <f>HYPERLINK("https://files.afu.se/Downloads/Transcripts/0%20-%20Government/USA%20-%20NASA/2011 06 28 - NASA - ScienceCasts  Power of Sea Salt_oQapAbaWrmQ - transcript (automated).pdf","Transcript Link")</f>
        <v>Transcript Link</v>
      </c>
      <c r="M4098" s="2" t="str">
        <f>HYPERLINK("https://files.afu.se/Downloads/Transcripts/0%20-%20Government/USA%20-%20NASA/2011 06 28 - NASA - ScienceCasts  Power of Sea Salt_oQapAbaWrmQ - transcript (automated).pdf","Transcript Link")</f>
        <v>Transcript Link</v>
      </c>
    </row>
    <row r="4099" ht="165" spans="1:13">
      <c r="A4099" s="1" t="s">
        <v>18362</v>
      </c>
      <c r="B4099" s="1" t="s">
        <v>13</v>
      </c>
      <c r="C4099" s="4" t="s">
        <v>18367</v>
      </c>
      <c r="D4099" s="1" t="s">
        <v>18368</v>
      </c>
      <c r="E4099" s="1" t="s">
        <v>18369</v>
      </c>
      <c r="F4099" s="4" t="s">
        <v>17</v>
      </c>
      <c r="G4099" s="1" t="s">
        <v>18</v>
      </c>
      <c r="H4099" s="1" t="s">
        <v>19</v>
      </c>
      <c r="I4099" s="1" t="s">
        <v>20</v>
      </c>
      <c r="J4099" s="1" t="s">
        <v>18370</v>
      </c>
      <c r="K4099" s="1" t="s">
        <v>22</v>
      </c>
      <c r="L4099" s="1" t="str">
        <f>HYPERLINK("https://files.afu.se/Downloads/Transcripts/0%20-%20Government/USA%20-%20NASA/2011 06 28 - NASA - ScienceCasts  Big Surprise_4Xn180k6k_Q - transcript (automated).pdf","Transcript Link")</f>
        <v>Transcript Link</v>
      </c>
      <c r="M4099" s="2" t="str">
        <f>HYPERLINK("https://files.afu.se/Downloads/Transcripts/0%20-%20Government/USA%20-%20NASA/2011 06 28 - NASA - ScienceCasts  Big Surprise_4Xn180k6k_Q - transcript (automated).pdf","Transcript Link")</f>
        <v>Transcript Link</v>
      </c>
    </row>
    <row r="4100" ht="165" spans="1:13">
      <c r="A4100" s="1" t="s">
        <v>18371</v>
      </c>
      <c r="B4100" s="1" t="s">
        <v>13</v>
      </c>
      <c r="C4100" s="4" t="s">
        <v>18372</v>
      </c>
      <c r="D4100" s="1" t="s">
        <v>18373</v>
      </c>
      <c r="E4100" s="1" t="s">
        <v>18374</v>
      </c>
      <c r="F4100" s="4" t="s">
        <v>17</v>
      </c>
      <c r="G4100" s="1" t="s">
        <v>18</v>
      </c>
      <c r="H4100" s="1" t="s">
        <v>19</v>
      </c>
      <c r="I4100" s="1" t="s">
        <v>20</v>
      </c>
      <c r="J4100" s="1" t="s">
        <v>18375</v>
      </c>
      <c r="K4100" s="1" t="s">
        <v>22</v>
      </c>
      <c r="L4100" s="1" t="str">
        <f>HYPERLINK("https://files.afu.se/Downloads/Transcripts/0%20-%20Government/USA%20-%20NASA/2011 06 27 - NASA - STS-135  The Mission_qPne2ffaG9Q - transcript (automated).pdf","Transcript Link")</f>
        <v>Transcript Link</v>
      </c>
      <c r="M4100" s="2" t="str">
        <f>HYPERLINK("https://files.afu.se/Downloads/Transcripts/0%20-%20Government/USA%20-%20NASA/2011 06 27 - NASA - STS-135  The Mission_qPne2ffaG9Q - transcript (automated).pdf","Transcript Link")</f>
        <v>Transcript Link</v>
      </c>
    </row>
    <row r="4101" ht="255" spans="1:13">
      <c r="A4101" s="1" t="s">
        <v>18376</v>
      </c>
      <c r="B4101" s="1" t="s">
        <v>13</v>
      </c>
      <c r="C4101" s="4" t="s">
        <v>18377</v>
      </c>
      <c r="D4101" s="1" t="s">
        <v>18378</v>
      </c>
      <c r="E4101" s="1" t="s">
        <v>18379</v>
      </c>
      <c r="F4101" s="4" t="s">
        <v>17</v>
      </c>
      <c r="G4101" s="1" t="s">
        <v>18</v>
      </c>
      <c r="H4101" s="1" t="s">
        <v>19</v>
      </c>
      <c r="I4101" s="1" t="s">
        <v>20</v>
      </c>
      <c r="J4101" s="1" t="s">
        <v>18380</v>
      </c>
      <c r="K4101" s="1" t="s">
        <v>22</v>
      </c>
      <c r="L4101" s="1" t="str">
        <f>HYPERLINK("https://files.afu.se/Downloads/Transcripts/0%20-%20Government/USA%20-%20NASA/2011 06 24 - NASA - Atlantis Crew Rehearses Launch Countdown_Y9O2zoIPTZE - transcript (automated).pdf","Transcript Link")</f>
        <v>Transcript Link</v>
      </c>
      <c r="M4101" s="2" t="str">
        <f>HYPERLINK("https://files.afu.se/Downloads/Transcripts/0%20-%20Government/USA%20-%20NASA/2011 06 24 - NASA - Atlantis Crew Rehearses Launch Countdown_Y9O2zoIPTZE - transcript (automated).pdf","Transcript Link")</f>
        <v>Transcript Link</v>
      </c>
    </row>
    <row r="4102" ht="165" spans="1:13">
      <c r="A4102" s="1" t="s">
        <v>18376</v>
      </c>
      <c r="B4102" s="1" t="s">
        <v>13</v>
      </c>
      <c r="C4102" s="4" t="s">
        <v>18381</v>
      </c>
      <c r="D4102" s="1" t="s">
        <v>18382</v>
      </c>
      <c r="E4102" s="1" t="s">
        <v>18383</v>
      </c>
      <c r="F4102" s="4" t="s">
        <v>17</v>
      </c>
      <c r="G4102" s="1" t="s">
        <v>18</v>
      </c>
      <c r="H4102" s="1" t="s">
        <v>19</v>
      </c>
      <c r="I4102" s="1" t="s">
        <v>20</v>
      </c>
      <c r="J4102" s="1" t="s">
        <v>18384</v>
      </c>
      <c r="K4102" s="1" t="s">
        <v>22</v>
      </c>
      <c r="L4102" s="1" t="str">
        <f>HYPERLINK("https://files.afu.se/Downloads/Transcripts/0%20-%20Government/USA%20-%20NASA/2011 06 24 - NASA - Preps for Final Shuttle Mission Continue on This Week @NASA_BKSWVa7kt6s - transcript (automated).pdf","Transcript Link")</f>
        <v>Transcript Link</v>
      </c>
      <c r="M4102" s="2" t="str">
        <f>HYPERLINK("https://files.afu.se/Downloads/Transcripts/0%20-%20Government/USA%20-%20NASA/2011 06 24 - NASA - Preps for Final Shuttle Mission Continue on This Week @NASA_BKSWVa7kt6s - transcript (automated).pdf","Transcript Link")</f>
        <v>Transcript Link</v>
      </c>
    </row>
    <row r="4103" ht="285" spans="1:13">
      <c r="A4103" s="1" t="s">
        <v>18376</v>
      </c>
      <c r="B4103" s="1" t="s">
        <v>13</v>
      </c>
      <c r="C4103" s="4" t="s">
        <v>18385</v>
      </c>
      <c r="D4103" s="1" t="s">
        <v>18386</v>
      </c>
      <c r="E4103" s="1" t="s">
        <v>18387</v>
      </c>
      <c r="F4103" s="4" t="s">
        <v>17</v>
      </c>
      <c r="G4103" s="1" t="s">
        <v>18</v>
      </c>
      <c r="H4103" s="1" t="s">
        <v>19</v>
      </c>
      <c r="I4103" s="1" t="s">
        <v>20</v>
      </c>
      <c r="J4103" s="1" t="s">
        <v>18388</v>
      </c>
      <c r="K4103" s="1" t="s">
        <v>22</v>
      </c>
      <c r="L4103" s="1" t="str">
        <f>HYPERLINK("https://files.afu.se/Downloads/Transcripts/0%20-%20Government/USA%20-%20NASA/2011 06 24 - NASA - Final Space Shuttle Crew Profiled_XJ3m4bB0MWo - transcript (automated).pdf","Transcript Link")</f>
        <v>Transcript Link</v>
      </c>
      <c r="M4103" s="2" t="str">
        <f>HYPERLINK("https://files.afu.se/Downloads/Transcripts/0%20-%20Government/USA%20-%20NASA/2011 06 24 - NASA - Final Space Shuttle Crew Profiled_XJ3m4bB0MWo - transcript (automated).pdf","Transcript Link")</f>
        <v>Transcript Link</v>
      </c>
    </row>
    <row r="4104" ht="165" spans="1:13">
      <c r="A4104" s="1" t="s">
        <v>18376</v>
      </c>
      <c r="B4104" s="1" t="s">
        <v>13</v>
      </c>
      <c r="C4104" s="4" t="s">
        <v>18389</v>
      </c>
      <c r="D4104" s="1" t="s">
        <v>18390</v>
      </c>
      <c r="E4104" s="1" t="s">
        <v>18391</v>
      </c>
      <c r="F4104" s="4" t="s">
        <v>17</v>
      </c>
      <c r="G4104" s="1" t="s">
        <v>18</v>
      </c>
      <c r="H4104" s="1" t="s">
        <v>19</v>
      </c>
      <c r="I4104" s="1" t="s">
        <v>20</v>
      </c>
      <c r="J4104" s="1" t="s">
        <v>18392</v>
      </c>
      <c r="K4104" s="1" t="s">
        <v>22</v>
      </c>
      <c r="L4104" s="1" t="str">
        <f>HYPERLINK("https://files.afu.se/Downloads/Transcripts/0%20-%20Government/USA%20-%20NASA/2011 06 24 - NASA - STS-135 Crew Trains for Success_FfFuEpptyUk - transcript (automated).pdf","Transcript Link")</f>
        <v>Transcript Link</v>
      </c>
      <c r="M4104" s="2" t="str">
        <f>HYPERLINK("https://files.afu.se/Downloads/Transcripts/0%20-%20Government/USA%20-%20NASA/2011 06 24 - NASA - STS-135 Crew Trains for Success_FfFuEpptyUk - transcript (automated).pdf","Transcript Link")</f>
        <v>Transcript Link</v>
      </c>
    </row>
    <row r="4105" ht="165" spans="1:13">
      <c r="A4105" s="1" t="s">
        <v>18393</v>
      </c>
      <c r="B4105" s="1" t="s">
        <v>13</v>
      </c>
      <c r="C4105" s="4" t="s">
        <v>18394</v>
      </c>
      <c r="D4105" s="1" t="s">
        <v>18395</v>
      </c>
      <c r="E4105" s="1" t="s">
        <v>18396</v>
      </c>
      <c r="F4105" s="4" t="s">
        <v>17</v>
      </c>
      <c r="G4105" s="1" t="s">
        <v>18</v>
      </c>
      <c r="H4105" s="1" t="s">
        <v>19</v>
      </c>
      <c r="I4105" s="1" t="s">
        <v>20</v>
      </c>
      <c r="J4105" s="1" t="s">
        <v>18397</v>
      </c>
      <c r="K4105" s="1" t="s">
        <v>22</v>
      </c>
      <c r="L4105" s="1" t="str">
        <f>HYPERLINK("https://files.afu.se/Downloads/Transcripts/0%20-%20Government/USA%20-%20NASA/2011 06 23 - NASA - Dawn Spacecraft Provides New Data from Asteroid_iz1XF2Acn2Y - transcript (automated).pdf","Transcript Link")</f>
        <v>Transcript Link</v>
      </c>
      <c r="M4105" s="2" t="str">
        <f>HYPERLINK("https://files.afu.se/Downloads/Transcripts/0%20-%20Government/USA%20-%20NASA/2011 06 23 - NASA - Dawn Spacecraft Provides New Data from Asteroid_iz1XF2Acn2Y - transcript (automated).pdf","Transcript Link")</f>
        <v>Transcript Link</v>
      </c>
    </row>
    <row r="4106" ht="165" spans="1:13">
      <c r="A4106" s="1" t="s">
        <v>18393</v>
      </c>
      <c r="B4106" s="1" t="s">
        <v>13</v>
      </c>
      <c r="C4106" s="4" t="s">
        <v>18398</v>
      </c>
      <c r="D4106" s="1" t="s">
        <v>18399</v>
      </c>
      <c r="E4106" s="1" t="s">
        <v>18400</v>
      </c>
      <c r="F4106" s="4" t="s">
        <v>17</v>
      </c>
      <c r="G4106" s="1" t="s">
        <v>18</v>
      </c>
      <c r="H4106" s="1" t="s">
        <v>19</v>
      </c>
      <c r="I4106" s="1" t="s">
        <v>20</v>
      </c>
      <c r="J4106" s="1" t="s">
        <v>18401</v>
      </c>
      <c r="K4106" s="1" t="s">
        <v>22</v>
      </c>
      <c r="L4106" s="1" t="str">
        <f>HYPERLINK("https://files.afu.se/Downloads/Transcripts/0%20-%20Government/USA%20-%20NASA/2011 06 23 - NASA - Cargo Ship Joins Up with ISS_BgciF5iz9fA - transcript (automated).pdf","Transcript Link")</f>
        <v>Transcript Link</v>
      </c>
      <c r="M4106" s="2" t="str">
        <f>HYPERLINK("https://files.afu.se/Downloads/Transcripts/0%20-%20Government/USA%20-%20NASA/2011 06 23 - NASA - Cargo Ship Joins Up with ISS_BgciF5iz9fA - transcript (automated).pdf","Transcript Link")</f>
        <v>Transcript Link</v>
      </c>
    </row>
    <row r="4107" ht="165" spans="1:13">
      <c r="A4107" s="1" t="s">
        <v>18393</v>
      </c>
      <c r="B4107" s="1" t="s">
        <v>13</v>
      </c>
      <c r="C4107" s="4" t="s">
        <v>18402</v>
      </c>
      <c r="D4107" s="1" t="s">
        <v>18403</v>
      </c>
      <c r="E4107" s="1" t="s">
        <v>18404</v>
      </c>
      <c r="F4107" s="4" t="s">
        <v>17</v>
      </c>
      <c r="G4107" s="1" t="s">
        <v>18</v>
      </c>
      <c r="H4107" s="1" t="s">
        <v>19</v>
      </c>
      <c r="I4107" s="1" t="s">
        <v>20</v>
      </c>
      <c r="J4107" s="1" t="s">
        <v>18405</v>
      </c>
      <c r="K4107" s="1" t="s">
        <v>22</v>
      </c>
      <c r="L4107" s="1" t="str">
        <f>HYPERLINK("https://files.afu.se/Downloads/Transcripts/0%20-%20Government/USA%20-%20NASA/2011 06 23 - NASA - ISS Crew Member Talks with Hospitalized Children in Japan_2hz-cGhiTLE - transcript (automated).pdf","Transcript Link")</f>
        <v>Transcript Link</v>
      </c>
      <c r="M4107" s="2" t="str">
        <f>HYPERLINK("https://files.afu.se/Downloads/Transcripts/0%20-%20Government/USA%20-%20NASA/2011 06 23 - NASA - ISS Crew Member Talks with Hospitalized Children in Japan_2hz-cGhiTLE - transcript (automated).pdf","Transcript Link")</f>
        <v>Transcript Link</v>
      </c>
    </row>
    <row r="4108" ht="165" spans="1:13">
      <c r="A4108" s="1" t="s">
        <v>18393</v>
      </c>
      <c r="B4108" s="1" t="s">
        <v>13</v>
      </c>
      <c r="C4108" s="4" t="s">
        <v>18406</v>
      </c>
      <c r="D4108" s="1" t="s">
        <v>18407</v>
      </c>
      <c r="E4108" s="1" t="s">
        <v>18408</v>
      </c>
      <c r="F4108" s="4" t="s">
        <v>17</v>
      </c>
      <c r="G4108" s="1" t="s">
        <v>18</v>
      </c>
      <c r="H4108" s="1" t="s">
        <v>19</v>
      </c>
      <c r="I4108" s="1" t="s">
        <v>20</v>
      </c>
      <c r="J4108" s="1" t="s">
        <v>18409</v>
      </c>
      <c r="K4108" s="1" t="s">
        <v>22</v>
      </c>
      <c r="L4108" s="1" t="str">
        <f>HYPERLINK("https://files.afu.se/Downloads/Transcripts/0%20-%20Government/USA%20-%20NASA/2011 06 23 - NASA - Final Shuttle Crew Practice Safety  Slide _sw0gWqUsD-g - transcript (automated).pdf","Transcript Link")</f>
        <v>Transcript Link</v>
      </c>
      <c r="M4108" s="2" t="str">
        <f>HYPERLINK("https://files.afu.se/Downloads/Transcripts/0%20-%20Government/USA%20-%20NASA/2011 06 23 - NASA - Final Shuttle Crew Practice Safety  Slide _sw0gWqUsD-g - transcript (automated).pdf","Transcript Link")</f>
        <v>Transcript Link</v>
      </c>
    </row>
    <row r="4109" ht="165" spans="1:13">
      <c r="A4109" s="1" t="s">
        <v>18393</v>
      </c>
      <c r="B4109" s="1" t="s">
        <v>13</v>
      </c>
      <c r="C4109" s="4" t="s">
        <v>18410</v>
      </c>
      <c r="D4109" s="1" t="s">
        <v>18411</v>
      </c>
      <c r="E4109" s="1" t="s">
        <v>18412</v>
      </c>
      <c r="F4109" s="4" t="s">
        <v>17</v>
      </c>
      <c r="G4109" s="1" t="s">
        <v>18</v>
      </c>
      <c r="H4109" s="1" t="s">
        <v>19</v>
      </c>
      <c r="I4109" s="1" t="s">
        <v>20</v>
      </c>
      <c r="J4109" s="1" t="s">
        <v>18413</v>
      </c>
      <c r="K4109" s="1" t="s">
        <v>22</v>
      </c>
      <c r="L4109" s="1" t="str">
        <f>HYPERLINK("https://files.afu.se/Downloads/Transcripts/0%20-%20Government/USA%20-%20NASA/2011 06 23 - NASA - Atlantis' Commander, Pilot Practice Landings_RGhvkVafUqI - transcript (automated).pdf","Transcript Link")</f>
        <v>Transcript Link</v>
      </c>
      <c r="M4109" s="2" t="str">
        <f>HYPERLINK("https://files.afu.se/Downloads/Transcripts/0%20-%20Government/USA%20-%20NASA/2011 06 23 - NASA - Atlantis' Commander, Pilot Practice Landings_RGhvkVafUqI - transcript (automated).pdf","Transcript Link")</f>
        <v>Transcript Link</v>
      </c>
    </row>
    <row r="4110" ht="285" spans="1:13">
      <c r="A4110" s="1" t="s">
        <v>18393</v>
      </c>
      <c r="B4110" s="1" t="s">
        <v>13</v>
      </c>
      <c r="C4110" s="4" t="s">
        <v>18414</v>
      </c>
      <c r="D4110" s="1" t="s">
        <v>18415</v>
      </c>
      <c r="E4110" s="1" t="s">
        <v>18416</v>
      </c>
      <c r="F4110" s="4" t="s">
        <v>17</v>
      </c>
      <c r="G4110" s="1" t="s">
        <v>18</v>
      </c>
      <c r="H4110" s="1" t="s">
        <v>19</v>
      </c>
      <c r="I4110" s="1" t="s">
        <v>20</v>
      </c>
      <c r="J4110" s="1" t="s">
        <v>18417</v>
      </c>
      <c r="K4110" s="1" t="s">
        <v>22</v>
      </c>
      <c r="L4110" s="1" t="str">
        <f>HYPERLINK("https://files.afu.se/Downloads/Transcripts/0%20-%20Government/USA%20-%20NASA/2011 06 23 - NASA - STS-135 Crew Undergoes Emergency Exit Training_TRgocJcABco - transcript (automated).pdf","Transcript Link")</f>
        <v>Transcript Link</v>
      </c>
      <c r="M4110" s="2" t="str">
        <f>HYPERLINK("https://files.afu.se/Downloads/Transcripts/0%20-%20Government/USA%20-%20NASA/2011 06 23 - NASA - STS-135 Crew Undergoes Emergency Exit Training_TRgocJcABco - transcript (automated).pdf","Transcript Link")</f>
        <v>Transcript Link</v>
      </c>
    </row>
    <row r="4111" ht="165" spans="1:13">
      <c r="A4111" s="1" t="s">
        <v>18418</v>
      </c>
      <c r="B4111" s="1" t="s">
        <v>13</v>
      </c>
      <c r="C4111" s="4" t="s">
        <v>18419</v>
      </c>
      <c r="D4111" s="1" t="s">
        <v>18420</v>
      </c>
      <c r="E4111" s="1" t="s">
        <v>18421</v>
      </c>
      <c r="F4111" s="4" t="s">
        <v>17</v>
      </c>
      <c r="G4111" s="1" t="s">
        <v>18</v>
      </c>
      <c r="H4111" s="1" t="s">
        <v>19</v>
      </c>
      <c r="I4111" s="1" t="s">
        <v>20</v>
      </c>
      <c r="J4111" s="1" t="s">
        <v>18422</v>
      </c>
      <c r="K4111" s="1" t="s">
        <v>22</v>
      </c>
      <c r="L4111" s="1" t="str">
        <f>HYPERLINK("https://files.afu.se/Downloads/Transcripts/0%20-%20Government/USA%20-%20NASA/2011 06 22 - NASA - Final Shuttle Crew Meets Media_CKW1UvKmRqM - transcript (automated).pdf","Transcript Link")</f>
        <v>Transcript Link</v>
      </c>
      <c r="M4111" s="2" t="str">
        <f>HYPERLINK("https://files.afu.se/Downloads/Transcripts/0%20-%20Government/USA%20-%20NASA/2011 06 22 - NASA - Final Shuttle Crew Meets Media_CKW1UvKmRqM - transcript (automated).pdf","Transcript Link")</f>
        <v>Transcript Link</v>
      </c>
    </row>
    <row r="4112" ht="165" spans="1:13">
      <c r="A4112" s="1" t="s">
        <v>18423</v>
      </c>
      <c r="B4112" s="1" t="s">
        <v>13</v>
      </c>
      <c r="C4112" s="4" t="s">
        <v>18424</v>
      </c>
      <c r="D4112" s="1" t="s">
        <v>18425</v>
      </c>
      <c r="E4112" s="1" t="s">
        <v>18426</v>
      </c>
      <c r="F4112" s="4" t="s">
        <v>17</v>
      </c>
      <c r="G4112" s="1" t="s">
        <v>18</v>
      </c>
      <c r="H4112" s="1" t="s">
        <v>19</v>
      </c>
      <c r="I4112" s="1" t="s">
        <v>20</v>
      </c>
      <c r="J4112" s="1" t="s">
        <v>18427</v>
      </c>
      <c r="K4112" s="1" t="s">
        <v>22</v>
      </c>
      <c r="L4112" s="1" t="str">
        <f>HYPERLINK("https://files.afu.se/Downloads/Transcripts/0%20-%20Government/USA%20-%20NASA/2011 06 21 - NASA - Landing the Soyuz_8IZvzs4YzzI - transcript (automated).pdf","Transcript Link")</f>
        <v>Transcript Link</v>
      </c>
      <c r="M4112" s="2" t="str">
        <f>HYPERLINK("https://files.afu.se/Downloads/Transcripts/0%20-%20Government/USA%20-%20NASA/2011 06 21 - NASA - Landing the Soyuz_8IZvzs4YzzI - transcript (automated).pdf","Transcript Link")</f>
        <v>Transcript Link</v>
      </c>
    </row>
    <row r="4113" ht="240" spans="1:13">
      <c r="A4113" s="1" t="s">
        <v>18423</v>
      </c>
      <c r="B4113" s="1" t="s">
        <v>13</v>
      </c>
      <c r="C4113" s="4" t="s">
        <v>18428</v>
      </c>
      <c r="D4113" s="1" t="s">
        <v>18429</v>
      </c>
      <c r="E4113" s="1" t="s">
        <v>18430</v>
      </c>
      <c r="F4113" s="4" t="s">
        <v>17</v>
      </c>
      <c r="G4113" s="1" t="s">
        <v>18</v>
      </c>
      <c r="H4113" s="1" t="s">
        <v>19</v>
      </c>
      <c r="I4113" s="1" t="s">
        <v>20</v>
      </c>
      <c r="J4113" s="1" t="s">
        <v>18431</v>
      </c>
      <c r="K4113" s="1" t="s">
        <v>22</v>
      </c>
      <c r="L4113" s="1" t="str">
        <f>HYPERLINK("https://files.afu.se/Downloads/Transcripts/0%20-%20Government/USA%20-%20NASA/2011 06 21 - NASA - Shuttle's External Tank Scanned; Leaky Valve Replaced_Kux0Jc53hj0 - transcript (automated).pdf","Transcript Link")</f>
        <v>Transcript Link</v>
      </c>
      <c r="M4113" s="2" t="str">
        <f>HYPERLINK("https://files.afu.se/Downloads/Transcripts/0%20-%20Government/USA%20-%20NASA/2011 06 21 - NASA - Shuttle's External Tank Scanned; Leaky Valve Replaced_Kux0Jc53hj0 - transcript (automated).pdf","Transcript Link")</f>
        <v>Transcript Link</v>
      </c>
    </row>
    <row r="4114" ht="165" spans="1:13">
      <c r="A4114" s="1" t="s">
        <v>18432</v>
      </c>
      <c r="B4114" s="1" t="s">
        <v>13</v>
      </c>
      <c r="C4114" s="4" t="s">
        <v>18433</v>
      </c>
      <c r="D4114" s="1" t="s">
        <v>18420</v>
      </c>
      <c r="E4114" s="1" t="s">
        <v>18421</v>
      </c>
      <c r="F4114" s="4" t="s">
        <v>17</v>
      </c>
      <c r="G4114" s="1" t="s">
        <v>18</v>
      </c>
      <c r="H4114" s="1" t="s">
        <v>19</v>
      </c>
      <c r="I4114" s="1" t="s">
        <v>20</v>
      </c>
      <c r="J4114" s="1" t="s">
        <v>18434</v>
      </c>
      <c r="K4114" s="1" t="s">
        <v>22</v>
      </c>
      <c r="L4114" s="1" t="str">
        <f>HYPERLINK("https://files.afu.se/Downloads/Transcripts/0%20-%20Government/USA%20-%20NASA/2011 06 20 - NASA - Final Shuttle Crew Meets Media_CbXhAEtsbHA - transcript (automated).pdf","Transcript Link")</f>
        <v>Transcript Link</v>
      </c>
      <c r="M4114" s="2" t="str">
        <f>HYPERLINK("https://files.afu.se/Downloads/Transcripts/0%20-%20Government/USA%20-%20NASA/2011 06 20 - NASA - Final Shuttle Crew Meets Media_CbXhAEtsbHA - transcript (automated).pdf","Transcript Link")</f>
        <v>Transcript Link</v>
      </c>
    </row>
    <row r="4115" ht="165" spans="1:13">
      <c r="A4115" s="1" t="s">
        <v>18435</v>
      </c>
      <c r="B4115" s="1" t="s">
        <v>13</v>
      </c>
      <c r="C4115" s="4" t="s">
        <v>18436</v>
      </c>
      <c r="D4115" s="1" t="s">
        <v>18437</v>
      </c>
      <c r="E4115" s="1" t="s">
        <v>18438</v>
      </c>
      <c r="F4115" s="4" t="s">
        <v>17</v>
      </c>
      <c r="G4115" s="1" t="s">
        <v>18</v>
      </c>
      <c r="H4115" s="1" t="s">
        <v>19</v>
      </c>
      <c r="I4115" s="1" t="s">
        <v>20</v>
      </c>
      <c r="J4115" s="1" t="s">
        <v>18439</v>
      </c>
      <c r="K4115" s="1" t="s">
        <v>22</v>
      </c>
      <c r="L4115" s="1" t="str">
        <f>HYPERLINK("https://files.afu.se/Downloads/Transcripts/0%20-%20Government/USA%20-%20NASA/2011 06 18 - NASA - Rendezvous Sim Conducted by Shuttle and ISS Teams_VMcUN3Bp_b0 - transcript (automated).pdf","Transcript Link")</f>
        <v>Transcript Link</v>
      </c>
      <c r="M4115" s="2" t="str">
        <f>HYPERLINK("https://files.afu.se/Downloads/Transcripts/0%20-%20Government/USA%20-%20NASA/2011 06 18 - NASA - Rendezvous Sim Conducted by Shuttle and ISS Teams_VMcUN3Bp_b0 - transcript (automated).pdf","Transcript Link")</f>
        <v>Transcript Link</v>
      </c>
    </row>
    <row r="4116" ht="165" spans="1:13">
      <c r="A4116" s="1" t="s">
        <v>18440</v>
      </c>
      <c r="B4116" s="1" t="s">
        <v>13</v>
      </c>
      <c r="C4116" s="4" t="s">
        <v>18441</v>
      </c>
      <c r="D4116" s="1" t="s">
        <v>18442</v>
      </c>
      <c r="E4116" s="1" t="s">
        <v>18443</v>
      </c>
      <c r="F4116" s="4" t="s">
        <v>17</v>
      </c>
      <c r="G4116" s="1" t="s">
        <v>18</v>
      </c>
      <c r="H4116" s="1" t="s">
        <v>19</v>
      </c>
      <c r="I4116" s="1" t="s">
        <v>20</v>
      </c>
      <c r="J4116" s="1" t="s">
        <v>18444</v>
      </c>
      <c r="K4116" s="1" t="s">
        <v>22</v>
      </c>
      <c r="L4116" s="1" t="str">
        <f>HYPERLINK("https://files.afu.se/Downloads/Transcripts/0%20-%20Government/USA%20-%20NASA/2011 06 17 - NASA - Black Holes and Mercury on This Week @NASA_uy-zRqdi32E - transcript (automated).pdf","Transcript Link")</f>
        <v>Transcript Link</v>
      </c>
      <c r="M4116" s="2" t="str">
        <f>HYPERLINK("https://files.afu.se/Downloads/Transcripts/0%20-%20Government/USA%20-%20NASA/2011 06 17 - NASA - Black Holes and Mercury on This Week @NASA_uy-zRqdi32E - transcript (automated).pdf","Transcript Link")</f>
        <v>Transcript Link</v>
      </c>
    </row>
    <row r="4117" ht="180" spans="1:13">
      <c r="A4117" s="1" t="s">
        <v>18440</v>
      </c>
      <c r="B4117" s="1" t="s">
        <v>13</v>
      </c>
      <c r="C4117" s="4" t="s">
        <v>18445</v>
      </c>
      <c r="D4117" s="1" t="s">
        <v>18446</v>
      </c>
      <c r="E4117" s="1" t="s">
        <v>18447</v>
      </c>
      <c r="F4117" s="4" t="s">
        <v>17</v>
      </c>
      <c r="G4117" s="1" t="s">
        <v>18</v>
      </c>
      <c r="H4117" s="1" t="s">
        <v>19</v>
      </c>
      <c r="I4117" s="1" t="s">
        <v>20</v>
      </c>
      <c r="J4117" s="1" t="s">
        <v>18448</v>
      </c>
      <c r="K4117" s="1" t="s">
        <v>22</v>
      </c>
      <c r="L4117" s="1" t="str">
        <f>HYPERLINK("https://files.afu.se/Downloads/Transcripts/0%20-%20Government/USA%20-%20NASA/2011 06 17 - NASA - New York Students Call Garan on ISS_i8stQ3m-VD8 - transcript (automated).pdf","Transcript Link")</f>
        <v>Transcript Link</v>
      </c>
      <c r="M4117" s="2" t="str">
        <f>HYPERLINK("https://files.afu.se/Downloads/Transcripts/0%20-%20Government/USA%20-%20NASA/2011 06 17 - NASA - New York Students Call Garan on ISS_i8stQ3m-VD8 - transcript (automated).pdf","Transcript Link")</f>
        <v>Transcript Link</v>
      </c>
    </row>
    <row r="4118" ht="165" spans="1:13">
      <c r="A4118" s="1" t="s">
        <v>18440</v>
      </c>
      <c r="B4118" s="1" t="s">
        <v>13</v>
      </c>
      <c r="C4118" s="4" t="s">
        <v>18449</v>
      </c>
      <c r="D4118" s="1" t="s">
        <v>18450</v>
      </c>
      <c r="E4118" s="1" t="s">
        <v>18451</v>
      </c>
      <c r="F4118" s="4" t="s">
        <v>17</v>
      </c>
      <c r="G4118" s="1" t="s">
        <v>18</v>
      </c>
      <c r="H4118" s="1" t="s">
        <v>19</v>
      </c>
      <c r="I4118" s="1" t="s">
        <v>20</v>
      </c>
      <c r="J4118" s="1" t="s">
        <v>18452</v>
      </c>
      <c r="K4118" s="1" t="s">
        <v>22</v>
      </c>
      <c r="L4118" s="1" t="str">
        <f>HYPERLINK("https://files.afu.se/Downloads/Transcripts/0%20-%20Government/USA%20-%20NASA/2011 06 17 - NASA - STS-135 Crew Meet Media at Johnson_mGvBbZE6EQ0 - transcript (automated).pdf","Transcript Link")</f>
        <v>Transcript Link</v>
      </c>
      <c r="M4118" s="2" t="str">
        <f>HYPERLINK("https://files.afu.se/Downloads/Transcripts/0%20-%20Government/USA%20-%20NASA/2011 06 17 - NASA - STS-135 Crew Meet Media at Johnson_mGvBbZE6EQ0 - transcript (automated).pdf","Transcript Link")</f>
        <v>Transcript Link</v>
      </c>
    </row>
    <row r="4119" ht="165" spans="1:13">
      <c r="A4119" s="1" t="s">
        <v>18440</v>
      </c>
      <c r="B4119" s="1" t="s">
        <v>13</v>
      </c>
      <c r="C4119" s="4" t="s">
        <v>18453</v>
      </c>
      <c r="D4119" s="1" t="s">
        <v>18454</v>
      </c>
      <c r="E4119" s="1" t="s">
        <v>18455</v>
      </c>
      <c r="F4119" s="4" t="s">
        <v>17</v>
      </c>
      <c r="G4119" s="1" t="s">
        <v>18</v>
      </c>
      <c r="H4119" s="1" t="s">
        <v>19</v>
      </c>
      <c r="I4119" s="1" t="s">
        <v>20</v>
      </c>
      <c r="J4119" s="1" t="s">
        <v>18456</v>
      </c>
      <c r="K4119" s="1" t="s">
        <v>22</v>
      </c>
      <c r="L4119" s="1" t="str">
        <f>HYPERLINK("https://files.afu.se/Downloads/Transcripts/0%20-%20Government/USA%20-%20NASA/2011 06 17 - NASA - NASA's MESSENGER Delivers New Pix, Data from Mercury_KAsoNC73uRE - transcript (automated).pdf","Transcript Link")</f>
        <v>Transcript Link</v>
      </c>
      <c r="M4119" s="2" t="str">
        <f>HYPERLINK("https://files.afu.se/Downloads/Transcripts/0%20-%20Government/USA%20-%20NASA/2011 06 17 - NASA - NASA's MESSENGER Delivers New Pix, Data from Mercury_KAsoNC73uRE - transcript (automated).pdf","Transcript Link")</f>
        <v>Transcript Link</v>
      </c>
    </row>
    <row r="4120" ht="165" spans="1:13">
      <c r="A4120" s="1" t="s">
        <v>18457</v>
      </c>
      <c r="B4120" s="1" t="s">
        <v>13</v>
      </c>
      <c r="C4120" s="4" t="s">
        <v>18458</v>
      </c>
      <c r="D4120" s="1" t="s">
        <v>18459</v>
      </c>
      <c r="E4120" s="1" t="s">
        <v>18460</v>
      </c>
      <c r="F4120" s="4" t="s">
        <v>17</v>
      </c>
      <c r="G4120" s="1" t="s">
        <v>18</v>
      </c>
      <c r="H4120" s="1" t="s">
        <v>19</v>
      </c>
      <c r="I4120" s="1" t="s">
        <v>20</v>
      </c>
      <c r="J4120" s="1" t="s">
        <v>18461</v>
      </c>
      <c r="K4120" s="1" t="s">
        <v>22</v>
      </c>
      <c r="L4120" s="1" t="str">
        <f>HYPERLINK("https://files.afu.se/Downloads/Transcripts/0%20-%20Government/USA%20-%20NASA/2011 06 16 - NASA - Raffaello Packed Up for Atlantis' STS-135 Mission_sjJRyFNtzzk - transcript (automated).pdf","Transcript Link")</f>
        <v>Transcript Link</v>
      </c>
      <c r="M4120" s="2" t="str">
        <f>HYPERLINK("https://files.afu.se/Downloads/Transcripts/0%20-%20Government/USA%20-%20NASA/2011 06 16 - NASA - Raffaello Packed Up for Atlantis' STS-135 Mission_sjJRyFNtzzk - transcript (automated).pdf","Transcript Link")</f>
        <v>Transcript Link</v>
      </c>
    </row>
    <row r="4121" ht="165" spans="1:13">
      <c r="A4121" s="1" t="s">
        <v>18462</v>
      </c>
      <c r="B4121" s="1" t="s">
        <v>13</v>
      </c>
      <c r="C4121" s="4" t="s">
        <v>18463</v>
      </c>
      <c r="D4121" s="1" t="s">
        <v>18464</v>
      </c>
      <c r="E4121" s="1" t="s">
        <v>18465</v>
      </c>
      <c r="F4121" s="4" t="s">
        <v>17</v>
      </c>
      <c r="G4121" s="1" t="s">
        <v>18</v>
      </c>
      <c r="H4121" s="1" t="s">
        <v>19</v>
      </c>
      <c r="I4121" s="1" t="s">
        <v>20</v>
      </c>
      <c r="J4121" s="1" t="s">
        <v>18466</v>
      </c>
      <c r="K4121" s="1" t="s">
        <v>22</v>
      </c>
      <c r="L4121" s="1" t="str">
        <f>HYPERLINK("https://files.afu.se/Downloads/Transcripts/0%20-%20Government/USA%20-%20NASA/2011 06 15 - NASA - Chandra Sheds Light on Black Holes_k28G6jLx24A - transcript (automated).pdf","Transcript Link")</f>
        <v>Transcript Link</v>
      </c>
      <c r="M4121" s="2" t="str">
        <f>HYPERLINK("https://files.afu.se/Downloads/Transcripts/0%20-%20Government/USA%20-%20NASA/2011 06 15 - NASA - Chandra Sheds Light on Black Holes_k28G6jLx24A - transcript (automated).pdf","Transcript Link")</f>
        <v>Transcript Link</v>
      </c>
    </row>
    <row r="4122" ht="165" spans="1:13">
      <c r="A4122" s="1" t="s">
        <v>18467</v>
      </c>
      <c r="B4122" s="1" t="s">
        <v>13</v>
      </c>
      <c r="C4122" s="4" t="s">
        <v>18468</v>
      </c>
      <c r="D4122" s="1" t="s">
        <v>18469</v>
      </c>
      <c r="E4122" s="1" t="s">
        <v>18470</v>
      </c>
      <c r="F4122" s="4" t="s">
        <v>17</v>
      </c>
      <c r="G4122" s="1" t="s">
        <v>18</v>
      </c>
      <c r="H4122" s="1" t="s">
        <v>19</v>
      </c>
      <c r="I4122" s="1" t="s">
        <v>20</v>
      </c>
      <c r="J4122" s="1" t="s">
        <v>18471</v>
      </c>
      <c r="K4122" s="1" t="s">
        <v>22</v>
      </c>
      <c r="L4122" s="1" t="str">
        <f>HYPERLINK("https://files.afu.se/Downloads/Transcripts/0%20-%20Government/USA%20-%20NASA/2011 06 14 - NASA - NASA Spacecraft Captures Video of Asteroid Approach_elel_HBHSV0 - transcript (automated).pdf","Transcript Link")</f>
        <v>Transcript Link</v>
      </c>
      <c r="M4122" s="2" t="str">
        <f>HYPERLINK("https://files.afu.se/Downloads/Transcripts/0%20-%20Government/USA%20-%20NASA/2011 06 14 - NASA - NASA Spacecraft Captures Video of Asteroid Approach_elel_HBHSV0 - transcript (automated).pdf","Transcript Link")</f>
        <v>Transcript Link</v>
      </c>
    </row>
    <row r="4123" ht="165" spans="1:13">
      <c r="A4123" s="1" t="s">
        <v>18472</v>
      </c>
      <c r="B4123" s="1" t="s">
        <v>13</v>
      </c>
      <c r="C4123" s="4" t="s">
        <v>18473</v>
      </c>
      <c r="D4123" s="1" t="s">
        <v>18474</v>
      </c>
      <c r="E4123" s="1" t="s">
        <v>18475</v>
      </c>
      <c r="F4123" s="4" t="s">
        <v>17</v>
      </c>
      <c r="G4123" s="1" t="s">
        <v>18</v>
      </c>
      <c r="H4123" s="1" t="s">
        <v>19</v>
      </c>
      <c r="I4123" s="1" t="s">
        <v>20</v>
      </c>
      <c r="J4123" s="1" t="s">
        <v>18476</v>
      </c>
      <c r="K4123" s="1" t="s">
        <v>22</v>
      </c>
      <c r="L4123" s="1" t="str">
        <f>HYPERLINK("https://files.afu.se/Downloads/Transcripts/0%20-%20Government/USA%20-%20NASA/2011 06 13 - NASA - Successful Aquarius SAC-D Liftoff Excites Mission Team_0w2umL6OYNk - transcript (automated).pdf","Transcript Link")</f>
        <v>Transcript Link</v>
      </c>
      <c r="M4123" s="2" t="str">
        <f>HYPERLINK("https://files.afu.se/Downloads/Transcripts/0%20-%20Government/USA%20-%20NASA/2011 06 13 - NASA - Successful Aquarius SAC-D Liftoff Excites Mission Team_0w2umL6OYNk - transcript (automated).pdf","Transcript Link")</f>
        <v>Transcript Link</v>
      </c>
    </row>
    <row r="4124" ht="165" spans="1:13">
      <c r="A4124" s="1" t="s">
        <v>18472</v>
      </c>
      <c r="B4124" s="1" t="s">
        <v>13</v>
      </c>
      <c r="C4124" s="4" t="s">
        <v>18477</v>
      </c>
      <c r="D4124" s="1" t="s">
        <v>18478</v>
      </c>
      <c r="E4124" s="1" t="s">
        <v>18479</v>
      </c>
      <c r="F4124" s="4" t="s">
        <v>17</v>
      </c>
      <c r="G4124" s="1" t="s">
        <v>18</v>
      </c>
      <c r="H4124" s="1" t="s">
        <v>19</v>
      </c>
      <c r="I4124" s="1" t="s">
        <v>20</v>
      </c>
      <c r="J4124" s="1" t="s">
        <v>18480</v>
      </c>
      <c r="K4124" s="1" t="s">
        <v>22</v>
      </c>
      <c r="L4124" s="1" t="str">
        <f>HYPERLINK("https://files.afu.se/Downloads/Transcripts/0%20-%20Government/USA%20-%20NASA/2011 06 13 - NASA - Scientists Await Aquarius SAC-D Launch_nMBTnYEsw6k - transcript (automated).pdf","Transcript Link")</f>
        <v>Transcript Link</v>
      </c>
      <c r="M4124" s="2" t="str">
        <f>HYPERLINK("https://files.afu.se/Downloads/Transcripts/0%20-%20Government/USA%20-%20NASA/2011 06 13 - NASA - Scientists Await Aquarius SAC-D Launch_nMBTnYEsw6k - transcript (automated).pdf","Transcript Link")</f>
        <v>Transcript Link</v>
      </c>
    </row>
    <row r="4125" ht="210" spans="1:13">
      <c r="A4125" s="1" t="s">
        <v>18481</v>
      </c>
      <c r="B4125" s="1" t="s">
        <v>13</v>
      </c>
      <c r="C4125" s="4" t="s">
        <v>18482</v>
      </c>
      <c r="D4125" s="1" t="s">
        <v>18483</v>
      </c>
      <c r="E4125" s="1" t="s">
        <v>18484</v>
      </c>
      <c r="F4125" s="4" t="s">
        <v>17</v>
      </c>
      <c r="G4125" s="1" t="s">
        <v>18</v>
      </c>
      <c r="H4125" s="1" t="s">
        <v>19</v>
      </c>
      <c r="I4125" s="1" t="s">
        <v>20</v>
      </c>
      <c r="J4125" s="1" t="s">
        <v>18485</v>
      </c>
      <c r="K4125" s="1" t="s">
        <v>22</v>
      </c>
      <c r="L4125" s="1" t="str">
        <f>HYPERLINK("https://files.afu.se/Downloads/Transcripts/0%20-%20Government/USA%20-%20NASA/2011 06 10 - NASA - Two Launches Top This Week @NASA_5lGq5dQ2a-A - transcript (automated).pdf","Transcript Link")</f>
        <v>Transcript Link</v>
      </c>
      <c r="M4125" s="2" t="str">
        <f>HYPERLINK("https://files.afu.se/Downloads/Transcripts/0%20-%20Government/USA%20-%20NASA/2011 06 10 - NASA - Two Launches Top This Week @NASA_5lGq5dQ2a-A - transcript (automated).pdf","Transcript Link")</f>
        <v>Transcript Link</v>
      </c>
    </row>
    <row r="4126" ht="165" spans="1:13">
      <c r="A4126" s="1" t="s">
        <v>18481</v>
      </c>
      <c r="B4126" s="1" t="s">
        <v>13</v>
      </c>
      <c r="C4126" s="4" t="s">
        <v>18486</v>
      </c>
      <c r="D4126" s="1" t="s">
        <v>18487</v>
      </c>
      <c r="E4126" s="1" t="s">
        <v>18488</v>
      </c>
      <c r="F4126" s="4" t="s">
        <v>17</v>
      </c>
      <c r="G4126" s="1" t="s">
        <v>18</v>
      </c>
      <c r="H4126" s="1" t="s">
        <v>19</v>
      </c>
      <c r="I4126" s="1" t="s">
        <v>20</v>
      </c>
      <c r="J4126" s="1" t="s">
        <v>18489</v>
      </c>
      <c r="K4126" s="1" t="s">
        <v>22</v>
      </c>
      <c r="L4126" s="1" t="str">
        <f>HYPERLINK("https://files.afu.se/Downloads/Transcripts/0%20-%20Government/USA%20-%20NASA/2011 06 10 - NASA - Aquarius to Study Ocean Salinity_idRwRcDapgg - transcript (automated).pdf","Transcript Link")</f>
        <v>Transcript Link</v>
      </c>
      <c r="M4126" s="2" t="str">
        <f>HYPERLINK("https://files.afu.se/Downloads/Transcripts/0%20-%20Government/USA%20-%20NASA/2011 06 10 - NASA - Aquarius to Study Ocean Salinity_idRwRcDapgg - transcript (automated).pdf","Transcript Link")</f>
        <v>Transcript Link</v>
      </c>
    </row>
    <row r="4127" ht="165" spans="1:13">
      <c r="A4127" s="1" t="s">
        <v>18481</v>
      </c>
      <c r="B4127" s="1" t="s">
        <v>13</v>
      </c>
      <c r="C4127" s="4" t="s">
        <v>18490</v>
      </c>
      <c r="D4127" s="1" t="s">
        <v>18491</v>
      </c>
      <c r="E4127" s="1" t="s">
        <v>18492</v>
      </c>
      <c r="F4127" s="4" t="s">
        <v>17</v>
      </c>
      <c r="G4127" s="1" t="s">
        <v>18</v>
      </c>
      <c r="H4127" s="1" t="s">
        <v>19</v>
      </c>
      <c r="I4127" s="1" t="s">
        <v>20</v>
      </c>
      <c r="J4127" s="1" t="s">
        <v>18493</v>
      </c>
      <c r="K4127" s="1" t="s">
        <v>22</v>
      </c>
      <c r="L4127" s="1" t="str">
        <f>HYPERLINK("https://files.afu.se/Downloads/Transcripts/0%20-%20Government/USA%20-%20NASA/2011 06 10 - NASA - Red Carpet Rolled Out at Space Station_aMiP-D4SJZQ - transcript (automated).pdf","Transcript Link")</f>
        <v>Transcript Link</v>
      </c>
      <c r="M4127" s="2" t="str">
        <f>HYPERLINK("https://files.afu.se/Downloads/Transcripts/0%20-%20Government/USA%20-%20NASA/2011 06 10 - NASA - Red Carpet Rolled Out at Space Station_aMiP-D4SJZQ - transcript (automated).pdf","Transcript Link")</f>
        <v>Transcript Link</v>
      </c>
    </row>
    <row r="4128" ht="165" spans="1:13">
      <c r="A4128" s="1" t="s">
        <v>18481</v>
      </c>
      <c r="B4128" s="1" t="s">
        <v>13</v>
      </c>
      <c r="C4128" s="4" t="s">
        <v>18494</v>
      </c>
      <c r="D4128" s="1" t="s">
        <v>18495</v>
      </c>
      <c r="E4128" s="1" t="s">
        <v>18496</v>
      </c>
      <c r="F4128" s="4" t="s">
        <v>17</v>
      </c>
      <c r="G4128" s="1" t="s">
        <v>18</v>
      </c>
      <c r="H4128" s="1" t="s">
        <v>19</v>
      </c>
      <c r="I4128" s="1" t="s">
        <v>20</v>
      </c>
      <c r="J4128" s="1" t="s">
        <v>18497</v>
      </c>
      <c r="K4128" s="1" t="s">
        <v>22</v>
      </c>
      <c r="L4128" s="1" t="str">
        <f>HYPERLINK("https://files.afu.se/Downloads/Transcripts/0%20-%20Government/USA%20-%20NASA/2011 06 10 - NASA - New Residents Welcomed to Station_W2moU4Djzbk - transcript (automated).pdf","Transcript Link")</f>
        <v>Transcript Link</v>
      </c>
      <c r="M4128" s="2" t="str">
        <f>HYPERLINK("https://files.afu.se/Downloads/Transcripts/0%20-%20Government/USA%20-%20NASA/2011 06 10 - NASA - New Residents Welcomed to Station_W2moU4Djzbk - transcript (automated).pdf","Transcript Link")</f>
        <v>Transcript Link</v>
      </c>
    </row>
    <row r="4129" ht="165" spans="1:13">
      <c r="A4129" s="1" t="s">
        <v>18498</v>
      </c>
      <c r="B4129" s="1" t="s">
        <v>13</v>
      </c>
      <c r="C4129" s="4" t="s">
        <v>18499</v>
      </c>
      <c r="D4129" s="1" t="s">
        <v>18500</v>
      </c>
      <c r="E4129" s="1" t="s">
        <v>18501</v>
      </c>
      <c r="F4129" s="4" t="s">
        <v>17</v>
      </c>
      <c r="G4129" s="1" t="s">
        <v>18</v>
      </c>
      <c r="H4129" s="1" t="s">
        <v>19</v>
      </c>
      <c r="I4129" s="1" t="s">
        <v>20</v>
      </c>
      <c r="J4129" s="1" t="s">
        <v>18502</v>
      </c>
      <c r="K4129" s="1" t="s">
        <v>22</v>
      </c>
      <c r="L4129" s="1" t="str">
        <f>HYPERLINK("https://files.afu.se/Downloads/Transcripts/0%20-%20Government/USA%20-%20NASA/2011 06 09 - NASA - Expedition 28's Soyuz Docks to ISS_64jml5rxKr0 - transcript (automated).pdf","Transcript Link")</f>
        <v>Transcript Link</v>
      </c>
      <c r="M4129" s="2" t="str">
        <f>HYPERLINK("https://files.afu.se/Downloads/Transcripts/0%20-%20Government/USA%20-%20NASA/2011 06 09 - NASA - Expedition 28's Soyuz Docks to ISS_64jml5rxKr0 - transcript (automated).pdf","Transcript Link")</f>
        <v>Transcript Link</v>
      </c>
    </row>
    <row r="4130" ht="165" spans="1:13">
      <c r="A4130" s="1" t="s">
        <v>18498</v>
      </c>
      <c r="B4130" s="1" t="s">
        <v>13</v>
      </c>
      <c r="C4130" s="4" t="s">
        <v>18503</v>
      </c>
      <c r="D4130" s="1" t="s">
        <v>18504</v>
      </c>
      <c r="E4130" s="1" t="s">
        <v>18505</v>
      </c>
      <c r="F4130" s="4" t="s">
        <v>17</v>
      </c>
      <c r="G4130" s="1" t="s">
        <v>18</v>
      </c>
      <c r="H4130" s="1" t="s">
        <v>19</v>
      </c>
      <c r="I4130" s="1" t="s">
        <v>20</v>
      </c>
      <c r="J4130" s="1" t="s">
        <v>18506</v>
      </c>
      <c r="K4130" s="1" t="s">
        <v>22</v>
      </c>
      <c r="L4130" s="1" t="str">
        <f>HYPERLINK("https://files.afu.se/Downloads/Transcripts/0%20-%20Government/USA%20-%20NASA/2011 06 09 - NASA - Endeavour at Station   The Scene from Soyuz_g-fCkzHkn3c - transcript (automated).pdf","Transcript Link")</f>
        <v>Transcript Link</v>
      </c>
      <c r="M4130" s="2" t="str">
        <f>HYPERLINK("https://files.afu.se/Downloads/Transcripts/0%20-%20Government/USA%20-%20NASA/2011 06 09 - NASA - Endeavour at Station   The Scene from Soyuz_g-fCkzHkn3c - transcript (automated).pdf","Transcript Link")</f>
        <v>Transcript Link</v>
      </c>
    </row>
    <row r="4131" ht="165" spans="1:13">
      <c r="A4131" s="1" t="s">
        <v>18507</v>
      </c>
      <c r="B4131" s="1" t="s">
        <v>13</v>
      </c>
      <c r="C4131" s="4" t="s">
        <v>18508</v>
      </c>
      <c r="D4131" s="1" t="s">
        <v>18509</v>
      </c>
      <c r="E4131" s="1" t="s">
        <v>18510</v>
      </c>
      <c r="F4131" s="4" t="s">
        <v>17</v>
      </c>
      <c r="G4131" s="1" t="s">
        <v>18</v>
      </c>
      <c r="H4131" s="1" t="s">
        <v>19</v>
      </c>
      <c r="I4131" s="1" t="s">
        <v>20</v>
      </c>
      <c r="J4131" s="1" t="s">
        <v>18511</v>
      </c>
      <c r="K4131" s="1" t="s">
        <v>22</v>
      </c>
      <c r="L4131" s="1" t="str">
        <f>HYPERLINK("https://files.afu.se/Downloads/Transcripts/0%20-%20Government/USA%20-%20NASA/2011 06 08 - NASA - Unique Video Shows Shuttle Endeavour at ISS_iOLh3Vxk0HM - transcript (automated).pdf","Transcript Link")</f>
        <v>Transcript Link</v>
      </c>
      <c r="M4131" s="2" t="str">
        <f>HYPERLINK("https://files.afu.se/Downloads/Transcripts/0%20-%20Government/USA%20-%20NASA/2011 06 08 - NASA - Unique Video Shows Shuttle Endeavour at ISS_iOLh3Vxk0HM - transcript (automated).pdf","Transcript Link")</f>
        <v>Transcript Link</v>
      </c>
    </row>
    <row r="4132" ht="165" spans="1:13">
      <c r="A4132" s="1" t="s">
        <v>18507</v>
      </c>
      <c r="B4132" s="1" t="s">
        <v>13</v>
      </c>
      <c r="C4132" s="4" t="s">
        <v>18512</v>
      </c>
      <c r="D4132" s="1" t="s">
        <v>18513</v>
      </c>
      <c r="E4132" s="1" t="s">
        <v>18514</v>
      </c>
      <c r="F4132" s="4" t="s">
        <v>17</v>
      </c>
      <c r="G4132" s="1" t="s">
        <v>18</v>
      </c>
      <c r="H4132" s="1" t="s">
        <v>19</v>
      </c>
      <c r="I4132" s="1" t="s">
        <v>20</v>
      </c>
      <c r="J4132" s="1" t="s">
        <v>18515</v>
      </c>
      <c r="K4132" s="1" t="s">
        <v>22</v>
      </c>
      <c r="L4132" s="1" t="str">
        <f>HYPERLINK("https://files.afu.se/Downloads/Transcripts/0%20-%20Government/USA%20-%20NASA/2011 06 08 - NASA - Expedition 28 Trio on Way to ISS_z27GRH23nkw - transcript (automated).pdf","Transcript Link")</f>
        <v>Transcript Link</v>
      </c>
      <c r="M4132" s="2" t="str">
        <f>HYPERLINK("https://files.afu.se/Downloads/Transcripts/0%20-%20Government/USA%20-%20NASA/2011 06 08 - NASA - Expedition 28 Trio on Way to ISS_z27GRH23nkw - transcript (automated).pdf","Transcript Link")</f>
        <v>Transcript Link</v>
      </c>
    </row>
    <row r="4133" ht="165" spans="1:13">
      <c r="A4133" s="1" t="s">
        <v>18507</v>
      </c>
      <c r="B4133" s="1" t="s">
        <v>13</v>
      </c>
      <c r="C4133" s="4" t="s">
        <v>18516</v>
      </c>
      <c r="D4133" s="1" t="s">
        <v>18517</v>
      </c>
      <c r="E4133" s="1" t="s">
        <v>18517</v>
      </c>
      <c r="F4133" s="4" t="s">
        <v>17</v>
      </c>
      <c r="G4133" s="1" t="s">
        <v>18</v>
      </c>
      <c r="H4133" s="1" t="s">
        <v>19</v>
      </c>
      <c r="I4133" s="1" t="s">
        <v>20</v>
      </c>
      <c r="J4133" s="1" t="s">
        <v>18518</v>
      </c>
      <c r="K4133" s="1" t="s">
        <v>22</v>
      </c>
      <c r="L4133" s="1" t="str">
        <f>HYPERLINK("https://files.afu.se/Downloads/Transcripts/0%20-%20Government/USA%20-%20NASA/2011 06 08 - NASA - Exp 28 Pre-Launch &amp; Launch_0yZLP32ehRE - transcript (automated).pdf","Transcript Link")</f>
        <v>Transcript Link</v>
      </c>
      <c r="M4133" s="2" t="str">
        <f>HYPERLINK("https://files.afu.se/Downloads/Transcripts/0%20-%20Government/USA%20-%20NASA/2011 06 08 - NASA - Exp 28 Pre-Launch &amp; Launch_0yZLP32ehRE - transcript (automated).pdf","Transcript Link")</f>
        <v>Transcript Link</v>
      </c>
    </row>
    <row r="4134" ht="165" spans="1:13">
      <c r="A4134" s="1" t="s">
        <v>18519</v>
      </c>
      <c r="B4134" s="1" t="s">
        <v>13</v>
      </c>
      <c r="C4134" s="4" t="s">
        <v>18520</v>
      </c>
      <c r="D4134" s="1" t="s">
        <v>18521</v>
      </c>
      <c r="E4134" s="1" t="s">
        <v>18522</v>
      </c>
      <c r="F4134" s="4" t="s">
        <v>17</v>
      </c>
      <c r="G4134" s="1" t="s">
        <v>18</v>
      </c>
      <c r="H4134" s="1" t="s">
        <v>19</v>
      </c>
      <c r="I4134" s="1" t="s">
        <v>20</v>
      </c>
      <c r="J4134" s="1" t="s">
        <v>18523</v>
      </c>
      <c r="K4134" s="1" t="s">
        <v>22</v>
      </c>
      <c r="L4134" s="1" t="str">
        <f>HYPERLINK("https://files.afu.se/Downloads/Transcripts/0%20-%20Government/USA%20-%20NASA/2011 06 07 - NASA - Fossum and Crewmates Liftoff for Station_r_If7LyjyXo - transcript (automated).pdf","Transcript Link")</f>
        <v>Transcript Link</v>
      </c>
      <c r="M4134" s="2" t="str">
        <f>HYPERLINK("https://files.afu.se/Downloads/Transcripts/0%20-%20Government/USA%20-%20NASA/2011 06 07 - NASA - Fossum and Crewmates Liftoff for Station_r_If7LyjyXo - transcript (automated).pdf","Transcript Link")</f>
        <v>Transcript Link</v>
      </c>
    </row>
    <row r="4135" ht="165" spans="1:13">
      <c r="A4135" s="1" t="s">
        <v>18519</v>
      </c>
      <c r="B4135" s="1" t="s">
        <v>13</v>
      </c>
      <c r="C4135" s="4" t="s">
        <v>18524</v>
      </c>
      <c r="D4135" s="1" t="s">
        <v>18525</v>
      </c>
      <c r="E4135" s="1" t="s">
        <v>18526</v>
      </c>
      <c r="F4135" s="4" t="s">
        <v>17</v>
      </c>
      <c r="G4135" s="1" t="s">
        <v>18</v>
      </c>
      <c r="H4135" s="1" t="s">
        <v>19</v>
      </c>
      <c r="I4135" s="1" t="s">
        <v>20</v>
      </c>
      <c r="J4135" s="1" t="s">
        <v>18527</v>
      </c>
      <c r="K4135" s="1" t="s">
        <v>22</v>
      </c>
      <c r="L4135" s="1" t="str">
        <f>HYPERLINK("https://files.afu.se/Downloads/Transcripts/0%20-%20Government/USA%20-%20NASA/2011 06 07 - NASA - Soyuz Crew Ready for Launch_vV61OoU-r3M - transcript (automated).pdf","Transcript Link")</f>
        <v>Transcript Link</v>
      </c>
      <c r="M4135" s="2" t="str">
        <f>HYPERLINK("https://files.afu.se/Downloads/Transcripts/0%20-%20Government/USA%20-%20NASA/2011 06 07 - NASA - Soyuz Crew Ready for Launch_vV61OoU-r3M - transcript (automated).pdf","Transcript Link")</f>
        <v>Transcript Link</v>
      </c>
    </row>
    <row r="4136" ht="165" spans="1:13">
      <c r="A4136" s="1" t="s">
        <v>18519</v>
      </c>
      <c r="B4136" s="1" t="s">
        <v>13</v>
      </c>
      <c r="C4136" s="4" t="s">
        <v>18528</v>
      </c>
      <c r="D4136" s="1" t="s">
        <v>18529</v>
      </c>
      <c r="E4136" s="1" t="s">
        <v>18530</v>
      </c>
      <c r="F4136" s="4" t="s">
        <v>17</v>
      </c>
      <c r="G4136" s="1" t="s">
        <v>18</v>
      </c>
      <c r="H4136" s="1" t="s">
        <v>19</v>
      </c>
      <c r="I4136" s="1" t="s">
        <v>20</v>
      </c>
      <c r="J4136" s="1" t="s">
        <v>18531</v>
      </c>
      <c r="K4136" s="1" t="s">
        <v>22</v>
      </c>
      <c r="L4136" s="1" t="str">
        <f>HYPERLINK("https://files.afu.se/Downloads/Transcripts/0%20-%20Government/USA%20-%20NASA/2011 06 07 - NASA - Fossum's Final Soyuz Checkouts_GEsg50IlmBM - transcript (automated).pdf","Transcript Link")</f>
        <v>Transcript Link</v>
      </c>
      <c r="M4136" s="2" t="str">
        <f>HYPERLINK("https://files.afu.se/Downloads/Transcripts/0%20-%20Government/USA%20-%20NASA/2011 06 07 - NASA - Fossum's Final Soyuz Checkouts_GEsg50IlmBM - transcript (automated).pdf","Transcript Link")</f>
        <v>Transcript Link</v>
      </c>
    </row>
    <row r="4137" ht="165" spans="1:13">
      <c r="A4137" s="1" t="s">
        <v>18532</v>
      </c>
      <c r="B4137" s="1" t="s">
        <v>13</v>
      </c>
      <c r="C4137" s="4" t="s">
        <v>18533</v>
      </c>
      <c r="D4137" s="1" t="s">
        <v>18534</v>
      </c>
      <c r="E4137" s="1" t="s">
        <v>18535</v>
      </c>
      <c r="F4137" s="4" t="s">
        <v>17</v>
      </c>
      <c r="G4137" s="1" t="s">
        <v>18</v>
      </c>
      <c r="H4137" s="1" t="s">
        <v>19</v>
      </c>
      <c r="I4137" s="1" t="s">
        <v>20</v>
      </c>
      <c r="J4137" s="1" t="s">
        <v>18536</v>
      </c>
      <c r="K4137" s="1" t="s">
        <v>22</v>
      </c>
      <c r="L4137" s="1" t="str">
        <f>HYPERLINK("https://files.afu.se/Downloads/Transcripts/0%20-%20Government/USA%20-%20NASA/2011 06 06 - NASA - Baikonur Hosts Pre-Launch News Conference with Soyuz Crew_HMSoqSfEgS0 - transcript (automated).pdf","Transcript Link")</f>
        <v>Transcript Link</v>
      </c>
      <c r="M4137" s="2" t="str">
        <f>HYPERLINK("https://files.afu.se/Downloads/Transcripts/0%20-%20Government/USA%20-%20NASA/2011 06 06 - NASA - Baikonur Hosts Pre-Launch News Conference with Soyuz Crew_HMSoqSfEgS0 - transcript (automated).pdf","Transcript Link")</f>
        <v>Transcript Link</v>
      </c>
    </row>
    <row r="4138" ht="165" spans="1:13">
      <c r="A4138" s="1" t="s">
        <v>18532</v>
      </c>
      <c r="B4138" s="1" t="s">
        <v>13</v>
      </c>
      <c r="C4138" s="4" t="s">
        <v>18537</v>
      </c>
      <c r="D4138" s="1" t="s">
        <v>18538</v>
      </c>
      <c r="E4138" s="1" t="s">
        <v>18539</v>
      </c>
      <c r="F4138" s="4" t="s">
        <v>17</v>
      </c>
      <c r="G4138" s="1" t="s">
        <v>18</v>
      </c>
      <c r="H4138" s="1" t="s">
        <v>19</v>
      </c>
      <c r="I4138" s="1" t="s">
        <v>20</v>
      </c>
      <c r="J4138" s="1" t="s">
        <v>18540</v>
      </c>
      <c r="K4138" s="1" t="s">
        <v>22</v>
      </c>
      <c r="L4138" s="1" t="str">
        <f>HYPERLINK("https://files.afu.se/Downloads/Transcripts/0%20-%20Government/USA%20-%20NASA/2011 06 06 - NASA - The STS-135 Crew Interviews  Sandy Magnus_3qSlHh23Qto - transcript (automated).pdf","Transcript Link")</f>
        <v>Transcript Link</v>
      </c>
      <c r="M4138" s="2" t="str">
        <f>HYPERLINK("https://files.afu.se/Downloads/Transcripts/0%20-%20Government/USA%20-%20NASA/2011 06 06 - NASA - The STS-135 Crew Interviews  Sandy Magnus_3qSlHh23Qto - transcript (automated).pdf","Transcript Link")</f>
        <v>Transcript Link</v>
      </c>
    </row>
    <row r="4139" ht="165" spans="1:13">
      <c r="A4139" s="1" t="s">
        <v>18532</v>
      </c>
      <c r="B4139" s="1" t="s">
        <v>13</v>
      </c>
      <c r="C4139" s="4" t="s">
        <v>18541</v>
      </c>
      <c r="D4139" s="1" t="s">
        <v>18542</v>
      </c>
      <c r="E4139" s="1" t="s">
        <v>18543</v>
      </c>
      <c r="F4139" s="4" t="s">
        <v>17</v>
      </c>
      <c r="G4139" s="1" t="s">
        <v>18</v>
      </c>
      <c r="H4139" s="1" t="s">
        <v>19</v>
      </c>
      <c r="I4139" s="1" t="s">
        <v>20</v>
      </c>
      <c r="J4139" s="1" t="s">
        <v>18544</v>
      </c>
      <c r="K4139" s="1" t="s">
        <v>22</v>
      </c>
      <c r="L4139" s="1" t="str">
        <f>HYPERLINK("https://files.afu.se/Downloads/Transcripts/0%20-%20Government/USA%20-%20NASA/2011 06 06 - NASA - The STS-135 Crew Interviews  Rex Walheim_Z6N-tkxlfVs - transcript (automated).pdf","Transcript Link")</f>
        <v>Transcript Link</v>
      </c>
      <c r="M4139" s="2" t="str">
        <f>HYPERLINK("https://files.afu.se/Downloads/Transcripts/0%20-%20Government/USA%20-%20NASA/2011 06 06 - NASA - The STS-135 Crew Interviews  Rex Walheim_Z6N-tkxlfVs - transcript (automated).pdf","Transcript Link")</f>
        <v>Transcript Link</v>
      </c>
    </row>
    <row r="4140" ht="165" spans="1:13">
      <c r="A4140" s="1" t="s">
        <v>18545</v>
      </c>
      <c r="B4140" s="1" t="s">
        <v>13</v>
      </c>
      <c r="C4140" s="4" t="s">
        <v>18546</v>
      </c>
      <c r="D4140" s="1" t="s">
        <v>18547</v>
      </c>
      <c r="E4140" s="1" t="s">
        <v>18548</v>
      </c>
      <c r="F4140" s="4" t="s">
        <v>17</v>
      </c>
      <c r="G4140" s="1" t="s">
        <v>18</v>
      </c>
      <c r="H4140" s="1" t="s">
        <v>19</v>
      </c>
      <c r="I4140" s="1" t="s">
        <v>20</v>
      </c>
      <c r="J4140" s="1" t="s">
        <v>18549</v>
      </c>
      <c r="K4140" s="1" t="s">
        <v>22</v>
      </c>
      <c r="L4140" s="1" t="str">
        <f>HYPERLINK("https://files.afu.se/Downloads/Transcripts/0%20-%20Government/USA%20-%20NASA/2011 06 05 - NASA - The STS-135 Crew Interviews  Doug Hurley_bx2hZC6UyO4 - transcript (automated).pdf","Transcript Link")</f>
        <v>Transcript Link</v>
      </c>
      <c r="M4140" s="2" t="str">
        <f>HYPERLINK("https://files.afu.se/Downloads/Transcripts/0%20-%20Government/USA%20-%20NASA/2011 06 05 - NASA - The STS-135 Crew Interviews  Doug Hurley_bx2hZC6UyO4 - transcript (automated).pdf","Transcript Link")</f>
        <v>Transcript Link</v>
      </c>
    </row>
    <row r="4141" ht="165" spans="1:13">
      <c r="A4141" s="1" t="s">
        <v>18545</v>
      </c>
      <c r="B4141" s="1" t="s">
        <v>13</v>
      </c>
      <c r="C4141" s="4" t="s">
        <v>18550</v>
      </c>
      <c r="D4141" s="1" t="s">
        <v>18551</v>
      </c>
      <c r="E4141" s="1" t="s">
        <v>18552</v>
      </c>
      <c r="F4141" s="4" t="s">
        <v>17</v>
      </c>
      <c r="G4141" s="1" t="s">
        <v>18</v>
      </c>
      <c r="H4141" s="1" t="s">
        <v>19</v>
      </c>
      <c r="I4141" s="1" t="s">
        <v>20</v>
      </c>
      <c r="J4141" s="1" t="s">
        <v>18553</v>
      </c>
      <c r="K4141" s="1" t="s">
        <v>22</v>
      </c>
      <c r="L4141" s="1" t="str">
        <f>HYPERLINK("https://files.afu.se/Downloads/Transcripts/0%20-%20Government/USA%20-%20NASA/2011 06 05 - NASA - The STS-135 Crew Interviews  Chris Ferguson_k_dyhxeU44s - transcript (automated).pdf","Transcript Link")</f>
        <v>Transcript Link</v>
      </c>
      <c r="M4141" s="2" t="str">
        <f>HYPERLINK("https://files.afu.se/Downloads/Transcripts/0%20-%20Government/USA%20-%20NASA/2011 06 05 - NASA - The STS-135 Crew Interviews  Chris Ferguson_k_dyhxeU44s - transcript (automated).pdf","Transcript Link")</f>
        <v>Transcript Link</v>
      </c>
    </row>
    <row r="4142" ht="165" spans="1:13">
      <c r="A4142" s="1" t="s">
        <v>18545</v>
      </c>
      <c r="B4142" s="1" t="s">
        <v>13</v>
      </c>
      <c r="C4142" s="4" t="s">
        <v>18554</v>
      </c>
      <c r="D4142" s="1" t="s">
        <v>18555</v>
      </c>
      <c r="E4142" s="1" t="s">
        <v>18556</v>
      </c>
      <c r="F4142" s="4" t="s">
        <v>17</v>
      </c>
      <c r="G4142" s="1" t="s">
        <v>18</v>
      </c>
      <c r="H4142" s="1" t="s">
        <v>19</v>
      </c>
      <c r="I4142" s="1" t="s">
        <v>20</v>
      </c>
      <c r="J4142" s="1" t="s">
        <v>18557</v>
      </c>
      <c r="K4142" s="1" t="s">
        <v>22</v>
      </c>
      <c r="L4142" s="1" t="str">
        <f>HYPERLINK("https://files.afu.se/Downloads/Transcripts/0%20-%20Government/USA%20-%20NASA/2011 06 05 - NASA - Soyuz Readied for Launch to ISS_dWNLussF_lQ - transcript (automated).pdf","Transcript Link")</f>
        <v>Transcript Link</v>
      </c>
      <c r="M4142" s="2" t="str">
        <f>HYPERLINK("https://files.afu.se/Downloads/Transcripts/0%20-%20Government/USA%20-%20NASA/2011 06 05 - NASA - Soyuz Readied for Launch to ISS_dWNLussF_lQ - transcript (automated).pdf","Transcript Link")</f>
        <v>Transcript Link</v>
      </c>
    </row>
    <row r="4143" ht="225" spans="1:13">
      <c r="A4143" s="1" t="s">
        <v>18558</v>
      </c>
      <c r="B4143" s="1" t="s">
        <v>13</v>
      </c>
      <c r="C4143" s="4" t="s">
        <v>18559</v>
      </c>
      <c r="D4143" s="1" t="s">
        <v>18560</v>
      </c>
      <c r="E4143" s="1" t="s">
        <v>18561</v>
      </c>
      <c r="F4143" s="4" t="s">
        <v>17</v>
      </c>
      <c r="G4143" s="1" t="s">
        <v>18</v>
      </c>
      <c r="H4143" s="1" t="s">
        <v>19</v>
      </c>
      <c r="I4143" s="1" t="s">
        <v>20</v>
      </c>
      <c r="J4143" s="1" t="s">
        <v>18562</v>
      </c>
      <c r="K4143" s="1" t="s">
        <v>22</v>
      </c>
      <c r="L4143" s="1" t="str">
        <f>HYPERLINK("https://files.afu.se/Downloads/Transcripts/0%20-%20Government/USA%20-%20NASA/2011 06 03 - NASA - Lunabotics Competition at Kennedy_vAPlT4cExs0 - transcript (automated).pdf","Transcript Link")</f>
        <v>Transcript Link</v>
      </c>
      <c r="M4143" s="2" t="str">
        <f>HYPERLINK("https://files.afu.se/Downloads/Transcripts/0%20-%20Government/USA%20-%20NASA/2011 06 03 - NASA - Lunabotics Competition at Kennedy_vAPlT4cExs0 - transcript (automated).pdf","Transcript Link")</f>
        <v>Transcript Link</v>
      </c>
    </row>
    <row r="4144" ht="165" spans="1:13">
      <c r="A4144" s="1" t="s">
        <v>18558</v>
      </c>
      <c r="B4144" s="1" t="s">
        <v>13</v>
      </c>
      <c r="C4144" s="4" t="s">
        <v>18563</v>
      </c>
      <c r="D4144" s="1" t="s">
        <v>18564</v>
      </c>
      <c r="E4144" s="1" t="s">
        <v>18565</v>
      </c>
      <c r="F4144" s="4" t="s">
        <v>17</v>
      </c>
      <c r="G4144" s="1" t="s">
        <v>18</v>
      </c>
      <c r="H4144" s="1" t="s">
        <v>19</v>
      </c>
      <c r="I4144" s="1" t="s">
        <v>20</v>
      </c>
      <c r="J4144" s="1" t="s">
        <v>18566</v>
      </c>
      <c r="K4144" s="1" t="s">
        <v>22</v>
      </c>
      <c r="L4144" s="1" t="str">
        <f>HYPERLINK("https://files.afu.se/Downloads/Transcripts/0%20-%20Government/USA%20-%20NASA/2011 06 03 - NASA - Fossum and Crewmates Ready for Launch_fbb63fSP14M - transcript (automated).pdf","Transcript Link")</f>
        <v>Transcript Link</v>
      </c>
      <c r="M4144" s="2" t="str">
        <f>HYPERLINK("https://files.afu.se/Downloads/Transcripts/0%20-%20Government/USA%20-%20NASA/2011 06 03 - NASA - Fossum and Crewmates Ready for Launch_fbb63fSP14M - transcript (automated).pdf","Transcript Link")</f>
        <v>Transcript Link</v>
      </c>
    </row>
    <row r="4145" ht="165" spans="1:13">
      <c r="A4145" s="1" t="s">
        <v>18558</v>
      </c>
      <c r="B4145" s="1" t="s">
        <v>13</v>
      </c>
      <c r="C4145" s="4" t="s">
        <v>18567</v>
      </c>
      <c r="D4145" s="1" t="s">
        <v>18568</v>
      </c>
      <c r="E4145" s="1" t="s">
        <v>18569</v>
      </c>
      <c r="F4145" s="4" t="s">
        <v>17</v>
      </c>
      <c r="G4145" s="1" t="s">
        <v>18</v>
      </c>
      <c r="H4145" s="1" t="s">
        <v>19</v>
      </c>
      <c r="I4145" s="1" t="s">
        <v>20</v>
      </c>
      <c r="J4145" s="1" t="s">
        <v>18570</v>
      </c>
      <c r="K4145" s="1" t="s">
        <v>22</v>
      </c>
      <c r="L4145" s="1" t="str">
        <f>HYPERLINK("https://files.afu.se/Downloads/Transcripts/0%20-%20Government/USA%20-%20NASA/2011 06 03 - NASA - Final Shuttle Rollout on This Week @NASA_fUudz3CLJPI - transcript (automated).pdf","Transcript Link")</f>
        <v>Transcript Link</v>
      </c>
      <c r="M4145" s="2" t="str">
        <f>HYPERLINK("https://files.afu.se/Downloads/Transcripts/0%20-%20Government/USA%20-%20NASA/2011 06 03 - NASA - Final Shuttle Rollout on This Week @NASA_fUudz3CLJPI - transcript (automated).pdf","Transcript Link")</f>
        <v>Transcript Link</v>
      </c>
    </row>
    <row r="4146" ht="165" spans="1:13">
      <c r="A4146" s="1" t="s">
        <v>18558</v>
      </c>
      <c r="B4146" s="1" t="s">
        <v>13</v>
      </c>
      <c r="C4146" s="4" t="s">
        <v>18571</v>
      </c>
      <c r="D4146" s="1" t="s">
        <v>18572</v>
      </c>
      <c r="E4146" s="1" t="s">
        <v>18573</v>
      </c>
      <c r="F4146" s="4" t="s">
        <v>17</v>
      </c>
      <c r="G4146" s="1" t="s">
        <v>18</v>
      </c>
      <c r="H4146" s="1" t="s">
        <v>19</v>
      </c>
      <c r="I4146" s="1" t="s">
        <v>20</v>
      </c>
      <c r="J4146" s="1" t="s">
        <v>18574</v>
      </c>
      <c r="K4146" s="1" t="s">
        <v>22</v>
      </c>
      <c r="L4146" s="1" t="str">
        <f>HYPERLINK("https://files.afu.se/Downloads/Transcripts/0%20-%20Government/USA%20-%20NASA/2011 06 03 - NASA - Endeavour Crew Returns Home to Houston_wyzXsed6jgQ - transcript (automated).pdf","Transcript Link")</f>
        <v>Transcript Link</v>
      </c>
      <c r="M4146" s="2" t="str">
        <f>HYPERLINK("https://files.afu.se/Downloads/Transcripts/0%20-%20Government/USA%20-%20NASA/2011 06 03 - NASA - Endeavour Crew Returns Home to Houston_wyzXsed6jgQ - transcript (automated).pdf","Transcript Link")</f>
        <v>Transcript Link</v>
      </c>
    </row>
    <row r="4147" ht="165" spans="1:13">
      <c r="A4147" s="1" t="s">
        <v>18575</v>
      </c>
      <c r="B4147" s="1" t="s">
        <v>13</v>
      </c>
      <c r="C4147" s="4" t="s">
        <v>18576</v>
      </c>
      <c r="D4147" s="1" t="s">
        <v>18577</v>
      </c>
      <c r="E4147" s="1" t="s">
        <v>18578</v>
      </c>
      <c r="F4147" s="4" t="s">
        <v>17</v>
      </c>
      <c r="G4147" s="1" t="s">
        <v>18</v>
      </c>
      <c r="H4147" s="1" t="s">
        <v>19</v>
      </c>
      <c r="I4147" s="1" t="s">
        <v>20</v>
      </c>
      <c r="J4147" s="1" t="s">
        <v>18579</v>
      </c>
      <c r="K4147" s="1" t="s">
        <v>22</v>
      </c>
      <c r="L4147" s="1" t="str">
        <f>HYPERLINK("https://files.afu.se/Downloads/Transcripts/0%20-%20Government/USA%20-%20NASA/2011 06 02 - NASA - Flag Raising Ceremony_wp6U3Di1Btg - transcript (automated).pdf","Transcript Link")</f>
        <v>Transcript Link</v>
      </c>
      <c r="M4147" s="2" t="str">
        <f>HYPERLINK("https://files.afu.se/Downloads/Transcripts/0%20-%20Government/USA%20-%20NASA/2011 06 02 - NASA - Flag Raising Ceremony_wp6U3Di1Btg - transcript (automated).pdf","Transcript Link")</f>
        <v>Transcript Link</v>
      </c>
    </row>
    <row r="4148" ht="165" spans="1:13">
      <c r="A4148" s="1" t="s">
        <v>18575</v>
      </c>
      <c r="B4148" s="1" t="s">
        <v>13</v>
      </c>
      <c r="C4148" s="4" t="s">
        <v>18580</v>
      </c>
      <c r="D4148" s="1" t="s">
        <v>18581</v>
      </c>
      <c r="E4148" s="1" t="s">
        <v>18582</v>
      </c>
      <c r="F4148" s="4" t="s">
        <v>17</v>
      </c>
      <c r="G4148" s="1" t="s">
        <v>18</v>
      </c>
      <c r="H4148" s="1" t="s">
        <v>19</v>
      </c>
      <c r="I4148" s="1" t="s">
        <v>20</v>
      </c>
      <c r="J4148" s="1" t="s">
        <v>18583</v>
      </c>
      <c r="K4148" s="1" t="s">
        <v>22</v>
      </c>
      <c r="L4148" s="1" t="str">
        <f>HYPERLINK("https://files.afu.se/Downloads/Transcripts/0%20-%20Government/USA%20-%20NASA/2011 06 02 - NASA - Endeavour Comes Home on This Week @NASA_ChlEmzegVvI - transcript (automated).pdf","Transcript Link")</f>
        <v>Transcript Link</v>
      </c>
      <c r="M4148" s="2" t="str">
        <f>HYPERLINK("https://files.afu.se/Downloads/Transcripts/0%20-%20Government/USA%20-%20NASA/2011 06 02 - NASA - Endeavour Comes Home on This Week @NASA_ChlEmzegVvI - transcript (automated).pdf","Transcript Link")</f>
        <v>Transcript Link</v>
      </c>
    </row>
    <row r="4149" ht="165" spans="1:13">
      <c r="A4149" s="1" t="s">
        <v>18575</v>
      </c>
      <c r="B4149" s="1" t="s">
        <v>13</v>
      </c>
      <c r="C4149" s="4" t="s">
        <v>18584</v>
      </c>
      <c r="D4149" s="1" t="s">
        <v>18585</v>
      </c>
      <c r="E4149" s="1" t="s">
        <v>18586</v>
      </c>
      <c r="F4149" s="4" t="s">
        <v>17</v>
      </c>
      <c r="G4149" s="1" t="s">
        <v>18</v>
      </c>
      <c r="H4149" s="1" t="s">
        <v>19</v>
      </c>
      <c r="I4149" s="1" t="s">
        <v>20</v>
      </c>
      <c r="J4149" s="1" t="s">
        <v>18587</v>
      </c>
      <c r="K4149" s="1" t="s">
        <v>22</v>
      </c>
      <c r="L4149" s="1" t="str">
        <f>HYPERLINK("https://files.afu.se/Downloads/Transcripts/0%20-%20Government/USA%20-%20NASA/2011 06 02 - NASA - Tree Planting Tradition and Ceremony_9-d_PDxLlcs - transcript (automated).pdf","Transcript Link")</f>
        <v>Transcript Link</v>
      </c>
      <c r="M4149" s="2" t="str">
        <f>HYPERLINK("https://files.afu.se/Downloads/Transcripts/0%20-%20Government/USA%20-%20NASA/2011 06 02 - NASA - Tree Planting Tradition and Ceremony_9-d_PDxLlcs - transcript (automated).pdf","Transcript Link")</f>
        <v>Transcript Link</v>
      </c>
    </row>
    <row r="4150" ht="165" spans="1:13">
      <c r="A4150" s="1" t="s">
        <v>18575</v>
      </c>
      <c r="B4150" s="1" t="s">
        <v>13</v>
      </c>
      <c r="C4150" s="4" t="s">
        <v>18588</v>
      </c>
      <c r="D4150" s="1" t="s">
        <v>18589</v>
      </c>
      <c r="E4150" s="1" t="s">
        <v>18590</v>
      </c>
      <c r="F4150" s="4" t="s">
        <v>17</v>
      </c>
      <c r="G4150" s="1" t="s">
        <v>18</v>
      </c>
      <c r="H4150" s="1" t="s">
        <v>19</v>
      </c>
      <c r="I4150" s="1" t="s">
        <v>20</v>
      </c>
      <c r="J4150" s="1" t="s">
        <v>18591</v>
      </c>
      <c r="K4150" s="1" t="s">
        <v>22</v>
      </c>
      <c r="L4150" s="1" t="str">
        <f>HYPERLINK("https://files.afu.se/Downloads/Transcripts/0%20-%20Government/USA%20-%20NASA/2011 06 02 - NASA - Spinning Cosmonauts_S5A2TCUw5Yc - transcript (automated).pdf","Transcript Link")</f>
        <v>Transcript Link</v>
      </c>
      <c r="M4150" s="2" t="str">
        <f>HYPERLINK("https://files.afu.se/Downloads/Transcripts/0%20-%20Government/USA%20-%20NASA/2011 06 02 - NASA - Spinning Cosmonauts_S5A2TCUw5Yc - transcript (automated).pdf","Transcript Link")</f>
        <v>Transcript Link</v>
      </c>
    </row>
    <row r="4151" ht="165" spans="1:13">
      <c r="A4151" s="1" t="s">
        <v>18592</v>
      </c>
      <c r="B4151" s="1" t="s">
        <v>13</v>
      </c>
      <c r="C4151" s="4" t="s">
        <v>18593</v>
      </c>
      <c r="D4151" s="1" t="s">
        <v>18594</v>
      </c>
      <c r="E4151" s="1" t="s">
        <v>18595</v>
      </c>
      <c r="F4151" s="4" t="s">
        <v>17</v>
      </c>
      <c r="G4151" s="1" t="s">
        <v>18</v>
      </c>
      <c r="H4151" s="1" t="s">
        <v>19</v>
      </c>
      <c r="I4151" s="1" t="s">
        <v>20</v>
      </c>
      <c r="J4151" s="1" t="s">
        <v>18596</v>
      </c>
      <c r="K4151" s="1" t="s">
        <v>22</v>
      </c>
      <c r="L4151" s="1" t="str">
        <f>HYPERLINK("https://files.afu.se/Downloads/Transcripts/0%20-%20Government/USA%20-%20NASA/2011 06 01 - NASA - Endeavour Crew Happy to Be Home_bQxCLl6dWC4 - transcript (automated).pdf","Transcript Link")</f>
        <v>Transcript Link</v>
      </c>
      <c r="M4151" s="2" t="str">
        <f>HYPERLINK("https://files.afu.se/Downloads/Transcripts/0%20-%20Government/USA%20-%20NASA/2011 06 01 - NASA - Endeavour Crew Happy to Be Home_bQxCLl6dWC4 - transcript (automated).pdf","Transcript Link")</f>
        <v>Transcript Link</v>
      </c>
    </row>
    <row r="4152" ht="165" spans="1:13">
      <c r="A4152" s="1" t="s">
        <v>18592</v>
      </c>
      <c r="B4152" s="1" t="s">
        <v>13</v>
      </c>
      <c r="C4152" s="4" t="s">
        <v>18597</v>
      </c>
      <c r="D4152" s="1" t="s">
        <v>18598</v>
      </c>
      <c r="E4152" s="1" t="s">
        <v>18599</v>
      </c>
      <c r="F4152" s="4" t="s">
        <v>17</v>
      </c>
      <c r="G4152" s="1" t="s">
        <v>18</v>
      </c>
      <c r="H4152" s="1" t="s">
        <v>19</v>
      </c>
      <c r="I4152" s="1" t="s">
        <v>20</v>
      </c>
      <c r="J4152" s="1" t="s">
        <v>18600</v>
      </c>
      <c r="K4152" s="1" t="s">
        <v>22</v>
      </c>
      <c r="L4152" s="1" t="str">
        <f>HYPERLINK("https://files.afu.se/Downloads/Transcripts/0%20-%20Government/USA%20-%20NASA/2011 06 01 - NASA - Time-lapse Video of J-2X Engine Assembly_cGIY3E_WMr0 - transcript (automated).pdf","Transcript Link")</f>
        <v>Transcript Link</v>
      </c>
      <c r="M4152" s="2" t="str">
        <f>HYPERLINK("https://files.afu.se/Downloads/Transcripts/0%20-%20Government/USA%20-%20NASA/2011 06 01 - NASA - Time-lapse Video of J-2X Engine Assembly_cGIY3E_WMr0 - transcript (automated).pdf","Transcript Link")</f>
        <v>Transcript Link</v>
      </c>
    </row>
    <row r="4153" ht="165" spans="1:13">
      <c r="A4153" s="1" t="s">
        <v>18592</v>
      </c>
      <c r="B4153" s="1" t="s">
        <v>13</v>
      </c>
      <c r="C4153" s="4" t="s">
        <v>18601</v>
      </c>
      <c r="D4153" s="1" t="s">
        <v>18602</v>
      </c>
      <c r="E4153" s="1" t="s">
        <v>18603</v>
      </c>
      <c r="F4153" s="4" t="s">
        <v>17</v>
      </c>
      <c r="G4153" s="1" t="s">
        <v>18</v>
      </c>
      <c r="H4153" s="1" t="s">
        <v>19</v>
      </c>
      <c r="I4153" s="1" t="s">
        <v>20</v>
      </c>
      <c r="J4153" s="1" t="s">
        <v>18604</v>
      </c>
      <c r="K4153" s="1" t="s">
        <v>22</v>
      </c>
      <c r="L4153" s="1" t="str">
        <f>HYPERLINK("https://files.afu.se/Downloads/Transcripts/0%20-%20Government/USA%20-%20NASA/2011 06 01 - NASA - STS-134  Space Shuttle Endeavour's last Mission_Bgxw9s8a8vk - transcript (automated).pdf","Transcript Link")</f>
        <v>Transcript Link</v>
      </c>
      <c r="M4153" s="2" t="str">
        <f>HYPERLINK("https://files.afu.se/Downloads/Transcripts/0%20-%20Government/USA%20-%20NASA/2011 06 01 - NASA - STS-134  Space Shuttle Endeavour's last Mission_Bgxw9s8a8vk - transcript (automated).pdf","Transcript Link")</f>
        <v>Transcript Link</v>
      </c>
    </row>
    <row r="4154" ht="165" spans="1:13">
      <c r="A4154" s="1" t="s">
        <v>18592</v>
      </c>
      <c r="B4154" s="1" t="s">
        <v>13</v>
      </c>
      <c r="C4154" s="4" t="s">
        <v>18605</v>
      </c>
      <c r="D4154" s="1" t="s">
        <v>18606</v>
      </c>
      <c r="E4154" s="1" t="s">
        <v>18607</v>
      </c>
      <c r="F4154" s="4" t="s">
        <v>17</v>
      </c>
      <c r="G4154" s="1" t="s">
        <v>18</v>
      </c>
      <c r="H4154" s="1" t="s">
        <v>19</v>
      </c>
      <c r="I4154" s="1" t="s">
        <v>20</v>
      </c>
      <c r="J4154" s="1" t="s">
        <v>18608</v>
      </c>
      <c r="K4154" s="1" t="s">
        <v>22</v>
      </c>
      <c r="L4154" s="1" t="str">
        <f>HYPERLINK("https://files.afu.se/Downloads/Transcripts/0%20-%20Government/USA%20-%20NASA/2011 06 01 - NASA - Entry Team Helps Guide Endeavour Home_elRr7V3B7ys - transcript (automated).pdf","Transcript Link")</f>
        <v>Transcript Link</v>
      </c>
      <c r="M4154" s="2" t="str">
        <f>HYPERLINK("https://files.afu.se/Downloads/Transcripts/0%20-%20Government/USA%20-%20NASA/2011 06 01 - NASA - Entry Team Helps Guide Endeavour Home_elRr7V3B7ys - transcript (automated).pdf","Transcript Link")</f>
        <v>Transcript Link</v>
      </c>
    </row>
    <row r="4155" ht="165" spans="1:13">
      <c r="A4155" s="1" t="s">
        <v>18592</v>
      </c>
      <c r="B4155" s="1" t="s">
        <v>13</v>
      </c>
      <c r="C4155" s="4" t="s">
        <v>18609</v>
      </c>
      <c r="D4155" s="1" t="s">
        <v>18610</v>
      </c>
      <c r="E4155" s="1" t="s">
        <v>18611</v>
      </c>
      <c r="F4155" s="4" t="s">
        <v>17</v>
      </c>
      <c r="G4155" s="1" t="s">
        <v>18</v>
      </c>
      <c r="H4155" s="1" t="s">
        <v>19</v>
      </c>
      <c r="I4155" s="1" t="s">
        <v>20</v>
      </c>
      <c r="J4155" s="1" t="s">
        <v>18612</v>
      </c>
      <c r="K4155" s="1" t="s">
        <v>22</v>
      </c>
      <c r="L4155" s="1" t="str">
        <f>HYPERLINK("https://files.afu.se/Downloads/Transcripts/0%20-%20Government/USA%20-%20NASA/2011 06 01 - NASA - Mission Managers Discuss STS-134_OcQSDUWUhNE - transcript (automated).pdf","Transcript Link")</f>
        <v>Transcript Link</v>
      </c>
      <c r="M4155" s="2" t="str">
        <f>HYPERLINK("https://files.afu.se/Downloads/Transcripts/0%20-%20Government/USA%20-%20NASA/2011 06 01 - NASA - Mission Managers Discuss STS-134_OcQSDUWUhNE - transcript (automated).pdf","Transcript Link")</f>
        <v>Transcript Link</v>
      </c>
    </row>
    <row r="4156" ht="165" spans="1:13">
      <c r="A4156" s="1" t="s">
        <v>18592</v>
      </c>
      <c r="B4156" s="1" t="s">
        <v>13</v>
      </c>
      <c r="C4156" s="4" t="s">
        <v>18613</v>
      </c>
      <c r="D4156" s="1" t="s">
        <v>18614</v>
      </c>
      <c r="E4156" s="1" t="s">
        <v>18615</v>
      </c>
      <c r="F4156" s="4" t="s">
        <v>17</v>
      </c>
      <c r="G4156" s="1" t="s">
        <v>18</v>
      </c>
      <c r="H4156" s="1" t="s">
        <v>19</v>
      </c>
      <c r="I4156" s="1" t="s">
        <v>20</v>
      </c>
      <c r="J4156" s="1" t="s">
        <v>18616</v>
      </c>
      <c r="K4156" s="1" t="s">
        <v>22</v>
      </c>
      <c r="L4156" s="1" t="str">
        <f>HYPERLINK("https://files.afu.se/Downloads/Transcripts/0%20-%20Government/USA%20-%20NASA/2011 06 01 - NASA - STS-134 Crew and Space Shuttle Endeavour Return Safely_fBB9sAitVTE - transcript (automated).pdf","Transcript Link")</f>
        <v>Transcript Link</v>
      </c>
      <c r="M4156" s="2" t="str">
        <f>HYPERLINK("https://files.afu.se/Downloads/Transcripts/0%20-%20Government/USA%20-%20NASA/2011 06 01 - NASA - STS-134 Crew and Space Shuttle Endeavour Return Safely_fBB9sAitVTE - transcript (automated).pdf","Transcript Link")</f>
        <v>Transcript Link</v>
      </c>
    </row>
    <row r="4157" ht="165" spans="1:13">
      <c r="A4157" s="1" t="s">
        <v>18592</v>
      </c>
      <c r="B4157" s="1" t="s">
        <v>13</v>
      </c>
      <c r="C4157" s="4" t="s">
        <v>18617</v>
      </c>
      <c r="D4157" s="1" t="s">
        <v>18618</v>
      </c>
      <c r="E4157" s="1" t="s">
        <v>18619</v>
      </c>
      <c r="F4157" s="4" t="s">
        <v>17</v>
      </c>
      <c r="G4157" s="1" t="s">
        <v>18</v>
      </c>
      <c r="H4157" s="1" t="s">
        <v>19</v>
      </c>
      <c r="I4157" s="1" t="s">
        <v>20</v>
      </c>
      <c r="J4157" s="1" t="s">
        <v>18620</v>
      </c>
      <c r="K4157" s="1" t="s">
        <v>22</v>
      </c>
      <c r="L4157" s="1" t="str">
        <f>HYPERLINK("https://files.afu.se/Downloads/Transcripts/0%20-%20Government/USA%20-%20NASA/2011 06 01 - NASA -  Sunrise Number 1  Greets Endeavour Crew_Jt0eqRGSlvw - transcript (automated).pdf","Transcript Link")</f>
        <v>Transcript Link</v>
      </c>
      <c r="M4157" s="2" t="str">
        <f>HYPERLINK("https://files.afu.se/Downloads/Transcripts/0%20-%20Government/USA%20-%20NASA/2011 06 01 - NASA -  Sunrise Number 1  Greets Endeavour Crew_Jt0eqRGSlvw - transcript (automated).pdf","Transcript Link")</f>
        <v>Transcript Link</v>
      </c>
    </row>
    <row r="4158" ht="165" spans="1:13">
      <c r="A4158" s="1" t="s">
        <v>18592</v>
      </c>
      <c r="B4158" s="1" t="s">
        <v>13</v>
      </c>
      <c r="C4158" s="4" t="s">
        <v>18621</v>
      </c>
      <c r="D4158" s="1" t="s">
        <v>18622</v>
      </c>
      <c r="E4158" s="1" t="s">
        <v>18623</v>
      </c>
      <c r="F4158" s="4" t="s">
        <v>17</v>
      </c>
      <c r="G4158" s="1" t="s">
        <v>18</v>
      </c>
      <c r="H4158" s="1" t="s">
        <v>19</v>
      </c>
      <c r="I4158" s="1" t="s">
        <v>20</v>
      </c>
      <c r="J4158" s="1" t="s">
        <v>18624</v>
      </c>
      <c r="K4158" s="1" t="s">
        <v>22</v>
      </c>
      <c r="L4158" s="1" t="str">
        <f>HYPERLINK("https://files.afu.se/Downloads/Transcripts/0%20-%20Government/USA%20-%20NASA/2011 06 01 - NASA - Shuttle Less Than a Day Away from Landing_twCidsVCBso - transcript (automated).pdf","Transcript Link")</f>
        <v>Transcript Link</v>
      </c>
      <c r="M4158" s="2" t="str">
        <f>HYPERLINK("https://files.afu.se/Downloads/Transcripts/0%20-%20Government/USA%20-%20NASA/2011 06 01 - NASA - Shuttle Less Than a Day Away from Landing_twCidsVCBso - transcript (automated).pdf","Transcript Link")</f>
        <v>Transcript Link</v>
      </c>
    </row>
    <row r="4159" ht="165" spans="1:13">
      <c r="A4159" s="1" t="s">
        <v>18625</v>
      </c>
      <c r="B4159" s="1" t="s">
        <v>13</v>
      </c>
      <c r="C4159" s="4" t="s">
        <v>18626</v>
      </c>
      <c r="D4159" s="1" t="s">
        <v>18627</v>
      </c>
      <c r="E4159" s="1" t="s">
        <v>18628</v>
      </c>
      <c r="F4159" s="4" t="s">
        <v>17</v>
      </c>
      <c r="G4159" s="1" t="s">
        <v>18</v>
      </c>
      <c r="H4159" s="1" t="s">
        <v>19</v>
      </c>
      <c r="I4159" s="1" t="s">
        <v>20</v>
      </c>
      <c r="J4159" s="1" t="s">
        <v>18629</v>
      </c>
      <c r="K4159" s="1" t="s">
        <v>22</v>
      </c>
      <c r="L4159" s="1" t="str">
        <f>HYPERLINK("https://files.afu.se/Downloads/Transcripts/0%20-%20Government/USA%20-%20NASA/2011 05 31 - NASA - STS-134 Crew Does Final Landing Preps_6Mom3Fdg36c - transcript (automated).pdf","Transcript Link")</f>
        <v>Transcript Link</v>
      </c>
      <c r="M4159" s="2" t="str">
        <f>HYPERLINK("https://files.afu.se/Downloads/Transcripts/0%20-%20Government/USA%20-%20NASA/2011 05 31 - NASA - STS-134 Crew Does Final Landing Preps_6Mom3Fdg36c - transcript (automated).pdf","Transcript Link")</f>
        <v>Transcript Link</v>
      </c>
    </row>
    <row r="4160" ht="165" spans="1:13">
      <c r="A4160" s="1" t="s">
        <v>18625</v>
      </c>
      <c r="B4160" s="1" t="s">
        <v>13</v>
      </c>
      <c r="C4160" s="4" t="s">
        <v>18630</v>
      </c>
      <c r="D4160" s="1" t="s">
        <v>18631</v>
      </c>
      <c r="E4160" s="1" t="s">
        <v>18632</v>
      </c>
      <c r="F4160" s="4" t="s">
        <v>17</v>
      </c>
      <c r="G4160" s="1" t="s">
        <v>18</v>
      </c>
      <c r="H4160" s="1" t="s">
        <v>19</v>
      </c>
      <c r="I4160" s="1" t="s">
        <v>20</v>
      </c>
      <c r="J4160" s="1" t="s">
        <v>18633</v>
      </c>
      <c r="K4160" s="1" t="s">
        <v>22</v>
      </c>
      <c r="L4160" s="1" t="str">
        <f>HYPERLINK("https://files.afu.se/Downloads/Transcripts/0%20-%20Government/USA%20-%20NASA/2011 05 31 - NASA - Shuttle completes Flyaround of Station_oiqFKi--C1E - transcript (automated).pdf","Transcript Link")</f>
        <v>Transcript Link</v>
      </c>
      <c r="M4160" s="2" t="str">
        <f>HYPERLINK("https://files.afu.se/Downloads/Transcripts/0%20-%20Government/USA%20-%20NASA/2011 05 31 - NASA - Shuttle completes Flyaround of Station_oiqFKi--C1E - transcript (automated).pdf","Transcript Link")</f>
        <v>Transcript Link</v>
      </c>
    </row>
    <row r="4161" ht="165" spans="1:13">
      <c r="A4161" s="1" t="s">
        <v>18625</v>
      </c>
      <c r="B4161" s="1" t="s">
        <v>13</v>
      </c>
      <c r="C4161" s="4" t="s">
        <v>18634</v>
      </c>
      <c r="D4161" s="1" t="s">
        <v>17988</v>
      </c>
      <c r="E4161" s="1" t="s">
        <v>18635</v>
      </c>
      <c r="F4161" s="4" t="s">
        <v>17</v>
      </c>
      <c r="G4161" s="1" t="s">
        <v>18</v>
      </c>
      <c r="H4161" s="1" t="s">
        <v>19</v>
      </c>
      <c r="I4161" s="1" t="s">
        <v>20</v>
      </c>
      <c r="J4161" s="1" t="s">
        <v>18636</v>
      </c>
      <c r="K4161" s="1" t="s">
        <v>22</v>
      </c>
      <c r="L4161" s="1" t="str">
        <f>HYPERLINK("https://files.afu.se/Downloads/Transcripts/0%20-%20Government/USA%20-%20NASA/2011 05 31 - NASA - Undocking as Seen from Shuttle_g9kUrejo52I - transcript (automated).pdf","Transcript Link")</f>
        <v>Transcript Link</v>
      </c>
      <c r="M4161" s="2" t="str">
        <f>HYPERLINK("https://files.afu.se/Downloads/Transcripts/0%20-%20Government/USA%20-%20NASA/2011 05 31 - NASA - Undocking as Seen from Shuttle_g9kUrejo52I - transcript (automated).pdf","Transcript Link")</f>
        <v>Transcript Link</v>
      </c>
    </row>
    <row r="4162" ht="165" spans="1:13">
      <c r="A4162" s="1" t="s">
        <v>18625</v>
      </c>
      <c r="B4162" s="1" t="s">
        <v>13</v>
      </c>
      <c r="C4162" s="4" t="s">
        <v>18637</v>
      </c>
      <c r="D4162" s="1" t="s">
        <v>18638</v>
      </c>
      <c r="E4162" s="1" t="s">
        <v>18639</v>
      </c>
      <c r="F4162" s="4" t="s">
        <v>17</v>
      </c>
      <c r="G4162" s="1" t="s">
        <v>18</v>
      </c>
      <c r="H4162" s="1" t="s">
        <v>19</v>
      </c>
      <c r="I4162" s="1" t="s">
        <v>20</v>
      </c>
      <c r="J4162" s="1" t="s">
        <v>18640</v>
      </c>
      <c r="K4162" s="1" t="s">
        <v>22</v>
      </c>
      <c r="L4162" s="1" t="str">
        <f>HYPERLINK("https://files.afu.se/Downloads/Transcripts/0%20-%20Government/USA%20-%20NASA/2011 05 31 - NASA - Original Song Awakens Endeavour Crew_IIv6KxkkWtg - transcript (automated).pdf","Transcript Link")</f>
        <v>Transcript Link</v>
      </c>
      <c r="M4162" s="2" t="str">
        <f>HYPERLINK("https://files.afu.se/Downloads/Transcripts/0%20-%20Government/USA%20-%20NASA/2011 05 31 - NASA - Original Song Awakens Endeavour Crew_IIv6KxkkWtg - transcript (automated).pdf","Transcript Link")</f>
        <v>Transcript Link</v>
      </c>
    </row>
    <row r="4163" ht="165" spans="1:13">
      <c r="A4163" s="1" t="s">
        <v>18625</v>
      </c>
      <c r="B4163" s="1" t="s">
        <v>13</v>
      </c>
      <c r="C4163" s="4" t="s">
        <v>18641</v>
      </c>
      <c r="D4163" s="1" t="s">
        <v>18642</v>
      </c>
      <c r="E4163" s="1" t="s">
        <v>18643</v>
      </c>
      <c r="F4163" s="4" t="s">
        <v>17</v>
      </c>
      <c r="G4163" s="1" t="s">
        <v>18</v>
      </c>
      <c r="H4163" s="1" t="s">
        <v>19</v>
      </c>
      <c r="I4163" s="1" t="s">
        <v>20</v>
      </c>
      <c r="J4163" s="1" t="s">
        <v>18644</v>
      </c>
      <c r="K4163" s="1" t="s">
        <v>22</v>
      </c>
      <c r="L4163" s="1" t="str">
        <f>HYPERLINK("https://files.afu.se/Downloads/Transcripts/0%20-%20Government/USA%20-%20NASA/2011 05 31 - NASA - STS 134 Mission Progress Detailed_W9YpNeW3tQ4 - transcript (automated).pdf","Transcript Link")</f>
        <v>Transcript Link</v>
      </c>
      <c r="M4163" s="2" t="str">
        <f>HYPERLINK("https://files.afu.se/Downloads/Transcripts/0%20-%20Government/USA%20-%20NASA/2011 05 31 - NASA - STS 134 Mission Progress Detailed_W9YpNeW3tQ4 - transcript (automated).pdf","Transcript Link")</f>
        <v>Transcript Link</v>
      </c>
    </row>
    <row r="4164" ht="165" spans="1:13">
      <c r="A4164" s="1" t="s">
        <v>18625</v>
      </c>
      <c r="B4164" s="1" t="s">
        <v>13</v>
      </c>
      <c r="C4164" s="4" t="s">
        <v>18645</v>
      </c>
      <c r="D4164" s="1" t="s">
        <v>18646</v>
      </c>
      <c r="E4164" s="1" t="s">
        <v>18647</v>
      </c>
      <c r="F4164" s="4" t="s">
        <v>17</v>
      </c>
      <c r="G4164" s="1" t="s">
        <v>18</v>
      </c>
      <c r="H4164" s="1" t="s">
        <v>19</v>
      </c>
      <c r="I4164" s="1" t="s">
        <v>20</v>
      </c>
      <c r="J4164" s="1" t="s">
        <v>18648</v>
      </c>
      <c r="K4164" s="1" t="s">
        <v>22</v>
      </c>
      <c r="L4164" s="1" t="str">
        <f>HYPERLINK("https://files.afu.se/Downloads/Transcripts/0%20-%20Government/USA%20-%20NASA/2011 05 31 - NASA - Television Networks Speak with Returning Crew_9FR2PO0r5rQ - transcript (automated).pdf","Transcript Link")</f>
        <v>Transcript Link</v>
      </c>
      <c r="M4164" s="2" t="str">
        <f>HYPERLINK("https://files.afu.se/Downloads/Transcripts/0%20-%20Government/USA%20-%20NASA/2011 05 31 - NASA - Television Networks Speak with Returning Crew_9FR2PO0r5rQ - transcript (automated).pdf","Transcript Link")</f>
        <v>Transcript Link</v>
      </c>
    </row>
    <row r="4165" ht="165" spans="1:13">
      <c r="A4165" s="1" t="s">
        <v>18625</v>
      </c>
      <c r="B4165" s="1" t="s">
        <v>13</v>
      </c>
      <c r="C4165" s="4" t="s">
        <v>18649</v>
      </c>
      <c r="D4165" s="1" t="s">
        <v>18650</v>
      </c>
      <c r="E4165" s="1" t="s">
        <v>18651</v>
      </c>
      <c r="F4165" s="4" t="s">
        <v>17</v>
      </c>
      <c r="G4165" s="1" t="s">
        <v>18</v>
      </c>
      <c r="H4165" s="1" t="s">
        <v>19</v>
      </c>
      <c r="I4165" s="1" t="s">
        <v>20</v>
      </c>
      <c r="J4165" s="1" t="s">
        <v>18652</v>
      </c>
      <c r="K4165" s="1" t="s">
        <v>22</v>
      </c>
      <c r="L4165" s="1" t="str">
        <f>HYPERLINK("https://files.afu.se/Downloads/Transcripts/0%20-%20Government/USA%20-%20NASA/2011 05 31 - NASA - New Rendezvous System Explained_03s1SM8zgO4 - transcript (automated).pdf","Transcript Link")</f>
        <v>Transcript Link</v>
      </c>
      <c r="M4165" s="2" t="str">
        <f>HYPERLINK("https://files.afu.se/Downloads/Transcripts/0%20-%20Government/USA%20-%20NASA/2011 05 31 - NASA - New Rendezvous System Explained_03s1SM8zgO4 - transcript (automated).pdf","Transcript Link")</f>
        <v>Transcript Link</v>
      </c>
    </row>
    <row r="4166" ht="165" spans="1:13">
      <c r="A4166" s="1" t="s">
        <v>18625</v>
      </c>
      <c r="B4166" s="1" t="s">
        <v>13</v>
      </c>
      <c r="C4166" s="4" t="s">
        <v>18653</v>
      </c>
      <c r="D4166" s="1" t="s">
        <v>18622</v>
      </c>
      <c r="E4166" s="1" t="s">
        <v>18623</v>
      </c>
      <c r="F4166" s="4" t="s">
        <v>17</v>
      </c>
      <c r="G4166" s="1" t="s">
        <v>18</v>
      </c>
      <c r="H4166" s="1" t="s">
        <v>19</v>
      </c>
      <c r="I4166" s="1" t="s">
        <v>20</v>
      </c>
      <c r="J4166" s="1" t="s">
        <v>18654</v>
      </c>
      <c r="K4166" s="1" t="s">
        <v>22</v>
      </c>
      <c r="L4166" s="1" t="str">
        <f>HYPERLINK("https://files.afu.se/Downloads/Transcripts/0%20-%20Government/USA%20-%20NASA/2011 05 31 - NASA - Shuttle Less Than a Day Away from Landing_O_rsFPpkrNs - transcript (automated).pdf","Transcript Link")</f>
        <v>Transcript Link</v>
      </c>
      <c r="M4166" s="2" t="str">
        <f>HYPERLINK("https://files.afu.se/Downloads/Transcripts/0%20-%20Government/USA%20-%20NASA/2011 05 31 - NASA - Shuttle Less Than a Day Away from Landing_O_rsFPpkrNs - transcript (automated).pdf","Transcript Link")</f>
        <v>Transcript Link</v>
      </c>
    </row>
    <row r="4167" ht="165" spans="1:13">
      <c r="A4167" s="1" t="s">
        <v>18655</v>
      </c>
      <c r="B4167" s="1" t="s">
        <v>13</v>
      </c>
      <c r="C4167" s="4" t="s">
        <v>18656</v>
      </c>
      <c r="D4167" s="1" t="s">
        <v>18657</v>
      </c>
      <c r="E4167" s="1" t="s">
        <v>18658</v>
      </c>
      <c r="F4167" s="4" t="s">
        <v>17</v>
      </c>
      <c r="G4167" s="1" t="s">
        <v>18</v>
      </c>
      <c r="H4167" s="1" t="s">
        <v>19</v>
      </c>
      <c r="I4167" s="1" t="s">
        <v>20</v>
      </c>
      <c r="J4167" s="1" t="s">
        <v>18659</v>
      </c>
      <c r="K4167" s="1" t="s">
        <v>22</v>
      </c>
      <c r="L4167" s="1" t="str">
        <f>HYPERLINK("https://files.afu.se/Downloads/Transcripts/0%20-%20Government/USA%20-%20NASA/2011 05 30 - NASA - Fossum Runs Before Flying_Z6X5QhRvGWQ - transcript (automated).pdf","Transcript Link")</f>
        <v>Transcript Link</v>
      </c>
      <c r="M4167" s="2" t="str">
        <f>HYPERLINK("https://files.afu.se/Downloads/Transcripts/0%20-%20Government/USA%20-%20NASA/2011 05 30 - NASA - Fossum Runs Before Flying_Z6X5QhRvGWQ - transcript (automated).pdf","Transcript Link")</f>
        <v>Transcript Link</v>
      </c>
    </row>
    <row r="4168" ht="165" spans="1:13">
      <c r="A4168" s="1" t="s">
        <v>18660</v>
      </c>
      <c r="B4168" s="1" t="s">
        <v>13</v>
      </c>
      <c r="C4168" s="4" t="s">
        <v>18661</v>
      </c>
      <c r="D4168" s="1" t="s">
        <v>18662</v>
      </c>
      <c r="E4168" s="1" t="s">
        <v>18663</v>
      </c>
      <c r="F4168" s="4" t="s">
        <v>17</v>
      </c>
      <c r="G4168" s="1" t="s">
        <v>18</v>
      </c>
      <c r="H4168" s="1" t="s">
        <v>19</v>
      </c>
      <c r="I4168" s="1" t="s">
        <v>20</v>
      </c>
      <c r="J4168" s="1" t="s">
        <v>18664</v>
      </c>
      <c r="K4168" s="1" t="s">
        <v>22</v>
      </c>
      <c r="L4168" s="1" t="str">
        <f>HYPERLINK("https://files.afu.se/Downloads/Transcripts/0%20-%20Government/USA%20-%20NASA/2011 05 29 - NASA - ISS and Shuttle Crew Farewells_z63hrM6vHUA - transcript (automated).pdf","Transcript Link")</f>
        <v>Transcript Link</v>
      </c>
      <c r="M4168" s="2" t="str">
        <f>HYPERLINK("https://files.afu.se/Downloads/Transcripts/0%20-%20Government/USA%20-%20NASA/2011 05 29 - NASA - ISS and Shuttle Crew Farewells_z63hrM6vHUA - transcript (automated).pdf","Transcript Link")</f>
        <v>Transcript Link</v>
      </c>
    </row>
    <row r="4169" ht="165" spans="1:13">
      <c r="A4169" s="1" t="s">
        <v>18660</v>
      </c>
      <c r="B4169" s="1" t="s">
        <v>13</v>
      </c>
      <c r="C4169" s="4" t="s">
        <v>18665</v>
      </c>
      <c r="D4169" s="1" t="s">
        <v>18666</v>
      </c>
      <c r="E4169" s="1" t="s">
        <v>18667</v>
      </c>
      <c r="F4169" s="4" t="s">
        <v>17</v>
      </c>
      <c r="G4169" s="1" t="s">
        <v>18</v>
      </c>
      <c r="H4169" s="1" t="s">
        <v>19</v>
      </c>
      <c r="I4169" s="1" t="s">
        <v>20</v>
      </c>
      <c r="J4169" s="1" t="s">
        <v>18668</v>
      </c>
      <c r="K4169" s="1" t="s">
        <v>22</v>
      </c>
      <c r="L4169" s="1" t="str">
        <f>HYPERLINK("https://files.afu.se/Downloads/Transcripts/0%20-%20Government/USA%20-%20NASA/2011 05 29 - NASA - Shuttle Crew Bids Station Adieu_BNKgv7u7W3Q - transcript (automated).pdf","Transcript Link")</f>
        <v>Transcript Link</v>
      </c>
      <c r="M4169" s="2" t="str">
        <f>HYPERLINK("https://files.afu.se/Downloads/Transcripts/0%20-%20Government/USA%20-%20NASA/2011 05 29 - NASA - Shuttle Crew Bids Station Adieu_BNKgv7u7W3Q - transcript (automated).pdf","Transcript Link")</f>
        <v>Transcript Link</v>
      </c>
    </row>
    <row r="4170" ht="165" spans="1:13">
      <c r="A4170" s="1" t="s">
        <v>18660</v>
      </c>
      <c r="B4170" s="1" t="s">
        <v>13</v>
      </c>
      <c r="C4170" s="4" t="s">
        <v>18669</v>
      </c>
      <c r="D4170" s="1" t="s">
        <v>18670</v>
      </c>
      <c r="E4170" s="1" t="s">
        <v>18671</v>
      </c>
      <c r="F4170" s="4" t="s">
        <v>17</v>
      </c>
      <c r="G4170" s="1" t="s">
        <v>18</v>
      </c>
      <c r="H4170" s="1" t="s">
        <v>19</v>
      </c>
      <c r="I4170" s="1" t="s">
        <v>20</v>
      </c>
      <c r="J4170" s="1" t="s">
        <v>18672</v>
      </c>
      <c r="K4170" s="1" t="s">
        <v>22</v>
      </c>
      <c r="L4170" s="1" t="str">
        <f>HYPERLINK("https://files.afu.se/Downloads/Transcripts/0%20-%20Government/USA%20-%20NASA/2011 05 29 - NASA - Endeavour's Undock Nears_T4VQqe5N2zY - transcript (automated).pdf","Transcript Link")</f>
        <v>Transcript Link</v>
      </c>
      <c r="M4170" s="2" t="str">
        <f>HYPERLINK("https://files.afu.se/Downloads/Transcripts/0%20-%20Government/USA%20-%20NASA/2011 05 29 - NASA - Endeavour's Undock Nears_T4VQqe5N2zY - transcript (automated).pdf","Transcript Link")</f>
        <v>Transcript Link</v>
      </c>
    </row>
    <row r="4171" ht="165" spans="1:13">
      <c r="A4171" s="1" t="s">
        <v>18660</v>
      </c>
      <c r="B4171" s="1" t="s">
        <v>13</v>
      </c>
      <c r="C4171" s="4" t="s">
        <v>18673</v>
      </c>
      <c r="D4171" s="1" t="s">
        <v>18674</v>
      </c>
      <c r="E4171" s="1" t="s">
        <v>18675</v>
      </c>
      <c r="F4171" s="4" t="s">
        <v>17</v>
      </c>
      <c r="G4171" s="1" t="s">
        <v>18</v>
      </c>
      <c r="H4171" s="1" t="s">
        <v>19</v>
      </c>
      <c r="I4171" s="1" t="s">
        <v>20</v>
      </c>
      <c r="J4171" s="1" t="s">
        <v>18676</v>
      </c>
      <c r="K4171" s="1" t="s">
        <v>22</v>
      </c>
      <c r="L4171" s="1" t="str">
        <f>HYPERLINK("https://files.afu.se/Downloads/Transcripts/0%20-%20Government/USA%20-%20NASA/2011 05 29 - NASA - Feustel and Johnson Chat with Reporters_NEJr-Bt8eGI - transcript (automated).pdf","Transcript Link")</f>
        <v>Transcript Link</v>
      </c>
      <c r="M4171" s="2" t="str">
        <f>HYPERLINK("https://files.afu.se/Downloads/Transcripts/0%20-%20Government/USA%20-%20NASA/2011 05 29 - NASA - Feustel and Johnson Chat with Reporters_NEJr-Bt8eGI - transcript (automated).pdf","Transcript Link")</f>
        <v>Transcript Link</v>
      </c>
    </row>
    <row r="4172" ht="165" spans="1:13">
      <c r="A4172" s="1" t="s">
        <v>18660</v>
      </c>
      <c r="B4172" s="1" t="s">
        <v>13</v>
      </c>
      <c r="C4172" s="4" t="s">
        <v>18677</v>
      </c>
      <c r="D4172" s="1" t="s">
        <v>18678</v>
      </c>
      <c r="E4172" s="1" t="s">
        <v>18679</v>
      </c>
      <c r="F4172" s="4" t="s">
        <v>17</v>
      </c>
      <c r="G4172" s="1" t="s">
        <v>18</v>
      </c>
      <c r="H4172" s="1" t="s">
        <v>19</v>
      </c>
      <c r="I4172" s="1" t="s">
        <v>20</v>
      </c>
      <c r="J4172" s="1" t="s">
        <v>18680</v>
      </c>
      <c r="K4172" s="1" t="s">
        <v>22</v>
      </c>
      <c r="L4172" s="1" t="str">
        <f>HYPERLINK("https://files.afu.se/Downloads/Transcripts/0%20-%20Government/USA%20-%20NASA/2011 05 29 - NASA -  Clearing the Air _F_o0VmZFEu4 - transcript (automated).pdf","Transcript Link")</f>
        <v>Transcript Link</v>
      </c>
      <c r="M4172" s="2" t="str">
        <f>HYPERLINK("https://files.afu.se/Downloads/Transcripts/0%20-%20Government/USA%20-%20NASA/2011 05 29 - NASA -  Clearing the Air _F_o0VmZFEu4 - transcript (automated).pdf","Transcript Link")</f>
        <v>Transcript Link</v>
      </c>
    </row>
    <row r="4173" ht="165" spans="1:13">
      <c r="A4173" s="1" t="s">
        <v>18660</v>
      </c>
      <c r="B4173" s="1" t="s">
        <v>13</v>
      </c>
      <c r="C4173" s="4" t="s">
        <v>18681</v>
      </c>
      <c r="D4173" s="1" t="s">
        <v>18682</v>
      </c>
      <c r="E4173" s="1" t="s">
        <v>18683</v>
      </c>
      <c r="F4173" s="4" t="s">
        <v>17</v>
      </c>
      <c r="G4173" s="1" t="s">
        <v>18</v>
      </c>
      <c r="H4173" s="1" t="s">
        <v>19</v>
      </c>
      <c r="I4173" s="1" t="s">
        <v>20</v>
      </c>
      <c r="J4173" s="1" t="s">
        <v>18684</v>
      </c>
      <c r="K4173" s="1" t="s">
        <v>22</v>
      </c>
      <c r="L4173" s="1" t="str">
        <f>HYPERLINK("https://files.afu.se/Downloads/Transcripts/0%20-%20Government/USA%20-%20NASA/2011 05 29 - NASA - Shuttle Crew Preps for Flight Home_Lb-iFEjONCo - transcript (automated).pdf","Transcript Link")</f>
        <v>Transcript Link</v>
      </c>
      <c r="M4173" s="2" t="str">
        <f>HYPERLINK("https://files.afu.se/Downloads/Transcripts/0%20-%20Government/USA%20-%20NASA/2011 05 29 - NASA - Shuttle Crew Preps for Flight Home_Lb-iFEjONCo - transcript (automated).pdf","Transcript Link")</f>
        <v>Transcript Link</v>
      </c>
    </row>
    <row r="4174" ht="165" spans="1:13">
      <c r="A4174" s="1" t="s">
        <v>18660</v>
      </c>
      <c r="B4174" s="1" t="s">
        <v>13</v>
      </c>
      <c r="C4174" s="4" t="s">
        <v>18685</v>
      </c>
      <c r="D4174" s="1" t="s">
        <v>18686</v>
      </c>
      <c r="E4174" s="1" t="s">
        <v>18687</v>
      </c>
      <c r="F4174" s="4" t="s">
        <v>17</v>
      </c>
      <c r="G4174" s="1" t="s">
        <v>18</v>
      </c>
      <c r="H4174" s="1" t="s">
        <v>19</v>
      </c>
      <c r="I4174" s="1" t="s">
        <v>20</v>
      </c>
      <c r="J4174" s="1" t="s">
        <v>18688</v>
      </c>
      <c r="K4174" s="1" t="s">
        <v>22</v>
      </c>
      <c r="L4174" s="1" t="str">
        <f>HYPERLINK("https://files.afu.se/Downloads/Transcripts/0%20-%20Government/USA%20-%20NASA/2011 05 29 - NASA - Endeavour Pilot  Pinged  by Ohio TV Stations_AimHTadtopc - transcript (automated).pdf","Transcript Link")</f>
        <v>Transcript Link</v>
      </c>
      <c r="M4174" s="2" t="str">
        <f>HYPERLINK("https://files.afu.se/Downloads/Transcripts/0%20-%20Government/USA%20-%20NASA/2011 05 29 - NASA - Endeavour Pilot  Pinged  by Ohio TV Stations_AimHTadtopc - transcript (automated).pdf","Transcript Link")</f>
        <v>Transcript Link</v>
      </c>
    </row>
    <row r="4175" ht="165" spans="1:13">
      <c r="A4175" s="1" t="s">
        <v>18660</v>
      </c>
      <c r="B4175" s="1" t="s">
        <v>13</v>
      </c>
      <c r="C4175" s="4" t="s">
        <v>18689</v>
      </c>
      <c r="D4175" s="1" t="s">
        <v>18690</v>
      </c>
      <c r="E4175" s="1" t="s">
        <v>18691</v>
      </c>
      <c r="F4175" s="4" t="s">
        <v>17</v>
      </c>
      <c r="G4175" s="1" t="s">
        <v>18</v>
      </c>
      <c r="H4175" s="1" t="s">
        <v>19</v>
      </c>
      <c r="I4175" s="1" t="s">
        <v>20</v>
      </c>
      <c r="J4175" s="1" t="s">
        <v>18692</v>
      </c>
      <c r="K4175" s="1" t="s">
        <v>22</v>
      </c>
      <c r="L4175" s="1" t="str">
        <f>HYPERLINK("https://files.afu.se/Downloads/Transcripts/0%20-%20Government/USA%20-%20NASA/2011 05 29 - NASA - Tucson Gets Nod from Space_mPEJTs_gFJc - transcript (automated).pdf","Transcript Link")</f>
        <v>Transcript Link</v>
      </c>
      <c r="M4175" s="2" t="str">
        <f>HYPERLINK("https://files.afu.se/Downloads/Transcripts/0%20-%20Government/USA%20-%20NASA/2011 05 29 - NASA - Tucson Gets Nod from Space_mPEJTs_gFJc - transcript (automated).pdf","Transcript Link")</f>
        <v>Transcript Link</v>
      </c>
    </row>
    <row r="4176" ht="165" spans="1:13">
      <c r="A4176" s="1" t="s">
        <v>18693</v>
      </c>
      <c r="B4176" s="1" t="s">
        <v>13</v>
      </c>
      <c r="C4176" s="4" t="s">
        <v>18694</v>
      </c>
      <c r="D4176" s="1" t="s">
        <v>18695</v>
      </c>
      <c r="E4176" s="1" t="s">
        <v>18696</v>
      </c>
      <c r="F4176" s="4" t="s">
        <v>17</v>
      </c>
      <c r="G4176" s="1" t="s">
        <v>18</v>
      </c>
      <c r="H4176" s="1" t="s">
        <v>19</v>
      </c>
      <c r="I4176" s="1" t="s">
        <v>20</v>
      </c>
      <c r="J4176" s="1" t="s">
        <v>18697</v>
      </c>
      <c r="K4176" s="1" t="s">
        <v>22</v>
      </c>
      <c r="L4176" s="1" t="str">
        <f>HYPERLINK("https://files.afu.se/Downloads/Transcripts/0%20-%20Government/USA%20-%20NASA/2011 05 27 - NASA - EVA4 Caps Flight Day Highlights_176-oUVZD4E - transcript (automated).pdf","Transcript Link")</f>
        <v>Transcript Link</v>
      </c>
      <c r="M4176" s="2" t="str">
        <f>HYPERLINK("https://files.afu.se/Downloads/Transcripts/0%20-%20Government/USA%20-%20NASA/2011 05 27 - NASA - EVA4 Caps Flight Day Highlights_176-oUVZD4E - transcript (automated).pdf","Transcript Link")</f>
        <v>Transcript Link</v>
      </c>
    </row>
    <row r="4177" ht="165" spans="1:13">
      <c r="A4177" s="1" t="s">
        <v>18693</v>
      </c>
      <c r="B4177" s="1" t="s">
        <v>13</v>
      </c>
      <c r="C4177" s="4" t="s">
        <v>18698</v>
      </c>
      <c r="D4177" s="1" t="s">
        <v>18699</v>
      </c>
      <c r="E4177" s="1" t="s">
        <v>18700</v>
      </c>
      <c r="F4177" s="4" t="s">
        <v>17</v>
      </c>
      <c r="G4177" s="1" t="s">
        <v>18</v>
      </c>
      <c r="H4177" s="1" t="s">
        <v>19</v>
      </c>
      <c r="I4177" s="1" t="s">
        <v>20</v>
      </c>
      <c r="J4177" s="1" t="s">
        <v>18701</v>
      </c>
      <c r="K4177" s="1" t="s">
        <v>22</v>
      </c>
      <c r="L4177" s="1" t="str">
        <f>HYPERLINK("https://files.afu.se/Downloads/Transcripts/0%20-%20Government/USA%20-%20NASA/2011 05 27 - NASA - Pope Makes Historic Call on This Week @NASA_11HQORFArOg - transcript (automated).pdf","Transcript Link")</f>
        <v>Transcript Link</v>
      </c>
      <c r="M4177" s="2" t="str">
        <f>HYPERLINK("https://files.afu.se/Downloads/Transcripts/0%20-%20Government/USA%20-%20NASA/2011 05 27 - NASA - Pope Makes Historic Call on This Week @NASA_11HQORFArOg - transcript (automated).pdf","Transcript Link")</f>
        <v>Transcript Link</v>
      </c>
    </row>
    <row r="4178" ht="165" spans="1:13">
      <c r="A4178" s="1" t="s">
        <v>18693</v>
      </c>
      <c r="B4178" s="1" t="s">
        <v>13</v>
      </c>
      <c r="C4178" s="4" t="s">
        <v>18702</v>
      </c>
      <c r="D4178" s="1" t="s">
        <v>18703</v>
      </c>
      <c r="E4178" s="1" t="s">
        <v>18704</v>
      </c>
      <c r="F4178" s="4" t="s">
        <v>17</v>
      </c>
      <c r="G4178" s="1" t="s">
        <v>18</v>
      </c>
      <c r="H4178" s="1" t="s">
        <v>19</v>
      </c>
      <c r="I4178" s="1" t="s">
        <v>20</v>
      </c>
      <c r="J4178" s="1" t="s">
        <v>18705</v>
      </c>
      <c r="K4178" s="1" t="s">
        <v>22</v>
      </c>
      <c r="L4178" s="1" t="str">
        <f>HYPERLINK("https://files.afu.se/Downloads/Transcripts/0%20-%20Government/USA%20-%20NASA/2011 05 27 - NASA - Fourth Spacewalk Concludes_d8oJBrUKYTg - transcript (automated).pdf","Transcript Link")</f>
        <v>Transcript Link</v>
      </c>
      <c r="M4178" s="2" t="str">
        <f>HYPERLINK("https://files.afu.se/Downloads/Transcripts/0%20-%20Government/USA%20-%20NASA/2011 05 27 - NASA - Fourth Spacewalk Concludes_d8oJBrUKYTg - transcript (automated).pdf","Transcript Link")</f>
        <v>Transcript Link</v>
      </c>
    </row>
    <row r="4179" ht="165" spans="1:13">
      <c r="A4179" s="1" t="s">
        <v>18706</v>
      </c>
      <c r="B4179" s="1" t="s">
        <v>13</v>
      </c>
      <c r="C4179" s="4" t="s">
        <v>18707</v>
      </c>
      <c r="D4179" s="1" t="s">
        <v>18708</v>
      </c>
      <c r="E4179" s="1" t="s">
        <v>18709</v>
      </c>
      <c r="F4179" s="4" t="s">
        <v>17</v>
      </c>
      <c r="G4179" s="1" t="s">
        <v>18</v>
      </c>
      <c r="H4179" s="1" t="s">
        <v>19</v>
      </c>
      <c r="I4179" s="1" t="s">
        <v>20</v>
      </c>
      <c r="J4179" s="1" t="s">
        <v>18710</v>
      </c>
      <c r="K4179" s="1" t="s">
        <v>22</v>
      </c>
      <c r="L4179" s="1" t="str">
        <f>HYPERLINK("https://files.afu.se/Downloads/Transcripts/0%20-%20Government/USA%20-%20NASA/2011 05 26 - NASA - Fincke and Chamitoff Get Ready to Walk_LbJ2xL7Tpeo - transcript (automated).pdf","Transcript Link")</f>
        <v>Transcript Link</v>
      </c>
      <c r="M4179" s="2" t="str">
        <f>HYPERLINK("https://files.afu.se/Downloads/Transcripts/0%20-%20Government/USA%20-%20NASA/2011 05 26 - NASA - Fincke and Chamitoff Get Ready to Walk_LbJ2xL7Tpeo - transcript (automated).pdf","Transcript Link")</f>
        <v>Transcript Link</v>
      </c>
    </row>
    <row r="4180" ht="165" spans="1:13">
      <c r="A4180" s="1" t="s">
        <v>18706</v>
      </c>
      <c r="B4180" s="1" t="s">
        <v>13</v>
      </c>
      <c r="C4180" s="4" t="s">
        <v>18711</v>
      </c>
      <c r="D4180" s="1" t="s">
        <v>18712</v>
      </c>
      <c r="E4180" s="1" t="s">
        <v>18713</v>
      </c>
      <c r="F4180" s="4" t="s">
        <v>17</v>
      </c>
      <c r="G4180" s="1" t="s">
        <v>18</v>
      </c>
      <c r="H4180" s="1" t="s">
        <v>19</v>
      </c>
      <c r="I4180" s="1" t="s">
        <v>20</v>
      </c>
      <c r="J4180" s="1" t="s">
        <v>18714</v>
      </c>
      <c r="K4180" s="1" t="s">
        <v>22</v>
      </c>
      <c r="L4180" s="1" t="str">
        <f>HYPERLINK("https://files.afu.se/Downloads/Transcripts/0%20-%20Government/USA%20-%20NASA/2011 05 26 - NASA - Station, Shuttle Crews Interviewed Together_NPruKwzphc8 - transcript (automated).pdf","Transcript Link")</f>
        <v>Transcript Link</v>
      </c>
      <c r="M4180" s="2" t="str">
        <f>HYPERLINK("https://files.afu.se/Downloads/Transcripts/0%20-%20Government/USA%20-%20NASA/2011 05 26 - NASA - Station, Shuttle Crews Interviewed Together_NPruKwzphc8 - transcript (automated).pdf","Transcript Link")</f>
        <v>Transcript Link</v>
      </c>
    </row>
    <row r="4181" ht="165" spans="1:13">
      <c r="A4181" s="1" t="s">
        <v>18706</v>
      </c>
      <c r="B4181" s="1" t="s">
        <v>13</v>
      </c>
      <c r="C4181" s="4" t="s">
        <v>18715</v>
      </c>
      <c r="D4181" s="1" t="s">
        <v>18716</v>
      </c>
      <c r="E4181" s="1" t="s">
        <v>18717</v>
      </c>
      <c r="F4181" s="4" t="s">
        <v>17</v>
      </c>
      <c r="G4181" s="1" t="s">
        <v>18</v>
      </c>
      <c r="H4181" s="1" t="s">
        <v>19</v>
      </c>
      <c r="I4181" s="1" t="s">
        <v>20</v>
      </c>
      <c r="J4181" s="1" t="s">
        <v>18718</v>
      </c>
      <c r="K4181" s="1" t="s">
        <v>22</v>
      </c>
      <c r="L4181" s="1" t="str">
        <f>HYPERLINK("https://files.afu.se/Downloads/Transcripts/0%20-%20Government/USA%20-%20NASA/2011 05 26 - NASA - Thermal Protection System Checked_UpqcocSdgJQ - transcript (automated).pdf","Transcript Link")</f>
        <v>Transcript Link</v>
      </c>
      <c r="M4181" s="2" t="str">
        <f>HYPERLINK("https://files.afu.se/Downloads/Transcripts/0%20-%20Government/USA%20-%20NASA/2011 05 26 - NASA - Thermal Protection System Checked_UpqcocSdgJQ - transcript (automated).pdf","Transcript Link")</f>
        <v>Transcript Link</v>
      </c>
    </row>
    <row r="4182" ht="165" spans="1:13">
      <c r="A4182" s="1" t="s">
        <v>18719</v>
      </c>
      <c r="B4182" s="1" t="s">
        <v>13</v>
      </c>
      <c r="C4182" s="4" t="s">
        <v>18720</v>
      </c>
      <c r="D4182" s="1" t="s">
        <v>18721</v>
      </c>
      <c r="E4182" s="1" t="s">
        <v>18722</v>
      </c>
      <c r="F4182" s="4" t="s">
        <v>17</v>
      </c>
      <c r="G4182" s="1" t="s">
        <v>18</v>
      </c>
      <c r="H4182" s="1" t="s">
        <v>19</v>
      </c>
      <c r="I4182" s="1" t="s">
        <v>20</v>
      </c>
      <c r="J4182" s="1" t="s">
        <v>18723</v>
      </c>
      <c r="K4182" s="1" t="s">
        <v>22</v>
      </c>
      <c r="L4182" s="1" t="str">
        <f>HYPERLINK("https://files.afu.se/Downloads/Transcripts/0%20-%20Government/USA%20-%20NASA/2011 05 25 - NASA - Shuttle's Flight Day 10 Topped by EVA_HV3AMOC928o - transcript (automated).pdf","Transcript Link")</f>
        <v>Transcript Link</v>
      </c>
      <c r="M4182" s="2" t="str">
        <f>HYPERLINK("https://files.afu.se/Downloads/Transcripts/0%20-%20Government/USA%20-%20NASA/2011 05 25 - NASA - Shuttle's Flight Day 10 Topped by EVA_HV3AMOC928o - transcript (automated).pdf","Transcript Link")</f>
        <v>Transcript Link</v>
      </c>
    </row>
    <row r="4183" ht="165" spans="1:13">
      <c r="A4183" s="1" t="s">
        <v>18719</v>
      </c>
      <c r="B4183" s="1" t="s">
        <v>13</v>
      </c>
      <c r="C4183" s="4" t="s">
        <v>18724</v>
      </c>
      <c r="D4183" s="1" t="s">
        <v>18725</v>
      </c>
      <c r="E4183" s="1" t="s">
        <v>18726</v>
      </c>
      <c r="F4183" s="4" t="s">
        <v>17</v>
      </c>
      <c r="G4183" s="1" t="s">
        <v>18</v>
      </c>
      <c r="H4183" s="1" t="s">
        <v>19</v>
      </c>
      <c r="I4183" s="1" t="s">
        <v>20</v>
      </c>
      <c r="J4183" s="1" t="s">
        <v>18727</v>
      </c>
      <c r="K4183" s="1" t="s">
        <v>22</v>
      </c>
      <c r="L4183" s="1" t="str">
        <f>HYPERLINK("https://files.afu.se/Downloads/Transcripts/0%20-%20Government/USA%20-%20NASA/2011 05 25 - NASA - Next Station Crew Leaves for Kazakhstan_NMSKOdvS-V4 - transcript (automated).pdf","Transcript Link")</f>
        <v>Transcript Link</v>
      </c>
      <c r="M4183" s="2" t="str">
        <f>HYPERLINK("https://files.afu.se/Downloads/Transcripts/0%20-%20Government/USA%20-%20NASA/2011 05 25 - NASA - Next Station Crew Leaves for Kazakhstan_NMSKOdvS-V4 - transcript (automated).pdf","Transcript Link")</f>
        <v>Transcript Link</v>
      </c>
    </row>
    <row r="4184" ht="165" spans="1:13">
      <c r="A4184" s="1" t="s">
        <v>18719</v>
      </c>
      <c r="B4184" s="1" t="s">
        <v>13</v>
      </c>
      <c r="C4184" s="4" t="s">
        <v>18728</v>
      </c>
      <c r="D4184" s="1" t="s">
        <v>18729</v>
      </c>
      <c r="E4184" s="1" t="s">
        <v>18730</v>
      </c>
      <c r="F4184" s="4" t="s">
        <v>17</v>
      </c>
      <c r="G4184" s="1" t="s">
        <v>18</v>
      </c>
      <c r="H4184" s="1" t="s">
        <v>19</v>
      </c>
      <c r="I4184" s="1" t="s">
        <v>20</v>
      </c>
      <c r="J4184" s="1" t="s">
        <v>18731</v>
      </c>
      <c r="K4184" s="1" t="s">
        <v>22</v>
      </c>
      <c r="L4184" s="1" t="str">
        <f>HYPERLINK("https://files.afu.se/Downloads/Transcripts/0%20-%20Government/USA%20-%20NASA/2011 05 25 - NASA - New Views of Endeavour's Launch from Booster Cameras_bJla-JsVNpw - transcript (automated).pdf","Transcript Link")</f>
        <v>Transcript Link</v>
      </c>
      <c r="M4184" s="2" t="str">
        <f>HYPERLINK("https://files.afu.se/Downloads/Transcripts/0%20-%20Government/USA%20-%20NASA/2011 05 25 - NASA - New Views of Endeavour's Launch from Booster Cameras_bJla-JsVNpw - transcript (automated).pdf","Transcript Link")</f>
        <v>Transcript Link</v>
      </c>
    </row>
    <row r="4185" ht="165" spans="1:13">
      <c r="A4185" s="1" t="s">
        <v>18719</v>
      </c>
      <c r="B4185" s="1" t="s">
        <v>13</v>
      </c>
      <c r="C4185" s="4" t="s">
        <v>18732</v>
      </c>
      <c r="D4185" s="1" t="s">
        <v>18733</v>
      </c>
      <c r="F4185" s="4" t="s">
        <v>17</v>
      </c>
      <c r="G4185" s="1" t="s">
        <v>18</v>
      </c>
      <c r="H4185" s="1" t="s">
        <v>19</v>
      </c>
      <c r="I4185" s="1" t="s">
        <v>20</v>
      </c>
      <c r="J4185" s="1" t="s">
        <v>18734</v>
      </c>
      <c r="K4185" s="1" t="s">
        <v>22</v>
      </c>
      <c r="L4185" s="1" t="str">
        <f>HYPERLINK("https://files.afu.se/Downloads/Transcripts/0%20-%20Government/USA%20-%20NASA/2011 05 25 - NASA - EVA3 Complete; All Goals Met_zlnnHIoxd_Y - transcript (automated).pdf","Transcript Link")</f>
        <v>Transcript Link</v>
      </c>
      <c r="M4185" s="2" t="str">
        <f>HYPERLINK("https://files.afu.se/Downloads/Transcripts/0%20-%20Government/USA%20-%20NASA/2011 05 25 - NASA - EVA3 Complete; All Goals Met_zlnnHIoxd_Y - transcript (automated).pdf","Transcript Link")</f>
        <v>Transcript Link</v>
      </c>
    </row>
    <row r="4186" ht="165" spans="1:13">
      <c r="A4186" s="1" t="s">
        <v>18719</v>
      </c>
      <c r="B4186" s="1" t="s">
        <v>13</v>
      </c>
      <c r="C4186" s="4" t="s">
        <v>18735</v>
      </c>
      <c r="D4186" s="1" t="s">
        <v>18736</v>
      </c>
      <c r="E4186" s="1" t="s">
        <v>18737</v>
      </c>
      <c r="F4186" s="4" t="s">
        <v>17</v>
      </c>
      <c r="G4186" s="1" t="s">
        <v>18</v>
      </c>
      <c r="H4186" s="1" t="s">
        <v>19</v>
      </c>
      <c r="I4186" s="1" t="s">
        <v>20</v>
      </c>
      <c r="J4186" s="1" t="s">
        <v>18738</v>
      </c>
      <c r="K4186" s="1" t="s">
        <v>22</v>
      </c>
      <c r="L4186" s="1" t="str">
        <f>HYPERLINK("https://files.afu.se/Downloads/Transcripts/0%20-%20Government/USA%20-%20NASA/2011 05 25 - NASA - Human Spaceflight  the Kennedy Legacy_biSdeqwcGMk - transcript (automated).pdf","Transcript Link")</f>
        <v>Transcript Link</v>
      </c>
      <c r="M4186" s="2" t="str">
        <f>HYPERLINK("https://files.afu.se/Downloads/Transcripts/0%20-%20Government/USA%20-%20NASA/2011 05 25 - NASA - Human Spaceflight  the Kennedy Legacy_biSdeqwcGMk - transcript (automated).pdf","Transcript Link")</f>
        <v>Transcript Link</v>
      </c>
    </row>
    <row r="4187" ht="165" spans="1:13">
      <c r="A4187" s="1" t="s">
        <v>18739</v>
      </c>
      <c r="B4187" s="1" t="s">
        <v>13</v>
      </c>
      <c r="C4187" s="4" t="s">
        <v>18740</v>
      </c>
      <c r="D4187" s="1" t="s">
        <v>18741</v>
      </c>
      <c r="E4187" s="1" t="s">
        <v>18742</v>
      </c>
      <c r="F4187" s="4" t="s">
        <v>17</v>
      </c>
      <c r="G4187" s="1" t="s">
        <v>18</v>
      </c>
      <c r="H4187" s="1" t="s">
        <v>19</v>
      </c>
      <c r="I4187" s="1" t="s">
        <v>20</v>
      </c>
      <c r="J4187" s="1" t="s">
        <v>18743</v>
      </c>
      <c r="K4187" s="1" t="s">
        <v>22</v>
      </c>
      <c r="L4187" s="1" t="str">
        <f>HYPERLINK("https://files.afu.se/Downloads/Transcripts/0%20-%20Government/USA%20-%20NASA/2011 05 24 - NASA - Feustel and Fincke Prep for Next Spacewalk_b5e_rLltI6Y - transcript (automated).pdf","Transcript Link")</f>
        <v>Transcript Link</v>
      </c>
      <c r="M4187" s="2" t="str">
        <f>HYPERLINK("https://files.afu.se/Downloads/Transcripts/0%20-%20Government/USA%20-%20NASA/2011 05 24 - NASA - Feustel and Fincke Prep for Next Spacewalk_b5e_rLltI6Y - transcript (automated).pdf","Transcript Link")</f>
        <v>Transcript Link</v>
      </c>
    </row>
    <row r="4188" ht="165" spans="1:13">
      <c r="A4188" s="1" t="s">
        <v>18739</v>
      </c>
      <c r="B4188" s="1" t="s">
        <v>13</v>
      </c>
      <c r="C4188" s="4" t="s">
        <v>18744</v>
      </c>
      <c r="D4188" s="1" t="s">
        <v>18745</v>
      </c>
      <c r="E4188" s="1" t="s">
        <v>18746</v>
      </c>
      <c r="F4188" s="4" t="s">
        <v>17</v>
      </c>
      <c r="G4188" s="1" t="s">
        <v>18</v>
      </c>
      <c r="H4188" s="1" t="s">
        <v>19</v>
      </c>
      <c r="I4188" s="1" t="s">
        <v>20</v>
      </c>
      <c r="J4188" s="1" t="s">
        <v>18747</v>
      </c>
      <c r="K4188" s="1" t="s">
        <v>22</v>
      </c>
      <c r="L4188" s="1" t="str">
        <f>HYPERLINK("https://files.afu.se/Downloads/Transcripts/0%20-%20Government/USA%20-%20NASA/2011 05 24 - NASA - Aquarius Nears on This Week @NASA_nZD-6mEp9_4 - transcript (automated).pdf","Transcript Link")</f>
        <v>Transcript Link</v>
      </c>
      <c r="M4188" s="2" t="str">
        <f>HYPERLINK("https://files.afu.se/Downloads/Transcripts/0%20-%20Government/USA%20-%20NASA/2011 05 24 - NASA - Aquarius Nears on This Week @NASA_nZD-6mEp9_4 - transcript (automated).pdf","Transcript Link")</f>
        <v>Transcript Link</v>
      </c>
    </row>
    <row r="4189" ht="165" spans="1:13">
      <c r="A4189" s="1" t="s">
        <v>18739</v>
      </c>
      <c r="B4189" s="1" t="s">
        <v>13</v>
      </c>
      <c r="C4189" s="4" t="s">
        <v>18748</v>
      </c>
      <c r="D4189" s="1" t="s">
        <v>18749</v>
      </c>
      <c r="E4189" s="1" t="s">
        <v>18750</v>
      </c>
      <c r="F4189" s="4" t="s">
        <v>17</v>
      </c>
      <c r="G4189" s="1" t="s">
        <v>18</v>
      </c>
      <c r="H4189" s="1" t="s">
        <v>19</v>
      </c>
      <c r="I4189" s="1" t="s">
        <v>20</v>
      </c>
      <c r="J4189" s="1" t="s">
        <v>18751</v>
      </c>
      <c r="K4189" s="1" t="s">
        <v>22</v>
      </c>
      <c r="L4189" s="1" t="str">
        <f>HYPERLINK("https://files.afu.se/Downloads/Transcripts/0%20-%20Government/USA%20-%20NASA/2011 05 24 - NASA - Interviews, Spacewalk Preps Among Flight Day 9 Highlights_cd0jxM2_1so - transcript (automated).pdf","Transcript Link")</f>
        <v>Transcript Link</v>
      </c>
      <c r="M4189" s="2" t="str">
        <f>HYPERLINK("https://files.afu.se/Downloads/Transcripts/0%20-%20Government/USA%20-%20NASA/2011 05 24 - NASA - Interviews, Spacewalk Preps Among Flight Day 9 Highlights_cd0jxM2_1so - transcript (automated).pdf","Transcript Link")</f>
        <v>Transcript Link</v>
      </c>
    </row>
    <row r="4190" ht="165" spans="1:13">
      <c r="A4190" s="1" t="s">
        <v>18739</v>
      </c>
      <c r="B4190" s="1" t="s">
        <v>13</v>
      </c>
      <c r="C4190" s="4" t="s">
        <v>18752</v>
      </c>
      <c r="D4190" s="1" t="s">
        <v>18753</v>
      </c>
      <c r="E4190" s="1" t="s">
        <v>18754</v>
      </c>
      <c r="F4190" s="4" t="s">
        <v>17</v>
      </c>
      <c r="G4190" s="1" t="s">
        <v>18</v>
      </c>
      <c r="H4190" s="1" t="s">
        <v>19</v>
      </c>
      <c r="I4190" s="1" t="s">
        <v>20</v>
      </c>
      <c r="J4190" s="1" t="s">
        <v>18755</v>
      </c>
      <c r="K4190" s="1" t="s">
        <v>22</v>
      </c>
      <c r="L4190" s="1" t="str">
        <f>HYPERLINK("https://files.afu.se/Downloads/Transcripts/0%20-%20Government/USA%20-%20NASA/2011 05 24 - NASA -  The Two Gregs  Quizzed On-Orbit_R3LpNxUHIrI - transcript (automated).pdf","Transcript Link")</f>
        <v>Transcript Link</v>
      </c>
      <c r="M4190" s="2" t="str">
        <f>HYPERLINK("https://files.afu.se/Downloads/Transcripts/0%20-%20Government/USA%20-%20NASA/2011 05 24 - NASA -  The Two Gregs  Quizzed On-Orbit_R3LpNxUHIrI - transcript (automated).pdf","Transcript Link")</f>
        <v>Transcript Link</v>
      </c>
    </row>
    <row r="4191" ht="165" spans="1:13">
      <c r="A4191" s="1" t="s">
        <v>18739</v>
      </c>
      <c r="B4191" s="1" t="s">
        <v>13</v>
      </c>
      <c r="C4191" s="4" t="s">
        <v>18756</v>
      </c>
      <c r="D4191" s="1" t="s">
        <v>18757</v>
      </c>
      <c r="E4191" s="1" t="s">
        <v>18758</v>
      </c>
      <c r="F4191" s="4" t="s">
        <v>17</v>
      </c>
      <c r="G4191" s="1" t="s">
        <v>18</v>
      </c>
      <c r="H4191" s="1" t="s">
        <v>19</v>
      </c>
      <c r="I4191" s="1" t="s">
        <v>20</v>
      </c>
      <c r="J4191" s="1" t="s">
        <v>18759</v>
      </c>
      <c r="K4191" s="1" t="s">
        <v>22</v>
      </c>
      <c r="L4191" s="1" t="str">
        <f>HYPERLINK("https://files.afu.se/Downloads/Transcripts/0%20-%20Government/USA%20-%20NASA/2011 05 24 - NASA - Shuttle Crew's Third EVA Set_Kg7W9GtDiIY - transcript (automated).pdf","Transcript Link")</f>
        <v>Transcript Link</v>
      </c>
      <c r="M4191" s="2" t="str">
        <f>HYPERLINK("https://files.afu.se/Downloads/Transcripts/0%20-%20Government/USA%20-%20NASA/2011 05 24 - NASA - Shuttle Crew's Third EVA Set_Kg7W9GtDiIY - transcript (automated).pdf","Transcript Link")</f>
        <v>Transcript Link</v>
      </c>
    </row>
    <row r="4192" ht="165" spans="1:13">
      <c r="A4192" s="1" t="s">
        <v>18739</v>
      </c>
      <c r="B4192" s="1" t="s">
        <v>13</v>
      </c>
      <c r="C4192" s="4" t="s">
        <v>18760</v>
      </c>
      <c r="D4192" s="1" t="s">
        <v>18761</v>
      </c>
      <c r="E4192" s="1" t="s">
        <v>18762</v>
      </c>
      <c r="F4192" s="4" t="s">
        <v>17</v>
      </c>
      <c r="G4192" s="1" t="s">
        <v>18</v>
      </c>
      <c r="H4192" s="1" t="s">
        <v>19</v>
      </c>
      <c r="I4192" s="1" t="s">
        <v>20</v>
      </c>
      <c r="J4192" s="1" t="s">
        <v>18763</v>
      </c>
      <c r="K4192" s="1" t="s">
        <v>22</v>
      </c>
      <c r="L4192" s="1" t="str">
        <f>HYPERLINK("https://files.afu.se/Downloads/Transcripts/0%20-%20Government/USA%20-%20NASA/2011 05 24 - NASA - Soyuz Post Landing Highlights_58_JHzCtj00 - transcript (automated).pdf","Transcript Link")</f>
        <v>Transcript Link</v>
      </c>
      <c r="M4192" s="2" t="str">
        <f>HYPERLINK("https://files.afu.se/Downloads/Transcripts/0%20-%20Government/USA%20-%20NASA/2011 05 24 - NASA - Soyuz Post Landing Highlights_58_JHzCtj00 - transcript (automated).pdf","Transcript Link")</f>
        <v>Transcript Link</v>
      </c>
    </row>
    <row r="4193" ht="165" spans="1:13">
      <c r="A4193" s="1" t="s">
        <v>18739</v>
      </c>
      <c r="B4193" s="1" t="s">
        <v>13</v>
      </c>
      <c r="C4193" s="4" t="s">
        <v>18764</v>
      </c>
      <c r="D4193" s="1" t="s">
        <v>18741</v>
      </c>
      <c r="E4193" s="1" t="s">
        <v>18742</v>
      </c>
      <c r="F4193" s="4" t="s">
        <v>17</v>
      </c>
      <c r="G4193" s="1" t="s">
        <v>18</v>
      </c>
      <c r="H4193" s="1" t="s">
        <v>19</v>
      </c>
      <c r="I4193" s="1" t="s">
        <v>20</v>
      </c>
      <c r="J4193" s="1" t="s">
        <v>18765</v>
      </c>
      <c r="K4193" s="1" t="s">
        <v>22</v>
      </c>
      <c r="L4193" s="1" t="str">
        <f>HYPERLINK("https://files.afu.se/Downloads/Transcripts/0%20-%20Government/USA%20-%20NASA/2011 05 24 - NASA - Feustel and Fincke Prep for Next Spacewalk_TH6VPAO7FZI - transcript (automated).pdf","Transcript Link")</f>
        <v>Transcript Link</v>
      </c>
      <c r="M4193" s="2" t="str">
        <f>HYPERLINK("https://files.afu.se/Downloads/Transcripts/0%20-%20Government/USA%20-%20NASA/2011 05 24 - NASA - Feustel and Fincke Prep for Next Spacewalk_TH6VPAO7FZI - transcript (automated).pdf","Transcript Link")</f>
        <v>Transcript Link</v>
      </c>
    </row>
    <row r="4194" ht="165" spans="1:13">
      <c r="A4194" s="1" t="s">
        <v>18739</v>
      </c>
      <c r="B4194" s="1" t="s">
        <v>13</v>
      </c>
      <c r="C4194" s="4" t="s">
        <v>18766</v>
      </c>
      <c r="D4194" s="1" t="s">
        <v>18767</v>
      </c>
      <c r="E4194" s="1" t="s">
        <v>18768</v>
      </c>
      <c r="F4194" s="4" t="s">
        <v>17</v>
      </c>
      <c r="G4194" s="1" t="s">
        <v>18</v>
      </c>
      <c r="H4194" s="1" t="s">
        <v>19</v>
      </c>
      <c r="I4194" s="1" t="s">
        <v>20</v>
      </c>
      <c r="J4194" s="1" t="s">
        <v>18769</v>
      </c>
      <c r="K4194" s="1" t="s">
        <v>22</v>
      </c>
      <c r="L4194" s="1" t="str">
        <f>HYPERLINK("https://files.afu.se/Downloads/Transcripts/0%20-%20Government/USA%20-%20NASA/2011 05 24 - NASA - Kelly, Fincke and Chamitoff Chat from Space_1qqWrIa0WbM - transcript (automated).pdf","Transcript Link")</f>
        <v>Transcript Link</v>
      </c>
      <c r="M4194" s="2" t="str">
        <f>HYPERLINK("https://files.afu.se/Downloads/Transcripts/0%20-%20Government/USA%20-%20NASA/2011 05 24 - NASA - Kelly, Fincke and Chamitoff Chat from Space_1qqWrIa0WbM - transcript (automated).pdf","Transcript Link")</f>
        <v>Transcript Link</v>
      </c>
    </row>
    <row r="4195" ht="165" spans="1:13">
      <c r="A4195" s="1" t="s">
        <v>18739</v>
      </c>
      <c r="B4195" s="1" t="s">
        <v>13</v>
      </c>
      <c r="C4195" s="4" t="s">
        <v>18770</v>
      </c>
      <c r="D4195" s="1" t="s">
        <v>18771</v>
      </c>
      <c r="E4195" s="1" t="s">
        <v>18772</v>
      </c>
      <c r="F4195" s="4" t="s">
        <v>17</v>
      </c>
      <c r="G4195" s="1" t="s">
        <v>18</v>
      </c>
      <c r="H4195" s="1" t="s">
        <v>19</v>
      </c>
      <c r="I4195" s="1" t="s">
        <v>20</v>
      </c>
      <c r="J4195" s="1" t="s">
        <v>18773</v>
      </c>
      <c r="K4195" s="1" t="s">
        <v>22</v>
      </c>
      <c r="L4195" s="1" t="str">
        <f>HYPERLINK("https://files.afu.se/Downloads/Transcripts/0%20-%20Government/USA%20-%20NASA/2011 05 24 - NASA - Soyuz's Picture Perfect Landing_O4XVhoezrzM - transcript (automated).pdf","Transcript Link")</f>
        <v>Transcript Link</v>
      </c>
      <c r="M4195" s="2" t="str">
        <f>HYPERLINK("https://files.afu.se/Downloads/Transcripts/0%20-%20Government/USA%20-%20NASA/2011 05 24 - NASA - Soyuz's Picture Perfect Landing_O4XVhoezrzM - transcript (automated).pdf","Transcript Link")</f>
        <v>Transcript Link</v>
      </c>
    </row>
    <row r="4196" ht="165" spans="1:13">
      <c r="A4196" s="1" t="s">
        <v>18739</v>
      </c>
      <c r="B4196" s="1" t="s">
        <v>13</v>
      </c>
      <c r="C4196" s="4" t="s">
        <v>18774</v>
      </c>
      <c r="D4196" s="1" t="s">
        <v>18775</v>
      </c>
      <c r="E4196" s="1" t="s">
        <v>18776</v>
      </c>
      <c r="F4196" s="4" t="s">
        <v>17</v>
      </c>
      <c r="G4196" s="1" t="s">
        <v>18</v>
      </c>
      <c r="H4196" s="1" t="s">
        <v>19</v>
      </c>
      <c r="I4196" s="1" t="s">
        <v>20</v>
      </c>
      <c r="J4196" s="1" t="s">
        <v>18777</v>
      </c>
      <c r="K4196" s="1" t="s">
        <v>22</v>
      </c>
      <c r="L4196" s="1" t="str">
        <f>HYPERLINK("https://files.afu.se/Downloads/Transcripts/0%20-%20Government/USA%20-%20NASA/2011 05 24 - NASA - Expedition 27 Crew Enjoys Sunshine_kehtaclbPjs - transcript (automated).pdf","Transcript Link")</f>
        <v>Transcript Link</v>
      </c>
      <c r="M4196" s="2" t="str">
        <f>HYPERLINK("https://files.afu.se/Downloads/Transcripts/0%20-%20Government/USA%20-%20NASA/2011 05 24 - NASA - Expedition 27 Crew Enjoys Sunshine_kehtaclbPjs - transcript (automated).pdf","Transcript Link")</f>
        <v>Transcript Link</v>
      </c>
    </row>
    <row r="4197" ht="165" spans="1:13">
      <c r="A4197" s="1" t="s">
        <v>18739</v>
      </c>
      <c r="B4197" s="1" t="s">
        <v>13</v>
      </c>
      <c r="C4197" s="4" t="s">
        <v>18778</v>
      </c>
      <c r="D4197" s="1" t="s">
        <v>18779</v>
      </c>
      <c r="E4197" s="1" t="s">
        <v>18780</v>
      </c>
      <c r="F4197" s="4" t="s">
        <v>17</v>
      </c>
      <c r="G4197" s="1" t="s">
        <v>18</v>
      </c>
      <c r="H4197" s="1" t="s">
        <v>19</v>
      </c>
      <c r="I4197" s="1" t="s">
        <v>20</v>
      </c>
      <c r="J4197" s="1" t="s">
        <v>18781</v>
      </c>
      <c r="K4197" s="1" t="s">
        <v>22</v>
      </c>
      <c r="L4197" s="1" t="str">
        <f>HYPERLINK("https://files.afu.se/Downloads/Transcripts/0%20-%20Government/USA%20-%20NASA/2011 05 24 - NASA - Expedition 27 Crew Lands Safely in Kazakhstan_1CsU-McSTmM - transcript (automated).pdf","Transcript Link")</f>
        <v>Transcript Link</v>
      </c>
      <c r="M4197" s="2" t="str">
        <f>HYPERLINK("https://files.afu.se/Downloads/Transcripts/0%20-%20Government/USA%20-%20NASA/2011 05 24 - NASA - Expedition 27 Crew Lands Safely in Kazakhstan_1CsU-McSTmM - transcript (automated).pdf","Transcript Link")</f>
        <v>Transcript Link</v>
      </c>
    </row>
    <row r="4198" ht="165" spans="1:13">
      <c r="A4198" s="1" t="s">
        <v>18739</v>
      </c>
      <c r="B4198" s="1" t="s">
        <v>13</v>
      </c>
      <c r="C4198" s="4" t="s">
        <v>18782</v>
      </c>
      <c r="D4198" s="1" t="s">
        <v>8973</v>
      </c>
      <c r="E4198" s="1" t="s">
        <v>18783</v>
      </c>
      <c r="F4198" s="4" t="s">
        <v>17</v>
      </c>
      <c r="G4198" s="1" t="s">
        <v>18</v>
      </c>
      <c r="H4198" s="1" t="s">
        <v>19</v>
      </c>
      <c r="I4198" s="1" t="s">
        <v>20</v>
      </c>
      <c r="J4198" s="1" t="s">
        <v>18784</v>
      </c>
      <c r="K4198" s="1" t="s">
        <v>22</v>
      </c>
      <c r="L4198" s="1" t="str">
        <f>HYPERLINK("https://files.afu.se/Downloads/Transcripts/0%20-%20Government/USA%20-%20NASA/2011 05 24 - NASA - Soyuz Undocks from ISS_BWnxhnM8I4k - transcript (automated).pdf","Transcript Link")</f>
        <v>Transcript Link</v>
      </c>
      <c r="M4198" s="2" t="str">
        <f>HYPERLINK("https://files.afu.se/Downloads/Transcripts/0%20-%20Government/USA%20-%20NASA/2011 05 24 - NASA - Soyuz Undocks from ISS_BWnxhnM8I4k - transcript (automated).pdf","Transcript Link")</f>
        <v>Transcript Link</v>
      </c>
    </row>
    <row r="4199" ht="165" spans="1:13">
      <c r="A4199" s="1" t="s">
        <v>18785</v>
      </c>
      <c r="B4199" s="1" t="s">
        <v>13</v>
      </c>
      <c r="C4199" s="4" t="s">
        <v>18786</v>
      </c>
      <c r="D4199" s="1" t="s">
        <v>18787</v>
      </c>
      <c r="E4199" s="1" t="s">
        <v>18788</v>
      </c>
      <c r="F4199" s="4" t="s">
        <v>17</v>
      </c>
      <c r="G4199" s="1" t="s">
        <v>18</v>
      </c>
      <c r="H4199" s="1" t="s">
        <v>19</v>
      </c>
      <c r="I4199" s="1" t="s">
        <v>20</v>
      </c>
      <c r="J4199" s="1" t="s">
        <v>18789</v>
      </c>
      <c r="K4199" s="1" t="s">
        <v>22</v>
      </c>
      <c r="L4199" s="1" t="str">
        <f>HYPERLINK("https://files.afu.se/Downloads/Transcripts/0%20-%20Government/USA%20-%20NASA/2011 05 23 - NASA - EVA2 Achieves its Goals_Aji0_CwkHT0 - transcript (automated).pdf","Transcript Link")</f>
        <v>Transcript Link</v>
      </c>
      <c r="M4199" s="2" t="str">
        <f>HYPERLINK("https://files.afu.se/Downloads/Transcripts/0%20-%20Government/USA%20-%20NASA/2011 05 23 - NASA - EVA2 Achieves its Goals_Aji0_CwkHT0 - transcript (automated).pdf","Transcript Link")</f>
        <v>Transcript Link</v>
      </c>
    </row>
    <row r="4200" ht="165" spans="1:13">
      <c r="A4200" s="1" t="s">
        <v>18785</v>
      </c>
      <c r="B4200" s="1" t="s">
        <v>13</v>
      </c>
      <c r="C4200" s="4" t="s">
        <v>18790</v>
      </c>
      <c r="D4200" s="1" t="s">
        <v>18791</v>
      </c>
      <c r="E4200" s="1" t="s">
        <v>18792</v>
      </c>
      <c r="F4200" s="4" t="s">
        <v>17</v>
      </c>
      <c r="G4200" s="1" t="s">
        <v>18</v>
      </c>
      <c r="H4200" s="1" t="s">
        <v>19</v>
      </c>
      <c r="I4200" s="1" t="s">
        <v>20</v>
      </c>
      <c r="J4200" s="1" t="s">
        <v>18793</v>
      </c>
      <c r="K4200" s="1" t="s">
        <v>22</v>
      </c>
      <c r="L4200" s="1" t="str">
        <f>HYPERLINK("https://files.afu.se/Downloads/Transcripts/0%20-%20Government/USA%20-%20NASA/2011 05 23 - NASA - Endeavour Crew Enjoys Off-Time_G-8GMxcxfVE - transcript (automated).pdf","Transcript Link")</f>
        <v>Transcript Link</v>
      </c>
      <c r="M4200" s="2" t="str">
        <f>HYPERLINK("https://files.afu.se/Downloads/Transcripts/0%20-%20Government/USA%20-%20NASA/2011 05 23 - NASA - Endeavour Crew Enjoys Off-Time_G-8GMxcxfVE - transcript (automated).pdf","Transcript Link")</f>
        <v>Transcript Link</v>
      </c>
    </row>
    <row r="4201" ht="165" spans="1:13">
      <c r="A4201" s="1" t="s">
        <v>18785</v>
      </c>
      <c r="B4201" s="1" t="s">
        <v>13</v>
      </c>
      <c r="C4201" s="4" t="s">
        <v>18794</v>
      </c>
      <c r="D4201" s="1" t="s">
        <v>18795</v>
      </c>
      <c r="E4201" s="1" t="s">
        <v>18796</v>
      </c>
      <c r="F4201" s="4" t="s">
        <v>17</v>
      </c>
      <c r="G4201" s="1" t="s">
        <v>18</v>
      </c>
      <c r="H4201" s="1" t="s">
        <v>19</v>
      </c>
      <c r="I4201" s="1" t="s">
        <v>20</v>
      </c>
      <c r="J4201" s="1" t="s">
        <v>18797</v>
      </c>
      <c r="K4201" s="1" t="s">
        <v>22</v>
      </c>
      <c r="L4201" s="1" t="str">
        <f>HYPERLINK("https://files.afu.se/Downloads/Transcripts/0%20-%20Government/USA%20-%20NASA/2011 05 23 - NASA - Successful Spacewalk Tops Flight Day 7_qcY4T4O4nLg - transcript (automated).pdf","Transcript Link")</f>
        <v>Transcript Link</v>
      </c>
      <c r="M4201" s="2" t="str">
        <f>HYPERLINK("https://files.afu.se/Downloads/Transcripts/0%20-%20Government/USA%20-%20NASA/2011 05 23 - NASA - Successful Spacewalk Tops Flight Day 7_qcY4T4O4nLg - transcript (automated).pdf","Transcript Link")</f>
        <v>Transcript Link</v>
      </c>
    </row>
    <row r="4202" ht="165" spans="1:13">
      <c r="A4202" s="1" t="s">
        <v>18785</v>
      </c>
      <c r="B4202" s="1" t="s">
        <v>13</v>
      </c>
      <c r="C4202" s="4" t="s">
        <v>18798</v>
      </c>
      <c r="D4202" s="1" t="s">
        <v>18799</v>
      </c>
      <c r="E4202" s="1" t="s">
        <v>18800</v>
      </c>
      <c r="F4202" s="4" t="s">
        <v>17</v>
      </c>
      <c r="G4202" s="1" t="s">
        <v>18</v>
      </c>
      <c r="H4202" s="1" t="s">
        <v>19</v>
      </c>
      <c r="I4202" s="1" t="s">
        <v>20</v>
      </c>
      <c r="J4202" s="1" t="s">
        <v>18801</v>
      </c>
      <c r="K4202" s="1" t="s">
        <v>22</v>
      </c>
      <c r="L4202" s="1" t="str">
        <f>HYPERLINK("https://files.afu.se/Downloads/Transcripts/0%20-%20Government/USA%20-%20NASA/2011 05 23 - NASA - Soyuz Hatch Closes as Crew Readies for Home_ci2WTrq_mjI - transcript (automated).pdf","Transcript Link")</f>
        <v>Transcript Link</v>
      </c>
      <c r="M4202" s="2" t="str">
        <f>HYPERLINK("https://files.afu.se/Downloads/Transcripts/0%20-%20Government/USA%20-%20NASA/2011 05 23 - NASA - Soyuz Hatch Closes as Crew Readies for Home_ci2WTrq_mjI - transcript (automated).pdf","Transcript Link")</f>
        <v>Transcript Link</v>
      </c>
    </row>
    <row r="4203" ht="165" spans="1:13">
      <c r="A4203" s="1" t="s">
        <v>18785</v>
      </c>
      <c r="B4203" s="1" t="s">
        <v>13</v>
      </c>
      <c r="C4203" s="4" t="s">
        <v>18802</v>
      </c>
      <c r="D4203" s="1" t="s">
        <v>18803</v>
      </c>
      <c r="E4203" s="1" t="s">
        <v>18804</v>
      </c>
      <c r="F4203" s="4" t="s">
        <v>17</v>
      </c>
      <c r="G4203" s="1" t="s">
        <v>18</v>
      </c>
      <c r="H4203" s="1" t="s">
        <v>19</v>
      </c>
      <c r="I4203" s="1" t="s">
        <v>20</v>
      </c>
      <c r="J4203" s="1" t="s">
        <v>18805</v>
      </c>
      <c r="K4203" s="1" t="s">
        <v>22</v>
      </c>
      <c r="L4203" s="1" t="str">
        <f>HYPERLINK("https://files.afu.se/Downloads/Transcripts/0%20-%20Government/USA%20-%20NASA/2011 05 23 - NASA - Vittori &amp; Nespoli Speak With Italian President_p-1V_7As3Ek - transcript (automated).pdf","Transcript Link")</f>
        <v>Transcript Link</v>
      </c>
      <c r="M4203" s="2" t="str">
        <f>HYPERLINK("https://files.afu.se/Downloads/Transcripts/0%20-%20Government/USA%20-%20NASA/2011 05 23 - NASA - Vittori &amp; Nespoli Speak With Italian President_p-1V_7As3Ek - transcript (automated).pdf","Transcript Link")</f>
        <v>Transcript Link</v>
      </c>
    </row>
    <row r="4204" ht="165" spans="1:13">
      <c r="A4204" s="1" t="s">
        <v>18785</v>
      </c>
      <c r="B4204" s="1" t="s">
        <v>13</v>
      </c>
      <c r="C4204" s="4" t="s">
        <v>18806</v>
      </c>
      <c r="D4204" s="1" t="s">
        <v>18807</v>
      </c>
      <c r="E4204" s="1" t="s">
        <v>18808</v>
      </c>
      <c r="F4204" s="4" t="s">
        <v>17</v>
      </c>
      <c r="G4204" s="1" t="s">
        <v>18</v>
      </c>
      <c r="H4204" s="1" t="s">
        <v>19</v>
      </c>
      <c r="I4204" s="1" t="s">
        <v>20</v>
      </c>
      <c r="J4204" s="1" t="s">
        <v>18809</v>
      </c>
      <c r="K4204" s="1" t="s">
        <v>22</v>
      </c>
      <c r="L4204" s="1" t="str">
        <f>HYPERLINK("https://files.afu.se/Downloads/Transcripts/0%20-%20Government/USA%20-%20NASA/2011 05 23 - NASA - Kelly and Fincke Talk with Tucson School Students_LNg1uH-O73s - transcript (automated).pdf","Transcript Link")</f>
        <v>Transcript Link</v>
      </c>
      <c r="M4204" s="2" t="str">
        <f>HYPERLINK("https://files.afu.se/Downloads/Transcripts/0%20-%20Government/USA%20-%20NASA/2011 05 23 - NASA - Kelly and Fincke Talk with Tucson School Students_LNg1uH-O73s - transcript (automated).pdf","Transcript Link")</f>
        <v>Transcript Link</v>
      </c>
    </row>
    <row r="4205" ht="165" spans="1:13">
      <c r="A4205" s="1" t="s">
        <v>18785</v>
      </c>
      <c r="B4205" s="1" t="s">
        <v>13</v>
      </c>
      <c r="C4205" s="4" t="s">
        <v>18810</v>
      </c>
      <c r="D4205" s="1" t="s">
        <v>18811</v>
      </c>
      <c r="E4205" s="1" t="s">
        <v>18812</v>
      </c>
      <c r="F4205" s="4" t="s">
        <v>17</v>
      </c>
      <c r="G4205" s="1" t="s">
        <v>18</v>
      </c>
      <c r="H4205" s="1" t="s">
        <v>19</v>
      </c>
      <c r="I4205" s="1" t="s">
        <v>20</v>
      </c>
      <c r="J4205" s="1" t="s">
        <v>18813</v>
      </c>
      <c r="K4205" s="1" t="s">
        <v>22</v>
      </c>
      <c r="L4205" s="1" t="str">
        <f>HYPERLINK("https://files.afu.se/Downloads/Transcripts/0%20-%20Government/USA%20-%20NASA/2011 05 23 - NASA - Papal Call,  Campout  Top FD6 Highlights_tcmIryQ2iPI - transcript (automated).pdf","Transcript Link")</f>
        <v>Transcript Link</v>
      </c>
      <c r="M4205" s="2" t="str">
        <f>HYPERLINK("https://files.afu.se/Downloads/Transcripts/0%20-%20Government/USA%20-%20NASA/2011 05 23 - NASA - Papal Call,  Campout  Top FD6 Highlights_tcmIryQ2iPI - transcript (automated).pdf","Transcript Link")</f>
        <v>Transcript Link</v>
      </c>
    </row>
    <row r="4206" ht="165" spans="1:13">
      <c r="A4206" s="1" t="s">
        <v>18785</v>
      </c>
      <c r="B4206" s="1" t="s">
        <v>13</v>
      </c>
      <c r="C4206" s="4" t="s">
        <v>18814</v>
      </c>
      <c r="D4206" s="1" t="s">
        <v>18815</v>
      </c>
      <c r="E4206" s="1" t="s">
        <v>18816</v>
      </c>
      <c r="F4206" s="4" t="s">
        <v>17</v>
      </c>
      <c r="G4206" s="1" t="s">
        <v>18</v>
      </c>
      <c r="H4206" s="1" t="s">
        <v>19</v>
      </c>
      <c r="I4206" s="1" t="s">
        <v>20</v>
      </c>
      <c r="J4206" s="1" t="s">
        <v>18817</v>
      </c>
      <c r="K4206" s="1" t="s">
        <v>22</v>
      </c>
      <c r="L4206" s="1" t="str">
        <f>HYPERLINK("https://files.afu.se/Downloads/Transcripts/0%20-%20Government/USA%20-%20NASA/2011 05 23 - NASA - Feustel and Fincke Prep for EVA2_b7jSBPp6k0Q - transcript (automated).pdf","Transcript Link")</f>
        <v>Transcript Link</v>
      </c>
      <c r="M4206" s="2" t="str">
        <f>HYPERLINK("https://files.afu.se/Downloads/Transcripts/0%20-%20Government/USA%20-%20NASA/2011 05 23 - NASA - Feustel and Fincke Prep for EVA2_b7jSBPp6k0Q - transcript (automated).pdf","Transcript Link")</f>
        <v>Transcript Link</v>
      </c>
    </row>
    <row r="4207" ht="165" spans="1:13">
      <c r="A4207" s="1" t="s">
        <v>18785</v>
      </c>
      <c r="B4207" s="1" t="s">
        <v>13</v>
      </c>
      <c r="C4207" s="4" t="s">
        <v>18818</v>
      </c>
      <c r="D4207" s="1" t="s">
        <v>18819</v>
      </c>
      <c r="E4207" s="1" t="s">
        <v>18820</v>
      </c>
      <c r="F4207" s="4" t="s">
        <v>17</v>
      </c>
      <c r="G4207" s="1" t="s">
        <v>18</v>
      </c>
      <c r="H4207" s="1" t="s">
        <v>19</v>
      </c>
      <c r="I4207" s="1" t="s">
        <v>20</v>
      </c>
      <c r="J4207" s="1" t="s">
        <v>18821</v>
      </c>
      <c r="K4207" s="1" t="s">
        <v>22</v>
      </c>
      <c r="L4207" s="1" t="str">
        <f>HYPERLINK("https://files.afu.se/Downloads/Transcripts/0%20-%20Government/USA%20-%20NASA/2011 05 23 - NASA - ISS Gets New Commander_xMdPjWu2knw - transcript (automated).pdf","Transcript Link")</f>
        <v>Transcript Link</v>
      </c>
      <c r="M4207" s="2" t="str">
        <f>HYPERLINK("https://files.afu.se/Downloads/Transcripts/0%20-%20Government/USA%20-%20NASA/2011 05 23 - NASA - ISS Gets New Commander_xMdPjWu2knw - transcript (automated).pdf","Transcript Link")</f>
        <v>Transcript Link</v>
      </c>
    </row>
    <row r="4208" ht="165" spans="1:13">
      <c r="A4208" s="1" t="s">
        <v>18822</v>
      </c>
      <c r="B4208" s="1" t="s">
        <v>13</v>
      </c>
      <c r="C4208" s="4" t="s">
        <v>18823</v>
      </c>
      <c r="D4208" s="1" t="s">
        <v>18824</v>
      </c>
      <c r="E4208" s="1" t="s">
        <v>18825</v>
      </c>
      <c r="F4208" s="4" t="s">
        <v>17</v>
      </c>
      <c r="G4208" s="1" t="s">
        <v>18</v>
      </c>
      <c r="H4208" s="1" t="s">
        <v>19</v>
      </c>
      <c r="I4208" s="1" t="s">
        <v>20</v>
      </c>
      <c r="J4208" s="1" t="s">
        <v>18826</v>
      </c>
      <c r="K4208" s="1" t="s">
        <v>22</v>
      </c>
      <c r="L4208" s="1" t="str">
        <f>HYPERLINK("https://files.afu.se/Downloads/Transcripts/0%20-%20Government/USA%20-%20NASA/2011 05 21 - NASA - Pope Benedict XVI Greets Shuttle, Station Crew_81jAmb_e1pg - transcript (automated).pdf","Transcript Link")</f>
        <v>Transcript Link</v>
      </c>
      <c r="M4208" s="2" t="str">
        <f>HYPERLINK("https://files.afu.se/Downloads/Transcripts/0%20-%20Government/USA%20-%20NASA/2011 05 21 - NASA - Pope Benedict XVI Greets Shuttle, Station Crew_81jAmb_e1pg - transcript (automated).pdf","Transcript Link")</f>
        <v>Transcript Link</v>
      </c>
    </row>
    <row r="4209" ht="165" spans="1:13">
      <c r="A4209" s="1" t="s">
        <v>18827</v>
      </c>
      <c r="B4209" s="1" t="s">
        <v>13</v>
      </c>
      <c r="C4209" s="4" t="s">
        <v>18828</v>
      </c>
      <c r="D4209" s="1" t="s">
        <v>18829</v>
      </c>
      <c r="E4209" s="1" t="s">
        <v>18830</v>
      </c>
      <c r="F4209" s="4" t="s">
        <v>17</v>
      </c>
      <c r="G4209" s="1" t="s">
        <v>18</v>
      </c>
      <c r="H4209" s="1" t="s">
        <v>19</v>
      </c>
      <c r="I4209" s="1" t="s">
        <v>20</v>
      </c>
      <c r="J4209" s="1" t="s">
        <v>18831</v>
      </c>
      <c r="K4209" s="1" t="s">
        <v>22</v>
      </c>
      <c r="L4209" s="1" t="str">
        <f>HYPERLINK("https://files.afu.se/Downloads/Transcripts/0%20-%20Government/USA%20-%20NASA/2011 05 20 - NASA - Unique Photo Op in Space Set for Monday_Sa2vdohUp0U - transcript (automated).pdf","Transcript Link")</f>
        <v>Transcript Link</v>
      </c>
      <c r="M4209" s="2" t="str">
        <f>HYPERLINK("https://files.afu.se/Downloads/Transcripts/0%20-%20Government/USA%20-%20NASA/2011 05 20 - NASA - Unique Photo Op in Space Set for Monday_Sa2vdohUp0U - transcript (automated).pdf","Transcript Link")</f>
        <v>Transcript Link</v>
      </c>
    </row>
    <row r="4210" ht="165" spans="1:13">
      <c r="A4210" s="1" t="s">
        <v>18827</v>
      </c>
      <c r="B4210" s="1" t="s">
        <v>13</v>
      </c>
      <c r="C4210" s="4" t="s">
        <v>18832</v>
      </c>
      <c r="D4210" s="1" t="s">
        <v>18833</v>
      </c>
      <c r="E4210" s="1" t="s">
        <v>18834</v>
      </c>
      <c r="F4210" s="4" t="s">
        <v>17</v>
      </c>
      <c r="G4210" s="1" t="s">
        <v>18</v>
      </c>
      <c r="H4210" s="1" t="s">
        <v>19</v>
      </c>
      <c r="I4210" s="1" t="s">
        <v>20</v>
      </c>
      <c r="J4210" s="1" t="s">
        <v>18835</v>
      </c>
      <c r="K4210" s="1" t="s">
        <v>22</v>
      </c>
      <c r="L4210" s="1" t="str">
        <f>HYPERLINK("https://files.afu.se/Downloads/Transcripts/0%20-%20Government/USA%20-%20NASA/2011 05 20 - NASA - EVA Highlight of FD5_FuqTODoI_hs - transcript (automated).pdf","Transcript Link")</f>
        <v>Transcript Link</v>
      </c>
      <c r="M4210" s="2" t="str">
        <f>HYPERLINK("https://files.afu.se/Downloads/Transcripts/0%20-%20Government/USA%20-%20NASA/2011 05 20 - NASA - EVA Highlight of FD5_FuqTODoI_hs - transcript (automated).pdf","Transcript Link")</f>
        <v>Transcript Link</v>
      </c>
    </row>
    <row r="4211" ht="165" spans="1:13">
      <c r="A4211" s="1" t="s">
        <v>18827</v>
      </c>
      <c r="B4211" s="1" t="s">
        <v>13</v>
      </c>
      <c r="C4211" s="4" t="s">
        <v>18836</v>
      </c>
      <c r="D4211" s="1" t="s">
        <v>18837</v>
      </c>
      <c r="E4211" s="1" t="s">
        <v>18838</v>
      </c>
      <c r="F4211" s="4" t="s">
        <v>17</v>
      </c>
      <c r="G4211" s="1" t="s">
        <v>18</v>
      </c>
      <c r="H4211" s="1" t="s">
        <v>19</v>
      </c>
      <c r="I4211" s="1" t="s">
        <v>20</v>
      </c>
      <c r="J4211" s="1" t="s">
        <v>18839</v>
      </c>
      <c r="K4211" s="1" t="s">
        <v>22</v>
      </c>
      <c r="L4211" s="1" t="str">
        <f>HYPERLINK("https://files.afu.se/Downloads/Transcripts/0%20-%20Government/USA%20-%20NASA/2011 05 20 - NASA - EVA Shortened by Faulty Sensor_S_3FG3SN89Q - transcript (automated).pdf","Transcript Link")</f>
        <v>Transcript Link</v>
      </c>
      <c r="M4211" s="2" t="str">
        <f>HYPERLINK("https://files.afu.se/Downloads/Transcripts/0%20-%20Government/USA%20-%20NASA/2011 05 20 - NASA - EVA Shortened by Faulty Sensor_S_3FG3SN89Q - transcript (automated).pdf","Transcript Link")</f>
        <v>Transcript Link</v>
      </c>
    </row>
    <row r="4212" ht="165" spans="1:13">
      <c r="A4212" s="1" t="s">
        <v>18827</v>
      </c>
      <c r="B4212" s="1" t="s">
        <v>13</v>
      </c>
      <c r="C4212" s="4" t="s">
        <v>18840</v>
      </c>
      <c r="D4212" s="1" t="s">
        <v>18841</v>
      </c>
      <c r="E4212" s="1" t="s">
        <v>18842</v>
      </c>
      <c r="F4212" s="4" t="s">
        <v>17</v>
      </c>
      <c r="G4212" s="1" t="s">
        <v>18</v>
      </c>
      <c r="H4212" s="1" t="s">
        <v>19</v>
      </c>
      <c r="I4212" s="1" t="s">
        <v>20</v>
      </c>
      <c r="J4212" s="1" t="s">
        <v>18843</v>
      </c>
      <c r="K4212" s="1" t="s">
        <v>22</v>
      </c>
      <c r="L4212" s="1" t="str">
        <f>HYPERLINK("https://files.afu.se/Downloads/Transcripts/0%20-%20Government/USA%20-%20NASA/2011 05 20 - NASA - First Spacewalk Successful on STS-134_RR7UuzFAun8 - transcript (automated).pdf","Transcript Link")</f>
        <v>Transcript Link</v>
      </c>
      <c r="M4212" s="2" t="str">
        <f>HYPERLINK("https://files.afu.se/Downloads/Transcripts/0%20-%20Government/USA%20-%20NASA/2011 05 20 - NASA - First Spacewalk Successful on STS-134_RR7UuzFAun8 - transcript (automated).pdf","Transcript Link")</f>
        <v>Transcript Link</v>
      </c>
    </row>
    <row r="4213" ht="165" spans="1:13">
      <c r="A4213" s="1" t="s">
        <v>18827</v>
      </c>
      <c r="B4213" s="1" t="s">
        <v>13</v>
      </c>
      <c r="C4213" s="4" t="s">
        <v>18844</v>
      </c>
      <c r="D4213" s="1" t="s">
        <v>18745</v>
      </c>
      <c r="E4213" s="1" t="s">
        <v>18746</v>
      </c>
      <c r="F4213" s="4" t="s">
        <v>17</v>
      </c>
      <c r="G4213" s="1" t="s">
        <v>18</v>
      </c>
      <c r="H4213" s="1" t="s">
        <v>19</v>
      </c>
      <c r="I4213" s="1" t="s">
        <v>20</v>
      </c>
      <c r="J4213" s="1" t="s">
        <v>18845</v>
      </c>
      <c r="K4213" s="1" t="s">
        <v>22</v>
      </c>
      <c r="L4213" s="1" t="str">
        <f>HYPERLINK("https://files.afu.se/Downloads/Transcripts/0%20-%20Government/USA%20-%20NASA/2011 05 20 - NASA - Aquarius Nears on This Week @NASA_019ytYfZdZg - transcript (automated).pdf","Transcript Link")</f>
        <v>Transcript Link</v>
      </c>
      <c r="M4213" s="2" t="str">
        <f>HYPERLINK("https://files.afu.se/Downloads/Transcripts/0%20-%20Government/USA%20-%20NASA/2011 05 20 - NASA - Aquarius Nears on This Week @NASA_019ytYfZdZg - transcript (automated).pdf","Transcript Link")</f>
        <v>Transcript Link</v>
      </c>
    </row>
    <row r="4214" ht="165" spans="1:13">
      <c r="A4214" s="1" t="s">
        <v>18846</v>
      </c>
      <c r="B4214" s="1" t="s">
        <v>13</v>
      </c>
      <c r="C4214" s="4" t="s">
        <v>18847</v>
      </c>
      <c r="D4214" s="1" t="s">
        <v>18848</v>
      </c>
      <c r="E4214" s="1" t="s">
        <v>18849</v>
      </c>
      <c r="F4214" s="4" t="s">
        <v>17</v>
      </c>
      <c r="G4214" s="1" t="s">
        <v>18</v>
      </c>
      <c r="H4214" s="1" t="s">
        <v>19</v>
      </c>
      <c r="I4214" s="1" t="s">
        <v>20</v>
      </c>
      <c r="J4214" s="1" t="s">
        <v>18850</v>
      </c>
      <c r="K4214" s="1" t="s">
        <v>22</v>
      </c>
      <c r="L4214" s="1" t="str">
        <f>HYPERLINK("https://files.afu.se/Downloads/Transcripts/0%20-%20Government/USA%20-%20NASA/2011 05 19 - NASA - Flight Day 4 Holds Many STS-134 Highlights_o8XVX3L2D1k - transcript (automated).pdf","Transcript Link")</f>
        <v>Transcript Link</v>
      </c>
      <c r="M4214" s="2" t="str">
        <f>HYPERLINK("https://files.afu.se/Downloads/Transcripts/0%20-%20Government/USA%20-%20NASA/2011 05 19 - NASA - Flight Day 4 Holds Many STS-134 Highlights_o8XVX3L2D1k - transcript (automated).pdf","Transcript Link")</f>
        <v>Transcript Link</v>
      </c>
    </row>
    <row r="4215" ht="165" spans="1:13">
      <c r="A4215" s="1" t="s">
        <v>18846</v>
      </c>
      <c r="B4215" s="1" t="s">
        <v>13</v>
      </c>
      <c r="C4215" s="4" t="s">
        <v>18851</v>
      </c>
      <c r="D4215" s="1" t="s">
        <v>18852</v>
      </c>
      <c r="E4215" s="1" t="s">
        <v>18853</v>
      </c>
      <c r="F4215" s="4" t="s">
        <v>17</v>
      </c>
      <c r="G4215" s="1" t="s">
        <v>18</v>
      </c>
      <c r="H4215" s="1" t="s">
        <v>19</v>
      </c>
      <c r="I4215" s="1" t="s">
        <v>20</v>
      </c>
      <c r="J4215" s="1" t="s">
        <v>18854</v>
      </c>
      <c r="K4215" s="1" t="s">
        <v>22</v>
      </c>
      <c r="L4215" s="1" t="str">
        <f>HYPERLINK("https://files.afu.se/Downloads/Transcripts/0%20-%20Government/USA%20-%20NASA/2011 05 19 - NASA - AMS Installed Outside ISS_eJHiPn498PM - transcript (automated).pdf","Transcript Link")</f>
        <v>Transcript Link</v>
      </c>
      <c r="M4215" s="2" t="str">
        <f>HYPERLINK("https://files.afu.se/Downloads/Transcripts/0%20-%20Government/USA%20-%20NASA/2011 05 19 - NASA - AMS Installed Outside ISS_eJHiPn498PM - transcript (automated).pdf","Transcript Link")</f>
        <v>Transcript Link</v>
      </c>
    </row>
    <row r="4216" ht="165" spans="1:13">
      <c r="A4216" s="1" t="s">
        <v>18846</v>
      </c>
      <c r="B4216" s="1" t="s">
        <v>13</v>
      </c>
      <c r="C4216" s="4" t="s">
        <v>18855</v>
      </c>
      <c r="D4216" s="1" t="s">
        <v>18856</v>
      </c>
      <c r="E4216" s="1" t="s">
        <v>18857</v>
      </c>
      <c r="F4216" s="4" t="s">
        <v>17</v>
      </c>
      <c r="G4216" s="1" t="s">
        <v>18</v>
      </c>
      <c r="H4216" s="1" t="s">
        <v>19</v>
      </c>
      <c r="I4216" s="1" t="s">
        <v>20</v>
      </c>
      <c r="J4216" s="1" t="s">
        <v>18858</v>
      </c>
      <c r="K4216" s="1" t="s">
        <v>22</v>
      </c>
      <c r="L4216" s="1" t="str">
        <f>HYPERLINK("https://files.afu.se/Downloads/Transcripts/0%20-%20Government/USA%20-%20NASA/2011 05 19 - NASA - Campout Begins for First Spacewalk_DZ5jBs1aQyo - transcript (automated).pdf","Transcript Link")</f>
        <v>Transcript Link</v>
      </c>
      <c r="M4216" s="2" t="str">
        <f>HYPERLINK("https://files.afu.se/Downloads/Transcripts/0%20-%20Government/USA%20-%20NASA/2011 05 19 - NASA - Campout Begins for First Spacewalk_DZ5jBs1aQyo - transcript (automated).pdf","Transcript Link")</f>
        <v>Transcript Link</v>
      </c>
    </row>
    <row r="4217" ht="165" spans="1:13">
      <c r="A4217" s="1" t="s">
        <v>18846</v>
      </c>
      <c r="B4217" s="1" t="s">
        <v>13</v>
      </c>
      <c r="C4217" s="4" t="s">
        <v>18859</v>
      </c>
      <c r="D4217" s="1" t="s">
        <v>18860</v>
      </c>
      <c r="E4217" s="1" t="s">
        <v>18861</v>
      </c>
      <c r="F4217" s="4" t="s">
        <v>17</v>
      </c>
      <c r="G4217" s="1" t="s">
        <v>18</v>
      </c>
      <c r="H4217" s="1" t="s">
        <v>19</v>
      </c>
      <c r="I4217" s="1" t="s">
        <v>20</v>
      </c>
      <c r="J4217" s="1" t="s">
        <v>18862</v>
      </c>
      <c r="K4217" s="1" t="s">
        <v>22</v>
      </c>
      <c r="L4217" s="1" t="str">
        <f>HYPERLINK("https://files.afu.se/Downloads/Transcripts/0%20-%20Government/USA%20-%20NASA/2011 05 19 - NASA - Kelly, Coleman Talk with NPR, Others_VhbqrZOYGUg - transcript (automated).pdf","Transcript Link")</f>
        <v>Transcript Link</v>
      </c>
      <c r="M4217" s="2" t="str">
        <f>HYPERLINK("https://files.afu.se/Downloads/Transcripts/0%20-%20Government/USA%20-%20NASA/2011 05 19 - NASA - Kelly, Coleman Talk with NPR, Others_VhbqrZOYGUg - transcript (automated).pdf","Transcript Link")</f>
        <v>Transcript Link</v>
      </c>
    </row>
    <row r="4218" ht="165" spans="1:13">
      <c r="A4218" s="1" t="s">
        <v>18846</v>
      </c>
      <c r="B4218" s="1" t="s">
        <v>13</v>
      </c>
      <c r="C4218" s="4" t="s">
        <v>18863</v>
      </c>
      <c r="D4218" s="1" t="s">
        <v>18864</v>
      </c>
      <c r="E4218" s="1" t="s">
        <v>18865</v>
      </c>
      <c r="F4218" s="4" t="s">
        <v>17</v>
      </c>
      <c r="G4218" s="1" t="s">
        <v>18</v>
      </c>
      <c r="H4218" s="1" t="s">
        <v>19</v>
      </c>
      <c r="I4218" s="1" t="s">
        <v>20</v>
      </c>
      <c r="J4218" s="1" t="s">
        <v>18866</v>
      </c>
      <c r="K4218" s="1" t="s">
        <v>22</v>
      </c>
      <c r="L4218" s="1" t="str">
        <f>HYPERLINK("https://files.afu.se/Downloads/Transcripts/0%20-%20Government/USA%20-%20NASA/2011 05 19 - NASA - Astros Googled In Space___w18FPWvfc - transcript (automated).pdf","Transcript Link")</f>
        <v>Transcript Link</v>
      </c>
      <c r="M4218" s="2" t="str">
        <f>HYPERLINK("https://files.afu.se/Downloads/Transcripts/0%20-%20Government/USA%20-%20NASA/2011 05 19 - NASA - Astros Googled In Space___w18FPWvfc - transcript (automated).pdf","Transcript Link")</f>
        <v>Transcript Link</v>
      </c>
    </row>
    <row r="4219" ht="165" spans="1:13">
      <c r="A4219" s="1" t="s">
        <v>18846</v>
      </c>
      <c r="B4219" s="1" t="s">
        <v>13</v>
      </c>
      <c r="C4219" s="4" t="s">
        <v>18867</v>
      </c>
      <c r="D4219" s="1" t="s">
        <v>18852</v>
      </c>
      <c r="E4219" s="1" t="s">
        <v>18853</v>
      </c>
      <c r="F4219" s="4" t="s">
        <v>17</v>
      </c>
      <c r="G4219" s="1" t="s">
        <v>18</v>
      </c>
      <c r="H4219" s="1" t="s">
        <v>19</v>
      </c>
      <c r="I4219" s="1" t="s">
        <v>20</v>
      </c>
      <c r="J4219" s="1" t="s">
        <v>18868</v>
      </c>
      <c r="K4219" s="1" t="s">
        <v>22</v>
      </c>
      <c r="L4219" s="1" t="str">
        <f>HYPERLINK("https://files.afu.se/Downloads/Transcripts/0%20-%20Government/USA%20-%20NASA/2011 05 19 - NASA - AMS Installed Outside ISS_xUcg-RtKS6Q - transcript (automated).pdf","Transcript Link")</f>
        <v>Transcript Link</v>
      </c>
      <c r="M4219" s="2" t="str">
        <f>HYPERLINK("https://files.afu.se/Downloads/Transcripts/0%20-%20Government/USA%20-%20NASA/2011 05 19 - NASA - AMS Installed Outside ISS_xUcg-RtKS6Q - transcript (automated).pdf","Transcript Link")</f>
        <v>Transcript Link</v>
      </c>
    </row>
    <row r="4220" ht="165" spans="1:13">
      <c r="A4220" s="1" t="s">
        <v>18869</v>
      </c>
      <c r="B4220" s="1" t="s">
        <v>13</v>
      </c>
      <c r="C4220" s="4" t="s">
        <v>18870</v>
      </c>
      <c r="D4220" s="1" t="s">
        <v>18871</v>
      </c>
      <c r="E4220" s="1" t="s">
        <v>18872</v>
      </c>
      <c r="F4220" s="4" t="s">
        <v>17</v>
      </c>
      <c r="G4220" s="1" t="s">
        <v>18</v>
      </c>
      <c r="H4220" s="1" t="s">
        <v>19</v>
      </c>
      <c r="I4220" s="1" t="s">
        <v>20</v>
      </c>
      <c r="J4220" s="1" t="s">
        <v>18873</v>
      </c>
      <c r="K4220" s="1" t="s">
        <v>22</v>
      </c>
      <c r="L4220" s="1" t="str">
        <f>HYPERLINK("https://files.afu.se/Downloads/Transcripts/0%20-%20Government/USA%20-%20NASA/2011 05 18 - NASA - Logistics Carrier Installed on Station_6VvjOW1gPmU - transcript (automated).pdf","Transcript Link")</f>
        <v>Transcript Link</v>
      </c>
      <c r="M4220" s="2" t="str">
        <f>HYPERLINK("https://files.afu.se/Downloads/Transcripts/0%20-%20Government/USA%20-%20NASA/2011 05 18 - NASA - Logistics Carrier Installed on Station_6VvjOW1gPmU - transcript (automated).pdf","Transcript Link")</f>
        <v>Transcript Link</v>
      </c>
    </row>
    <row r="4221" ht="165" spans="1:13">
      <c r="A4221" s="1" t="s">
        <v>18869</v>
      </c>
      <c r="B4221" s="1" t="s">
        <v>13</v>
      </c>
      <c r="C4221" s="4" t="s">
        <v>18874</v>
      </c>
      <c r="D4221" s="1" t="s">
        <v>18875</v>
      </c>
      <c r="E4221" s="1" t="s">
        <v>18876</v>
      </c>
      <c r="F4221" s="4" t="s">
        <v>17</v>
      </c>
      <c r="G4221" s="1" t="s">
        <v>18</v>
      </c>
      <c r="H4221" s="1" t="s">
        <v>19</v>
      </c>
      <c r="I4221" s="1" t="s">
        <v>20</v>
      </c>
      <c r="J4221" s="1" t="s">
        <v>18877</v>
      </c>
      <c r="K4221" s="1" t="s">
        <v>22</v>
      </c>
      <c r="L4221" s="1" t="str">
        <f>HYPERLINK("https://files.afu.se/Downloads/Transcripts/0%20-%20Government/USA%20-%20NASA/2011 05 18 - NASA - Flight Day 3 Brings Station and Shuttle Crews Together_GA_P7u3GO2w - transcript (automated).pdf","Transcript Link")</f>
        <v>Transcript Link</v>
      </c>
      <c r="M4221" s="2" t="str">
        <f>HYPERLINK("https://files.afu.se/Downloads/Transcripts/0%20-%20Government/USA%20-%20NASA/2011 05 18 - NASA - Flight Day 3 Brings Station and Shuttle Crews Together_GA_P7u3GO2w - transcript (automated).pdf","Transcript Link")</f>
        <v>Transcript Link</v>
      </c>
    </row>
    <row r="4222" ht="165" spans="1:13">
      <c r="A4222" s="1" t="s">
        <v>18869</v>
      </c>
      <c r="B4222" s="1" t="s">
        <v>13</v>
      </c>
      <c r="C4222" s="4" t="s">
        <v>18878</v>
      </c>
      <c r="D4222" s="1" t="s">
        <v>18879</v>
      </c>
      <c r="E4222" s="1" t="s">
        <v>18880</v>
      </c>
      <c r="F4222" s="4" t="s">
        <v>17</v>
      </c>
      <c r="G4222" s="1" t="s">
        <v>18</v>
      </c>
      <c r="H4222" s="1" t="s">
        <v>19</v>
      </c>
      <c r="I4222" s="1" t="s">
        <v>20</v>
      </c>
      <c r="J4222" s="1" t="s">
        <v>18881</v>
      </c>
      <c r="K4222" s="1" t="s">
        <v>22</v>
      </c>
      <c r="L4222" s="1" t="str">
        <f>HYPERLINK("https://files.afu.se/Downloads/Transcripts/0%20-%20Government/USA%20-%20NASA/2011 05 18 - NASA - Shuttle Crew Welcomed Aboard Space Station_NnEQhRb5JUI - transcript (automated).pdf","Transcript Link")</f>
        <v>Transcript Link</v>
      </c>
      <c r="M4222" s="2" t="str">
        <f>HYPERLINK("https://files.afu.se/Downloads/Transcripts/0%20-%20Government/USA%20-%20NASA/2011 05 18 - NASA - Shuttle Crew Welcomed Aboard Space Station_NnEQhRb5JUI - transcript (automated).pdf","Transcript Link")</f>
        <v>Transcript Link</v>
      </c>
    </row>
    <row r="4223" ht="165" spans="1:13">
      <c r="A4223" s="1" t="s">
        <v>18869</v>
      </c>
      <c r="B4223" s="1" t="s">
        <v>13</v>
      </c>
      <c r="C4223" s="4" t="s">
        <v>18882</v>
      </c>
      <c r="D4223" s="1" t="s">
        <v>18883</v>
      </c>
      <c r="E4223" s="1" t="s">
        <v>18880</v>
      </c>
      <c r="F4223" s="4" t="s">
        <v>17</v>
      </c>
      <c r="G4223" s="1" t="s">
        <v>18</v>
      </c>
      <c r="H4223" s="1" t="s">
        <v>19</v>
      </c>
      <c r="I4223" s="1" t="s">
        <v>20</v>
      </c>
      <c r="J4223" s="1" t="s">
        <v>18884</v>
      </c>
      <c r="K4223" s="1" t="s">
        <v>22</v>
      </c>
      <c r="L4223" s="1" t="str">
        <f>HYPERLINK("https://files.afu.se/Downloads/Transcripts/0%20-%20Government/USA%20-%20NASA/2011 05 18 - NASA - STS-134 Hatch Opening &amp; Welcome Aboard ISS_scyJRlafRgc - transcript (automated).pdf","Transcript Link")</f>
        <v>Transcript Link</v>
      </c>
      <c r="M4223" s="2" t="str">
        <f>HYPERLINK("https://files.afu.se/Downloads/Transcripts/0%20-%20Government/USA%20-%20NASA/2011 05 18 - NASA - STS-134 Hatch Opening &amp; Welcome Aboard ISS_scyJRlafRgc - transcript (automated).pdf","Transcript Link")</f>
        <v>Transcript Link</v>
      </c>
    </row>
    <row r="4224" ht="165" spans="1:13">
      <c r="A4224" s="1" t="s">
        <v>18869</v>
      </c>
      <c r="B4224" s="1" t="s">
        <v>13</v>
      </c>
      <c r="C4224" s="4" t="s">
        <v>18885</v>
      </c>
      <c r="D4224" s="1" t="s">
        <v>18886</v>
      </c>
      <c r="E4224" s="1" t="s">
        <v>18887</v>
      </c>
      <c r="F4224" s="4" t="s">
        <v>17</v>
      </c>
      <c r="G4224" s="1" t="s">
        <v>18</v>
      </c>
      <c r="H4224" s="1" t="s">
        <v>19</v>
      </c>
      <c r="I4224" s="1" t="s">
        <v>20</v>
      </c>
      <c r="J4224" s="1" t="s">
        <v>18888</v>
      </c>
      <c r="K4224" s="1" t="s">
        <v>22</v>
      </c>
      <c r="L4224" s="1" t="str">
        <f>HYPERLINK("https://files.afu.se/Downloads/Transcripts/0%20-%20Government/USA%20-%20NASA/2011 05 18 - NASA - Shuttle Flips for Safety_sO2InAhoPSU - transcript (automated).pdf","Transcript Link")</f>
        <v>Transcript Link</v>
      </c>
      <c r="M4224" s="2" t="str">
        <f>HYPERLINK("https://files.afu.se/Downloads/Transcripts/0%20-%20Government/USA%20-%20NASA/2011 05 18 - NASA - Shuttle Flips for Safety_sO2InAhoPSU - transcript (automated).pdf","Transcript Link")</f>
        <v>Transcript Link</v>
      </c>
    </row>
    <row r="4225" ht="165" spans="1:13">
      <c r="A4225" s="1" t="s">
        <v>18869</v>
      </c>
      <c r="B4225" s="1" t="s">
        <v>13</v>
      </c>
      <c r="C4225" s="4" t="s">
        <v>18889</v>
      </c>
      <c r="D4225" s="1" t="s">
        <v>18890</v>
      </c>
      <c r="E4225" s="1" t="s">
        <v>18891</v>
      </c>
      <c r="F4225" s="4" t="s">
        <v>17</v>
      </c>
      <c r="G4225" s="1" t="s">
        <v>18</v>
      </c>
      <c r="H4225" s="1" t="s">
        <v>19</v>
      </c>
      <c r="I4225" s="1" t="s">
        <v>20</v>
      </c>
      <c r="J4225" s="1" t="s">
        <v>18892</v>
      </c>
      <c r="K4225" s="1" t="s">
        <v>22</v>
      </c>
      <c r="L4225" s="1" t="str">
        <f>HYPERLINK("https://files.afu.se/Downloads/Transcripts/0%20-%20Government/USA%20-%20NASA/2011 05 18 - NASA - STS-134 RPM_rCn-IjmAoHs - transcript (automated).pdf","Transcript Link")</f>
        <v>Transcript Link</v>
      </c>
      <c r="M4225" s="2" t="str">
        <f>HYPERLINK("https://files.afu.se/Downloads/Transcripts/0%20-%20Government/USA%20-%20NASA/2011 05 18 - NASA - STS-134 RPM_rCn-IjmAoHs - transcript (automated).pdf","Transcript Link")</f>
        <v>Transcript Link</v>
      </c>
    </row>
    <row r="4226" ht="165" spans="1:13">
      <c r="A4226" s="1" t="s">
        <v>18893</v>
      </c>
      <c r="B4226" s="1" t="s">
        <v>13</v>
      </c>
      <c r="C4226" s="4" t="s">
        <v>18894</v>
      </c>
      <c r="D4226" s="1" t="s">
        <v>18895</v>
      </c>
      <c r="E4226" s="1" t="s">
        <v>18896</v>
      </c>
      <c r="F4226" s="4" t="s">
        <v>17</v>
      </c>
      <c r="G4226" s="1" t="s">
        <v>18</v>
      </c>
      <c r="H4226" s="1" t="s">
        <v>19</v>
      </c>
      <c r="I4226" s="1" t="s">
        <v>20</v>
      </c>
      <c r="J4226" s="1" t="s">
        <v>18897</v>
      </c>
      <c r="K4226" s="1" t="s">
        <v>22</v>
      </c>
      <c r="L4226" s="1" t="str">
        <f>HYPERLINK("https://files.afu.se/Downloads/Transcripts/0%20-%20Government/USA%20-%20NASA/2011 05 17 - NASA - Endeavour Ready for Its Close-up_iDbKW7XetNk - transcript (automated).pdf","Transcript Link")</f>
        <v>Transcript Link</v>
      </c>
      <c r="M4226" s="2" t="str">
        <f>HYPERLINK("https://files.afu.se/Downloads/Transcripts/0%20-%20Government/USA%20-%20NASA/2011 05 17 - NASA - Endeavour Ready for Its Close-up_iDbKW7XetNk - transcript (automated).pdf","Transcript Link")</f>
        <v>Transcript Link</v>
      </c>
    </row>
    <row r="4227" ht="165" spans="1:13">
      <c r="A4227" s="1" t="s">
        <v>18893</v>
      </c>
      <c r="B4227" s="1" t="s">
        <v>13</v>
      </c>
      <c r="C4227" s="4" t="s">
        <v>18898</v>
      </c>
      <c r="D4227" s="1" t="s">
        <v>18899</v>
      </c>
      <c r="E4227" s="1" t="s">
        <v>18900</v>
      </c>
      <c r="F4227" s="4" t="s">
        <v>17</v>
      </c>
      <c r="G4227" s="1" t="s">
        <v>18</v>
      </c>
      <c r="H4227" s="1" t="s">
        <v>19</v>
      </c>
      <c r="I4227" s="1" t="s">
        <v>20</v>
      </c>
      <c r="J4227" s="1" t="s">
        <v>18901</v>
      </c>
      <c r="K4227" s="1" t="s">
        <v>22</v>
      </c>
      <c r="L4227" s="1" t="str">
        <f>HYPERLINK("https://files.afu.se/Downloads/Transcripts/0%20-%20Government/USA%20-%20NASA/2011 05 17 - NASA - Managers Maintain STS-134 Going Well_XcI-S4KvaEo - transcript (automated).pdf","Transcript Link")</f>
        <v>Transcript Link</v>
      </c>
      <c r="M4227" s="2" t="str">
        <f>HYPERLINK("https://files.afu.se/Downloads/Transcripts/0%20-%20Government/USA%20-%20NASA/2011 05 17 - NASA - Managers Maintain STS-134 Going Well_XcI-S4KvaEo - transcript (automated).pdf","Transcript Link")</f>
        <v>Transcript Link</v>
      </c>
    </row>
    <row r="4228" ht="165" spans="1:13">
      <c r="A4228" s="1" t="s">
        <v>18893</v>
      </c>
      <c r="B4228" s="1" t="s">
        <v>13</v>
      </c>
      <c r="C4228" s="4" t="s">
        <v>18902</v>
      </c>
      <c r="D4228" s="1" t="s">
        <v>18903</v>
      </c>
      <c r="E4228" s="1" t="s">
        <v>18904</v>
      </c>
      <c r="F4228" s="4" t="s">
        <v>17</v>
      </c>
      <c r="G4228" s="1" t="s">
        <v>18</v>
      </c>
      <c r="H4228" s="1" t="s">
        <v>19</v>
      </c>
      <c r="I4228" s="1" t="s">
        <v>20</v>
      </c>
      <c r="J4228" s="1" t="s">
        <v>18905</v>
      </c>
      <c r="K4228" s="1" t="s">
        <v>22</v>
      </c>
      <c r="L4228" s="1" t="str">
        <f>HYPERLINK("https://files.afu.se/Downloads/Transcripts/0%20-%20Government/USA%20-%20NASA/2011 05 17 - NASA - Aquarius to Measure Oceans' Salinity_gIwKsUcNDn0 - transcript (automated).pdf","Transcript Link")</f>
        <v>Transcript Link</v>
      </c>
      <c r="M4228" s="2" t="str">
        <f>HYPERLINK("https://files.afu.se/Downloads/Transcripts/0%20-%20Government/USA%20-%20NASA/2011 05 17 - NASA - Aquarius to Measure Oceans' Salinity_gIwKsUcNDn0 - transcript (automated).pdf","Transcript Link")</f>
        <v>Transcript Link</v>
      </c>
    </row>
    <row r="4229" ht="165" spans="1:13">
      <c r="A4229" s="1" t="s">
        <v>18893</v>
      </c>
      <c r="B4229" s="1" t="s">
        <v>13</v>
      </c>
      <c r="C4229" s="4" t="s">
        <v>18906</v>
      </c>
      <c r="D4229" s="1" t="s">
        <v>18907</v>
      </c>
      <c r="E4229" s="1" t="s">
        <v>18908</v>
      </c>
      <c r="F4229" s="4" t="s">
        <v>17</v>
      </c>
      <c r="G4229" s="1" t="s">
        <v>18</v>
      </c>
      <c r="H4229" s="1" t="s">
        <v>19</v>
      </c>
      <c r="I4229" s="1" t="s">
        <v>20</v>
      </c>
      <c r="J4229" s="1" t="s">
        <v>18909</v>
      </c>
      <c r="K4229" s="1" t="s">
        <v>22</v>
      </c>
      <c r="L4229" s="1" t="str">
        <f>HYPERLINK("https://files.afu.se/Downloads/Transcripts/0%20-%20Government/USA%20-%20NASA/2011 05 17 - NASA - Perfect  Launch Kicks Off Endeavour's Final Flight_F113cjbndkk - transcript (automated).pdf","Transcript Link")</f>
        <v>Transcript Link</v>
      </c>
      <c r="M4229" s="2" t="str">
        <f>HYPERLINK("https://files.afu.se/Downloads/Transcripts/0%20-%20Government/USA%20-%20NASA/2011 05 17 - NASA - Perfect  Launch Kicks Off Endeavour's Final Flight_F113cjbndkk - transcript (automated).pdf","Transcript Link")</f>
        <v>Transcript Link</v>
      </c>
    </row>
    <row r="4230" ht="165" spans="1:13">
      <c r="A4230" s="1" t="s">
        <v>18893</v>
      </c>
      <c r="B4230" s="1" t="s">
        <v>13</v>
      </c>
      <c r="C4230" s="4" t="s">
        <v>18910</v>
      </c>
      <c r="D4230" s="1" t="s">
        <v>18911</v>
      </c>
      <c r="E4230" s="1" t="s">
        <v>18912</v>
      </c>
      <c r="F4230" s="4" t="s">
        <v>17</v>
      </c>
      <c r="G4230" s="1" t="s">
        <v>18</v>
      </c>
      <c r="H4230" s="1" t="s">
        <v>19</v>
      </c>
      <c r="I4230" s="1" t="s">
        <v>20</v>
      </c>
      <c r="J4230" s="1" t="s">
        <v>18913</v>
      </c>
      <c r="K4230" s="1" t="s">
        <v>22</v>
      </c>
      <c r="L4230" s="1" t="str">
        <f>HYPERLINK("https://files.afu.se/Downloads/Transcripts/0%20-%20Government/USA%20-%20NASA/2011 05 17 - NASA - Shuttle Continues Journey to ISS_H8S18HZFzTg - transcript (automated).pdf","Transcript Link")</f>
        <v>Transcript Link</v>
      </c>
      <c r="M4230" s="2" t="str">
        <f>HYPERLINK("https://files.afu.se/Downloads/Transcripts/0%20-%20Government/USA%20-%20NASA/2011 05 17 - NASA - Shuttle Continues Journey to ISS_H8S18HZFzTg - transcript (automated).pdf","Transcript Link")</f>
        <v>Transcript Link</v>
      </c>
    </row>
    <row r="4231" ht="165" spans="1:13">
      <c r="A4231" s="1" t="s">
        <v>18914</v>
      </c>
      <c r="B4231" s="1" t="s">
        <v>13</v>
      </c>
      <c r="C4231" s="4" t="s">
        <v>18915</v>
      </c>
      <c r="D4231" s="1" t="s">
        <v>18916</v>
      </c>
      <c r="E4231" s="1" t="s">
        <v>18917</v>
      </c>
      <c r="F4231" s="4" t="s">
        <v>17</v>
      </c>
      <c r="G4231" s="1" t="s">
        <v>18</v>
      </c>
      <c r="H4231" s="1" t="s">
        <v>19</v>
      </c>
      <c r="I4231" s="1" t="s">
        <v>20</v>
      </c>
      <c r="J4231" s="1" t="s">
        <v>18918</v>
      </c>
      <c r="K4231" s="1" t="s">
        <v>22</v>
      </c>
      <c r="L4231" s="1" t="str">
        <f>HYPERLINK("https://files.afu.se/Downloads/Transcripts/0%20-%20Government/USA%20-%20NASA/2011 05 16 - NASA -  Perfect  Launch Kicks Off Endeavour's Final Flight_Z9VLXgjFKWo - transcript (automated).pdf","Transcript Link")</f>
        <v>Transcript Link</v>
      </c>
      <c r="M4231" s="2" t="str">
        <f>HYPERLINK("https://files.afu.se/Downloads/Transcripts/0%20-%20Government/USA%20-%20NASA/2011 05 16 - NASA -  Perfect  Launch Kicks Off Endeavour's Final Flight_Z9VLXgjFKWo - transcript (automated).pdf","Transcript Link")</f>
        <v>Transcript Link</v>
      </c>
    </row>
    <row r="4232" ht="165" spans="1:13">
      <c r="A4232" s="1" t="s">
        <v>18914</v>
      </c>
      <c r="B4232" s="1" t="s">
        <v>13</v>
      </c>
      <c r="C4232" s="4" t="s">
        <v>18919</v>
      </c>
      <c r="D4232" s="1" t="s">
        <v>18920</v>
      </c>
      <c r="E4232" s="1" t="s">
        <v>18921</v>
      </c>
      <c r="F4232" s="4" t="s">
        <v>17</v>
      </c>
      <c r="G4232" s="1" t="s">
        <v>18</v>
      </c>
      <c r="H4232" s="1" t="s">
        <v>19</v>
      </c>
      <c r="I4232" s="1" t="s">
        <v>20</v>
      </c>
      <c r="J4232" s="1" t="s">
        <v>18922</v>
      </c>
      <c r="K4232" s="1" t="s">
        <v>22</v>
      </c>
      <c r="L4232" s="1" t="str">
        <f>HYPERLINK("https://files.afu.se/Downloads/Transcripts/0%20-%20Government/USA%20-%20NASA/2011 05 16 - NASA - Soyuz Crew Readies for Mission_O8BKghgkk58 - transcript (automated).pdf","Transcript Link")</f>
        <v>Transcript Link</v>
      </c>
      <c r="M4232" s="2" t="str">
        <f>HYPERLINK("https://files.afu.se/Downloads/Transcripts/0%20-%20Government/USA%20-%20NASA/2011 05 16 - NASA - Soyuz Crew Readies for Mission_O8BKghgkk58 - transcript (automated).pdf","Transcript Link")</f>
        <v>Transcript Link</v>
      </c>
    </row>
    <row r="4233" ht="165" spans="1:13">
      <c r="A4233" s="1" t="s">
        <v>18914</v>
      </c>
      <c r="B4233" s="1" t="s">
        <v>13</v>
      </c>
      <c r="C4233" s="4" t="s">
        <v>18923</v>
      </c>
      <c r="D4233" s="1" t="s">
        <v>18924</v>
      </c>
      <c r="E4233" s="1" t="s">
        <v>18925</v>
      </c>
      <c r="F4233" s="4" t="s">
        <v>17</v>
      </c>
      <c r="G4233" s="1" t="s">
        <v>18</v>
      </c>
      <c r="H4233" s="1" t="s">
        <v>19</v>
      </c>
      <c r="I4233" s="1" t="s">
        <v>20</v>
      </c>
      <c r="J4233" s="1" t="s">
        <v>18926</v>
      </c>
      <c r="K4233" s="1" t="s">
        <v>22</v>
      </c>
      <c r="L4233" s="1" t="str">
        <f>HYPERLINK("https://files.afu.se/Downloads/Transcripts/0%20-%20Government/USA%20-%20NASA/2011 05 16 - NASA - Endeavour's External Tank Falls Away_aoNHhTyaxJg - transcript (automated).pdf","Transcript Link")</f>
        <v>Transcript Link</v>
      </c>
      <c r="M4233" s="2" t="str">
        <f>HYPERLINK("https://files.afu.se/Downloads/Transcripts/0%20-%20Government/USA%20-%20NASA/2011 05 16 - NASA - Endeavour's External Tank Falls Away_aoNHhTyaxJg - transcript (automated).pdf","Transcript Link")</f>
        <v>Transcript Link</v>
      </c>
    </row>
    <row r="4234" ht="165" spans="1:13">
      <c r="A4234" s="1" t="s">
        <v>18914</v>
      </c>
      <c r="B4234" s="1" t="s">
        <v>13</v>
      </c>
      <c r="C4234" s="4" t="s">
        <v>18927</v>
      </c>
      <c r="D4234" s="1" t="s">
        <v>18928</v>
      </c>
      <c r="E4234" s="1" t="s">
        <v>18929</v>
      </c>
      <c r="F4234" s="4" t="s">
        <v>17</v>
      </c>
      <c r="G4234" s="1" t="s">
        <v>18</v>
      </c>
      <c r="H4234" s="1" t="s">
        <v>19</v>
      </c>
      <c r="I4234" s="1" t="s">
        <v>20</v>
      </c>
      <c r="J4234" s="1" t="s">
        <v>18930</v>
      </c>
      <c r="K4234" s="1" t="s">
        <v>22</v>
      </c>
      <c r="L4234" s="1" t="str">
        <f>HYPERLINK("https://files.afu.se/Downloads/Transcripts/0%20-%20Government/USA%20-%20NASA/2011 05 16 - NASA - Endeavour Launches for ISS on This Week @NASA_7MlEY3RVk98 - transcript (automated).pdf","Transcript Link")</f>
        <v>Transcript Link</v>
      </c>
      <c r="M4234" s="2" t="str">
        <f>HYPERLINK("https://files.afu.se/Downloads/Transcripts/0%20-%20Government/USA%20-%20NASA/2011 05 16 - NASA - Endeavour Launches for ISS on This Week @NASA_7MlEY3RVk98 - transcript (automated).pdf","Transcript Link")</f>
        <v>Transcript Link</v>
      </c>
    </row>
    <row r="4235" ht="165" spans="1:13">
      <c r="A4235" s="1" t="s">
        <v>18914</v>
      </c>
      <c r="B4235" s="1" t="s">
        <v>13</v>
      </c>
      <c r="C4235" s="4" t="s">
        <v>18931</v>
      </c>
      <c r="D4235" s="1" t="s">
        <v>18932</v>
      </c>
      <c r="E4235" s="1" t="s">
        <v>18933</v>
      </c>
      <c r="F4235" s="4" t="s">
        <v>17</v>
      </c>
      <c r="G4235" s="1" t="s">
        <v>18</v>
      </c>
      <c r="H4235" s="1" t="s">
        <v>19</v>
      </c>
      <c r="I4235" s="1" t="s">
        <v>20</v>
      </c>
      <c r="J4235" s="1" t="s">
        <v>18934</v>
      </c>
      <c r="K4235" s="1" t="s">
        <v>22</v>
      </c>
      <c r="L4235" s="1" t="str">
        <f>HYPERLINK("https://files.afu.se/Downloads/Transcripts/0%20-%20Government/USA%20-%20NASA/2011 05 16 - NASA - Giffords' Staff Briefs Media_pom0ZCIzN90 - transcript (automated).pdf","Transcript Link")</f>
        <v>Transcript Link</v>
      </c>
      <c r="M4235" s="2" t="str">
        <f>HYPERLINK("https://files.afu.se/Downloads/Transcripts/0%20-%20Government/USA%20-%20NASA/2011 05 16 - NASA - Giffords' Staff Briefs Media_pom0ZCIzN90 - transcript (automated).pdf","Transcript Link")</f>
        <v>Transcript Link</v>
      </c>
    </row>
    <row r="4236" ht="165" spans="1:13">
      <c r="A4236" s="1" t="s">
        <v>18914</v>
      </c>
      <c r="B4236" s="1" t="s">
        <v>13</v>
      </c>
      <c r="C4236" s="4" t="s">
        <v>18935</v>
      </c>
      <c r="D4236" s="1" t="s">
        <v>18936</v>
      </c>
      <c r="E4236" s="1" t="s">
        <v>18937</v>
      </c>
      <c r="F4236" s="4" t="s">
        <v>17</v>
      </c>
      <c r="G4236" s="1" t="s">
        <v>18</v>
      </c>
      <c r="H4236" s="1" t="s">
        <v>19</v>
      </c>
      <c r="I4236" s="1" t="s">
        <v>20</v>
      </c>
      <c r="J4236" s="1" t="s">
        <v>18938</v>
      </c>
      <c r="K4236" s="1" t="s">
        <v>22</v>
      </c>
      <c r="L4236" s="1" t="str">
        <f>HYPERLINK("https://files.afu.se/Downloads/Transcripts/0%20-%20Government/USA%20-%20NASA/2011 05 16 - NASA - Ascent Team Steers Endeavour  Uphill _2fuaIEYEiLI - transcript (automated).pdf","Transcript Link")</f>
        <v>Transcript Link</v>
      </c>
      <c r="M4236" s="2" t="str">
        <f>HYPERLINK("https://files.afu.se/Downloads/Transcripts/0%20-%20Government/USA%20-%20NASA/2011 05 16 - NASA - Ascent Team Steers Endeavour  Uphill _2fuaIEYEiLI - transcript (automated).pdf","Transcript Link")</f>
        <v>Transcript Link</v>
      </c>
    </row>
    <row r="4237" ht="165" spans="1:13">
      <c r="A4237" s="1" t="s">
        <v>18914</v>
      </c>
      <c r="B4237" s="1" t="s">
        <v>13</v>
      </c>
      <c r="C4237" s="4" t="s">
        <v>18939</v>
      </c>
      <c r="D4237" s="1" t="s">
        <v>18940</v>
      </c>
      <c r="E4237" s="1" t="s">
        <v>18941</v>
      </c>
      <c r="F4237" s="4" t="s">
        <v>17</v>
      </c>
      <c r="G4237" s="1" t="s">
        <v>18</v>
      </c>
      <c r="H4237" s="1" t="s">
        <v>19</v>
      </c>
      <c r="I4237" s="1" t="s">
        <v>20</v>
      </c>
      <c r="J4237" s="1" t="s">
        <v>18942</v>
      </c>
      <c r="K4237" s="1" t="s">
        <v>22</v>
      </c>
      <c r="L4237" s="1" t="str">
        <f>HYPERLINK("https://files.afu.se/Downloads/Transcripts/0%20-%20Government/USA%20-%20NASA/2011 05 16 - NASA - Endeavour's Launch  Fantastic _RGy7442gbF0 - transcript (automated).pdf","Transcript Link")</f>
        <v>Transcript Link</v>
      </c>
      <c r="M4237" s="2" t="str">
        <f>HYPERLINK("https://files.afu.se/Downloads/Transcripts/0%20-%20Government/USA%20-%20NASA/2011 05 16 - NASA - Endeavour's Launch  Fantastic _RGy7442gbF0 - transcript (automated).pdf","Transcript Link")</f>
        <v>Transcript Link</v>
      </c>
    </row>
    <row r="4238" ht="240" spans="1:13">
      <c r="A4238" s="1" t="s">
        <v>18914</v>
      </c>
      <c r="B4238" s="1" t="s">
        <v>13</v>
      </c>
      <c r="C4238" s="4" t="s">
        <v>18943</v>
      </c>
      <c r="D4238" s="1" t="s">
        <v>18944</v>
      </c>
      <c r="E4238" s="1" t="s">
        <v>18945</v>
      </c>
      <c r="F4238" s="4" t="s">
        <v>17</v>
      </c>
      <c r="G4238" s="1" t="s">
        <v>18</v>
      </c>
      <c r="H4238" s="1" t="s">
        <v>19</v>
      </c>
      <c r="I4238" s="1" t="s">
        <v>20</v>
      </c>
      <c r="J4238" s="1" t="s">
        <v>18946</v>
      </c>
      <c r="K4238" s="1" t="s">
        <v>22</v>
      </c>
      <c r="L4238" s="1" t="str">
        <f>HYPERLINK("https://files.afu.se/Downloads/Transcripts/0%20-%20Government/USA%20-%20NASA/2011 05 16 - NASA - Endeavour Lifts Off on its Last Mission_PNWPEweU8pA - transcript (automated).pdf","Transcript Link")</f>
        <v>Transcript Link</v>
      </c>
      <c r="M4238" s="2" t="str">
        <f>HYPERLINK("https://files.afu.se/Downloads/Transcripts/0%20-%20Government/USA%20-%20NASA/2011 05 16 - NASA - Endeavour Lifts Off on its Last Mission_PNWPEweU8pA - transcript (automated).pdf","Transcript Link")</f>
        <v>Transcript Link</v>
      </c>
    </row>
    <row r="4239" ht="210" spans="1:13">
      <c r="A4239" s="1" t="s">
        <v>18947</v>
      </c>
      <c r="B4239" s="1" t="s">
        <v>13</v>
      </c>
      <c r="C4239" s="4" t="s">
        <v>18948</v>
      </c>
      <c r="D4239" s="1" t="s">
        <v>18949</v>
      </c>
      <c r="E4239" s="1" t="s">
        <v>18950</v>
      </c>
      <c r="F4239" s="4" t="s">
        <v>17</v>
      </c>
      <c r="G4239" s="1" t="s">
        <v>18</v>
      </c>
      <c r="H4239" s="1" t="s">
        <v>19</v>
      </c>
      <c r="I4239" s="1" t="s">
        <v>20</v>
      </c>
      <c r="J4239" s="1" t="s">
        <v>18951</v>
      </c>
      <c r="K4239" s="1" t="s">
        <v>22</v>
      </c>
      <c r="L4239" s="1" t="str">
        <f>HYPERLINK("https://files.afu.se/Downloads/Transcripts/0%20-%20Government/USA%20-%20NASA/2011 05 14 - NASA - MMT Green Lights Continuing Endeavour Countdown_bCJNZ3xSUfQ - transcript (automated).pdf","Transcript Link")</f>
        <v>Transcript Link</v>
      </c>
      <c r="M4239" s="2" t="str">
        <f>HYPERLINK("https://files.afu.se/Downloads/Transcripts/0%20-%20Government/USA%20-%20NASA/2011 05 14 - NASA - MMT Green Lights Continuing Endeavour Countdown_bCJNZ3xSUfQ - transcript (automated).pdf","Transcript Link")</f>
        <v>Transcript Link</v>
      </c>
    </row>
    <row r="4240" ht="165" spans="1:13">
      <c r="A4240" s="1" t="s">
        <v>18952</v>
      </c>
      <c r="B4240" s="1" t="s">
        <v>13</v>
      </c>
      <c r="C4240" s="4" t="s">
        <v>18953</v>
      </c>
      <c r="D4240" s="1" t="s">
        <v>18954</v>
      </c>
      <c r="E4240" s="1" t="s">
        <v>18955</v>
      </c>
      <c r="F4240" s="4" t="s">
        <v>17</v>
      </c>
      <c r="G4240" s="1" t="s">
        <v>18</v>
      </c>
      <c r="H4240" s="1" t="s">
        <v>19</v>
      </c>
      <c r="I4240" s="1" t="s">
        <v>20</v>
      </c>
      <c r="J4240" s="1" t="s">
        <v>18956</v>
      </c>
      <c r="K4240" s="1" t="s">
        <v>22</v>
      </c>
      <c r="L4240" s="1" t="str">
        <f>HYPERLINK("https://files.afu.se/Downloads/Transcripts/0%20-%20Government/USA%20-%20NASA/2011 05 13 - NASA - Endeavour, Weather Look Good for Monday Launch_SFLbjjPj-Xw - transcript (automated).pdf","Transcript Link")</f>
        <v>Transcript Link</v>
      </c>
      <c r="M4240" s="2" t="str">
        <f>HYPERLINK("https://files.afu.se/Downloads/Transcripts/0%20-%20Government/USA%20-%20NASA/2011 05 13 - NASA - Endeavour, Weather Look Good for Monday Launch_SFLbjjPj-Xw - transcript (automated).pdf","Transcript Link")</f>
        <v>Transcript Link</v>
      </c>
    </row>
    <row r="4241" ht="165" spans="1:13">
      <c r="A4241" s="1" t="s">
        <v>18952</v>
      </c>
      <c r="B4241" s="1" t="s">
        <v>13</v>
      </c>
      <c r="C4241" s="4" t="s">
        <v>18957</v>
      </c>
      <c r="D4241" s="1" t="s">
        <v>18958</v>
      </c>
      <c r="E4241" s="1" t="s">
        <v>18959</v>
      </c>
      <c r="F4241" s="4" t="s">
        <v>17</v>
      </c>
      <c r="G4241" s="1" t="s">
        <v>18</v>
      </c>
      <c r="H4241" s="1" t="s">
        <v>19</v>
      </c>
      <c r="I4241" s="1" t="s">
        <v>20</v>
      </c>
      <c r="J4241" s="1" t="s">
        <v>18960</v>
      </c>
      <c r="K4241" s="1" t="s">
        <v>22</v>
      </c>
      <c r="L4241" s="1" t="str">
        <f>HYPERLINK("https://files.afu.se/Downloads/Transcripts/0%20-%20Government/USA%20-%20NASA/2011 05 13 - NASA - STS-134 Gets New Launch Date on This Week @NASA_ues4N6xODDM - transcript (automated).pdf","Transcript Link")</f>
        <v>Transcript Link</v>
      </c>
      <c r="M4241" s="2" t="str">
        <f>HYPERLINK("https://files.afu.se/Downloads/Transcripts/0%20-%20Government/USA%20-%20NASA/2011 05 13 - NASA - STS-134 Gets New Launch Date on This Week @NASA_ues4N6xODDM - transcript (automated).pdf","Transcript Link")</f>
        <v>Transcript Link</v>
      </c>
    </row>
    <row r="4242" ht="165" spans="1:13">
      <c r="A4242" s="1" t="s">
        <v>18961</v>
      </c>
      <c r="B4242" s="1" t="s">
        <v>13</v>
      </c>
      <c r="C4242" s="4" t="s">
        <v>18962</v>
      </c>
      <c r="D4242" s="1" t="s">
        <v>18963</v>
      </c>
      <c r="E4242" s="1" t="s">
        <v>18964</v>
      </c>
      <c r="F4242" s="4" t="s">
        <v>17</v>
      </c>
      <c r="G4242" s="1" t="s">
        <v>18</v>
      </c>
      <c r="H4242" s="1" t="s">
        <v>19</v>
      </c>
      <c r="I4242" s="1" t="s">
        <v>20</v>
      </c>
      <c r="J4242" s="1" t="s">
        <v>18965</v>
      </c>
      <c r="K4242" s="1" t="s">
        <v>22</v>
      </c>
      <c r="L4242" s="1" t="str">
        <f>HYPERLINK("https://files.afu.se/Downloads/Transcripts/0%20-%20Government/USA%20-%20NASA/2011 05 12 - NASA - Endeavour Astronauts Arrive in Florida for Launch_b-D0tzfXJ9Q - transcript (automated).pdf","Transcript Link")</f>
        <v>Transcript Link</v>
      </c>
      <c r="M4242" s="2" t="str">
        <f>HYPERLINK("https://files.afu.se/Downloads/Transcripts/0%20-%20Government/USA%20-%20NASA/2011 05 12 - NASA - Endeavour Astronauts Arrive in Florida for Launch_b-D0tzfXJ9Q - transcript (automated).pdf","Transcript Link")</f>
        <v>Transcript Link</v>
      </c>
    </row>
    <row r="4243" ht="165" spans="1:13">
      <c r="A4243" s="1" t="s">
        <v>18966</v>
      </c>
      <c r="B4243" s="1" t="s">
        <v>13</v>
      </c>
      <c r="C4243" s="4" t="s">
        <v>18967</v>
      </c>
      <c r="D4243" s="1" t="s">
        <v>18968</v>
      </c>
      <c r="E4243" s="1" t="s">
        <v>18969</v>
      </c>
      <c r="F4243" s="4" t="s">
        <v>17</v>
      </c>
      <c r="G4243" s="1" t="s">
        <v>18</v>
      </c>
      <c r="H4243" s="1" t="s">
        <v>19</v>
      </c>
      <c r="I4243" s="1" t="s">
        <v>20</v>
      </c>
      <c r="J4243" s="1" t="s">
        <v>18970</v>
      </c>
      <c r="K4243" s="1" t="s">
        <v>22</v>
      </c>
      <c r="L4243" s="1" t="str">
        <f>HYPERLINK("https://files.afu.se/Downloads/Transcripts/0%20-%20Government/USA%20-%20NASA/2011 05 10 - NASA - STS-133  Discovery's Farewell_dHfdWp_8AGY - transcript (automated).pdf","Transcript Link")</f>
        <v>Transcript Link</v>
      </c>
      <c r="M4243" s="2" t="str">
        <f>HYPERLINK("https://files.afu.se/Downloads/Transcripts/0%20-%20Government/USA%20-%20NASA/2011 05 10 - NASA - STS-133  Discovery's Farewell_dHfdWp_8AGY - transcript (automated).pdf","Transcript Link")</f>
        <v>Transcript Link</v>
      </c>
    </row>
    <row r="4244" ht="165" spans="1:13">
      <c r="A4244" s="1" t="s">
        <v>18971</v>
      </c>
      <c r="B4244" s="1" t="s">
        <v>13</v>
      </c>
      <c r="C4244" s="4" t="s">
        <v>18972</v>
      </c>
      <c r="D4244" s="1" t="s">
        <v>18973</v>
      </c>
      <c r="E4244" s="1" t="s">
        <v>18974</v>
      </c>
      <c r="F4244" s="4" t="s">
        <v>17</v>
      </c>
      <c r="G4244" s="1" t="s">
        <v>18</v>
      </c>
      <c r="H4244" s="1" t="s">
        <v>19</v>
      </c>
      <c r="I4244" s="1" t="s">
        <v>20</v>
      </c>
      <c r="J4244" s="1" t="s">
        <v>18975</v>
      </c>
      <c r="K4244" s="1" t="s">
        <v>22</v>
      </c>
      <c r="L4244" s="1" t="str">
        <f>HYPERLINK("https://files.afu.se/Downloads/Transcripts/0%20-%20Government/USA%20-%20NASA/2011 05 09 - NASA - May 16 New Shuttle Launch Date_HZUHohVbGG8 - transcript (automated).pdf","Transcript Link")</f>
        <v>Transcript Link</v>
      </c>
      <c r="M4244" s="2" t="str">
        <f>HYPERLINK("https://files.afu.se/Downloads/Transcripts/0%20-%20Government/USA%20-%20NASA/2011 05 09 - NASA - May 16 New Shuttle Launch Date_HZUHohVbGG8 - transcript (automated).pdf","Transcript Link")</f>
        <v>Transcript Link</v>
      </c>
    </row>
    <row r="4245" ht="165" spans="1:13">
      <c r="A4245" s="1" t="s">
        <v>18976</v>
      </c>
      <c r="B4245" s="1" t="s">
        <v>13</v>
      </c>
      <c r="C4245" s="4" t="s">
        <v>18977</v>
      </c>
      <c r="D4245" s="1" t="s">
        <v>18978</v>
      </c>
      <c r="E4245" s="1" t="s">
        <v>18979</v>
      </c>
      <c r="F4245" s="4" t="s">
        <v>17</v>
      </c>
      <c r="G4245" s="1" t="s">
        <v>18</v>
      </c>
      <c r="H4245" s="1" t="s">
        <v>19</v>
      </c>
      <c r="I4245" s="1" t="s">
        <v>20</v>
      </c>
      <c r="J4245" s="1" t="s">
        <v>18980</v>
      </c>
      <c r="K4245" s="1" t="s">
        <v>22</v>
      </c>
      <c r="L4245" s="1" t="str">
        <f>HYPERLINK("https://files.afu.se/Downloads/Transcripts/0%20-%20Government/USA%20-%20NASA/2011 05 08 - NASA - Astronaut Hall of Fame Welcomes Two New Members_bQIldPCgVPc - transcript (automated).pdf","Transcript Link")</f>
        <v>Transcript Link</v>
      </c>
      <c r="M4245" s="2" t="str">
        <f>HYPERLINK("https://files.afu.se/Downloads/Transcripts/0%20-%20Government/USA%20-%20NASA/2011 05 08 - NASA - Astronaut Hall of Fame Welcomes Two New Members_bQIldPCgVPc - transcript (automated).pdf","Transcript Link")</f>
        <v>Transcript Link</v>
      </c>
    </row>
    <row r="4246" ht="165" spans="1:13">
      <c r="A4246" s="1" t="s">
        <v>18976</v>
      </c>
      <c r="B4246" s="1" t="s">
        <v>13</v>
      </c>
      <c r="C4246" s="4" t="s">
        <v>18981</v>
      </c>
      <c r="D4246" s="1" t="s">
        <v>18982</v>
      </c>
      <c r="E4246" s="1" t="s">
        <v>18983</v>
      </c>
      <c r="F4246" s="4" t="s">
        <v>17</v>
      </c>
      <c r="G4246" s="1" t="s">
        <v>18</v>
      </c>
      <c r="H4246" s="1" t="s">
        <v>19</v>
      </c>
      <c r="I4246" s="1" t="s">
        <v>20</v>
      </c>
      <c r="J4246" s="1" t="s">
        <v>18984</v>
      </c>
      <c r="K4246" s="1" t="s">
        <v>22</v>
      </c>
      <c r="L4246" s="1" t="str">
        <f>HYPERLINK("https://files.afu.se/Downloads/Transcripts/0%20-%20Government/USA%20-%20NASA/2011 05 08 - NASA - Susan Helms Joins Astronaut Hall of Fame_eYxHGK61HNY - transcript (automated).pdf","Transcript Link")</f>
        <v>Transcript Link</v>
      </c>
      <c r="M4246" s="2" t="str">
        <f>HYPERLINK("https://files.afu.se/Downloads/Transcripts/0%20-%20Government/USA%20-%20NASA/2011 05 08 - NASA - Susan Helms Joins Astronaut Hall of Fame_eYxHGK61HNY - transcript (automated).pdf","Transcript Link")</f>
        <v>Transcript Link</v>
      </c>
    </row>
    <row r="4247" ht="165" spans="1:13">
      <c r="A4247" s="1" t="s">
        <v>18985</v>
      </c>
      <c r="B4247" s="1" t="s">
        <v>13</v>
      </c>
      <c r="C4247" s="4" t="s">
        <v>18986</v>
      </c>
      <c r="D4247" s="1" t="s">
        <v>18987</v>
      </c>
      <c r="E4247" s="1" t="s">
        <v>18988</v>
      </c>
      <c r="F4247" s="4" t="s">
        <v>17</v>
      </c>
      <c r="G4247" s="1" t="s">
        <v>18</v>
      </c>
      <c r="H4247" s="1" t="s">
        <v>19</v>
      </c>
      <c r="I4247" s="1" t="s">
        <v>20</v>
      </c>
      <c r="J4247" s="1" t="s">
        <v>18989</v>
      </c>
      <c r="K4247" s="1" t="s">
        <v>22</v>
      </c>
      <c r="L4247" s="1" t="str">
        <f>HYPERLINK("https://files.afu.se/Downloads/Transcripts/0%20-%20Government/USA%20-%20NASA/2011 05 07 - NASA -  Bo  Bobko Becomes  Astronaut Hall of Famer_ICPq2uaRWEM - transcript (automated).pdf","Transcript Link")</f>
        <v>Transcript Link</v>
      </c>
      <c r="M4247" s="2" t="str">
        <f>HYPERLINK("https://files.afu.se/Downloads/Transcripts/0%20-%20Government/USA%20-%20NASA/2011 05 07 - NASA -  Bo  Bobko Becomes  Astronaut Hall of Famer_ICPq2uaRWEM - transcript (automated).pdf","Transcript Link")</f>
        <v>Transcript Link</v>
      </c>
    </row>
    <row r="4248" ht="195" spans="1:13">
      <c r="A4248" s="1" t="s">
        <v>18990</v>
      </c>
      <c r="B4248" s="1" t="s">
        <v>13</v>
      </c>
      <c r="C4248" s="4" t="s">
        <v>18991</v>
      </c>
      <c r="D4248" s="1" t="s">
        <v>18992</v>
      </c>
      <c r="E4248" s="1" t="s">
        <v>18993</v>
      </c>
      <c r="F4248" s="4" t="s">
        <v>17</v>
      </c>
      <c r="G4248" s="1" t="s">
        <v>18</v>
      </c>
      <c r="H4248" s="1" t="s">
        <v>19</v>
      </c>
      <c r="I4248" s="1" t="s">
        <v>20</v>
      </c>
      <c r="J4248" s="1" t="s">
        <v>18994</v>
      </c>
      <c r="K4248" s="1" t="s">
        <v>22</v>
      </c>
      <c r="L4248" s="1" t="str">
        <f>HYPERLINK("https://files.afu.se/Downloads/Transcripts/0%20-%20Government/USA%20-%20NASA/2011 05 05 - NASA - Shepard Honored at 50th Anniversary Celebration of Freedom 7 Flight_vx5mQ9ZGHZw - transcript (automated).pdf","Transcript Link")</f>
        <v>Transcript Link</v>
      </c>
      <c r="M4248" s="2" t="str">
        <f>HYPERLINK("https://files.afu.se/Downloads/Transcripts/0%20-%20Government/USA%20-%20NASA/2011 05 05 - NASA - Shepard Honored at 50th Anniversary Celebration of Freedom 7 Flight_vx5mQ9ZGHZw - transcript (automated).pdf","Transcript Link")</f>
        <v>Transcript Link</v>
      </c>
    </row>
    <row r="4249" ht="165" spans="1:13">
      <c r="A4249" s="1" t="s">
        <v>18995</v>
      </c>
      <c r="B4249" s="1" t="s">
        <v>13</v>
      </c>
      <c r="C4249" s="4" t="s">
        <v>18996</v>
      </c>
      <c r="D4249" s="1" t="s">
        <v>18997</v>
      </c>
      <c r="E4249" s="1" t="s">
        <v>18998</v>
      </c>
      <c r="F4249" s="4" t="s">
        <v>17</v>
      </c>
      <c r="G4249" s="1" t="s">
        <v>18</v>
      </c>
      <c r="H4249" s="1" t="s">
        <v>19</v>
      </c>
      <c r="I4249" s="1" t="s">
        <v>20</v>
      </c>
      <c r="J4249" s="1" t="s">
        <v>18999</v>
      </c>
      <c r="K4249" s="1" t="s">
        <v>22</v>
      </c>
      <c r="L4249" s="1" t="str">
        <f>HYPERLINK("https://files.afu.se/Downloads/Transcripts/0%20-%20Government/USA%20-%20NASA/2011 05 04 - NASA - New U.S. Stamps Honor Two Mercury Explorers_BLxDE-Jz2hw - transcript (automated).pdf","Transcript Link")</f>
        <v>Transcript Link</v>
      </c>
      <c r="M4249" s="2" t="str">
        <f>HYPERLINK("https://files.afu.se/Downloads/Transcripts/0%20-%20Government/USA%20-%20NASA/2011 05 04 - NASA - New U.S. Stamps Honor Two Mercury Explorers_BLxDE-Jz2hw - transcript (automated).pdf","Transcript Link")</f>
        <v>Transcript Link</v>
      </c>
    </row>
    <row r="4250" ht="195" spans="1:13">
      <c r="A4250" s="1" t="s">
        <v>18995</v>
      </c>
      <c r="B4250" s="1" t="s">
        <v>13</v>
      </c>
      <c r="C4250" s="4" t="s">
        <v>19000</v>
      </c>
      <c r="D4250" s="1" t="s">
        <v>19001</v>
      </c>
      <c r="E4250" s="1" t="s">
        <v>19002</v>
      </c>
      <c r="F4250" s="4" t="s">
        <v>17</v>
      </c>
      <c r="G4250" s="1" t="s">
        <v>18</v>
      </c>
      <c r="H4250" s="1" t="s">
        <v>19</v>
      </c>
      <c r="I4250" s="1" t="s">
        <v>20</v>
      </c>
      <c r="J4250" s="1" t="s">
        <v>19003</v>
      </c>
      <c r="K4250" s="1" t="s">
        <v>22</v>
      </c>
      <c r="L4250" s="1" t="str">
        <f>HYPERLINK("https://files.afu.se/Downloads/Transcripts/0%20-%20Government/USA%20-%20NASA/2011 05 04 - NASA - Station Crew Marks Passing of Nespoli's Mother_GzJRRVIUBBw - transcript (automated).pdf","Transcript Link")</f>
        <v>Transcript Link</v>
      </c>
      <c r="M4250" s="2" t="str">
        <f>HYPERLINK("https://files.afu.se/Downloads/Transcripts/0%20-%20Government/USA%20-%20NASA/2011 05 04 - NASA - Station Crew Marks Passing of Nespoli's Mother_GzJRRVIUBBw - transcript (automated).pdf","Transcript Link")</f>
        <v>Transcript Link</v>
      </c>
    </row>
    <row r="4251" ht="165" spans="1:13">
      <c r="A4251" s="1" t="s">
        <v>18995</v>
      </c>
      <c r="B4251" s="1" t="s">
        <v>13</v>
      </c>
      <c r="C4251" s="4" t="s">
        <v>19004</v>
      </c>
      <c r="D4251" s="1" t="s">
        <v>19005</v>
      </c>
      <c r="E4251" s="1" t="s">
        <v>19006</v>
      </c>
      <c r="F4251" s="4" t="s">
        <v>17</v>
      </c>
      <c r="G4251" s="1" t="s">
        <v>18</v>
      </c>
      <c r="H4251" s="1" t="s">
        <v>19</v>
      </c>
      <c r="I4251" s="1" t="s">
        <v>20</v>
      </c>
      <c r="J4251" s="1" t="s">
        <v>19007</v>
      </c>
      <c r="K4251" s="1" t="s">
        <v>22</v>
      </c>
      <c r="L4251" s="1" t="str">
        <f>HYPERLINK("https://files.afu.se/Downloads/Transcripts/0%20-%20Government/USA%20-%20NASA/2011 05 04 - NASA - STS-134- Endeavour's Final Flight_jy2KQJDYJhE - transcript (automated).pdf","Transcript Link")</f>
        <v>Transcript Link</v>
      </c>
      <c r="M4251" s="2" t="str">
        <f>HYPERLINK("https://files.afu.se/Downloads/Transcripts/0%20-%20Government/USA%20-%20NASA/2011 05 04 - NASA - STS-134- Endeavour's Final Flight_jy2KQJDYJhE - transcript (automated).pdf","Transcript Link")</f>
        <v>Transcript Link</v>
      </c>
    </row>
    <row r="4252" ht="165" spans="1:13">
      <c r="A4252" s="1" t="s">
        <v>18995</v>
      </c>
      <c r="B4252" s="1" t="s">
        <v>13</v>
      </c>
      <c r="C4252" s="4" t="s">
        <v>19008</v>
      </c>
      <c r="D4252" s="1" t="s">
        <v>19009</v>
      </c>
      <c r="E4252" s="1" t="s">
        <v>19010</v>
      </c>
      <c r="F4252" s="4" t="s">
        <v>17</v>
      </c>
      <c r="G4252" s="1" t="s">
        <v>18</v>
      </c>
      <c r="H4252" s="1" t="s">
        <v>19</v>
      </c>
      <c r="I4252" s="1" t="s">
        <v>20</v>
      </c>
      <c r="J4252" s="1" t="s">
        <v>19011</v>
      </c>
      <c r="K4252" s="1" t="s">
        <v>22</v>
      </c>
      <c r="L4252" s="1" t="str">
        <f>HYPERLINK("https://files.afu.se/Downloads/Transcripts/0%20-%20Government/USA%20-%20NASA/2011 05 04 - NASA - Einstein Passes Tests by NASA's Gravity Probe B_SBiY0Fn1ze4 - transcript (automated).pdf","Transcript Link")</f>
        <v>Transcript Link</v>
      </c>
      <c r="M4252" s="2" t="str">
        <f>HYPERLINK("https://files.afu.se/Downloads/Transcripts/0%20-%20Government/USA%20-%20NASA/2011 05 04 - NASA - Einstein Passes Tests by NASA's Gravity Probe B_SBiY0Fn1ze4 - transcript (automated).pdf","Transcript Link")</f>
        <v>Transcript Link</v>
      </c>
    </row>
    <row r="4253" ht="165" spans="1:13">
      <c r="A4253" s="1" t="s">
        <v>18995</v>
      </c>
      <c r="B4253" s="1" t="s">
        <v>13</v>
      </c>
      <c r="C4253" s="4" t="s">
        <v>19012</v>
      </c>
      <c r="D4253" s="1" t="s">
        <v>19013</v>
      </c>
      <c r="E4253" s="1" t="s">
        <v>19014</v>
      </c>
      <c r="F4253" s="4" t="s">
        <v>17</v>
      </c>
      <c r="G4253" s="1" t="s">
        <v>18</v>
      </c>
      <c r="H4253" s="1" t="s">
        <v>19</v>
      </c>
      <c r="I4253" s="1" t="s">
        <v>20</v>
      </c>
      <c r="J4253" s="1" t="s">
        <v>19015</v>
      </c>
      <c r="K4253" s="1" t="s">
        <v>22</v>
      </c>
      <c r="L4253" s="1" t="str">
        <f>HYPERLINK("https://files.afu.se/Downloads/Transcripts/0%20-%20Government/USA%20-%20NASA/2011 05 04 - NASA - Alan Shepard  Ambassador of Exploration_APwntCQ8Iiw - transcript (automated).pdf","Transcript Link")</f>
        <v>Transcript Link</v>
      </c>
      <c r="M4253" s="2" t="str">
        <f>HYPERLINK("https://files.afu.se/Downloads/Transcripts/0%20-%20Government/USA%20-%20NASA/2011 05 04 - NASA - Alan Shepard  Ambassador of Exploration_APwntCQ8Iiw - transcript (automated).pdf","Transcript Link")</f>
        <v>Transcript Link</v>
      </c>
    </row>
    <row r="4254" ht="165" spans="1:13">
      <c r="A4254" s="1" t="s">
        <v>19016</v>
      </c>
      <c r="B4254" s="1" t="s">
        <v>13</v>
      </c>
      <c r="C4254" s="4" t="s">
        <v>19017</v>
      </c>
      <c r="D4254" s="1" t="s">
        <v>19018</v>
      </c>
      <c r="E4254" s="1" t="s">
        <v>19019</v>
      </c>
      <c r="F4254" s="4" t="s">
        <v>17</v>
      </c>
      <c r="G4254" s="1" t="s">
        <v>18</v>
      </c>
      <c r="H4254" s="1" t="s">
        <v>19</v>
      </c>
      <c r="I4254" s="1" t="s">
        <v>20</v>
      </c>
      <c r="J4254" s="1" t="s">
        <v>19020</v>
      </c>
      <c r="K4254" s="1" t="s">
        <v>22</v>
      </c>
      <c r="L4254" s="1" t="str">
        <f>HYPERLINK("https://files.afu.se/Downloads/Transcripts/0%20-%20Government/USA%20-%20NASA/2011 05 01 - NASA - NASA Delays Shuttle Launch; No New Date Set_aAHjq9jm2-g - transcript (automated).pdf","Transcript Link")</f>
        <v>Transcript Link</v>
      </c>
      <c r="M4254" s="2" t="str">
        <f>HYPERLINK("https://files.afu.se/Downloads/Transcripts/0%20-%20Government/USA%20-%20NASA/2011 05 01 - NASA - NASA Delays Shuttle Launch; No New Date Set_aAHjq9jm2-g - transcript (automated).pdf","Transcript Link")</f>
        <v>Transcript Link</v>
      </c>
    </row>
    <row r="4255" ht="180" spans="1:13">
      <c r="A4255" s="1" t="s">
        <v>19016</v>
      </c>
      <c r="B4255" s="1" t="s">
        <v>13</v>
      </c>
      <c r="C4255" s="4" t="s">
        <v>19021</v>
      </c>
      <c r="D4255" s="1" t="s">
        <v>19022</v>
      </c>
      <c r="E4255" s="1" t="s">
        <v>19023</v>
      </c>
      <c r="F4255" s="4" t="s">
        <v>17</v>
      </c>
      <c r="G4255" s="1" t="s">
        <v>18</v>
      </c>
      <c r="H4255" s="1" t="s">
        <v>19</v>
      </c>
      <c r="I4255" s="1" t="s">
        <v>20</v>
      </c>
      <c r="J4255" s="1" t="s">
        <v>19024</v>
      </c>
      <c r="K4255" s="1" t="s">
        <v>22</v>
      </c>
      <c r="L4255" s="1" t="str">
        <f>HYPERLINK("https://files.afu.se/Downloads/Transcripts/0%20-%20Government/USA%20-%20NASA/2011 05 01 - NASA - President Obama Visits Kennedy Space Center - Long Version_C2A9IVc9Qe8 - transcript (automated).pdf","Transcript Link")</f>
        <v>Transcript Link</v>
      </c>
      <c r="M4255" s="2" t="str">
        <f>HYPERLINK("https://files.afu.se/Downloads/Transcripts/0%20-%20Government/USA%20-%20NASA/2011 05 01 - NASA - President Obama Visits Kennedy Space Center - Long Version_C2A9IVc9Qe8 - transcript (automated).pdf","Transcript Link")</f>
        <v>Transcript Link</v>
      </c>
    </row>
    <row r="4256" ht="165" spans="1:13">
      <c r="A4256" s="1" t="s">
        <v>19025</v>
      </c>
      <c r="B4256" s="1" t="s">
        <v>13</v>
      </c>
      <c r="C4256" s="4" t="s">
        <v>19026</v>
      </c>
      <c r="D4256" s="1" t="s">
        <v>19027</v>
      </c>
      <c r="E4256" s="1" t="s">
        <v>19028</v>
      </c>
      <c r="F4256" s="4" t="s">
        <v>17</v>
      </c>
      <c r="G4256" s="1" t="s">
        <v>18</v>
      </c>
      <c r="H4256" s="1" t="s">
        <v>19</v>
      </c>
      <c r="I4256" s="1" t="s">
        <v>20</v>
      </c>
      <c r="J4256" s="1" t="s">
        <v>19029</v>
      </c>
      <c r="K4256" s="1" t="s">
        <v>22</v>
      </c>
      <c r="L4256" s="1" t="str">
        <f>HYPERLINK("https://files.afu.se/Downloads/Transcripts/0%20-%20Government/USA%20-%20NASA/2011 04 30 - NASA - President Obama Visits KSC on This Week @NASA_aQ_IAAV69z8 - transcript (automated).pdf","Transcript Link")</f>
        <v>Transcript Link</v>
      </c>
      <c r="M4256" s="2" t="str">
        <f>HYPERLINK("https://files.afu.se/Downloads/Transcripts/0%20-%20Government/USA%20-%20NASA/2011 04 30 - NASA - President Obama Visits KSC on This Week @NASA_aQ_IAAV69z8 - transcript (automated).pdf","Transcript Link")</f>
        <v>Transcript Link</v>
      </c>
    </row>
    <row r="4257" ht="165" spans="1:13">
      <c r="A4257" s="1" t="s">
        <v>19025</v>
      </c>
      <c r="B4257" s="1" t="s">
        <v>13</v>
      </c>
      <c r="C4257" s="4" t="s">
        <v>19030</v>
      </c>
      <c r="D4257" s="1" t="s">
        <v>19031</v>
      </c>
      <c r="E4257" s="1" t="s">
        <v>19032</v>
      </c>
      <c r="F4257" s="4" t="s">
        <v>17</v>
      </c>
      <c r="G4257" s="1" t="s">
        <v>18</v>
      </c>
      <c r="H4257" s="1" t="s">
        <v>19</v>
      </c>
      <c r="I4257" s="1" t="s">
        <v>20</v>
      </c>
      <c r="J4257" s="1" t="s">
        <v>19033</v>
      </c>
      <c r="K4257" s="1" t="s">
        <v>22</v>
      </c>
      <c r="L4257" s="1" t="str">
        <f>HYPERLINK("https://files.afu.se/Downloads/Transcripts/0%20-%20Government/USA%20-%20NASA/2011 04 30 - NASA - STS-134 Post Launch Scrub News Conference_PcarFP61Trg - transcript (automated).pdf","Transcript Link")</f>
        <v>Transcript Link</v>
      </c>
      <c r="M4257" s="2" t="str">
        <f>HYPERLINK("https://files.afu.se/Downloads/Transcripts/0%20-%20Government/USA%20-%20NASA/2011 04 30 - NASA - STS-134 Post Launch Scrub News Conference_PcarFP61Trg - transcript (automated).pdf","Transcript Link")</f>
        <v>Transcript Link</v>
      </c>
    </row>
    <row r="4258" ht="165" spans="1:13">
      <c r="A4258" s="1" t="s">
        <v>19034</v>
      </c>
      <c r="B4258" s="1" t="s">
        <v>13</v>
      </c>
      <c r="C4258" s="4" t="s">
        <v>19035</v>
      </c>
      <c r="D4258" s="1" t="s">
        <v>19036</v>
      </c>
      <c r="E4258" s="1" t="s">
        <v>19037</v>
      </c>
      <c r="F4258" s="4" t="s">
        <v>17</v>
      </c>
      <c r="G4258" s="1" t="s">
        <v>18</v>
      </c>
      <c r="H4258" s="1" t="s">
        <v>19</v>
      </c>
      <c r="I4258" s="1" t="s">
        <v>20</v>
      </c>
      <c r="J4258" s="1" t="s">
        <v>19038</v>
      </c>
      <c r="K4258" s="1" t="s">
        <v>22</v>
      </c>
      <c r="L4258" s="1" t="str">
        <f>HYPERLINK("https://files.afu.se/Downloads/Transcripts/0%20-%20Government/USA%20-%20NASA/2011 04 29 - NASA - President Obama, Family Visit Kennedy Space Center_0Aj2JdKEBcM - transcript (automated).pdf","Transcript Link")</f>
        <v>Transcript Link</v>
      </c>
      <c r="M4258" s="2" t="str">
        <f>HYPERLINK("https://files.afu.se/Downloads/Transcripts/0%20-%20Government/USA%20-%20NASA/2011 04 29 - NASA - President Obama, Family Visit Kennedy Space Center_0Aj2JdKEBcM - transcript (automated).pdf","Transcript Link")</f>
        <v>Transcript Link</v>
      </c>
    </row>
    <row r="4259" ht="165" spans="1:13">
      <c r="A4259" s="1" t="s">
        <v>19034</v>
      </c>
      <c r="B4259" s="1" t="s">
        <v>13</v>
      </c>
      <c r="C4259" s="4" t="s">
        <v>19039</v>
      </c>
      <c r="D4259" s="1" t="s">
        <v>19040</v>
      </c>
      <c r="E4259" s="1" t="s">
        <v>19041</v>
      </c>
      <c r="F4259" s="4" t="s">
        <v>17</v>
      </c>
      <c r="G4259" s="1" t="s">
        <v>18</v>
      </c>
      <c r="H4259" s="1" t="s">
        <v>19</v>
      </c>
      <c r="I4259" s="1" t="s">
        <v>20</v>
      </c>
      <c r="J4259" s="1" t="s">
        <v>19042</v>
      </c>
      <c r="K4259" s="1" t="s">
        <v>22</v>
      </c>
      <c r="L4259" s="1" t="str">
        <f>HYPERLINK("https://files.afu.se/Downloads/Transcripts/0%20-%20Government/USA%20-%20NASA/2011 04 29 - NASA - President Obama and Family Arrive at Kennedy Space Center_0UGMazfmFoo - transcript (automated).pdf","Transcript Link")</f>
        <v>Transcript Link</v>
      </c>
      <c r="M4259" s="2" t="str">
        <f>HYPERLINK("https://files.afu.se/Downloads/Transcripts/0%20-%20Government/USA%20-%20NASA/2011 04 29 - NASA - President Obama and Family Arrive at Kennedy Space Center_0UGMazfmFoo - transcript (automated).pdf","Transcript Link")</f>
        <v>Transcript Link</v>
      </c>
    </row>
    <row r="4260" ht="165" spans="1:13">
      <c r="A4260" s="1" t="s">
        <v>19034</v>
      </c>
      <c r="B4260" s="1" t="s">
        <v>13</v>
      </c>
      <c r="C4260" s="4" t="s">
        <v>19043</v>
      </c>
      <c r="D4260" s="1" t="s">
        <v>19044</v>
      </c>
      <c r="E4260" s="1" t="s">
        <v>19045</v>
      </c>
      <c r="F4260" s="4" t="s">
        <v>17</v>
      </c>
      <c r="G4260" s="1" t="s">
        <v>18</v>
      </c>
      <c r="H4260" s="1" t="s">
        <v>19</v>
      </c>
      <c r="I4260" s="1" t="s">
        <v>20</v>
      </c>
      <c r="J4260" s="1" t="s">
        <v>19046</v>
      </c>
      <c r="K4260" s="1" t="s">
        <v>22</v>
      </c>
      <c r="L4260" s="1" t="str">
        <f>HYPERLINK("https://files.afu.se/Downloads/Transcripts/0%20-%20Government/USA%20-%20NASA/2011 04 29 - NASA - Cargo Ship Docks to ISS_J7723PBrYSc - transcript (automated).pdf","Transcript Link")</f>
        <v>Transcript Link</v>
      </c>
      <c r="M4260" s="2" t="str">
        <f>HYPERLINK("https://files.afu.se/Downloads/Transcripts/0%20-%20Government/USA%20-%20NASA/2011 04 29 - NASA - Cargo Ship Docks to ISS_J7723PBrYSc - transcript (automated).pdf","Transcript Link")</f>
        <v>Transcript Link</v>
      </c>
    </row>
    <row r="4261" ht="165" spans="1:13">
      <c r="A4261" s="1" t="s">
        <v>19047</v>
      </c>
      <c r="B4261" s="1" t="s">
        <v>13</v>
      </c>
      <c r="C4261" s="4" t="s">
        <v>19048</v>
      </c>
      <c r="D4261" s="1" t="s">
        <v>19049</v>
      </c>
      <c r="E4261" s="1" t="s">
        <v>19050</v>
      </c>
      <c r="F4261" s="4" t="s">
        <v>17</v>
      </c>
      <c r="G4261" s="1" t="s">
        <v>18</v>
      </c>
      <c r="H4261" s="1" t="s">
        <v>19</v>
      </c>
      <c r="I4261" s="1" t="s">
        <v>20</v>
      </c>
      <c r="J4261" s="1" t="s">
        <v>19051</v>
      </c>
      <c r="K4261" s="1" t="s">
        <v>22</v>
      </c>
      <c r="L4261" s="1" t="str">
        <f>HYPERLINK("https://files.afu.se/Downloads/Transcripts/0%20-%20Government/USA%20-%20NASA/2011 04 28 - NASA - NASA Awards to Develop Commercial Crew Transport_U09KSe6aCfY - transcript (automated).pdf","Transcript Link")</f>
        <v>Transcript Link</v>
      </c>
      <c r="M4261" s="2" t="str">
        <f>HYPERLINK("https://files.afu.se/Downloads/Transcripts/0%20-%20Government/USA%20-%20NASA/2011 04 28 - NASA - NASA Awards to Develop Commercial Crew Transport_U09KSe6aCfY - transcript (automated).pdf","Transcript Link")</f>
        <v>Transcript Link</v>
      </c>
    </row>
    <row r="4262" ht="165" spans="1:13">
      <c r="A4262" s="1" t="s">
        <v>19047</v>
      </c>
      <c r="B4262" s="1" t="s">
        <v>13</v>
      </c>
      <c r="C4262" s="4" t="s">
        <v>19052</v>
      </c>
      <c r="D4262" s="1" t="s">
        <v>19053</v>
      </c>
      <c r="E4262" s="1" t="s">
        <v>19054</v>
      </c>
      <c r="F4262" s="4" t="s">
        <v>17</v>
      </c>
      <c r="G4262" s="1" t="s">
        <v>18</v>
      </c>
      <c r="H4262" s="1" t="s">
        <v>19</v>
      </c>
      <c r="I4262" s="1" t="s">
        <v>20</v>
      </c>
      <c r="J4262" s="1" t="s">
        <v>19055</v>
      </c>
      <c r="K4262" s="1" t="s">
        <v>22</v>
      </c>
      <c r="L4262" s="1" t="str">
        <f>HYPERLINK("https://files.afu.se/Downloads/Transcripts/0%20-%20Government/USA%20-%20NASA/2011 04 28 - NASA - Station Crew Offers Greetings to the Royal Couple_hDQ2O8fO1sI - transcript (automated).pdf","Transcript Link")</f>
        <v>Transcript Link</v>
      </c>
      <c r="M4262" s="2" t="str">
        <f>HYPERLINK("https://files.afu.se/Downloads/Transcripts/0%20-%20Government/USA%20-%20NASA/2011 04 28 - NASA - Station Crew Offers Greetings to the Royal Couple_hDQ2O8fO1sI - transcript (automated).pdf","Transcript Link")</f>
        <v>Transcript Link</v>
      </c>
    </row>
    <row r="4263" ht="165" spans="1:13">
      <c r="A4263" s="1" t="s">
        <v>19047</v>
      </c>
      <c r="B4263" s="1" t="s">
        <v>13</v>
      </c>
      <c r="C4263" s="4" t="s">
        <v>19056</v>
      </c>
      <c r="D4263" s="1" t="s">
        <v>19057</v>
      </c>
      <c r="E4263" s="1" t="s">
        <v>19058</v>
      </c>
      <c r="F4263" s="4" t="s">
        <v>17</v>
      </c>
      <c r="G4263" s="1" t="s">
        <v>18</v>
      </c>
      <c r="H4263" s="1" t="s">
        <v>19</v>
      </c>
      <c r="I4263" s="1" t="s">
        <v>20</v>
      </c>
      <c r="J4263" s="1" t="s">
        <v>19059</v>
      </c>
      <c r="K4263" s="1" t="s">
        <v>22</v>
      </c>
      <c r="L4263" s="1" t="str">
        <f>HYPERLINK("https://files.afu.se/Downloads/Transcripts/0%20-%20Government/USA%20-%20NASA/2011 04 28 - NASA - Voyager Humanity's Farthest Journey_zqPB0l5FZP4 - transcript (automated).pdf","Transcript Link")</f>
        <v>Transcript Link</v>
      </c>
      <c r="M4263" s="2" t="str">
        <f>HYPERLINK("https://files.afu.se/Downloads/Transcripts/0%20-%20Government/USA%20-%20NASA/2011 04 28 - NASA - Voyager Humanity's Farthest Journey_zqPB0l5FZP4 - transcript (automated).pdf","Transcript Link")</f>
        <v>Transcript Link</v>
      </c>
    </row>
    <row r="4264" ht="165" spans="1:13">
      <c r="A4264" s="1" t="s">
        <v>19047</v>
      </c>
      <c r="B4264" s="1" t="s">
        <v>13</v>
      </c>
      <c r="C4264" s="4" t="s">
        <v>19060</v>
      </c>
      <c r="D4264" s="1" t="s">
        <v>19061</v>
      </c>
      <c r="E4264" s="1" t="s">
        <v>19062</v>
      </c>
      <c r="F4264" s="4" t="s">
        <v>17</v>
      </c>
      <c r="G4264" s="1" t="s">
        <v>18</v>
      </c>
      <c r="H4264" s="1" t="s">
        <v>19</v>
      </c>
      <c r="I4264" s="1" t="s">
        <v>20</v>
      </c>
      <c r="J4264" s="1" t="s">
        <v>19063</v>
      </c>
      <c r="K4264" s="1" t="s">
        <v>22</v>
      </c>
      <c r="L4264" s="1" t="str">
        <f>HYPERLINK("https://files.afu.se/Downloads/Transcripts/0%20-%20Government/USA%20-%20NASA/2011 04 28 - NASA - Countdown Continues to STS-134_BABGPvEFybU - transcript (automated).pdf","Transcript Link")</f>
        <v>Transcript Link</v>
      </c>
      <c r="M4264" s="2" t="str">
        <f>HYPERLINK("https://files.afu.se/Downloads/Transcripts/0%20-%20Government/USA%20-%20NASA/2011 04 28 - NASA - Countdown Continues to STS-134_BABGPvEFybU - transcript (automated).pdf","Transcript Link")</f>
        <v>Transcript Link</v>
      </c>
    </row>
    <row r="4265" ht="165" spans="1:13">
      <c r="A4265" s="1" t="s">
        <v>19064</v>
      </c>
      <c r="B4265" s="1" t="s">
        <v>13</v>
      </c>
      <c r="C4265" s="4" t="s">
        <v>19065</v>
      </c>
      <c r="D4265" s="1" t="s">
        <v>19066</v>
      </c>
      <c r="E4265" s="1" t="s">
        <v>19067</v>
      </c>
      <c r="F4265" s="4" t="s">
        <v>17</v>
      </c>
      <c r="G4265" s="1" t="s">
        <v>18</v>
      </c>
      <c r="H4265" s="1" t="s">
        <v>19</v>
      </c>
      <c r="I4265" s="1" t="s">
        <v>20</v>
      </c>
      <c r="J4265" s="1" t="s">
        <v>19068</v>
      </c>
      <c r="K4265" s="1" t="s">
        <v>22</v>
      </c>
      <c r="L4265" s="1" t="str">
        <f>HYPERLINK("https://files.afu.se/Downloads/Transcripts/0%20-%20Government/USA%20-%20NASA/2011 04 27 - NASA - Endeavour Crew Ready to Fly_QftA0I7JO2s - transcript (automated).pdf","Transcript Link")</f>
        <v>Transcript Link</v>
      </c>
      <c r="M4265" s="2" t="str">
        <f>HYPERLINK("https://files.afu.se/Downloads/Transcripts/0%20-%20Government/USA%20-%20NASA/2011 04 27 - NASA - Endeavour Crew Ready to Fly_QftA0I7JO2s - transcript (automated).pdf","Transcript Link")</f>
        <v>Transcript Link</v>
      </c>
    </row>
    <row r="4266" ht="165" spans="1:13">
      <c r="A4266" s="1" t="s">
        <v>19064</v>
      </c>
      <c r="B4266" s="1" t="s">
        <v>13</v>
      </c>
      <c r="C4266" s="4" t="s">
        <v>19069</v>
      </c>
      <c r="D4266" s="1" t="s">
        <v>19070</v>
      </c>
      <c r="E4266" s="1" t="s">
        <v>19071</v>
      </c>
      <c r="F4266" s="4" t="s">
        <v>17</v>
      </c>
      <c r="G4266" s="1" t="s">
        <v>18</v>
      </c>
      <c r="H4266" s="1" t="s">
        <v>19</v>
      </c>
      <c r="I4266" s="1" t="s">
        <v>20</v>
      </c>
      <c r="J4266" s="1" t="s">
        <v>19072</v>
      </c>
      <c r="K4266" s="1" t="s">
        <v>22</v>
      </c>
      <c r="L4266" s="1" t="str">
        <f>HYPERLINK("https://files.afu.se/Downloads/Transcripts/0%20-%20Government/USA%20-%20NASA/2011 04 27 - NASA - NASA  Increasing the Awesome_IOKRR9sYlzc - transcript (automated).pdf","Transcript Link")</f>
        <v>Transcript Link</v>
      </c>
      <c r="M4266" s="2" t="str">
        <f>HYPERLINK("https://files.afu.se/Downloads/Transcripts/0%20-%20Government/USA%20-%20NASA/2011 04 27 - NASA - NASA  Increasing the Awesome_IOKRR9sYlzc - transcript (automated).pdf","Transcript Link")</f>
        <v>Transcript Link</v>
      </c>
    </row>
    <row r="4267" ht="165" spans="1:13">
      <c r="A4267" s="1" t="s">
        <v>19073</v>
      </c>
      <c r="B4267" s="1" t="s">
        <v>13</v>
      </c>
      <c r="C4267" s="4" t="s">
        <v>19074</v>
      </c>
      <c r="D4267" s="1" t="s">
        <v>19075</v>
      </c>
      <c r="E4267" s="1" t="s">
        <v>19076</v>
      </c>
      <c r="F4267" s="4" t="s">
        <v>17</v>
      </c>
      <c r="G4267" s="1" t="s">
        <v>18</v>
      </c>
      <c r="H4267" s="1" t="s">
        <v>19</v>
      </c>
      <c r="I4267" s="1" t="s">
        <v>20</v>
      </c>
      <c r="J4267" s="1" t="s">
        <v>19077</v>
      </c>
      <c r="K4267" s="1" t="s">
        <v>22</v>
      </c>
      <c r="L4267" s="1" t="str">
        <f>HYPERLINK("https://files.afu.se/Downloads/Transcripts/0%20-%20Government/USA%20-%20NASA/2011 04 26 - NASA - Kelly and Crew Arrive at Kennedy for Endeavour Launch_VLNA8Exb--8 - transcript (automated).pdf","Transcript Link")</f>
        <v>Transcript Link</v>
      </c>
      <c r="M4267" s="2" t="str">
        <f>HYPERLINK("https://files.afu.se/Downloads/Transcripts/0%20-%20Government/USA%20-%20NASA/2011 04 26 - NASA - Kelly and Crew Arrive at Kennedy for Endeavour Launch_VLNA8Exb--8 - transcript (automated).pdf","Transcript Link")</f>
        <v>Transcript Link</v>
      </c>
    </row>
    <row r="4268" ht="165" spans="1:13">
      <c r="A4268" s="1" t="s">
        <v>19073</v>
      </c>
      <c r="B4268" s="1" t="s">
        <v>13</v>
      </c>
      <c r="C4268" s="4" t="s">
        <v>19078</v>
      </c>
      <c r="D4268" s="1" t="s">
        <v>19079</v>
      </c>
      <c r="E4268" s="1" t="s">
        <v>19080</v>
      </c>
      <c r="F4268" s="4" t="s">
        <v>17</v>
      </c>
      <c r="G4268" s="1" t="s">
        <v>18</v>
      </c>
      <c r="H4268" s="1" t="s">
        <v>19</v>
      </c>
      <c r="I4268" s="1" t="s">
        <v>20</v>
      </c>
      <c r="J4268" s="1" t="s">
        <v>19081</v>
      </c>
      <c r="K4268" s="1" t="s">
        <v>22</v>
      </c>
      <c r="L4268" s="1" t="str">
        <f>HYPERLINK("https://files.afu.se/Downloads/Transcripts/0%20-%20Government/USA%20-%20NASA/2011 04 26 - NASA - Shuttle's Liftoff to ISS Nears_lXxhYZb2qw0 - transcript (automated).pdf","Transcript Link")</f>
        <v>Transcript Link</v>
      </c>
      <c r="M4268" s="2" t="str">
        <f>HYPERLINK("https://files.afu.se/Downloads/Transcripts/0%20-%20Government/USA%20-%20NASA/2011 04 26 - NASA - Shuttle's Liftoff to ISS Nears_lXxhYZb2qw0 - transcript (automated).pdf","Transcript Link")</f>
        <v>Transcript Link</v>
      </c>
    </row>
    <row r="4269" ht="165" spans="1:13">
      <c r="A4269" s="1" t="s">
        <v>19073</v>
      </c>
      <c r="B4269" s="1" t="s">
        <v>13</v>
      </c>
      <c r="C4269" s="4" t="s">
        <v>19082</v>
      </c>
      <c r="D4269" s="1" t="s">
        <v>19083</v>
      </c>
      <c r="E4269" s="1" t="s">
        <v>19084</v>
      </c>
      <c r="F4269" s="4" t="s">
        <v>17</v>
      </c>
      <c r="G4269" s="1" t="s">
        <v>18</v>
      </c>
      <c r="H4269" s="1" t="s">
        <v>19</v>
      </c>
      <c r="I4269" s="1" t="s">
        <v>20</v>
      </c>
      <c r="J4269" s="1" t="s">
        <v>19085</v>
      </c>
      <c r="K4269" s="1" t="s">
        <v>22</v>
      </c>
      <c r="L4269" s="1" t="str">
        <f>HYPERLINK("https://files.afu.se/Downloads/Transcripts/0%20-%20Government/USA%20-%20NASA/2011 04 26 - NASA - NASA and USAID to Promote SciTech Collaboration_MK_F9YJQjUI - transcript (automated).pdf","Transcript Link")</f>
        <v>Transcript Link</v>
      </c>
      <c r="M4269" s="2" t="str">
        <f>HYPERLINK("https://files.afu.se/Downloads/Transcripts/0%20-%20Government/USA%20-%20NASA/2011 04 26 - NASA - NASA and USAID to Promote SciTech Collaboration_MK_F9YJQjUI - transcript (automated).pdf","Transcript Link")</f>
        <v>Transcript Link</v>
      </c>
    </row>
    <row r="4270" ht="165" spans="1:13">
      <c r="A4270" s="1" t="s">
        <v>19086</v>
      </c>
      <c r="B4270" s="1" t="s">
        <v>13</v>
      </c>
      <c r="C4270" s="4" t="s">
        <v>19087</v>
      </c>
      <c r="D4270" s="1" t="s">
        <v>19088</v>
      </c>
      <c r="E4270" s="1" t="s">
        <v>19089</v>
      </c>
      <c r="F4270" s="4" t="s">
        <v>17</v>
      </c>
      <c r="G4270" s="1" t="s">
        <v>18</v>
      </c>
      <c r="H4270" s="1" t="s">
        <v>19</v>
      </c>
      <c r="I4270" s="1" t="s">
        <v>20</v>
      </c>
      <c r="J4270" s="1" t="s">
        <v>19090</v>
      </c>
      <c r="K4270" s="1" t="s">
        <v>22</v>
      </c>
      <c r="L4270" s="1" t="str">
        <f>HYPERLINK("https://files.afu.se/Downloads/Transcripts/0%20-%20Government/USA%20-%20NASA/2011 04 22 - NASA - Endeavour Ready to Go on This Week @NASA_X9jvyo7xDWs - transcript (automated).pdf","Transcript Link")</f>
        <v>Transcript Link</v>
      </c>
      <c r="M4270" s="2" t="str">
        <f>HYPERLINK("https://files.afu.se/Downloads/Transcripts/0%20-%20Government/USA%20-%20NASA/2011 04 22 - NASA - Endeavour Ready to Go on This Week @NASA_X9jvyo7xDWs - transcript (automated).pdf","Transcript Link")</f>
        <v>Transcript Link</v>
      </c>
    </row>
    <row r="4271" ht="225" spans="1:13">
      <c r="A4271" s="1" t="s">
        <v>19091</v>
      </c>
      <c r="B4271" s="1" t="s">
        <v>13</v>
      </c>
      <c r="C4271" s="4" t="s">
        <v>19092</v>
      </c>
      <c r="D4271" s="1" t="s">
        <v>19093</v>
      </c>
      <c r="E4271" s="1" t="s">
        <v>19094</v>
      </c>
      <c r="F4271" s="4" t="s">
        <v>17</v>
      </c>
      <c r="G4271" s="1" t="s">
        <v>18</v>
      </c>
      <c r="H4271" s="1" t="s">
        <v>19</v>
      </c>
      <c r="I4271" s="1" t="s">
        <v>20</v>
      </c>
      <c r="J4271" s="1" t="s">
        <v>19095</v>
      </c>
      <c r="K4271" s="1" t="s">
        <v>22</v>
      </c>
      <c r="L4271" s="1" t="str">
        <f>HYPERLINK("https://files.afu.se/Downloads/Transcripts/0%20-%20Government/USA%20-%20NASA/2011 04 21 - NASA - Hubble Celebrates 21 Years in Space_J12mNMJtFKE - transcript (automated).pdf","Transcript Link")</f>
        <v>Transcript Link</v>
      </c>
      <c r="M4271" s="2" t="str">
        <f>HYPERLINK("https://files.afu.se/Downloads/Transcripts/0%20-%20Government/USA%20-%20NASA/2011 04 21 - NASA - Hubble Celebrates 21 Years in Space_J12mNMJtFKE - transcript (automated).pdf","Transcript Link")</f>
        <v>Transcript Link</v>
      </c>
    </row>
    <row r="4272" ht="165" spans="1:13">
      <c r="A4272" s="1" t="s">
        <v>19096</v>
      </c>
      <c r="B4272" s="1" t="s">
        <v>13</v>
      </c>
      <c r="C4272" s="4" t="s">
        <v>19097</v>
      </c>
      <c r="D4272" s="1" t="s">
        <v>19098</v>
      </c>
      <c r="E4272" s="1" t="s">
        <v>19099</v>
      </c>
      <c r="F4272" s="4" t="s">
        <v>17</v>
      </c>
      <c r="G4272" s="1" t="s">
        <v>18</v>
      </c>
      <c r="H4272" s="1" t="s">
        <v>19</v>
      </c>
      <c r="I4272" s="1" t="s">
        <v>20</v>
      </c>
      <c r="J4272" s="1" t="s">
        <v>19100</v>
      </c>
      <c r="K4272" s="1" t="s">
        <v>22</v>
      </c>
      <c r="L4272" s="1" t="str">
        <f>HYPERLINK("https://files.afu.se/Downloads/Transcripts/0%20-%20Government/USA%20-%20NASA/2011 04 20 - NASA - Mark Kelly Says Mission May Unlock New Mysteries_R74Su3LqxI4 - transcript (automated).pdf","Transcript Link")</f>
        <v>Transcript Link</v>
      </c>
      <c r="M4272" s="2" t="str">
        <f>HYPERLINK("https://files.afu.se/Downloads/Transcripts/0%20-%20Government/USA%20-%20NASA/2011 04 20 - NASA - Mark Kelly Says Mission May Unlock New Mysteries_R74Su3LqxI4 - transcript (automated).pdf","Transcript Link")</f>
        <v>Transcript Link</v>
      </c>
    </row>
    <row r="4273" ht="165" spans="1:13">
      <c r="A4273" s="1" t="s">
        <v>19101</v>
      </c>
      <c r="B4273" s="1" t="s">
        <v>13</v>
      </c>
      <c r="C4273" s="4" t="s">
        <v>19102</v>
      </c>
      <c r="D4273" s="1" t="s">
        <v>19103</v>
      </c>
      <c r="E4273" s="1" t="s">
        <v>19104</v>
      </c>
      <c r="F4273" s="4" t="s">
        <v>17</v>
      </c>
      <c r="G4273" s="1" t="s">
        <v>18</v>
      </c>
      <c r="H4273" s="1" t="s">
        <v>19</v>
      </c>
      <c r="I4273" s="1" t="s">
        <v>20</v>
      </c>
      <c r="J4273" s="1" t="s">
        <v>19105</v>
      </c>
      <c r="K4273" s="1" t="s">
        <v>22</v>
      </c>
      <c r="L4273" s="1" t="str">
        <f>HYPERLINK("https://files.afu.se/Downloads/Transcripts/0%20-%20Government/USA%20-%20NASA/2011 04 19 - NASA - April 29 Set for Shuttle Launch_QW5xZV2pUWE - transcript (automated).pdf","Transcript Link")</f>
        <v>Transcript Link</v>
      </c>
      <c r="M4273" s="2" t="str">
        <f>HYPERLINK("https://files.afu.se/Downloads/Transcripts/0%20-%20Government/USA%20-%20NASA/2011 04 19 - NASA - April 29 Set for Shuttle Launch_QW5xZV2pUWE - transcript (automated).pdf","Transcript Link")</f>
        <v>Transcript Link</v>
      </c>
    </row>
    <row r="4274" ht="165" spans="1:13">
      <c r="A4274" s="1" t="s">
        <v>19101</v>
      </c>
      <c r="B4274" s="1" t="s">
        <v>13</v>
      </c>
      <c r="C4274" s="4" t="s">
        <v>19106</v>
      </c>
      <c r="D4274" s="1" t="s">
        <v>19107</v>
      </c>
      <c r="E4274" s="1" t="s">
        <v>19108</v>
      </c>
      <c r="F4274" s="4" t="s">
        <v>17</v>
      </c>
      <c r="G4274" s="1" t="s">
        <v>18</v>
      </c>
      <c r="H4274" s="1" t="s">
        <v>19</v>
      </c>
      <c r="I4274" s="1" t="s">
        <v>20</v>
      </c>
      <c r="J4274" s="1" t="s">
        <v>19109</v>
      </c>
      <c r="K4274" s="1" t="s">
        <v>22</v>
      </c>
      <c r="L4274" s="1" t="str">
        <f>HYPERLINK("https://files.afu.se/Downloads/Transcripts/0%20-%20Government/USA%20-%20NASA/2011 04 19 - NASA - NASA Looks Back at Gulf Oil Spill_sZRvMCewbVw - transcript (automated).pdf","Transcript Link")</f>
        <v>Transcript Link</v>
      </c>
      <c r="M4274" s="2" t="str">
        <f>HYPERLINK("https://files.afu.se/Downloads/Transcripts/0%20-%20Government/USA%20-%20NASA/2011 04 19 - NASA - NASA Looks Back at Gulf Oil Spill_sZRvMCewbVw - transcript (automated).pdf","Transcript Link")</f>
        <v>Transcript Link</v>
      </c>
    </row>
    <row r="4275" ht="165" spans="1:13">
      <c r="A4275" s="1" t="s">
        <v>19110</v>
      </c>
      <c r="B4275" s="1" t="s">
        <v>13</v>
      </c>
      <c r="C4275" s="4" t="s">
        <v>19111</v>
      </c>
      <c r="D4275" s="1" t="s">
        <v>19112</v>
      </c>
      <c r="E4275" s="1" t="s">
        <v>19113</v>
      </c>
      <c r="F4275" s="4" t="s">
        <v>17</v>
      </c>
      <c r="G4275" s="1" t="s">
        <v>18</v>
      </c>
      <c r="H4275" s="1" t="s">
        <v>19</v>
      </c>
      <c r="I4275" s="1" t="s">
        <v>20</v>
      </c>
      <c r="J4275" s="1" t="s">
        <v>19114</v>
      </c>
      <c r="K4275" s="1" t="s">
        <v>22</v>
      </c>
      <c r="L4275" s="1" t="str">
        <f>HYPERLINK("https://files.afu.se/Downloads/Transcripts/0%20-%20Government/USA%20-%20NASA/2011 04 15 - NASA - Agency Honor Employees and New Homes for Shuttles Announced on This Week @NASA..._6Jxk_5oHv3s - transcript (automated).pdf","Transcript Link")</f>
        <v>Transcript Link</v>
      </c>
      <c r="M4275" s="2" t="str">
        <f>HYPERLINK("https://files.afu.se/Downloads/Transcripts/0%20-%20Government/USA%20-%20NASA/2011 04 15 - NASA - Agency Honor Employees and New Homes for Shuttles Announced on This Week @NASA..._6Jxk_5oHv3s - transcript (automated).pdf","Transcript Link")</f>
        <v>Transcript Link</v>
      </c>
    </row>
    <row r="4276" ht="165" spans="1:13">
      <c r="A4276" s="1" t="s">
        <v>19110</v>
      </c>
      <c r="B4276" s="1" t="s">
        <v>13</v>
      </c>
      <c r="C4276" s="4" t="s">
        <v>19115</v>
      </c>
      <c r="D4276" s="1" t="s">
        <v>19116</v>
      </c>
      <c r="E4276" s="1" t="s">
        <v>19117</v>
      </c>
      <c r="F4276" s="4" t="s">
        <v>17</v>
      </c>
      <c r="G4276" s="1" t="s">
        <v>18</v>
      </c>
      <c r="H4276" s="1" t="s">
        <v>19</v>
      </c>
      <c r="I4276" s="1" t="s">
        <v>20</v>
      </c>
      <c r="J4276" s="1" t="s">
        <v>19118</v>
      </c>
      <c r="K4276" s="1" t="s">
        <v>22</v>
      </c>
      <c r="L4276" s="1" t="str">
        <f>HYPERLINK("https://files.afu.se/Downloads/Transcripts/0%20-%20Government/USA%20-%20NASA/2011 04 15 - NASA - NASA Administrator with Russian Officials Celebrate the Golden Anniversary of Spaceflight_vu_6yuW6PY0 - transcript (automated).pdf","Transcript Link")</f>
        <v>Transcript Link</v>
      </c>
      <c r="M4276" s="2" t="str">
        <f>HYPERLINK("https://files.afu.se/Downloads/Transcripts/0%20-%20Government/USA%20-%20NASA/2011 04 15 - NASA - NASA Administrator with Russian Officials Celebrate the Golden Anniversary of Spaceflight_vu_6yuW6PY0 - transcript (automated).pdf","Transcript Link")</f>
        <v>Transcript Link</v>
      </c>
    </row>
    <row r="4277" ht="165" spans="1:13">
      <c r="A4277" s="1" t="s">
        <v>19119</v>
      </c>
      <c r="B4277" s="1" t="s">
        <v>13</v>
      </c>
      <c r="C4277" s="4" t="s">
        <v>19120</v>
      </c>
      <c r="D4277" s="1" t="s">
        <v>19121</v>
      </c>
      <c r="E4277" s="1" t="s">
        <v>19122</v>
      </c>
      <c r="F4277" s="4" t="s">
        <v>17</v>
      </c>
      <c r="G4277" s="1" t="s">
        <v>18</v>
      </c>
      <c r="H4277" s="1" t="s">
        <v>19</v>
      </c>
      <c r="I4277" s="1" t="s">
        <v>20</v>
      </c>
      <c r="J4277" s="1" t="s">
        <v>19123</v>
      </c>
      <c r="K4277" s="1" t="s">
        <v>22</v>
      </c>
      <c r="L4277" s="1" t="str">
        <f>HYPERLINK("https://files.afu.se/Downloads/Transcripts/0%20-%20Government/USA%20-%20NASA/2011 04 14 - NASA - NASA Honors First Human Space Mission Flight Director_UBQPE_bOP6Y - transcript (automated).pdf","Transcript Link")</f>
        <v>Transcript Link</v>
      </c>
      <c r="M4277" s="2" t="str">
        <f>HYPERLINK("https://files.afu.se/Downloads/Transcripts/0%20-%20Government/USA%20-%20NASA/2011 04 14 - NASA - NASA Honors First Human Space Mission Flight Director_UBQPE_bOP6Y - transcript (automated).pdf","Transcript Link")</f>
        <v>Transcript Link</v>
      </c>
    </row>
    <row r="4278" ht="165" spans="1:13">
      <c r="A4278" s="1" t="s">
        <v>19124</v>
      </c>
      <c r="B4278" s="1" t="s">
        <v>13</v>
      </c>
      <c r="C4278" s="4" t="s">
        <v>19125</v>
      </c>
      <c r="D4278" s="1" t="s">
        <v>19126</v>
      </c>
      <c r="E4278" s="1" t="s">
        <v>19127</v>
      </c>
      <c r="F4278" s="4" t="s">
        <v>17</v>
      </c>
      <c r="G4278" s="1" t="s">
        <v>18</v>
      </c>
      <c r="H4278" s="1" t="s">
        <v>19</v>
      </c>
      <c r="I4278" s="1" t="s">
        <v>20</v>
      </c>
      <c r="J4278" s="1" t="s">
        <v>19128</v>
      </c>
      <c r="K4278" s="1" t="s">
        <v>22</v>
      </c>
      <c r="L4278" s="1" t="str">
        <f>HYPERLINK("https://files.afu.se/Downloads/Transcripts/0%20-%20Government/USA%20-%20NASA/2011 04 13 - NASA - NASA Commemorates Space Shuttle's 30th Anniversary, Reveals Display Sites for Orbiters_-TeRXAhHfzE - transcript (automated).pdf","Transcript Link")</f>
        <v>Transcript Link</v>
      </c>
      <c r="M4278" s="2" t="str">
        <f>HYPERLINK("https://files.afu.se/Downloads/Transcripts/0%20-%20Government/USA%20-%20NASA/2011 04 13 - NASA - NASA Commemorates Space Shuttle's 30th Anniversary, Reveals Display Sites for Orbiters_-TeRXAhHfzE - transcript (automated).pdf","Transcript Link")</f>
        <v>Transcript Link</v>
      </c>
    </row>
    <row r="4279" ht="165" spans="1:13">
      <c r="A4279" s="1" t="s">
        <v>19129</v>
      </c>
      <c r="B4279" s="1" t="s">
        <v>13</v>
      </c>
      <c r="C4279" s="4" t="s">
        <v>19130</v>
      </c>
      <c r="D4279" s="1" t="s">
        <v>19131</v>
      </c>
      <c r="E4279" s="1" t="s">
        <v>19132</v>
      </c>
      <c r="F4279" s="4" t="s">
        <v>17</v>
      </c>
      <c r="G4279" s="1" t="s">
        <v>18</v>
      </c>
      <c r="H4279" s="1" t="s">
        <v>19</v>
      </c>
      <c r="I4279" s="1" t="s">
        <v>20</v>
      </c>
      <c r="J4279" s="1" t="s">
        <v>19133</v>
      </c>
      <c r="K4279" s="1" t="s">
        <v>22</v>
      </c>
      <c r="L4279" s="1" t="str">
        <f>HYPERLINK("https://files.afu.se/Downloads/Transcripts/0%20-%20Government/USA%20-%20NASA/2011 04 12 - NASA - Gagarin's Golden Anniversary Celebration at the Grand Kremlin Palace_OZq0Hd-_4Kk - transcript (automated).pdf","Transcript Link")</f>
        <v>Transcript Link</v>
      </c>
      <c r="M4279" s="2" t="str">
        <f>HYPERLINK("https://files.afu.se/Downloads/Transcripts/0%20-%20Government/USA%20-%20NASA/2011 04 12 - NASA - Gagarin's Golden Anniversary Celebration at the Grand Kremlin Palace_OZq0Hd-_4Kk - transcript (automated).pdf","Transcript Link")</f>
        <v>Transcript Link</v>
      </c>
    </row>
    <row r="4280" ht="165" spans="1:13">
      <c r="A4280" s="1" t="s">
        <v>19129</v>
      </c>
      <c r="B4280" s="1" t="s">
        <v>13</v>
      </c>
      <c r="C4280" s="4" t="s">
        <v>19134</v>
      </c>
      <c r="D4280" s="1" t="s">
        <v>18298</v>
      </c>
      <c r="E4280" s="1" t="s">
        <v>18299</v>
      </c>
      <c r="F4280" s="4" t="s">
        <v>17</v>
      </c>
      <c r="G4280" s="1" t="s">
        <v>18</v>
      </c>
      <c r="H4280" s="1" t="s">
        <v>19</v>
      </c>
      <c r="I4280" s="1" t="s">
        <v>20</v>
      </c>
      <c r="J4280" s="1" t="s">
        <v>19135</v>
      </c>
      <c r="K4280" s="1" t="s">
        <v>22</v>
      </c>
      <c r="L4280" s="1" t="str">
        <f>HYPERLINK("https://files.afu.se/Downloads/Transcripts/0%20-%20Government/USA%20-%20NASA/2011 04 12 - NASA - The Space Shuttle (Narrated by William Shatner)_rlG7W0gkjjE - transcript (automated).pdf","Transcript Link")</f>
        <v>Transcript Link</v>
      </c>
      <c r="M4280" s="2" t="str">
        <f>HYPERLINK("https://files.afu.se/Downloads/Transcripts/0%20-%20Government/USA%20-%20NASA/2011 04 12 - NASA - The Space Shuttle (Narrated by William Shatner)_rlG7W0gkjjE - transcript (automated).pdf","Transcript Link")</f>
        <v>Transcript Link</v>
      </c>
    </row>
    <row r="4281" ht="165" spans="1:13">
      <c r="A4281" s="1" t="s">
        <v>19129</v>
      </c>
      <c r="B4281" s="1" t="s">
        <v>13</v>
      </c>
      <c r="C4281" s="4" t="s">
        <v>19136</v>
      </c>
      <c r="D4281" s="1" t="s">
        <v>19137</v>
      </c>
      <c r="E4281" s="1" t="s">
        <v>19138</v>
      </c>
      <c r="F4281" s="4" t="s">
        <v>17</v>
      </c>
      <c r="G4281" s="1" t="s">
        <v>18</v>
      </c>
      <c r="H4281" s="1" t="s">
        <v>19</v>
      </c>
      <c r="I4281" s="1" t="s">
        <v>20</v>
      </c>
      <c r="J4281" s="1" t="s">
        <v>19139</v>
      </c>
      <c r="K4281" s="1" t="s">
        <v>22</v>
      </c>
      <c r="L4281" s="1" t="str">
        <f>HYPERLINK("https://files.afu.se/Downloads/Transcripts/0%20-%20Government/USA%20-%20NASA/2011 04 12 - NASA - News Conference from Space Commemorates Space Flight Anniversaries_BReUn3C1pzk - transcript (automated).pdf","Transcript Link")</f>
        <v>Transcript Link</v>
      </c>
      <c r="M4281" s="2" t="str">
        <f>HYPERLINK("https://files.afu.se/Downloads/Transcripts/0%20-%20Government/USA%20-%20NASA/2011 04 12 - NASA - News Conference from Space Commemorates Space Flight Anniversaries_BReUn3C1pzk - transcript (automated).pdf","Transcript Link")</f>
        <v>Transcript Link</v>
      </c>
    </row>
    <row r="4282" ht="165" spans="1:13">
      <c r="A4282" s="1" t="s">
        <v>19129</v>
      </c>
      <c r="B4282" s="1" t="s">
        <v>13</v>
      </c>
      <c r="C4282" s="4" t="s">
        <v>19140</v>
      </c>
      <c r="D4282" s="1" t="s">
        <v>19141</v>
      </c>
      <c r="E4282" s="1" t="s">
        <v>19142</v>
      </c>
      <c r="F4282" s="4" t="s">
        <v>17</v>
      </c>
      <c r="G4282" s="1" t="s">
        <v>18</v>
      </c>
      <c r="H4282" s="1" t="s">
        <v>19</v>
      </c>
      <c r="I4282" s="1" t="s">
        <v>20</v>
      </c>
      <c r="J4282" s="1" t="s">
        <v>19143</v>
      </c>
      <c r="K4282" s="1" t="s">
        <v>22</v>
      </c>
      <c r="L4282" s="1" t="str">
        <f>HYPERLINK("https://files.afu.se/Downloads/Transcripts/0%20-%20Government/USA%20-%20NASA/2011 04 12 - NASA - ISS Crew Talks with Media about Gagarin and STS-1 Anniversaries_XnEHq6p54Hw - transcript (automated).pdf","Transcript Link")</f>
        <v>Transcript Link</v>
      </c>
      <c r="M4282" s="2" t="str">
        <f>HYPERLINK("https://files.afu.se/Downloads/Transcripts/0%20-%20Government/USA%20-%20NASA/2011 04 12 - NASA - ISS Crew Talks with Media about Gagarin and STS-1 Anniversaries_XnEHq6p54Hw - transcript (automated).pdf","Transcript Link")</f>
        <v>Transcript Link</v>
      </c>
    </row>
    <row r="4283" ht="165" spans="1:13">
      <c r="A4283" s="1" t="s">
        <v>19144</v>
      </c>
      <c r="B4283" s="1" t="s">
        <v>13</v>
      </c>
      <c r="C4283" s="4" t="s">
        <v>19145</v>
      </c>
      <c r="D4283" s="1" t="s">
        <v>19146</v>
      </c>
      <c r="E4283" s="1" t="s">
        <v>19147</v>
      </c>
      <c r="F4283" s="4" t="s">
        <v>17</v>
      </c>
      <c r="G4283" s="1" t="s">
        <v>18</v>
      </c>
      <c r="H4283" s="1" t="s">
        <v>19</v>
      </c>
      <c r="I4283" s="1" t="s">
        <v>20</v>
      </c>
      <c r="J4283" s="1" t="s">
        <v>19148</v>
      </c>
      <c r="K4283" s="1" t="s">
        <v>22</v>
      </c>
      <c r="L4283" s="1" t="str">
        <f>HYPERLINK("https://files.afu.se/Downloads/Transcripts/0%20-%20Government/USA%20-%20NASA/2011 04 11 - NASA - International Partners Celebrate Gagarin's Golden Anniversary_qSBuGBBJ8XI - transcript (automated).pdf","Transcript Link")</f>
        <v>Transcript Link</v>
      </c>
      <c r="M4283" s="2" t="str">
        <f>HYPERLINK("https://files.afu.se/Downloads/Transcripts/0%20-%20Government/USA%20-%20NASA/2011 04 11 - NASA - International Partners Celebrate Gagarin's Golden Anniversary_qSBuGBBJ8XI - transcript (automated).pdf","Transcript Link")</f>
        <v>Transcript Link</v>
      </c>
    </row>
    <row r="4284" ht="165" spans="1:13">
      <c r="A4284" s="1" t="s">
        <v>19144</v>
      </c>
      <c r="B4284" s="1" t="s">
        <v>13</v>
      </c>
      <c r="C4284" s="4" t="s">
        <v>19149</v>
      </c>
      <c r="D4284" s="1" t="s">
        <v>19150</v>
      </c>
      <c r="E4284" s="1" t="s">
        <v>19151</v>
      </c>
      <c r="F4284" s="4" t="s">
        <v>17</v>
      </c>
      <c r="G4284" s="1" t="s">
        <v>18</v>
      </c>
      <c r="H4284" s="1" t="s">
        <v>19</v>
      </c>
      <c r="I4284" s="1" t="s">
        <v>20</v>
      </c>
      <c r="J4284" s="1" t="s">
        <v>19152</v>
      </c>
      <c r="K4284" s="1" t="s">
        <v>22</v>
      </c>
      <c r="L4284" s="1" t="str">
        <f>HYPERLINK("https://files.afu.se/Downloads/Transcripts/0%20-%20Government/USA%20-%20NASA/2011 04 11 - NASA - Station Crew Discusses Milestone Anniversaries with the Media_nEgw-GtMj2o - transcript (automated).pdf","Transcript Link")</f>
        <v>Transcript Link</v>
      </c>
      <c r="M4284" s="2" t="str">
        <f>HYPERLINK("https://files.afu.se/Downloads/Transcripts/0%20-%20Government/USA%20-%20NASA/2011 04 11 - NASA - Station Crew Discusses Milestone Anniversaries with the Media_nEgw-GtMj2o - transcript (automated).pdf","Transcript Link")</f>
        <v>Transcript Link</v>
      </c>
    </row>
    <row r="4285" ht="165" spans="1:13">
      <c r="A4285" s="1" t="s">
        <v>19153</v>
      </c>
      <c r="B4285" s="1" t="s">
        <v>13</v>
      </c>
      <c r="C4285" s="4" t="s">
        <v>19154</v>
      </c>
      <c r="D4285" s="1" t="s">
        <v>19155</v>
      </c>
      <c r="E4285" s="1" t="s">
        <v>19156</v>
      </c>
      <c r="F4285" s="4" t="s">
        <v>17</v>
      </c>
      <c r="G4285" s="1" t="s">
        <v>18</v>
      </c>
      <c r="H4285" s="1" t="s">
        <v>19</v>
      </c>
      <c r="I4285" s="1" t="s">
        <v>20</v>
      </c>
      <c r="J4285" s="1" t="s">
        <v>19157</v>
      </c>
      <c r="K4285" s="1" t="s">
        <v>22</v>
      </c>
      <c r="L4285" s="1" t="str">
        <f>HYPERLINK("https://files.afu.se/Downloads/Transcripts/0%20-%20Government/USA%20-%20NASA/2011 04 08 - NASA - New Crew on This Week @NASA_6rduG1ghRXI - transcript (automated).pdf","Transcript Link")</f>
        <v>Transcript Link</v>
      </c>
      <c r="M4285" s="2" t="str">
        <f>HYPERLINK("https://files.afu.se/Downloads/Transcripts/0%20-%20Government/USA%20-%20NASA/2011 04 08 - NASA - New Crew on This Week @NASA_6rduG1ghRXI - transcript (automated).pdf","Transcript Link")</f>
        <v>Transcript Link</v>
      </c>
    </row>
    <row r="4286" ht="165" spans="1:13">
      <c r="A4286" s="1" t="s">
        <v>19158</v>
      </c>
      <c r="B4286" s="1" t="s">
        <v>13</v>
      </c>
      <c r="C4286" s="4" t="s">
        <v>19159</v>
      </c>
      <c r="D4286" s="1" t="s">
        <v>19160</v>
      </c>
      <c r="E4286" s="1" t="s">
        <v>19161</v>
      </c>
      <c r="F4286" s="4" t="s">
        <v>17</v>
      </c>
      <c r="G4286" s="1" t="s">
        <v>18</v>
      </c>
      <c r="H4286" s="1" t="s">
        <v>19</v>
      </c>
      <c r="I4286" s="1" t="s">
        <v>20</v>
      </c>
      <c r="J4286" s="1" t="s">
        <v>19162</v>
      </c>
      <c r="K4286" s="1" t="s">
        <v>22</v>
      </c>
      <c r="L4286" s="1" t="str">
        <f>HYPERLINK("https://files.afu.se/Downloads/Transcripts/0%20-%20Government/USA%20-%20NASA/2011 04 07 - NASA - Endeavour to Deliver Cosmic Ray Observatory to ISS_mjP2gm72gFo - transcript (automated).pdf","Transcript Link")</f>
        <v>Transcript Link</v>
      </c>
      <c r="M4286" s="2" t="str">
        <f>HYPERLINK("https://files.afu.se/Downloads/Transcripts/0%20-%20Government/USA%20-%20NASA/2011 04 07 - NASA - Endeavour to Deliver Cosmic Ray Observatory to ISS_mjP2gm72gFo - transcript (automated).pdf","Transcript Link")</f>
        <v>Transcript Link</v>
      </c>
    </row>
    <row r="4287" ht="165" spans="1:13">
      <c r="A4287" s="1" t="s">
        <v>19158</v>
      </c>
      <c r="B4287" s="1" t="s">
        <v>13</v>
      </c>
      <c r="C4287" s="4" t="s">
        <v>19163</v>
      </c>
      <c r="D4287" s="1" t="s">
        <v>19164</v>
      </c>
      <c r="E4287" s="1" t="s">
        <v>19165</v>
      </c>
      <c r="F4287" s="4" t="s">
        <v>17</v>
      </c>
      <c r="G4287" s="1" t="s">
        <v>18</v>
      </c>
      <c r="H4287" s="1" t="s">
        <v>19</v>
      </c>
      <c r="I4287" s="1" t="s">
        <v>20</v>
      </c>
      <c r="J4287" s="1" t="s">
        <v>19166</v>
      </c>
      <c r="K4287" s="1" t="s">
        <v>22</v>
      </c>
      <c r="L4287" s="1" t="str">
        <f>HYPERLINK("https://files.afu.se/Downloads/Transcripts/0%20-%20Government/USA%20-%20NASA/2011 04 07 - NASA - New Crew Members Welcomed to ISS_uFRBax05-4E - transcript (automated).pdf","Transcript Link")</f>
        <v>Transcript Link</v>
      </c>
      <c r="M4287" s="2" t="str">
        <f>HYPERLINK("https://files.afu.se/Downloads/Transcripts/0%20-%20Government/USA%20-%20NASA/2011 04 07 - NASA - New Crew Members Welcomed to ISS_uFRBax05-4E - transcript (automated).pdf","Transcript Link")</f>
        <v>Transcript Link</v>
      </c>
    </row>
    <row r="4288" ht="165" spans="1:13">
      <c r="A4288" s="1" t="s">
        <v>19167</v>
      </c>
      <c r="B4288" s="1" t="s">
        <v>13</v>
      </c>
      <c r="C4288" s="4" t="s">
        <v>19168</v>
      </c>
      <c r="D4288" s="1" t="s">
        <v>19169</v>
      </c>
      <c r="E4288" s="1" t="s">
        <v>19170</v>
      </c>
      <c r="F4288" s="4" t="s">
        <v>17</v>
      </c>
      <c r="G4288" s="1" t="s">
        <v>18</v>
      </c>
      <c r="H4288" s="1" t="s">
        <v>19</v>
      </c>
      <c r="I4288" s="1" t="s">
        <v>20</v>
      </c>
      <c r="J4288" s="1" t="s">
        <v>19171</v>
      </c>
      <c r="K4288" s="1" t="s">
        <v>22</v>
      </c>
      <c r="L4288" s="1" t="str">
        <f>HYPERLINK("https://files.afu.se/Downloads/Transcripts/0%20-%20Government/USA%20-%20NASA/2011 04 06 - NASA - Soyuz Docks to International Space Station_K8QaPxz8L-E - transcript (automated).pdf","Transcript Link")</f>
        <v>Transcript Link</v>
      </c>
      <c r="M4288" s="2" t="str">
        <f>HYPERLINK("https://files.afu.se/Downloads/Transcripts/0%20-%20Government/USA%20-%20NASA/2011 04 06 - NASA - Soyuz Docks to International Space Station_K8QaPxz8L-E - transcript (automated).pdf","Transcript Link")</f>
        <v>Transcript Link</v>
      </c>
    </row>
    <row r="4289" ht="165" spans="1:13">
      <c r="A4289" s="1" t="s">
        <v>19167</v>
      </c>
      <c r="B4289" s="1" t="s">
        <v>13</v>
      </c>
      <c r="C4289" s="4" t="s">
        <v>19172</v>
      </c>
      <c r="D4289" s="1" t="s">
        <v>19173</v>
      </c>
      <c r="E4289" s="1" t="s">
        <v>19174</v>
      </c>
      <c r="F4289" s="4" t="s">
        <v>17</v>
      </c>
      <c r="G4289" s="1" t="s">
        <v>18</v>
      </c>
      <c r="H4289" s="1" t="s">
        <v>19</v>
      </c>
      <c r="I4289" s="1" t="s">
        <v>20</v>
      </c>
      <c r="J4289" s="1" t="s">
        <v>19175</v>
      </c>
      <c r="K4289" s="1" t="s">
        <v>22</v>
      </c>
      <c r="L4289" s="1" t="str">
        <f>HYPERLINK("https://files.afu.se/Downloads/Transcripts/0%20-%20Government/USA%20-%20NASA/2011 04 06 - NASA - STS-134 Crew Ready for Mission_ereZ56lWW9c - transcript (automated).pdf","Transcript Link")</f>
        <v>Transcript Link</v>
      </c>
      <c r="M4289" s="2" t="str">
        <f>HYPERLINK("https://files.afu.se/Downloads/Transcripts/0%20-%20Government/USA%20-%20NASA/2011 04 06 - NASA - STS-134 Crew Ready for Mission_ereZ56lWW9c - transcript (automated).pdf","Transcript Link")</f>
        <v>Transcript Link</v>
      </c>
    </row>
    <row r="4290" ht="165" spans="1:13">
      <c r="A4290" s="1" t="s">
        <v>19176</v>
      </c>
      <c r="B4290" s="1" t="s">
        <v>13</v>
      </c>
      <c r="C4290" s="4" t="s">
        <v>19177</v>
      </c>
      <c r="D4290" s="1" t="s">
        <v>19178</v>
      </c>
      <c r="E4290" s="1" t="s">
        <v>19179</v>
      </c>
      <c r="F4290" s="4" t="s">
        <v>17</v>
      </c>
      <c r="G4290" s="1" t="s">
        <v>18</v>
      </c>
      <c r="H4290" s="1" t="s">
        <v>19</v>
      </c>
      <c r="I4290" s="1" t="s">
        <v>20</v>
      </c>
      <c r="J4290" s="1" t="s">
        <v>19180</v>
      </c>
      <c r="K4290" s="1" t="s">
        <v>22</v>
      </c>
      <c r="L4290" s="1" t="str">
        <f>HYPERLINK("https://files.afu.se/Downloads/Transcripts/0%20-%20Government/USA%20-%20NASA/2011 04 05 - NASA - Soyuz Launch Sends Trio to Station_jz-inRrnCIE - transcript (automated).pdf","Transcript Link")</f>
        <v>Transcript Link</v>
      </c>
      <c r="M4290" s="2" t="str">
        <f>HYPERLINK("https://files.afu.se/Downloads/Transcripts/0%20-%20Government/USA%20-%20NASA/2011 04 05 - NASA - Soyuz Launch Sends Trio to Station_jz-inRrnCIE - transcript (automated).pdf","Transcript Link")</f>
        <v>Transcript Link</v>
      </c>
    </row>
    <row r="4291" ht="165" spans="1:13">
      <c r="A4291" s="1" t="s">
        <v>19181</v>
      </c>
      <c r="B4291" s="1" t="s">
        <v>13</v>
      </c>
      <c r="C4291" s="4" t="s">
        <v>19182</v>
      </c>
      <c r="D4291" s="1" t="s">
        <v>19183</v>
      </c>
      <c r="E4291" s="1" t="s">
        <v>19184</v>
      </c>
      <c r="F4291" s="4" t="s">
        <v>17</v>
      </c>
      <c r="G4291" s="1" t="s">
        <v>18</v>
      </c>
      <c r="H4291" s="1" t="s">
        <v>19</v>
      </c>
      <c r="I4291" s="1" t="s">
        <v>20</v>
      </c>
      <c r="J4291" s="1" t="s">
        <v>19185</v>
      </c>
      <c r="K4291" s="1" t="s">
        <v>22</v>
      </c>
      <c r="L4291" s="1" t="str">
        <f>HYPERLINK("https://files.afu.se/Downloads/Transcripts/0%20-%20Government/USA%20-%20NASA/2011 04 04 - NASA - Crew Launches to ISS_9nm1U17MRGY - transcript (automated).pdf","Transcript Link")</f>
        <v>Transcript Link</v>
      </c>
      <c r="M4291" s="2" t="str">
        <f>HYPERLINK("https://files.afu.se/Downloads/Transcripts/0%20-%20Government/USA%20-%20NASA/2011 04 04 - NASA - Crew Launches to ISS_9nm1U17MRGY - transcript (automated).pdf","Transcript Link")</f>
        <v>Transcript Link</v>
      </c>
    </row>
    <row r="4292" ht="165" spans="1:13">
      <c r="A4292" s="1" t="s">
        <v>19181</v>
      </c>
      <c r="B4292" s="1" t="s">
        <v>13</v>
      </c>
      <c r="C4292" s="4" t="s">
        <v>19186</v>
      </c>
      <c r="D4292" s="1" t="s">
        <v>14846</v>
      </c>
      <c r="E4292" s="1" t="s">
        <v>19187</v>
      </c>
      <c r="F4292" s="4" t="s">
        <v>17</v>
      </c>
      <c r="G4292" s="1" t="s">
        <v>18</v>
      </c>
      <c r="H4292" s="1" t="s">
        <v>19</v>
      </c>
      <c r="I4292" s="1" t="s">
        <v>20</v>
      </c>
      <c r="J4292" s="1" t="s">
        <v>19188</v>
      </c>
      <c r="K4292" s="1" t="s">
        <v>22</v>
      </c>
      <c r="L4292" s="1" t="str">
        <f>HYPERLINK("https://files.afu.se/Downloads/Transcripts/0%20-%20Government/USA%20-%20NASA/2011 04 04 - NASA - Soyuz Crew Readies for Launch_3GfCI1hP8vI - transcript (automated).pdf","Transcript Link")</f>
        <v>Transcript Link</v>
      </c>
      <c r="M4292" s="2" t="str">
        <f>HYPERLINK("https://files.afu.se/Downloads/Transcripts/0%20-%20Government/USA%20-%20NASA/2011 04 04 - NASA - Soyuz Crew Readies for Launch_3GfCI1hP8vI - transcript (automated).pdf","Transcript Link")</f>
        <v>Transcript Link</v>
      </c>
    </row>
    <row r="4293" ht="165" spans="1:13">
      <c r="A4293" s="1" t="s">
        <v>19181</v>
      </c>
      <c r="B4293" s="1" t="s">
        <v>13</v>
      </c>
      <c r="C4293" s="4" t="s">
        <v>19189</v>
      </c>
      <c r="D4293" s="1" t="s">
        <v>19190</v>
      </c>
      <c r="E4293" s="1" t="s">
        <v>19191</v>
      </c>
      <c r="F4293" s="4" t="s">
        <v>17</v>
      </c>
      <c r="G4293" s="1" t="s">
        <v>18</v>
      </c>
      <c r="H4293" s="1" t="s">
        <v>19</v>
      </c>
      <c r="I4293" s="1" t="s">
        <v>20</v>
      </c>
      <c r="J4293" s="1" t="s">
        <v>19192</v>
      </c>
      <c r="K4293" s="1" t="s">
        <v>22</v>
      </c>
      <c r="L4293" s="1" t="str">
        <f>HYPERLINK("https://files.afu.se/Downloads/Transcripts/0%20-%20Government/USA%20-%20NASA/2011 04 04 - NASA - Paolo Holds News Conference from Space_J2-4vOGMqio - transcript (automated).pdf","Transcript Link")</f>
        <v>Transcript Link</v>
      </c>
      <c r="M4293" s="2" t="str">
        <f>HYPERLINK("https://files.afu.se/Downloads/Transcripts/0%20-%20Government/USA%20-%20NASA/2011 04 04 - NASA - Paolo Holds News Conference from Space_J2-4vOGMqio - transcript (automated).pdf","Transcript Link")</f>
        <v>Transcript Link</v>
      </c>
    </row>
    <row r="4294" ht="165" spans="1:13">
      <c r="A4294" s="1" t="s">
        <v>19181</v>
      </c>
      <c r="B4294" s="1" t="s">
        <v>13</v>
      </c>
      <c r="C4294" s="4" t="s">
        <v>19193</v>
      </c>
      <c r="D4294" s="1" t="s">
        <v>19194</v>
      </c>
      <c r="E4294" s="1" t="s">
        <v>19195</v>
      </c>
      <c r="F4294" s="4" t="s">
        <v>17</v>
      </c>
      <c r="G4294" s="1" t="s">
        <v>18</v>
      </c>
      <c r="H4294" s="1" t="s">
        <v>19</v>
      </c>
      <c r="I4294" s="1" t="s">
        <v>20</v>
      </c>
      <c r="J4294" s="1" t="s">
        <v>19196</v>
      </c>
      <c r="K4294" s="1" t="s">
        <v>22</v>
      </c>
      <c r="L4294" s="1" t="str">
        <f>HYPERLINK("https://files.afu.se/Downloads/Transcripts/0%20-%20Government/USA%20-%20NASA/2011 04 04 - NASA - New Shuttle Launch Date on This Week @NASA_y37_dIcvGkc - transcript (automated).pdf","Transcript Link")</f>
        <v>Transcript Link</v>
      </c>
      <c r="M4294" s="2" t="str">
        <f>HYPERLINK("https://files.afu.se/Downloads/Transcripts/0%20-%20Government/USA%20-%20NASA/2011 04 04 - NASA - New Shuttle Launch Date on This Week @NASA_y37_dIcvGkc - transcript (automated).pdf","Transcript Link")</f>
        <v>Transcript Link</v>
      </c>
    </row>
    <row r="4295" ht="180" spans="1:13">
      <c r="A4295" s="1" t="s">
        <v>19197</v>
      </c>
      <c r="B4295" s="1" t="s">
        <v>13</v>
      </c>
      <c r="C4295" s="4" t="s">
        <v>19198</v>
      </c>
      <c r="D4295" s="1" t="s">
        <v>19199</v>
      </c>
      <c r="E4295" s="1" t="s">
        <v>19200</v>
      </c>
      <c r="F4295" s="4" t="s">
        <v>17</v>
      </c>
      <c r="G4295" s="1" t="s">
        <v>18</v>
      </c>
      <c r="H4295" s="1" t="s">
        <v>19</v>
      </c>
      <c r="I4295" s="1" t="s">
        <v>20</v>
      </c>
      <c r="J4295" s="1" t="s">
        <v>19201</v>
      </c>
      <c r="K4295" s="1" t="s">
        <v>22</v>
      </c>
      <c r="L4295" s="1" t="str">
        <f>HYPERLINK("https://files.afu.se/Downloads/Transcripts/0%20-%20Government/USA%20-%20NASA/2011 04 03 - NASA - Expedition 27 Crew Meets with Media and Officials Before Launch_rjmbXXUHwa0 - transcript (automated).pdf","Transcript Link")</f>
        <v>Transcript Link</v>
      </c>
      <c r="M4295" s="2" t="str">
        <f>HYPERLINK("https://files.afu.se/Downloads/Transcripts/0%20-%20Government/USA%20-%20NASA/2011 04 03 - NASA - Expedition 27 Crew Meets with Media and Officials Before Launch_rjmbXXUHwa0 - transcript (automated).pdf","Transcript Link")</f>
        <v>Transcript Link</v>
      </c>
    </row>
    <row r="4296" ht="300" spans="1:13">
      <c r="A4296" s="1" t="s">
        <v>19202</v>
      </c>
      <c r="B4296" s="1" t="s">
        <v>13</v>
      </c>
      <c r="C4296" s="4" t="s">
        <v>19203</v>
      </c>
      <c r="D4296" s="1" t="s">
        <v>19204</v>
      </c>
      <c r="E4296" s="1" t="s">
        <v>19205</v>
      </c>
      <c r="F4296" s="4" t="s">
        <v>17</v>
      </c>
      <c r="G4296" s="1" t="s">
        <v>18</v>
      </c>
      <c r="H4296" s="1" t="s">
        <v>19</v>
      </c>
      <c r="I4296" s="1" t="s">
        <v>20</v>
      </c>
      <c r="J4296" s="1" t="s">
        <v>19206</v>
      </c>
      <c r="K4296" s="1" t="s">
        <v>22</v>
      </c>
      <c r="L4296" s="1" t="str">
        <f>HYPERLINK("https://files.afu.se/Downloads/Transcripts/0%20-%20Government/USA%20-%20NASA/2011 04 02 - NASA - Shuttle Launch Rehearsed by Endeavour Crew_sDEqimA_JSo - transcript (automated).pdf","Transcript Link")</f>
        <v>Transcript Link</v>
      </c>
      <c r="M4296" s="2" t="str">
        <f>HYPERLINK("https://files.afu.se/Downloads/Transcripts/0%20-%20Government/USA%20-%20NASA/2011 04 02 - NASA - Shuttle Launch Rehearsed by Endeavour Crew_sDEqimA_JSo - transcript (automated).pdf","Transcript Link")</f>
        <v>Transcript Link</v>
      </c>
    </row>
    <row r="4297" ht="240" spans="1:13">
      <c r="A4297" s="1" t="s">
        <v>19202</v>
      </c>
      <c r="B4297" s="1" t="s">
        <v>13</v>
      </c>
      <c r="C4297" s="4" t="s">
        <v>19207</v>
      </c>
      <c r="D4297" s="1" t="s">
        <v>19208</v>
      </c>
      <c r="E4297" s="1" t="s">
        <v>19209</v>
      </c>
      <c r="F4297" s="4" t="s">
        <v>17</v>
      </c>
      <c r="G4297" s="1" t="s">
        <v>18</v>
      </c>
      <c r="H4297" s="1" t="s">
        <v>19</v>
      </c>
      <c r="I4297" s="1" t="s">
        <v>20</v>
      </c>
      <c r="J4297" s="1" t="s">
        <v>19210</v>
      </c>
      <c r="K4297" s="1" t="s">
        <v>22</v>
      </c>
      <c r="L4297" s="1" t="str">
        <f>HYPERLINK("https://files.afu.se/Downloads/Transcripts/0%20-%20Government/USA%20-%20NASA/2011 04 02 - NASA - Expedition 27 Crew Prepares for Launch as their Soyuz Rocket Move to Launch Pad_urOu6AM_cCc - transcript (automated).pdf","Transcript Link")</f>
        <v>Transcript Link</v>
      </c>
      <c r="M4297" s="2" t="str">
        <f>HYPERLINK("https://files.afu.se/Downloads/Transcripts/0%20-%20Government/USA%20-%20NASA/2011 04 02 - NASA - Expedition 27 Crew Prepares for Launch as their Soyuz Rocket Move to Launch Pad_urOu6AM_cCc - transcript (automated).pdf","Transcript Link")</f>
        <v>Transcript Link</v>
      </c>
    </row>
    <row r="4298" ht="165" spans="1:13">
      <c r="A4298" s="1" t="s">
        <v>19202</v>
      </c>
      <c r="B4298" s="1" t="s">
        <v>13</v>
      </c>
      <c r="C4298" s="4" t="s">
        <v>19211</v>
      </c>
      <c r="D4298" s="1" t="s">
        <v>19212</v>
      </c>
      <c r="E4298" s="1" t="s">
        <v>19213</v>
      </c>
      <c r="F4298" s="4" t="s">
        <v>17</v>
      </c>
      <c r="G4298" s="1" t="s">
        <v>18</v>
      </c>
      <c r="H4298" s="1" t="s">
        <v>19</v>
      </c>
      <c r="I4298" s="1" t="s">
        <v>20</v>
      </c>
      <c r="J4298" s="1" t="s">
        <v>19214</v>
      </c>
      <c r="K4298" s="1" t="s">
        <v>22</v>
      </c>
      <c r="L4298" s="1" t="str">
        <f>HYPERLINK("https://files.afu.se/Downloads/Transcripts/0%20-%20Government/USA%20-%20NASA/2011 04 02 - NASA - Expedition 27 Crew Prepares for Launch in Kazakhstan_naAoNekod9c - transcript (automated).pdf","Transcript Link")</f>
        <v>Transcript Link</v>
      </c>
      <c r="M4298" s="2" t="str">
        <f>HYPERLINK("https://files.afu.se/Downloads/Transcripts/0%20-%20Government/USA%20-%20NASA/2011 04 02 - NASA - Expedition 27 Crew Prepares for Launch in Kazakhstan_naAoNekod9c - transcript (automated).pdf","Transcript Link")</f>
        <v>Transcript Link</v>
      </c>
    </row>
    <row r="4299" ht="180" spans="1:13">
      <c r="A4299" s="1" t="s">
        <v>19202</v>
      </c>
      <c r="B4299" s="1" t="s">
        <v>13</v>
      </c>
      <c r="C4299" s="4" t="s">
        <v>19215</v>
      </c>
      <c r="D4299" s="1" t="s">
        <v>19216</v>
      </c>
      <c r="E4299" s="1" t="s">
        <v>19217</v>
      </c>
      <c r="F4299" s="4" t="s">
        <v>17</v>
      </c>
      <c r="G4299" s="1" t="s">
        <v>18</v>
      </c>
      <c r="H4299" s="1" t="s">
        <v>19</v>
      </c>
      <c r="I4299" s="1" t="s">
        <v>20</v>
      </c>
      <c r="J4299" s="1" t="s">
        <v>19218</v>
      </c>
      <c r="K4299" s="1" t="s">
        <v>22</v>
      </c>
      <c r="L4299" s="1" t="str">
        <f>HYPERLINK("https://files.afu.se/Downloads/Transcripts/0%20-%20Government/USA%20-%20NASA/2011 04 02 - NASA - Expedition 27 Crew Prepares for Launch as their Soyuz Spacecraft and Rocket are Mated_GuSC4J9vI0w - transcript (automated).pdf","Transcript Link")</f>
        <v>Transcript Link</v>
      </c>
      <c r="M4299" s="2" t="str">
        <f>HYPERLINK("https://files.afu.se/Downloads/Transcripts/0%20-%20Government/USA%20-%20NASA/2011 04 02 - NASA - Expedition 27 Crew Prepares for Launch as their Soyuz Spacecraft and Rocket are Mated_GuSC4J9vI0w - transcript (automated).pdf","Transcript Link")</f>
        <v>Transcript Link</v>
      </c>
    </row>
    <row r="4300" ht="165" spans="1:13">
      <c r="A4300" s="1" t="s">
        <v>19219</v>
      </c>
      <c r="B4300" s="1" t="s">
        <v>13</v>
      </c>
      <c r="C4300" s="4" t="s">
        <v>19220</v>
      </c>
      <c r="D4300" s="1" t="s">
        <v>19221</v>
      </c>
      <c r="E4300" s="1" t="s">
        <v>19222</v>
      </c>
      <c r="F4300" s="4" t="s">
        <v>17</v>
      </c>
      <c r="G4300" s="1" t="s">
        <v>18</v>
      </c>
      <c r="H4300" s="1" t="s">
        <v>19</v>
      </c>
      <c r="I4300" s="1" t="s">
        <v>20</v>
      </c>
      <c r="J4300" s="1" t="s">
        <v>19223</v>
      </c>
      <c r="K4300" s="1" t="s">
        <v>22</v>
      </c>
      <c r="L4300" s="1" t="str">
        <f>HYPERLINK("https://files.afu.se/Downloads/Transcripts/0%20-%20Government/USA%20-%20NASA/2011 04 01 - NASA - Shuttle-Based Spacewalks in Final Countdown_1o39Uvj1T0U - transcript (automated).pdf","Transcript Link")</f>
        <v>Transcript Link</v>
      </c>
      <c r="M4300" s="2" t="str">
        <f>HYPERLINK("https://files.afu.se/Downloads/Transcripts/0%20-%20Government/USA%20-%20NASA/2011 04 01 - NASA - Shuttle-Based Spacewalks in Final Countdown_1o39Uvj1T0U - transcript (automated).pdf","Transcript Link")</f>
        <v>Transcript Link</v>
      </c>
    </row>
    <row r="4301" ht="165" spans="1:13">
      <c r="A4301" s="1" t="s">
        <v>19224</v>
      </c>
      <c r="B4301" s="1" t="s">
        <v>13</v>
      </c>
      <c r="C4301" s="4" t="s">
        <v>19225</v>
      </c>
      <c r="D4301" s="1" t="s">
        <v>19226</v>
      </c>
      <c r="E4301" s="1" t="s">
        <v>19227</v>
      </c>
      <c r="F4301" s="4" t="s">
        <v>17</v>
      </c>
      <c r="G4301" s="1" t="s">
        <v>18</v>
      </c>
      <c r="H4301" s="1" t="s">
        <v>19</v>
      </c>
      <c r="I4301" s="1" t="s">
        <v>20</v>
      </c>
      <c r="J4301" s="1" t="s">
        <v>19228</v>
      </c>
      <c r="K4301" s="1" t="s">
        <v>22</v>
      </c>
      <c r="L4301" s="1" t="str">
        <f>HYPERLINK("https://files.afu.se/Downloads/Transcripts/0%20-%20Government/USA%20-%20NASA/2011 03 31 - NASA - Endeavour Crew Drives Tank to Safety_JLBA28Yq6oY - transcript (automated).pdf","Transcript Link")</f>
        <v>Transcript Link</v>
      </c>
      <c r="M4301" s="2" t="str">
        <f>HYPERLINK("https://files.afu.se/Downloads/Transcripts/0%20-%20Government/USA%20-%20NASA/2011 03 31 - NASA - Endeavour Crew Drives Tank to Safety_JLBA28Yq6oY - transcript (automated).pdf","Transcript Link")</f>
        <v>Transcript Link</v>
      </c>
    </row>
    <row r="4302" ht="165" spans="1:13">
      <c r="A4302" s="1" t="s">
        <v>19224</v>
      </c>
      <c r="B4302" s="1" t="s">
        <v>13</v>
      </c>
      <c r="C4302" s="4" t="s">
        <v>19229</v>
      </c>
      <c r="D4302" s="1" t="s">
        <v>19230</v>
      </c>
      <c r="F4302" s="4" t="s">
        <v>17</v>
      </c>
      <c r="G4302" s="1" t="s">
        <v>18</v>
      </c>
      <c r="H4302" s="1" t="s">
        <v>19</v>
      </c>
      <c r="I4302" s="1" t="s">
        <v>20</v>
      </c>
      <c r="J4302" s="1" t="s">
        <v>19231</v>
      </c>
      <c r="K4302" s="1" t="s">
        <v>22</v>
      </c>
      <c r="L4302" s="1" t="str">
        <f>HYPERLINK("https://files.afu.se/Downloads/Transcripts/0%20-%20Government/USA%20-%20NASA/2011 03 31 - NASA - Endeavour Crew Speaks with Media at NASA's Kennedy Space Center_Utx4FRj56WI - transcript (automated).pdf","Transcript Link")</f>
        <v>Transcript Link</v>
      </c>
      <c r="M4302" s="2" t="str">
        <f>HYPERLINK("https://files.afu.se/Downloads/Transcripts/0%20-%20Government/USA%20-%20NASA/2011 03 31 - NASA - Endeavour Crew Speaks with Media at NASA's Kennedy Space Center_Utx4FRj56WI - transcript (automated).pdf","Transcript Link")</f>
        <v>Transcript Link</v>
      </c>
    </row>
    <row r="4303" ht="180" spans="1:13">
      <c r="A4303" s="1" t="s">
        <v>19232</v>
      </c>
      <c r="B4303" s="1" t="s">
        <v>13</v>
      </c>
      <c r="C4303" s="4" t="s">
        <v>19233</v>
      </c>
      <c r="D4303" s="1" t="s">
        <v>19234</v>
      </c>
      <c r="E4303" s="1" t="s">
        <v>19235</v>
      </c>
      <c r="F4303" s="4" t="s">
        <v>17</v>
      </c>
      <c r="G4303" s="1" t="s">
        <v>18</v>
      </c>
      <c r="H4303" s="1" t="s">
        <v>19</v>
      </c>
      <c r="I4303" s="1" t="s">
        <v>20</v>
      </c>
      <c r="J4303" s="1" t="s">
        <v>19236</v>
      </c>
      <c r="K4303" s="1" t="s">
        <v>22</v>
      </c>
      <c r="L4303" s="1" t="str">
        <f>HYPERLINK("https://files.afu.se/Downloads/Transcripts/0%20-%20Government/USA%20-%20NASA/2011 03 30 - NASA - STS-134 Crew Practice Landing the Shuttle_skyEY0wstGk - transcript (automated).pdf","Transcript Link")</f>
        <v>Transcript Link</v>
      </c>
      <c r="M4303" s="2" t="str">
        <f>HYPERLINK("https://files.afu.se/Downloads/Transcripts/0%20-%20Government/USA%20-%20NASA/2011 03 30 - NASA - STS-134 Crew Practice Landing the Shuttle_skyEY0wstGk - transcript (automated).pdf","Transcript Link")</f>
        <v>Transcript Link</v>
      </c>
    </row>
    <row r="4304" ht="165" spans="1:13">
      <c r="A4304" s="1" t="s">
        <v>19232</v>
      </c>
      <c r="B4304" s="1" t="s">
        <v>13</v>
      </c>
      <c r="C4304" s="4" t="s">
        <v>19237</v>
      </c>
      <c r="D4304" s="1" t="s">
        <v>19238</v>
      </c>
      <c r="E4304" s="1" t="s">
        <v>19239</v>
      </c>
      <c r="F4304" s="4" t="s">
        <v>17</v>
      </c>
      <c r="G4304" s="1" t="s">
        <v>18</v>
      </c>
      <c r="H4304" s="1" t="s">
        <v>19</v>
      </c>
      <c r="I4304" s="1" t="s">
        <v>20</v>
      </c>
      <c r="J4304" s="1" t="s">
        <v>19240</v>
      </c>
      <c r="K4304" s="1" t="s">
        <v>22</v>
      </c>
      <c r="L4304" s="1" t="str">
        <f>HYPERLINK("https://files.afu.se/Downloads/Transcripts/0%20-%20Government/USA%20-%20NASA/2011 03 30 - NASA - MESSENGER Takes First Picture While in Mercury's Orbit_57Y7Qm-BoCw - transcript (automated).pdf","Transcript Link")</f>
        <v>Transcript Link</v>
      </c>
      <c r="M4304" s="2" t="str">
        <f>HYPERLINK("https://files.afu.se/Downloads/Transcripts/0%20-%20Government/USA%20-%20NASA/2011 03 30 - NASA - MESSENGER Takes First Picture While in Mercury's Orbit_57Y7Qm-BoCw - transcript (automated).pdf","Transcript Link")</f>
        <v>Transcript Link</v>
      </c>
    </row>
    <row r="4305" ht="165" spans="1:13">
      <c r="A4305" s="1" t="s">
        <v>19232</v>
      </c>
      <c r="B4305" s="1" t="s">
        <v>13</v>
      </c>
      <c r="C4305" s="4" t="s">
        <v>19241</v>
      </c>
      <c r="D4305" s="1" t="s">
        <v>19242</v>
      </c>
      <c r="E4305" s="1" t="s">
        <v>19243</v>
      </c>
      <c r="F4305" s="4" t="s">
        <v>17</v>
      </c>
      <c r="G4305" s="1" t="s">
        <v>18</v>
      </c>
      <c r="H4305" s="1" t="s">
        <v>19</v>
      </c>
      <c r="I4305" s="1" t="s">
        <v>20</v>
      </c>
      <c r="J4305" s="1" t="s">
        <v>19244</v>
      </c>
      <c r="K4305" s="1" t="s">
        <v>22</v>
      </c>
      <c r="L4305" s="1" t="str">
        <f>HYPERLINK("https://files.afu.se/Downloads/Transcripts/0%20-%20Government/USA%20-%20NASA/2011 03 30 - NASA - Reach for the Stars on This Week @NASA_I_l9cj9rRd8 - transcript (automated).pdf","Transcript Link")</f>
        <v>Transcript Link</v>
      </c>
      <c r="M4305" s="2" t="str">
        <f>HYPERLINK("https://files.afu.se/Downloads/Transcripts/0%20-%20Government/USA%20-%20NASA/2011 03 30 - NASA - Reach for the Stars on This Week @NASA_I_l9cj9rRd8 - transcript (automated).pdf","Transcript Link")</f>
        <v>Transcript Link</v>
      </c>
    </row>
    <row r="4306" ht="210" spans="1:13">
      <c r="A4306" s="1" t="s">
        <v>19232</v>
      </c>
      <c r="B4306" s="1" t="s">
        <v>13</v>
      </c>
      <c r="C4306" s="4" t="s">
        <v>19245</v>
      </c>
      <c r="D4306" s="1" t="s">
        <v>19246</v>
      </c>
      <c r="E4306" s="1" t="s">
        <v>19247</v>
      </c>
      <c r="F4306" s="4" t="s">
        <v>17</v>
      </c>
      <c r="G4306" s="1" t="s">
        <v>18</v>
      </c>
      <c r="H4306" s="1" t="s">
        <v>19</v>
      </c>
      <c r="I4306" s="1" t="s">
        <v>20</v>
      </c>
      <c r="J4306" s="1" t="s">
        <v>19248</v>
      </c>
      <c r="K4306" s="1" t="s">
        <v>22</v>
      </c>
      <c r="L4306" s="1" t="str">
        <f>HYPERLINK("https://files.afu.se/Downloads/Transcripts/0%20-%20Government/USA%20-%20NASA/2011 03 30 - NASA - Astronauts Discuss Fitness Challenge with Students_ix_ytEmoqis - transcript (automated).pdf","Transcript Link")</f>
        <v>Transcript Link</v>
      </c>
      <c r="M4306" s="2" t="str">
        <f>HYPERLINK("https://files.afu.se/Downloads/Transcripts/0%20-%20Government/USA%20-%20NASA/2011 03 30 - NASA - Astronauts Discuss Fitness Challenge with Students_ix_ytEmoqis - transcript (automated).pdf","Transcript Link")</f>
        <v>Transcript Link</v>
      </c>
    </row>
    <row r="4307" ht="180" spans="1:13">
      <c r="A4307" s="1" t="s">
        <v>19249</v>
      </c>
      <c r="B4307" s="1" t="s">
        <v>13</v>
      </c>
      <c r="C4307" s="4" t="s">
        <v>19250</v>
      </c>
      <c r="D4307" s="1" t="s">
        <v>19251</v>
      </c>
      <c r="E4307" s="1" t="s">
        <v>19252</v>
      </c>
      <c r="F4307" s="4" t="s">
        <v>17</v>
      </c>
      <c r="G4307" s="1" t="s">
        <v>18</v>
      </c>
      <c r="H4307" s="1" t="s">
        <v>19</v>
      </c>
      <c r="I4307" s="1" t="s">
        <v>20</v>
      </c>
      <c r="J4307" s="1" t="s">
        <v>19253</v>
      </c>
      <c r="K4307" s="1" t="s">
        <v>22</v>
      </c>
      <c r="L4307" s="1" t="str">
        <f>HYPERLINK("https://files.afu.se/Downloads/Transcripts/0%20-%20Government/USA%20-%20NASA/2011 03 29 - NASA - Shuttle Endeavour Crew at‪ KSC for Final Tests_xhZ8W1WJvJw - transcript (automated).pdf","Transcript Link")</f>
        <v>Transcript Link</v>
      </c>
      <c r="M4307" s="2" t="str">
        <f>HYPERLINK("https://files.afu.se/Downloads/Transcripts/0%20-%20Government/USA%20-%20NASA/2011 03 29 - NASA - Shuttle Endeavour Crew at‪ KSC for Final Tests_xhZ8W1WJvJw - transcript (automated).pdf","Transcript Link")</f>
        <v>Transcript Link</v>
      </c>
    </row>
    <row r="4308" ht="165" spans="1:13">
      <c r="A4308" s="1" t="s">
        <v>19249</v>
      </c>
      <c r="B4308" s="1" t="s">
        <v>13</v>
      </c>
      <c r="C4308" s="4" t="s">
        <v>19254</v>
      </c>
      <c r="D4308" s="1" t="s">
        <v>19255</v>
      </c>
      <c r="E4308" s="1" t="s">
        <v>19256</v>
      </c>
      <c r="F4308" s="4" t="s">
        <v>17</v>
      </c>
      <c r="G4308" s="1" t="s">
        <v>18</v>
      </c>
      <c r="H4308" s="1" t="s">
        <v>19</v>
      </c>
      <c r="I4308" s="1" t="s">
        <v>20</v>
      </c>
      <c r="J4308" s="1" t="s">
        <v>19257</v>
      </c>
      <c r="K4308" s="1" t="s">
        <v>22</v>
      </c>
      <c r="L4308" s="1" t="str">
        <f>HYPERLINK("https://files.afu.se/Downloads/Transcripts/0%20-%20Government/USA%20-%20NASA/2011 03 29 - NASA - Cady Chats with Mass. TV Station and Students_tlh63_sbDik - transcript (automated).pdf","Transcript Link")</f>
        <v>Transcript Link</v>
      </c>
      <c r="M4308" s="2" t="str">
        <f>HYPERLINK("https://files.afu.se/Downloads/Transcripts/0%20-%20Government/USA%20-%20NASA/2011 03 29 - NASA - Cady Chats with Mass. TV Station and Students_tlh63_sbDik - transcript (automated).pdf","Transcript Link")</f>
        <v>Transcript Link</v>
      </c>
    </row>
    <row r="4309" ht="165" spans="1:13">
      <c r="A4309" s="1" t="s">
        <v>19249</v>
      </c>
      <c r="B4309" s="1" t="s">
        <v>13</v>
      </c>
      <c r="C4309" s="4" t="s">
        <v>19258</v>
      </c>
      <c r="D4309" s="1" t="s">
        <v>19259</v>
      </c>
      <c r="E4309" s="1" t="s">
        <v>19260</v>
      </c>
      <c r="F4309" s="4" t="s">
        <v>17</v>
      </c>
      <c r="G4309" s="1" t="s">
        <v>18</v>
      </c>
      <c r="H4309" s="1" t="s">
        <v>19</v>
      </c>
      <c r="I4309" s="1" t="s">
        <v>20</v>
      </c>
      <c r="J4309" s="1" t="s">
        <v>19261</v>
      </c>
      <c r="K4309" s="1" t="s">
        <v>22</v>
      </c>
      <c r="L4309" s="1" t="str">
        <f>HYPERLINK("https://files.afu.se/Downloads/Transcripts/0%20-%20Government/USA%20-%20NASA/2011 03 29 - NASA -  Star Trek  Link Helped Lure Chamitoff to Space_1IPSlcZga8U - transcript (automated).pdf","Transcript Link")</f>
        <v>Transcript Link</v>
      </c>
      <c r="M4309" s="2" t="str">
        <f>HYPERLINK("https://files.afu.se/Downloads/Transcripts/0%20-%20Government/USA%20-%20NASA/2011 03 29 - NASA -  Star Trek  Link Helped Lure Chamitoff to Space_1IPSlcZga8U - transcript (automated).pdf","Transcript Link")</f>
        <v>Transcript Link</v>
      </c>
    </row>
    <row r="4310" ht="165" spans="1:13">
      <c r="A4310" s="1" t="s">
        <v>19262</v>
      </c>
      <c r="B4310" s="1" t="s">
        <v>13</v>
      </c>
      <c r="C4310" s="4" t="s">
        <v>19263</v>
      </c>
      <c r="D4310" s="1" t="s">
        <v>19264</v>
      </c>
      <c r="E4310" s="1" t="s">
        <v>19265</v>
      </c>
      <c r="F4310" s="4" t="s">
        <v>17</v>
      </c>
      <c r="G4310" s="1" t="s">
        <v>18</v>
      </c>
      <c r="H4310" s="1" t="s">
        <v>19</v>
      </c>
      <c r="I4310" s="1" t="s">
        <v>20</v>
      </c>
      <c r="J4310" s="1" t="s">
        <v>19266</v>
      </c>
      <c r="K4310" s="1" t="s">
        <v>22</v>
      </c>
      <c r="L4310" s="1" t="str">
        <f>HYPERLINK("https://files.afu.se/Downloads/Transcripts/0%20-%20Government/USA%20-%20NASA/2011 03 28 - NASA - Italian Astronaut Vittori From  Mars _qhTW36re1eU - transcript (automated).pdf","Transcript Link")</f>
        <v>Transcript Link</v>
      </c>
      <c r="M4310" s="2" t="str">
        <f>HYPERLINK("https://files.afu.se/Downloads/Transcripts/0%20-%20Government/USA%20-%20NASA/2011 03 28 - NASA - Italian Astronaut Vittori From  Mars _qhTW36re1eU - transcript (automated).pdf","Transcript Link")</f>
        <v>Transcript Link</v>
      </c>
    </row>
    <row r="4311" ht="165" spans="1:13">
      <c r="A4311" s="1" t="s">
        <v>19262</v>
      </c>
      <c r="B4311" s="1" t="s">
        <v>13</v>
      </c>
      <c r="C4311" s="4" t="s">
        <v>19267</v>
      </c>
      <c r="D4311" s="1" t="s">
        <v>19268</v>
      </c>
      <c r="E4311" s="1" t="s">
        <v>19269</v>
      </c>
      <c r="F4311" s="4" t="s">
        <v>17</v>
      </c>
      <c r="G4311" s="1" t="s">
        <v>18</v>
      </c>
      <c r="H4311" s="1" t="s">
        <v>19</v>
      </c>
      <c r="I4311" s="1" t="s">
        <v>20</v>
      </c>
      <c r="J4311" s="1" t="s">
        <v>19270</v>
      </c>
      <c r="K4311" s="1" t="s">
        <v>22</v>
      </c>
      <c r="L4311" s="1" t="str">
        <f>HYPERLINK("https://files.afu.se/Downloads/Transcripts/0%20-%20Government/USA%20-%20NASA/2011 03 28 - NASA - Feustel's Background Makes Spacewalking Easier_V7O42TKb2DY - transcript (automated).pdf","Transcript Link")</f>
        <v>Transcript Link</v>
      </c>
      <c r="M4311" s="2" t="str">
        <f>HYPERLINK("https://files.afu.se/Downloads/Transcripts/0%20-%20Government/USA%20-%20NASA/2011 03 28 - NASA - Feustel's Background Makes Spacewalking Easier_V7O42TKb2DY - transcript (automated).pdf","Transcript Link")</f>
        <v>Transcript Link</v>
      </c>
    </row>
    <row r="4312" ht="165" spans="1:13">
      <c r="A4312" s="1" t="s">
        <v>19262</v>
      </c>
      <c r="B4312" s="1" t="s">
        <v>13</v>
      </c>
      <c r="C4312" s="4" t="s">
        <v>19271</v>
      </c>
      <c r="D4312" s="1" t="s">
        <v>19272</v>
      </c>
      <c r="E4312" s="1" t="s">
        <v>19273</v>
      </c>
      <c r="F4312" s="4" t="s">
        <v>17</v>
      </c>
      <c r="G4312" s="1" t="s">
        <v>18</v>
      </c>
      <c r="H4312" s="1" t="s">
        <v>19</v>
      </c>
      <c r="I4312" s="1" t="s">
        <v>20</v>
      </c>
      <c r="J4312" s="1" t="s">
        <v>19274</v>
      </c>
      <c r="K4312" s="1" t="s">
        <v>22</v>
      </c>
      <c r="L4312" s="1" t="str">
        <f>HYPERLINK("https://files.afu.se/Downloads/Transcripts/0%20-%20Government/USA%20-%20NASA/2011 03 28 - NASA - Education a Key Career Factor for Fincke_67qEPYJ45sI - transcript (automated).pdf","Transcript Link")</f>
        <v>Transcript Link</v>
      </c>
      <c r="M4312" s="2" t="str">
        <f>HYPERLINK("https://files.afu.se/Downloads/Transcripts/0%20-%20Government/USA%20-%20NASA/2011 03 28 - NASA - Education a Key Career Factor for Fincke_67qEPYJ45sI - transcript (automated).pdf","Transcript Link")</f>
        <v>Transcript Link</v>
      </c>
    </row>
    <row r="4313" ht="165" spans="1:13">
      <c r="A4313" s="1" t="s">
        <v>19275</v>
      </c>
      <c r="B4313" s="1" t="s">
        <v>13</v>
      </c>
      <c r="C4313" s="4" t="s">
        <v>19276</v>
      </c>
      <c r="D4313" s="1" t="s">
        <v>19277</v>
      </c>
      <c r="E4313" s="1" t="s">
        <v>19278</v>
      </c>
      <c r="F4313" s="4" t="s">
        <v>17</v>
      </c>
      <c r="G4313" s="1" t="s">
        <v>18</v>
      </c>
      <c r="H4313" s="1" t="s">
        <v>19</v>
      </c>
      <c r="I4313" s="1" t="s">
        <v>20</v>
      </c>
      <c r="J4313" s="1" t="s">
        <v>19279</v>
      </c>
      <c r="K4313" s="1" t="s">
        <v>22</v>
      </c>
      <c r="L4313" s="1" t="str">
        <f>HYPERLINK("https://files.afu.se/Downloads/Transcripts/0%20-%20Government/USA%20-%20NASA/2011 03 25 - NASA - Endeavour Pilot Johnson Inspired by Apollo 11_3fH3FUwGZRk - transcript (automated).pdf","Transcript Link")</f>
        <v>Transcript Link</v>
      </c>
      <c r="M4313" s="2" t="str">
        <f>HYPERLINK("https://files.afu.se/Downloads/Transcripts/0%20-%20Government/USA%20-%20NASA/2011 03 25 - NASA - Endeavour Pilot Johnson Inspired by Apollo 11_3fH3FUwGZRk - transcript (automated).pdf","Transcript Link")</f>
        <v>Transcript Link</v>
      </c>
    </row>
    <row r="4314" ht="165" spans="1:13">
      <c r="A4314" s="1" t="s">
        <v>19275</v>
      </c>
      <c r="B4314" s="1" t="s">
        <v>13</v>
      </c>
      <c r="C4314" s="4" t="s">
        <v>19280</v>
      </c>
      <c r="D4314" s="1" t="s">
        <v>19242</v>
      </c>
      <c r="E4314" s="1" t="s">
        <v>19243</v>
      </c>
      <c r="F4314" s="4" t="s">
        <v>17</v>
      </c>
      <c r="G4314" s="1" t="s">
        <v>18</v>
      </c>
      <c r="H4314" s="1" t="s">
        <v>19</v>
      </c>
      <c r="I4314" s="1" t="s">
        <v>20</v>
      </c>
      <c r="J4314" s="1" t="s">
        <v>19281</v>
      </c>
      <c r="K4314" s="1" t="s">
        <v>22</v>
      </c>
      <c r="L4314" s="1" t="str">
        <f>HYPERLINK("https://files.afu.se/Downloads/Transcripts/0%20-%20Government/USA%20-%20NASA/2011 03 25 - NASA - Reach for the Stars on This Week @NASA_MOC__iCwNRs - transcript (automated).pdf","Transcript Link")</f>
        <v>Transcript Link</v>
      </c>
      <c r="M4314" s="2" t="str">
        <f>HYPERLINK("https://files.afu.se/Downloads/Transcripts/0%20-%20Government/USA%20-%20NASA/2011 03 25 - NASA - Reach for the Stars on This Week @NASA_MOC__iCwNRs - transcript (automated).pdf","Transcript Link")</f>
        <v>Transcript Link</v>
      </c>
    </row>
    <row r="4315" ht="165" spans="1:13">
      <c r="A4315" s="1" t="s">
        <v>19275</v>
      </c>
      <c r="B4315" s="1" t="s">
        <v>13</v>
      </c>
      <c r="C4315" s="4" t="s">
        <v>19282</v>
      </c>
      <c r="D4315" s="1" t="s">
        <v>19283</v>
      </c>
      <c r="E4315" s="1" t="s">
        <v>19284</v>
      </c>
      <c r="F4315" s="4" t="s">
        <v>17</v>
      </c>
      <c r="G4315" s="1" t="s">
        <v>18</v>
      </c>
      <c r="H4315" s="1" t="s">
        <v>19</v>
      </c>
      <c r="I4315" s="1" t="s">
        <v>20</v>
      </c>
      <c r="J4315" s="1" t="s">
        <v>19285</v>
      </c>
      <c r="K4315" s="1" t="s">
        <v>22</v>
      </c>
      <c r="L4315" s="1" t="str">
        <f>HYPERLINK("https://files.afu.se/Downloads/Transcripts/0%20-%20Government/USA%20-%20NASA/2011 03 25 - NASA - Kelly Notes Shuttle's Place in History_XmpSHx79Q_E - transcript (automated).pdf","Transcript Link")</f>
        <v>Transcript Link</v>
      </c>
      <c r="M4315" s="2" t="str">
        <f>HYPERLINK("https://files.afu.se/Downloads/Transcripts/0%20-%20Government/USA%20-%20NASA/2011 03 25 - NASA - Kelly Notes Shuttle's Place in History_XmpSHx79Q_E - transcript (automated).pdf","Transcript Link")</f>
        <v>Transcript Link</v>
      </c>
    </row>
    <row r="4316" ht="165" spans="1:13">
      <c r="A4316" s="1" t="s">
        <v>19286</v>
      </c>
      <c r="B4316" s="1" t="s">
        <v>13</v>
      </c>
      <c r="C4316" s="4" t="s">
        <v>19287</v>
      </c>
      <c r="D4316" s="1" t="s">
        <v>19288</v>
      </c>
      <c r="E4316" s="1" t="s">
        <v>19289</v>
      </c>
      <c r="F4316" s="4" t="s">
        <v>17</v>
      </c>
      <c r="G4316" s="1" t="s">
        <v>18</v>
      </c>
      <c r="H4316" s="1" t="s">
        <v>19</v>
      </c>
      <c r="I4316" s="1" t="s">
        <v>20</v>
      </c>
      <c r="J4316" s="1" t="s">
        <v>19290</v>
      </c>
      <c r="K4316" s="1" t="s">
        <v>22</v>
      </c>
      <c r="L4316" s="1" t="str">
        <f>HYPERLINK("https://files.afu.se/Downloads/Transcripts/0%20-%20Government/USA%20-%20NASA/2011 03 24 - NASA - STS-134 Crew Holds Pre-flight News Conference_RnG7SWZ6Kzs - transcript (automated).pdf","Transcript Link")</f>
        <v>Transcript Link</v>
      </c>
      <c r="M4316" s="2" t="str">
        <f>HYPERLINK("https://files.afu.se/Downloads/Transcripts/0%20-%20Government/USA%20-%20NASA/2011 03 24 - NASA - STS-134 Crew Holds Pre-flight News Conference_RnG7SWZ6Kzs - transcript (automated).pdf","Transcript Link")</f>
        <v>Transcript Link</v>
      </c>
    </row>
    <row r="4317" ht="165" spans="1:13">
      <c r="A4317" s="1" t="s">
        <v>19286</v>
      </c>
      <c r="B4317" s="1" t="s">
        <v>13</v>
      </c>
      <c r="C4317" s="4" t="s">
        <v>19291</v>
      </c>
      <c r="D4317" s="1" t="s">
        <v>19292</v>
      </c>
      <c r="E4317" s="1" t="s">
        <v>19293</v>
      </c>
      <c r="F4317" s="4" t="s">
        <v>17</v>
      </c>
      <c r="G4317" s="1" t="s">
        <v>18</v>
      </c>
      <c r="H4317" s="1" t="s">
        <v>19</v>
      </c>
      <c r="I4317" s="1" t="s">
        <v>20</v>
      </c>
      <c r="J4317" s="1" t="s">
        <v>19294</v>
      </c>
      <c r="K4317" s="1" t="s">
        <v>22</v>
      </c>
      <c r="L4317" s="1" t="str">
        <f>HYPERLINK("https://files.afu.se/Downloads/Transcripts/0%20-%20Government/USA%20-%20NASA/2011 03 24 - NASA - Four Spacewalks Scheduled for Endeavour's Final Mission_4I4CXm08e5M - transcript (automated).pdf","Transcript Link")</f>
        <v>Transcript Link</v>
      </c>
      <c r="M4317" s="2" t="str">
        <f>HYPERLINK("https://files.afu.se/Downloads/Transcripts/0%20-%20Government/USA%20-%20NASA/2011 03 24 - NASA - Four Spacewalks Scheduled for Endeavour's Final Mission_4I4CXm08e5M - transcript (automated).pdf","Transcript Link")</f>
        <v>Transcript Link</v>
      </c>
    </row>
    <row r="4318" ht="165" spans="1:13">
      <c r="A4318" s="1" t="s">
        <v>19286</v>
      </c>
      <c r="B4318" s="1" t="s">
        <v>13</v>
      </c>
      <c r="C4318" s="4" t="s">
        <v>19295</v>
      </c>
      <c r="D4318" s="1" t="s">
        <v>19296</v>
      </c>
      <c r="E4318" s="1" t="s">
        <v>19297</v>
      </c>
      <c r="F4318" s="4" t="s">
        <v>17</v>
      </c>
      <c r="G4318" s="1" t="s">
        <v>18</v>
      </c>
      <c r="H4318" s="1" t="s">
        <v>19</v>
      </c>
      <c r="I4318" s="1" t="s">
        <v>20</v>
      </c>
      <c r="J4318" s="1" t="s">
        <v>19298</v>
      </c>
      <c r="K4318" s="1" t="s">
        <v>22</v>
      </c>
      <c r="L4318" s="1" t="str">
        <f>HYPERLINK("https://files.afu.se/Downloads/Transcripts/0%20-%20Government/USA%20-%20NASA/2011 03 24 - NASA - Media Updated on Space Shuttle Program_alO7-jncI_A - transcript (automated).pdf","Transcript Link")</f>
        <v>Transcript Link</v>
      </c>
      <c r="M4318" s="2" t="str">
        <f>HYPERLINK("https://files.afu.se/Downloads/Transcripts/0%20-%20Government/USA%20-%20NASA/2011 03 24 - NASA - Media Updated on Space Shuttle Program_alO7-jncI_A - transcript (automated).pdf","Transcript Link")</f>
        <v>Transcript Link</v>
      </c>
    </row>
    <row r="4319" ht="165" spans="1:13">
      <c r="A4319" s="1" t="s">
        <v>19286</v>
      </c>
      <c r="B4319" s="1" t="s">
        <v>13</v>
      </c>
      <c r="C4319" s="4" t="s">
        <v>19299</v>
      </c>
      <c r="D4319" s="1" t="s">
        <v>19300</v>
      </c>
      <c r="E4319" s="1" t="s">
        <v>19301</v>
      </c>
      <c r="F4319" s="4" t="s">
        <v>17</v>
      </c>
      <c r="G4319" s="1" t="s">
        <v>18</v>
      </c>
      <c r="H4319" s="1" t="s">
        <v>19</v>
      </c>
      <c r="I4319" s="1" t="s">
        <v>20</v>
      </c>
      <c r="J4319" s="1" t="s">
        <v>19302</v>
      </c>
      <c r="K4319" s="1" t="s">
        <v>22</v>
      </c>
      <c r="L4319" s="1" t="str">
        <f>HYPERLINK("https://files.afu.se/Downloads/Transcripts/0%20-%20Government/USA%20-%20NASA/2011 03 24 - NASA - Media Briefed on STS-134 Mission_UZy08F-gsqU - transcript (automated).pdf","Transcript Link")</f>
        <v>Transcript Link</v>
      </c>
      <c r="M4319" s="2" t="str">
        <f>HYPERLINK("https://files.afu.se/Downloads/Transcripts/0%20-%20Government/USA%20-%20NASA/2011 03 24 - NASA - Media Briefed on STS-134 Mission_UZy08F-gsqU - transcript (automated).pdf","Transcript Link")</f>
        <v>Transcript Link</v>
      </c>
    </row>
    <row r="4320" ht="165" spans="1:13">
      <c r="A4320" s="1" t="s">
        <v>19286</v>
      </c>
      <c r="B4320" s="1" t="s">
        <v>13</v>
      </c>
      <c r="C4320" s="4" t="s">
        <v>19303</v>
      </c>
      <c r="D4320" s="1" t="s">
        <v>19304</v>
      </c>
      <c r="E4320" s="1" t="s">
        <v>19305</v>
      </c>
      <c r="F4320" s="4" t="s">
        <v>17</v>
      </c>
      <c r="G4320" s="1" t="s">
        <v>18</v>
      </c>
      <c r="H4320" s="1" t="s">
        <v>19</v>
      </c>
      <c r="I4320" s="1" t="s">
        <v>20</v>
      </c>
      <c r="J4320" s="1" t="s">
        <v>19306</v>
      </c>
      <c r="K4320" s="1" t="s">
        <v>22</v>
      </c>
      <c r="L4320" s="1" t="str">
        <f>HYPERLINK("https://files.afu.se/Downloads/Transcripts/0%20-%20Government/USA%20-%20NASA/2011 03 24 - NASA - Discovery Processed for Public Display_k1gZXt0CHHU - transcript (automated).pdf","Transcript Link")</f>
        <v>Transcript Link</v>
      </c>
      <c r="M4320" s="2" t="str">
        <f>HYPERLINK("https://files.afu.se/Downloads/Transcripts/0%20-%20Government/USA%20-%20NASA/2011 03 24 - NASA - Discovery Processed for Public Display_k1gZXt0CHHU - transcript (automated).pdf","Transcript Link")</f>
        <v>Transcript Link</v>
      </c>
    </row>
    <row r="4321" ht="165" spans="1:13">
      <c r="A4321" s="1" t="s">
        <v>19286</v>
      </c>
      <c r="B4321" s="1" t="s">
        <v>13</v>
      </c>
      <c r="C4321" s="4" t="s">
        <v>19307</v>
      </c>
      <c r="D4321" s="1" t="s">
        <v>19308</v>
      </c>
      <c r="E4321" s="1" t="s">
        <v>19309</v>
      </c>
      <c r="F4321" s="4" t="s">
        <v>17</v>
      </c>
      <c r="G4321" s="1" t="s">
        <v>18</v>
      </c>
      <c r="H4321" s="1" t="s">
        <v>19</v>
      </c>
      <c r="I4321" s="1" t="s">
        <v>20</v>
      </c>
      <c r="J4321" s="1" t="s">
        <v>19310</v>
      </c>
      <c r="K4321" s="1" t="s">
        <v>22</v>
      </c>
      <c r="L4321" s="1" t="str">
        <f>HYPERLINK("https://files.afu.se/Downloads/Transcripts/0%20-%20Government/USA%20-%20NASA/2011 03 24 - NASA - Briefing Highlights  Upcoming  ISS Experiment_MxPnAMLDmKY - transcript (automated).pdf","Transcript Link")</f>
        <v>Transcript Link</v>
      </c>
      <c r="M4321" s="2" t="str">
        <f>HYPERLINK("https://files.afu.se/Downloads/Transcripts/0%20-%20Government/USA%20-%20NASA/2011 03 24 - NASA - Briefing Highlights  Upcoming  ISS Experiment_MxPnAMLDmKY - transcript (automated).pdf","Transcript Link")</f>
        <v>Transcript Link</v>
      </c>
    </row>
    <row r="4322" ht="165" spans="1:13">
      <c r="A4322" s="1" t="s">
        <v>19311</v>
      </c>
      <c r="B4322" s="1" t="s">
        <v>13</v>
      </c>
      <c r="C4322" s="4" t="s">
        <v>19312</v>
      </c>
      <c r="D4322" s="1" t="s">
        <v>19313</v>
      </c>
      <c r="E4322" s="1" t="s">
        <v>19314</v>
      </c>
      <c r="F4322" s="4" t="s">
        <v>17</v>
      </c>
      <c r="G4322" s="1" t="s">
        <v>18</v>
      </c>
      <c r="H4322" s="1" t="s">
        <v>19</v>
      </c>
      <c r="I4322" s="1" t="s">
        <v>20</v>
      </c>
      <c r="J4322" s="1" t="s">
        <v>19315</v>
      </c>
      <c r="K4322" s="1" t="s">
        <v>22</v>
      </c>
      <c r="L4322" s="1" t="str">
        <f>HYPERLINK("https://files.afu.se/Downloads/Transcripts/0%20-%20Government/USA%20-%20NASA/2011 03 23 - NASA - NASA Research  Digs  for Domestic Air Safety_Xi3rc9n_-kY - transcript (automated).pdf","Transcript Link")</f>
        <v>Transcript Link</v>
      </c>
      <c r="M4322" s="2" t="str">
        <f>HYPERLINK("https://files.afu.se/Downloads/Transcripts/0%20-%20Government/USA%20-%20NASA/2011 03 23 - NASA - NASA Research  Digs  for Domestic Air Safety_Xi3rc9n_-kY - transcript (automated).pdf","Transcript Link")</f>
        <v>Transcript Link</v>
      </c>
    </row>
    <row r="4323" ht="165" spans="1:13">
      <c r="A4323" s="1" t="s">
        <v>19316</v>
      </c>
      <c r="B4323" s="1" t="s">
        <v>13</v>
      </c>
      <c r="C4323" s="4" t="s">
        <v>19317</v>
      </c>
      <c r="D4323" s="1" t="s">
        <v>19318</v>
      </c>
      <c r="E4323" s="1" t="s">
        <v>19319</v>
      </c>
      <c r="F4323" s="4" t="s">
        <v>17</v>
      </c>
      <c r="G4323" s="1" t="s">
        <v>18</v>
      </c>
      <c r="H4323" s="1" t="s">
        <v>19</v>
      </c>
      <c r="I4323" s="1" t="s">
        <v>20</v>
      </c>
      <c r="J4323" s="1" t="s">
        <v>19320</v>
      </c>
      <c r="K4323" s="1" t="s">
        <v>22</v>
      </c>
      <c r="L4323" s="1" t="str">
        <f>HYPERLINK("https://files.afu.se/Downloads/Transcripts/0%20-%20Government/USA%20-%20NASA/2011 03 22 - NASA - Payload to Pad for Next Shuttle Launch_uwIUF1V1Rv4 - transcript (automated).pdf","Transcript Link")</f>
        <v>Transcript Link</v>
      </c>
      <c r="M4323" s="2" t="str">
        <f>HYPERLINK("https://files.afu.se/Downloads/Transcripts/0%20-%20Government/USA%20-%20NASA/2011 03 22 - NASA - Payload to Pad for Next Shuttle Launch_uwIUF1V1Rv4 - transcript (automated).pdf","Transcript Link")</f>
        <v>Transcript Link</v>
      </c>
    </row>
    <row r="4324" ht="165" spans="1:13">
      <c r="A4324" s="1" t="s">
        <v>19316</v>
      </c>
      <c r="B4324" s="1" t="s">
        <v>13</v>
      </c>
      <c r="C4324" s="4" t="s">
        <v>19321</v>
      </c>
      <c r="D4324" s="1" t="s">
        <v>19322</v>
      </c>
      <c r="E4324" s="1" t="s">
        <v>19323</v>
      </c>
      <c r="F4324" s="4" t="s">
        <v>17</v>
      </c>
      <c r="G4324" s="1" t="s">
        <v>18</v>
      </c>
      <c r="H4324" s="1" t="s">
        <v>19</v>
      </c>
      <c r="I4324" s="1" t="s">
        <v>20</v>
      </c>
      <c r="J4324" s="1" t="s">
        <v>19324</v>
      </c>
      <c r="K4324" s="1" t="s">
        <v>22</v>
      </c>
      <c r="L4324" s="1" t="str">
        <f>HYPERLINK("https://files.afu.se/Downloads/Transcripts/0%20-%20Government/USA%20-%20NASA/2011 03 22 - NASA - Cady Talks with NYC Students at Women's Academy of Excellence_KzaWX8uuyUI - transcript (automated).pdf","Transcript Link")</f>
        <v>Transcript Link</v>
      </c>
      <c r="M4324" s="2" t="str">
        <f>HYPERLINK("https://files.afu.se/Downloads/Transcripts/0%20-%20Government/USA%20-%20NASA/2011 03 22 - NASA - Cady Talks with NYC Students at Women's Academy of Excellence_KzaWX8uuyUI - transcript (automated).pdf","Transcript Link")</f>
        <v>Transcript Link</v>
      </c>
    </row>
    <row r="4325" ht="165" spans="1:13">
      <c r="A4325" s="1" t="s">
        <v>19325</v>
      </c>
      <c r="B4325" s="1" t="s">
        <v>13</v>
      </c>
      <c r="C4325" s="4" t="s">
        <v>19326</v>
      </c>
      <c r="D4325" s="1" t="s">
        <v>19327</v>
      </c>
      <c r="E4325" s="1" t="s">
        <v>19328</v>
      </c>
      <c r="F4325" s="4" t="s">
        <v>17</v>
      </c>
      <c r="G4325" s="1" t="s">
        <v>18</v>
      </c>
      <c r="H4325" s="1" t="s">
        <v>19</v>
      </c>
      <c r="I4325" s="1" t="s">
        <v>20</v>
      </c>
      <c r="J4325" s="1" t="s">
        <v>19329</v>
      </c>
      <c r="K4325" s="1" t="s">
        <v>22</v>
      </c>
      <c r="L4325" s="1" t="str">
        <f>HYPERLINK("https://files.afu.se/Downloads/Transcripts/0%20-%20Government/USA%20-%20NASA/2011 03 21 - NASA - Next ISS Crew Members Off to Kazakhstan_cawIs_rKaeI - transcript (automated).pdf","Transcript Link")</f>
        <v>Transcript Link</v>
      </c>
      <c r="M4325" s="2" t="str">
        <f>HYPERLINK("https://files.afu.se/Downloads/Transcripts/0%20-%20Government/USA%20-%20NASA/2011 03 21 - NASA - Next ISS Crew Members Off to Kazakhstan_cawIs_rKaeI - transcript (automated).pdf","Transcript Link")</f>
        <v>Transcript Link</v>
      </c>
    </row>
    <row r="4326" ht="165" spans="1:13">
      <c r="A4326" s="1" t="s">
        <v>19325</v>
      </c>
      <c r="B4326" s="1" t="s">
        <v>13</v>
      </c>
      <c r="C4326" s="4" t="s">
        <v>19330</v>
      </c>
      <c r="D4326" s="1" t="s">
        <v>19331</v>
      </c>
      <c r="E4326" s="1" t="s">
        <v>19332</v>
      </c>
      <c r="F4326" s="4" t="s">
        <v>17</v>
      </c>
      <c r="G4326" s="1" t="s">
        <v>18</v>
      </c>
      <c r="H4326" s="1" t="s">
        <v>19</v>
      </c>
      <c r="I4326" s="1" t="s">
        <v>20</v>
      </c>
      <c r="J4326" s="1" t="s">
        <v>19333</v>
      </c>
      <c r="K4326" s="1" t="s">
        <v>22</v>
      </c>
      <c r="L4326" s="1" t="str">
        <f>HYPERLINK("https://files.afu.se/Downloads/Transcripts/0%20-%20Government/USA%20-%20NASA/2011 03 21 - NASA - Station's Expedition 28 Crew Meets Media_CSN7bhw3mXE - transcript (automated).pdf","Transcript Link")</f>
        <v>Transcript Link</v>
      </c>
      <c r="M4326" s="2" t="str">
        <f>HYPERLINK("https://files.afu.se/Downloads/Transcripts/0%20-%20Government/USA%20-%20NASA/2011 03 21 - NASA - Station's Expedition 28 Crew Meets Media_CSN7bhw3mXE - transcript (automated).pdf","Transcript Link")</f>
        <v>Transcript Link</v>
      </c>
    </row>
    <row r="4327" ht="165" spans="1:13">
      <c r="A4327" s="1" t="s">
        <v>19325</v>
      </c>
      <c r="B4327" s="1" t="s">
        <v>13</v>
      </c>
      <c r="C4327" s="4" t="s">
        <v>19334</v>
      </c>
      <c r="D4327" s="1" t="s">
        <v>19335</v>
      </c>
      <c r="E4327" s="1" t="s">
        <v>19336</v>
      </c>
      <c r="F4327" s="4" t="s">
        <v>17</v>
      </c>
      <c r="G4327" s="1" t="s">
        <v>18</v>
      </c>
      <c r="H4327" s="1" t="s">
        <v>19</v>
      </c>
      <c r="I4327" s="1" t="s">
        <v>20</v>
      </c>
      <c r="J4327" s="1" t="s">
        <v>19337</v>
      </c>
      <c r="K4327" s="1" t="s">
        <v>22</v>
      </c>
      <c r="L4327" s="1" t="str">
        <f>HYPERLINK("https://files.afu.se/Downloads/Transcripts/0%20-%20Government/USA%20-%20NASA/2011 03 21 - NASA - On This Week @NASA..._oEnr13WLdl0 - transcript (automated).pdf","Transcript Link")</f>
        <v>Transcript Link</v>
      </c>
      <c r="M4327" s="2" t="str">
        <f>HYPERLINK("https://files.afu.se/Downloads/Transcripts/0%20-%20Government/USA%20-%20NASA/2011 03 21 - NASA - On This Week @NASA..._oEnr13WLdl0 - transcript (automated).pdf","Transcript Link")</f>
        <v>Transcript Link</v>
      </c>
    </row>
    <row r="4328" ht="165" spans="1:13">
      <c r="A4328" s="1" t="s">
        <v>19325</v>
      </c>
      <c r="B4328" s="1" t="s">
        <v>13</v>
      </c>
      <c r="C4328" s="4" t="s">
        <v>19338</v>
      </c>
      <c r="D4328" s="1" t="s">
        <v>19339</v>
      </c>
      <c r="E4328" s="1" t="s">
        <v>19340</v>
      </c>
      <c r="F4328" s="4" t="s">
        <v>17</v>
      </c>
      <c r="G4328" s="1" t="s">
        <v>18</v>
      </c>
      <c r="H4328" s="1" t="s">
        <v>19</v>
      </c>
      <c r="I4328" s="1" t="s">
        <v>20</v>
      </c>
      <c r="J4328" s="1" t="s">
        <v>19341</v>
      </c>
      <c r="K4328" s="1" t="s">
        <v>22</v>
      </c>
      <c r="L4328" s="1" t="str">
        <f>HYPERLINK("https://files.afu.se/Downloads/Transcripts/0%20-%20Government/USA%20-%20NASA/2011 03 21 - NASA - Historic Shuttle Photo  Taken  by Kennedy Employees_KmFUo0CEEOE - transcript (automated).pdf","Transcript Link")</f>
        <v>Transcript Link</v>
      </c>
      <c r="M4328" s="2" t="str">
        <f>HYPERLINK("https://files.afu.se/Downloads/Transcripts/0%20-%20Government/USA%20-%20NASA/2011 03 21 - NASA - Historic Shuttle Photo  Taken  by Kennedy Employees_KmFUo0CEEOE - transcript (automated).pdf","Transcript Link")</f>
        <v>Transcript Link</v>
      </c>
    </row>
    <row r="4329" ht="165" spans="1:13">
      <c r="A4329" s="1" t="s">
        <v>19342</v>
      </c>
      <c r="B4329" s="1" t="s">
        <v>13</v>
      </c>
      <c r="C4329" s="4" t="s">
        <v>19343</v>
      </c>
      <c r="D4329" s="1" t="s">
        <v>19344</v>
      </c>
      <c r="E4329" s="1" t="s">
        <v>19336</v>
      </c>
      <c r="F4329" s="4" t="s">
        <v>17</v>
      </c>
      <c r="G4329" s="1" t="s">
        <v>18</v>
      </c>
      <c r="H4329" s="1" t="s">
        <v>19</v>
      </c>
      <c r="I4329" s="1" t="s">
        <v>20</v>
      </c>
      <c r="J4329" s="1" t="s">
        <v>19345</v>
      </c>
      <c r="K4329" s="1" t="s">
        <v>22</v>
      </c>
      <c r="L4329" s="1" t="str">
        <f>HYPERLINK("https://files.afu.se/Downloads/Transcripts/0%20-%20Government/USA%20-%20NASA/2011 03 18 - NASA - On This Week @ NASA..._DGAPt_HOUls - transcript (automated).pdf","Transcript Link")</f>
        <v>Transcript Link</v>
      </c>
      <c r="M4329" s="2" t="str">
        <f>HYPERLINK("https://files.afu.se/Downloads/Transcripts/0%20-%20Government/USA%20-%20NASA/2011 03 18 - NASA - On This Week @ NASA..._DGAPt_HOUls - transcript (automated).pdf","Transcript Link")</f>
        <v>Transcript Link</v>
      </c>
    </row>
    <row r="4330" ht="180" spans="1:13">
      <c r="A4330" s="1" t="s">
        <v>19342</v>
      </c>
      <c r="B4330" s="1" t="s">
        <v>13</v>
      </c>
      <c r="C4330" s="4" t="s">
        <v>19346</v>
      </c>
      <c r="D4330" s="1" t="s">
        <v>19347</v>
      </c>
      <c r="E4330" s="1" t="s">
        <v>19348</v>
      </c>
      <c r="F4330" s="4" t="s">
        <v>17</v>
      </c>
      <c r="G4330" s="1" t="s">
        <v>18</v>
      </c>
      <c r="H4330" s="1" t="s">
        <v>19</v>
      </c>
      <c r="I4330" s="1" t="s">
        <v>20</v>
      </c>
      <c r="J4330" s="1" t="s">
        <v>19349</v>
      </c>
      <c r="K4330" s="1" t="s">
        <v>22</v>
      </c>
      <c r="L4330" s="1" t="str">
        <f>HYPERLINK("https://files.afu.se/Downloads/Transcripts/0%20-%20Government/USA%20-%20NASA/2011 03 18 - NASA - Shuttle's Boosters Recovered in HD_Gbtulv0mnlU - transcript (automated).pdf","Transcript Link")</f>
        <v>Transcript Link</v>
      </c>
      <c r="M4330" s="2" t="str">
        <f>HYPERLINK("https://files.afu.se/Downloads/Transcripts/0%20-%20Government/USA%20-%20NASA/2011 03 18 - NASA - Shuttle's Boosters Recovered in HD_Gbtulv0mnlU - transcript (automated).pdf","Transcript Link")</f>
        <v>Transcript Link</v>
      </c>
    </row>
    <row r="4331" ht="165" spans="1:13">
      <c r="A4331" s="1" t="s">
        <v>19342</v>
      </c>
      <c r="B4331" s="1" t="s">
        <v>13</v>
      </c>
      <c r="C4331" s="4" t="s">
        <v>19350</v>
      </c>
      <c r="D4331" s="1" t="s">
        <v>19351</v>
      </c>
      <c r="E4331" s="1" t="s">
        <v>19352</v>
      </c>
      <c r="F4331" s="4" t="s">
        <v>17</v>
      </c>
      <c r="G4331" s="1" t="s">
        <v>18</v>
      </c>
      <c r="H4331" s="1" t="s">
        <v>19</v>
      </c>
      <c r="I4331" s="1" t="s">
        <v>20</v>
      </c>
      <c r="J4331" s="1" t="s">
        <v>19353</v>
      </c>
      <c r="K4331" s="1" t="s">
        <v>22</v>
      </c>
      <c r="L4331" s="1" t="str">
        <f>HYPERLINK("https://files.afu.se/Downloads/Transcripts/0%20-%20Government/USA%20-%20NASA/2011 03 18 - NASA - NASA'S MESSENGER Spacecraft Begins Historic Orbit of Mercury_WL_FwRFCAmA - transcript (automated).pdf","Transcript Link")</f>
        <v>Transcript Link</v>
      </c>
      <c r="M4331" s="2" t="str">
        <f>HYPERLINK("https://files.afu.se/Downloads/Transcripts/0%20-%20Government/USA%20-%20NASA/2011 03 18 - NASA - NASA'S MESSENGER Spacecraft Begins Historic Orbit of Mercury_WL_FwRFCAmA - transcript (automated).pdf","Transcript Link")</f>
        <v>Transcript Link</v>
      </c>
    </row>
    <row r="4332" ht="165" spans="1:13">
      <c r="A4332" s="1" t="s">
        <v>19342</v>
      </c>
      <c r="B4332" s="1" t="s">
        <v>13</v>
      </c>
      <c r="C4332" s="4" t="s">
        <v>19354</v>
      </c>
      <c r="D4332" s="1" t="s">
        <v>19355</v>
      </c>
      <c r="E4332" s="1" t="s">
        <v>19356</v>
      </c>
      <c r="F4332" s="4" t="s">
        <v>17</v>
      </c>
      <c r="G4332" s="1" t="s">
        <v>18</v>
      </c>
      <c r="H4332" s="1" t="s">
        <v>19</v>
      </c>
      <c r="I4332" s="1" t="s">
        <v>20</v>
      </c>
      <c r="J4332" s="1" t="s">
        <v>19357</v>
      </c>
      <c r="K4332" s="1" t="s">
        <v>22</v>
      </c>
      <c r="L4332" s="1" t="str">
        <f>HYPERLINK("https://files.afu.se/Downloads/Transcripts/0%20-%20Government/USA%20-%20NASA/2011 03 18 - NASA - Robonaut 2 Joins ISS Crew_Hkagxtiy1-M - transcript (automated).pdf","Transcript Link")</f>
        <v>Transcript Link</v>
      </c>
      <c r="M4332" s="2" t="str">
        <f>HYPERLINK("https://files.afu.se/Downloads/Transcripts/0%20-%20Government/USA%20-%20NASA/2011 03 18 - NASA - Robonaut 2 Joins ISS Crew_Hkagxtiy1-M - transcript (automated).pdf","Transcript Link")</f>
        <v>Transcript Link</v>
      </c>
    </row>
    <row r="4333" ht="315" spans="1:13">
      <c r="A4333" s="1" t="s">
        <v>19358</v>
      </c>
      <c r="B4333" s="1" t="s">
        <v>13</v>
      </c>
      <c r="C4333" s="4" t="s">
        <v>19359</v>
      </c>
      <c r="D4333" s="1" t="s">
        <v>19360</v>
      </c>
      <c r="E4333" s="1" t="s">
        <v>19361</v>
      </c>
      <c r="F4333" s="4" t="s">
        <v>17</v>
      </c>
      <c r="G4333" s="1" t="s">
        <v>18</v>
      </c>
      <c r="H4333" s="1" t="s">
        <v>19</v>
      </c>
      <c r="I4333" s="1" t="s">
        <v>20</v>
      </c>
      <c r="J4333" s="1" t="s">
        <v>19362</v>
      </c>
      <c r="K4333" s="1" t="s">
        <v>22</v>
      </c>
      <c r="L4333" s="1" t="str">
        <f>HYPERLINK("https://files.afu.se/Downloads/Transcripts/0%20-%20Government/USA%20-%20NASA/2011 03 17 - NASA - NASA's MESSENGER to Become First Spacecraft to Orbit Mercury_iDPRJznyOYw - transcript (automated).pdf","Transcript Link")</f>
        <v>Transcript Link</v>
      </c>
      <c r="M4333" s="2" t="str">
        <f>HYPERLINK("https://files.afu.se/Downloads/Transcripts/0%20-%20Government/USA%20-%20NASA/2011 03 17 - NASA - NASA's MESSENGER to Become First Spacecraft to Orbit Mercury_iDPRJznyOYw - transcript (automated).pdf","Transcript Link")</f>
        <v>Transcript Link</v>
      </c>
    </row>
    <row r="4334" ht="165" spans="1:13">
      <c r="A4334" s="1" t="s">
        <v>19358</v>
      </c>
      <c r="B4334" s="1" t="s">
        <v>13</v>
      </c>
      <c r="C4334" s="4" t="s">
        <v>19363</v>
      </c>
      <c r="D4334" s="1" t="s">
        <v>19364</v>
      </c>
      <c r="E4334" s="1" t="s">
        <v>19365</v>
      </c>
      <c r="F4334" s="4" t="s">
        <v>17</v>
      </c>
      <c r="G4334" s="1" t="s">
        <v>18</v>
      </c>
      <c r="H4334" s="1" t="s">
        <v>19</v>
      </c>
      <c r="I4334" s="1" t="s">
        <v>20</v>
      </c>
      <c r="J4334" s="1" t="s">
        <v>19366</v>
      </c>
      <c r="K4334" s="1" t="s">
        <v>22</v>
      </c>
      <c r="L4334" s="1" t="str">
        <f>HYPERLINK("https://files.afu.se/Downloads/Transcripts/0%20-%20Government/USA%20-%20NASA/2011 03 17 - NASA - NASA Tweetup Rolls with  Wheels _jDlx2N6fpM4 - transcript (automated).pdf","Transcript Link")</f>
        <v>Transcript Link</v>
      </c>
      <c r="M4334" s="2" t="str">
        <f>HYPERLINK("https://files.afu.se/Downloads/Transcripts/0%20-%20Government/USA%20-%20NASA/2011 03 17 - NASA - NASA Tweetup Rolls with  Wheels _jDlx2N6fpM4 - transcript (automated).pdf","Transcript Link")</f>
        <v>Transcript Link</v>
      </c>
    </row>
    <row r="4335" ht="195" spans="1:13">
      <c r="A4335" s="1" t="s">
        <v>19367</v>
      </c>
      <c r="B4335" s="1" t="s">
        <v>13</v>
      </c>
      <c r="C4335" s="4" t="s">
        <v>19368</v>
      </c>
      <c r="D4335" s="1" t="s">
        <v>19369</v>
      </c>
      <c r="E4335" s="1" t="s">
        <v>19370</v>
      </c>
      <c r="F4335" s="4" t="s">
        <v>17</v>
      </c>
      <c r="G4335" s="1" t="s">
        <v>18</v>
      </c>
      <c r="H4335" s="1" t="s">
        <v>19</v>
      </c>
      <c r="I4335" s="1" t="s">
        <v>20</v>
      </c>
      <c r="J4335" s="1" t="s">
        <v>19371</v>
      </c>
      <c r="K4335" s="1" t="s">
        <v>22</v>
      </c>
      <c r="L4335" s="1" t="str">
        <f>HYPERLINK("https://files.afu.se/Downloads/Transcripts/0%20-%20Government/USA%20-%20NASA/2011 03 16 - NASA - NASA Launches New Website, Celebrates Women's Contributions to Science and Exploration_Ajz69bgCriU - transcript (automated).pdf","Transcript Link")</f>
        <v>Transcript Link</v>
      </c>
      <c r="M4335" s="2" t="str">
        <f>HYPERLINK("https://files.afu.se/Downloads/Transcripts/0%20-%20Government/USA%20-%20NASA/2011 03 16 - NASA - NASA Launches New Website, Celebrates Women's Contributions to Science and Exploration_Ajz69bgCriU - transcript (automated).pdf","Transcript Link")</f>
        <v>Transcript Link</v>
      </c>
    </row>
    <row r="4336" ht="165" spans="1:13">
      <c r="A4336" s="1" t="s">
        <v>19367</v>
      </c>
      <c r="B4336" s="1" t="s">
        <v>13</v>
      </c>
      <c r="C4336" s="4" t="s">
        <v>19372</v>
      </c>
      <c r="D4336" s="1" t="s">
        <v>19373</v>
      </c>
      <c r="E4336" s="1" t="s">
        <v>19374</v>
      </c>
      <c r="F4336" s="4" t="s">
        <v>17</v>
      </c>
      <c r="G4336" s="1" t="s">
        <v>18</v>
      </c>
      <c r="H4336" s="1" t="s">
        <v>19</v>
      </c>
      <c r="I4336" s="1" t="s">
        <v>20</v>
      </c>
      <c r="J4336" s="1" t="s">
        <v>19375</v>
      </c>
      <c r="K4336" s="1" t="s">
        <v>22</v>
      </c>
      <c r="L4336" s="1" t="str">
        <f>HYPERLINK("https://files.afu.se/Downloads/Transcripts/0%20-%20Government/USA%20-%20NASA/2011 03 16 - NASA - ISS Crew Given Heroes' Welcome_yx3JkEO5lo4 - transcript (automated).pdf","Transcript Link")</f>
        <v>Transcript Link</v>
      </c>
      <c r="M4336" s="2" t="str">
        <f>HYPERLINK("https://files.afu.se/Downloads/Transcripts/0%20-%20Government/USA%20-%20NASA/2011 03 16 - NASA - ISS Crew Given Heroes' Welcome_yx3JkEO5lo4 - transcript (automated).pdf","Transcript Link")</f>
        <v>Transcript Link</v>
      </c>
    </row>
    <row r="4337" ht="165" spans="1:13">
      <c r="A4337" s="1" t="s">
        <v>19367</v>
      </c>
      <c r="B4337" s="1" t="s">
        <v>13</v>
      </c>
      <c r="C4337" s="4" t="s">
        <v>19376</v>
      </c>
      <c r="D4337" s="1" t="s">
        <v>19377</v>
      </c>
      <c r="E4337" s="1" t="s">
        <v>19378</v>
      </c>
      <c r="F4337" s="4" t="s">
        <v>17</v>
      </c>
      <c r="G4337" s="1" t="s">
        <v>18</v>
      </c>
      <c r="H4337" s="1" t="s">
        <v>19</v>
      </c>
      <c r="I4337" s="1" t="s">
        <v>20</v>
      </c>
      <c r="J4337" s="1" t="s">
        <v>19379</v>
      </c>
      <c r="K4337" s="1" t="s">
        <v>22</v>
      </c>
      <c r="L4337" s="1" t="str">
        <f>HYPERLINK("https://files.afu.se/Downloads/Transcripts/0%20-%20Government/USA%20-%20NASA/2011 03 16 - NASA -  Wheels,  Tracy Highlight Missions on ISS_uA3kIxpqIl4 - transcript (automated).pdf","Transcript Link")</f>
        <v>Transcript Link</v>
      </c>
      <c r="M4337" s="2" t="str">
        <f>HYPERLINK("https://files.afu.se/Downloads/Transcripts/0%20-%20Government/USA%20-%20NASA/2011 03 16 - NASA -  Wheels,  Tracy Highlight Missions on ISS_uA3kIxpqIl4 - transcript (automated).pdf","Transcript Link")</f>
        <v>Transcript Link</v>
      </c>
    </row>
    <row r="4338" ht="165" spans="1:13">
      <c r="A4338" s="1" t="s">
        <v>19367</v>
      </c>
      <c r="B4338" s="1" t="s">
        <v>13</v>
      </c>
      <c r="C4338" s="4" t="s">
        <v>19380</v>
      </c>
      <c r="D4338" s="1" t="s">
        <v>19381</v>
      </c>
      <c r="E4338" s="1" t="s">
        <v>19382</v>
      </c>
      <c r="F4338" s="4" t="s">
        <v>17</v>
      </c>
      <c r="G4338" s="1" t="s">
        <v>18</v>
      </c>
      <c r="H4338" s="1" t="s">
        <v>19</v>
      </c>
      <c r="I4338" s="1" t="s">
        <v>20</v>
      </c>
      <c r="J4338" s="1" t="s">
        <v>19383</v>
      </c>
      <c r="K4338" s="1" t="s">
        <v>22</v>
      </c>
      <c r="L4338" s="1" t="str">
        <f>HYPERLINK("https://files.afu.se/Downloads/Transcripts/0%20-%20Government/USA%20-%20NASA/2011 03 16 - NASA - Additional Video Highlights Undocking, Landing of Expedition 26 Crew_bZtWf8VOdTY - transcript (automated).pdf","Transcript Link")</f>
        <v>Transcript Link</v>
      </c>
      <c r="M4338" s="2" t="str">
        <f>HYPERLINK("https://files.afu.se/Downloads/Transcripts/0%20-%20Government/USA%20-%20NASA/2011 03 16 - NASA - Additional Video Highlights Undocking, Landing of Expedition 26 Crew_bZtWf8VOdTY - transcript (automated).pdf","Transcript Link")</f>
        <v>Transcript Link</v>
      </c>
    </row>
    <row r="4339" ht="165" spans="1:13">
      <c r="A4339" s="1" t="s">
        <v>19367</v>
      </c>
      <c r="B4339" s="1" t="s">
        <v>13</v>
      </c>
      <c r="C4339" s="4" t="s">
        <v>19384</v>
      </c>
      <c r="D4339" s="1" t="s">
        <v>19385</v>
      </c>
      <c r="E4339" s="1" t="s">
        <v>19386</v>
      </c>
      <c r="F4339" s="4" t="s">
        <v>17</v>
      </c>
      <c r="G4339" s="1" t="s">
        <v>18</v>
      </c>
      <c r="H4339" s="1" t="s">
        <v>19</v>
      </c>
      <c r="I4339" s="1" t="s">
        <v>20</v>
      </c>
      <c r="J4339" s="1" t="s">
        <v>19387</v>
      </c>
      <c r="K4339" s="1" t="s">
        <v>22</v>
      </c>
      <c r="L4339" s="1" t="str">
        <f>HYPERLINK("https://files.afu.se/Downloads/Transcripts/0%20-%20Government/USA%20-%20NASA/2011 03 16 - NASA - Expedition 26's Soyuz Lands Safely in Kazakhstan_9sh2DkTh3qc - transcript (automated).pdf","Transcript Link")</f>
        <v>Transcript Link</v>
      </c>
      <c r="M4339" s="2" t="str">
        <f>HYPERLINK("https://files.afu.se/Downloads/Transcripts/0%20-%20Government/USA%20-%20NASA/2011 03 16 - NASA - Expedition 26's Soyuz Lands Safely in Kazakhstan_9sh2DkTh3qc - transcript (automated).pdf","Transcript Link")</f>
        <v>Transcript Link</v>
      </c>
    </row>
    <row r="4340" ht="165" spans="1:13">
      <c r="A4340" s="1" t="s">
        <v>19367</v>
      </c>
      <c r="B4340" s="1" t="s">
        <v>13</v>
      </c>
      <c r="C4340" s="4" t="s">
        <v>19388</v>
      </c>
      <c r="D4340" s="1" t="s">
        <v>19389</v>
      </c>
      <c r="E4340" s="1" t="s">
        <v>19390</v>
      </c>
      <c r="F4340" s="4" t="s">
        <v>17</v>
      </c>
      <c r="G4340" s="1" t="s">
        <v>18</v>
      </c>
      <c r="H4340" s="1" t="s">
        <v>19</v>
      </c>
      <c r="I4340" s="1" t="s">
        <v>20</v>
      </c>
      <c r="J4340" s="1" t="s">
        <v>19391</v>
      </c>
      <c r="K4340" s="1" t="s">
        <v>22</v>
      </c>
      <c r="L4340" s="1" t="str">
        <f>HYPERLINK("https://files.afu.se/Downloads/Transcripts/0%20-%20Government/USA%20-%20NASA/2011 03 16 - NASA - Station Hatch Closes on Expedition 26_fGiD3ZrppKM - transcript (automated).pdf","Transcript Link")</f>
        <v>Transcript Link</v>
      </c>
      <c r="M4340" s="2" t="str">
        <f>HYPERLINK("https://files.afu.se/Downloads/Transcripts/0%20-%20Government/USA%20-%20NASA/2011 03 16 - NASA - Station Hatch Closes on Expedition 26_fGiD3ZrppKM - transcript (automated).pdf","Transcript Link")</f>
        <v>Transcript Link</v>
      </c>
    </row>
    <row r="4341" ht="195" spans="1:13">
      <c r="A4341" s="1" t="s">
        <v>19392</v>
      </c>
      <c r="B4341" s="1" t="s">
        <v>13</v>
      </c>
      <c r="C4341" s="4" t="s">
        <v>19393</v>
      </c>
      <c r="D4341" s="1" t="s">
        <v>19394</v>
      </c>
      <c r="E4341" s="1" t="s">
        <v>19395</v>
      </c>
      <c r="F4341" s="4" t="s">
        <v>17</v>
      </c>
      <c r="G4341" s="1" t="s">
        <v>18</v>
      </c>
      <c r="H4341" s="1" t="s">
        <v>19</v>
      </c>
      <c r="I4341" s="1" t="s">
        <v>20</v>
      </c>
      <c r="J4341" s="1" t="s">
        <v>19396</v>
      </c>
      <c r="K4341" s="1" t="s">
        <v>22</v>
      </c>
      <c r="L4341" s="1" t="str">
        <f>HYPERLINK("https://files.afu.se/Downloads/Transcripts/0%20-%20Government/USA%20-%20NASA/2011 03 14 - NASA - ISS Change of Command Marked by Ceremony_-iLBUJcz_oU - transcript (automated).pdf","Transcript Link")</f>
        <v>Transcript Link</v>
      </c>
      <c r="M4341" s="2" t="str">
        <f>HYPERLINK("https://files.afu.se/Downloads/Transcripts/0%20-%20Government/USA%20-%20NASA/2011 03 14 - NASA - ISS Change of Command Marked by Ceremony_-iLBUJcz_oU - transcript (automated).pdf","Transcript Link")</f>
        <v>Transcript Link</v>
      </c>
    </row>
    <row r="4342" ht="180" spans="1:13">
      <c r="A4342" s="1" t="s">
        <v>19397</v>
      </c>
      <c r="B4342" s="1" t="s">
        <v>13</v>
      </c>
      <c r="C4342" s="4" t="s">
        <v>19398</v>
      </c>
      <c r="D4342" s="1" t="s">
        <v>19399</v>
      </c>
      <c r="E4342" s="1" t="s">
        <v>19400</v>
      </c>
      <c r="F4342" s="4" t="s">
        <v>17</v>
      </c>
      <c r="G4342" s="1" t="s">
        <v>18</v>
      </c>
      <c r="H4342" s="1" t="s">
        <v>19</v>
      </c>
      <c r="I4342" s="1" t="s">
        <v>20</v>
      </c>
      <c r="J4342" s="1" t="s">
        <v>19401</v>
      </c>
      <c r="K4342" s="1" t="s">
        <v>22</v>
      </c>
      <c r="L4342" s="1" t="str">
        <f>HYPERLINK("https://files.afu.se/Downloads/Transcripts/0%20-%20Government/USA%20-%20NASA/2011 03 11 - NASA - Discovery Wraps 148-Million-Mile Career on This Week @NASA_InYCEeB5t2I - transcript (automated).pdf","Transcript Link")</f>
        <v>Transcript Link</v>
      </c>
      <c r="M4342" s="2" t="str">
        <f>HYPERLINK("https://files.afu.se/Downloads/Transcripts/0%20-%20Government/USA%20-%20NASA/2011 03 11 - NASA - Discovery Wraps 148-Million-Mile Career on This Week @NASA_InYCEeB5t2I - transcript (automated).pdf","Transcript Link")</f>
        <v>Transcript Link</v>
      </c>
    </row>
    <row r="4343" ht="165" spans="1:13">
      <c r="A4343" s="1" t="s">
        <v>19397</v>
      </c>
      <c r="B4343" s="1" t="s">
        <v>13</v>
      </c>
      <c r="C4343" s="4" t="s">
        <v>19402</v>
      </c>
      <c r="D4343" s="1" t="s">
        <v>15656</v>
      </c>
      <c r="E4343" s="1" t="s">
        <v>19403</v>
      </c>
      <c r="F4343" s="4" t="s">
        <v>17</v>
      </c>
      <c r="G4343" s="1" t="s">
        <v>18</v>
      </c>
      <c r="H4343" s="1" t="s">
        <v>19</v>
      </c>
      <c r="I4343" s="1" t="s">
        <v>20</v>
      </c>
      <c r="J4343" s="1" t="s">
        <v>19404</v>
      </c>
      <c r="K4343" s="1" t="s">
        <v>22</v>
      </c>
      <c r="L4343" s="1" t="str">
        <f>HYPERLINK("https://files.afu.se/Downloads/Transcripts/0%20-%20Government/USA%20-%20NASA/2011 03 11 - NASA - Next ISS Crew Meets Media, Pays Homage at Red Square_Z-qBZWmCiK8 - transcript (automated).pdf","Transcript Link")</f>
        <v>Transcript Link</v>
      </c>
      <c r="M4343" s="2" t="str">
        <f>HYPERLINK("https://files.afu.se/Downloads/Transcripts/0%20-%20Government/USA%20-%20NASA/2011 03 11 - NASA - Next ISS Crew Meets Media, Pays Homage at Red Square_Z-qBZWmCiK8 - transcript (automated).pdf","Transcript Link")</f>
        <v>Transcript Link</v>
      </c>
    </row>
    <row r="4344" ht="165" spans="1:13">
      <c r="A4344" s="1" t="s">
        <v>19397</v>
      </c>
      <c r="B4344" s="1" t="s">
        <v>13</v>
      </c>
      <c r="C4344" s="4" t="s">
        <v>19405</v>
      </c>
      <c r="D4344" s="1" t="s">
        <v>19406</v>
      </c>
      <c r="E4344" s="1" t="s">
        <v>19407</v>
      </c>
      <c r="F4344" s="4" t="s">
        <v>17</v>
      </c>
      <c r="G4344" s="1" t="s">
        <v>18</v>
      </c>
      <c r="H4344" s="1" t="s">
        <v>19</v>
      </c>
      <c r="I4344" s="1" t="s">
        <v>20</v>
      </c>
      <c r="J4344" s="1" t="s">
        <v>19408</v>
      </c>
      <c r="K4344" s="1" t="s">
        <v>22</v>
      </c>
      <c r="L4344" s="1" t="str">
        <f>HYPERLINK("https://files.afu.se/Downloads/Transcripts/0%20-%20Government/USA%20-%20NASA/2011 03 11 - NASA - Endeavour Begins Roll Out to Launch Pad_oJtZkPTJ0Qs - transcript (automated).pdf","Transcript Link")</f>
        <v>Transcript Link</v>
      </c>
      <c r="M4344" s="2" t="str">
        <f>HYPERLINK("https://files.afu.se/Downloads/Transcripts/0%20-%20Government/USA%20-%20NASA/2011 03 11 - NASA - Endeavour Begins Roll Out to Launch Pad_oJtZkPTJ0Qs - transcript (automated).pdf","Transcript Link")</f>
        <v>Transcript Link</v>
      </c>
    </row>
    <row r="4345" ht="165" spans="1:13">
      <c r="A4345" s="1" t="s">
        <v>19397</v>
      </c>
      <c r="B4345" s="1" t="s">
        <v>13</v>
      </c>
      <c r="C4345" s="4" t="s">
        <v>19409</v>
      </c>
      <c r="D4345" s="1" t="s">
        <v>19410</v>
      </c>
      <c r="E4345" s="1" t="s">
        <v>19411</v>
      </c>
      <c r="F4345" s="4" t="s">
        <v>17</v>
      </c>
      <c r="G4345" s="1" t="s">
        <v>18</v>
      </c>
      <c r="H4345" s="1" t="s">
        <v>19</v>
      </c>
      <c r="I4345" s="1" t="s">
        <v>20</v>
      </c>
      <c r="J4345" s="1" t="s">
        <v>19412</v>
      </c>
      <c r="K4345" s="1" t="s">
        <v>22</v>
      </c>
      <c r="L4345" s="1" t="str">
        <f>HYPERLINK("https://files.afu.se/Downloads/Transcripts/0%20-%20Government/USA%20-%20NASA/2011 03 11 - NASA - Endeavour's Cargo Gets Media  Onceover _zzGxpht0zwA - transcript (automated).pdf","Transcript Link")</f>
        <v>Transcript Link</v>
      </c>
      <c r="M4345" s="2" t="str">
        <f>HYPERLINK("https://files.afu.se/Downloads/Transcripts/0%20-%20Government/USA%20-%20NASA/2011 03 11 - NASA - Endeavour's Cargo Gets Media  Onceover _zzGxpht0zwA - transcript (automated).pdf","Transcript Link")</f>
        <v>Transcript Link</v>
      </c>
    </row>
    <row r="4346" ht="165" spans="1:13">
      <c r="A4346" s="1" t="s">
        <v>19397</v>
      </c>
      <c r="B4346" s="1" t="s">
        <v>13</v>
      </c>
      <c r="C4346" s="4" t="s">
        <v>19413</v>
      </c>
      <c r="D4346" s="1" t="s">
        <v>19414</v>
      </c>
      <c r="E4346" s="1" t="s">
        <v>19415</v>
      </c>
      <c r="F4346" s="4" t="s">
        <v>17</v>
      </c>
      <c r="G4346" s="1" t="s">
        <v>18</v>
      </c>
      <c r="H4346" s="1" t="s">
        <v>19</v>
      </c>
      <c r="I4346" s="1" t="s">
        <v>20</v>
      </c>
      <c r="J4346" s="1" t="s">
        <v>19416</v>
      </c>
      <c r="K4346" s="1" t="s">
        <v>22</v>
      </c>
      <c r="L4346" s="1" t="str">
        <f>HYPERLINK("https://files.afu.se/Downloads/Transcripts/0%20-%20Government/USA%20-%20NASA/2011 03 11 - NASA - Houston Welcomes Home Discovery Crew_vY7aNaLWpAE - transcript (automated).pdf","Transcript Link")</f>
        <v>Transcript Link</v>
      </c>
      <c r="M4346" s="2" t="str">
        <f>HYPERLINK("https://files.afu.se/Downloads/Transcripts/0%20-%20Government/USA%20-%20NASA/2011 03 11 - NASA - Houston Welcomes Home Discovery Crew_vY7aNaLWpAE - transcript (automated).pdf","Transcript Link")</f>
        <v>Transcript Link</v>
      </c>
    </row>
    <row r="4347" ht="165" spans="1:13">
      <c r="A4347" s="1" t="s">
        <v>19417</v>
      </c>
      <c r="B4347" s="1" t="s">
        <v>13</v>
      </c>
      <c r="C4347" s="4" t="s">
        <v>19418</v>
      </c>
      <c r="D4347" s="1" t="s">
        <v>19419</v>
      </c>
      <c r="E4347" s="1" t="s">
        <v>19420</v>
      </c>
      <c r="F4347" s="4" t="s">
        <v>17</v>
      </c>
      <c r="G4347" s="1" t="s">
        <v>18</v>
      </c>
      <c r="H4347" s="1" t="s">
        <v>19</v>
      </c>
      <c r="I4347" s="1" t="s">
        <v>20</v>
      </c>
      <c r="J4347" s="1" t="s">
        <v>19421</v>
      </c>
      <c r="K4347" s="1" t="s">
        <v>22</v>
      </c>
      <c r="L4347" s="1" t="str">
        <f>HYPERLINK("https://files.afu.se/Downloads/Transcripts/0%20-%20Government/USA%20-%20NASA/2011 03 10 - NASA - STS 133  The Highlights_iO2jOtxP3T8 - transcript (automated).pdf","Transcript Link")</f>
        <v>Transcript Link</v>
      </c>
      <c r="M4347" s="2" t="str">
        <f>HYPERLINK("https://files.afu.se/Downloads/Transcripts/0%20-%20Government/USA%20-%20NASA/2011 03 10 - NASA - STS 133  The Highlights_iO2jOtxP3T8 - transcript (automated).pdf","Transcript Link")</f>
        <v>Transcript Link</v>
      </c>
    </row>
    <row r="4348" ht="165" spans="1:13">
      <c r="A4348" s="1" t="s">
        <v>19422</v>
      </c>
      <c r="B4348" s="1" t="s">
        <v>13</v>
      </c>
      <c r="C4348" s="4" t="s">
        <v>19423</v>
      </c>
      <c r="D4348" s="1" t="s">
        <v>19424</v>
      </c>
      <c r="E4348" s="1" t="s">
        <v>19425</v>
      </c>
      <c r="F4348" s="4" t="s">
        <v>17</v>
      </c>
      <c r="G4348" s="1" t="s">
        <v>18</v>
      </c>
      <c r="H4348" s="1" t="s">
        <v>19</v>
      </c>
      <c r="I4348" s="1" t="s">
        <v>20</v>
      </c>
      <c r="J4348" s="1" t="s">
        <v>19426</v>
      </c>
      <c r="K4348" s="1" t="s">
        <v>22</v>
      </c>
      <c r="L4348" s="1" t="str">
        <f>HYPERLINK("https://files.afu.se/Downloads/Transcripts/0%20-%20Government/USA%20-%20NASA/2011 03 09 - NASA - Shuttle Crew Briefs Media on Successful Mission_VVSHiOFe4-0 - transcript (automated).pdf","Transcript Link")</f>
        <v>Transcript Link</v>
      </c>
      <c r="M4348" s="2" t="str">
        <f>HYPERLINK("https://files.afu.se/Downloads/Transcripts/0%20-%20Government/USA%20-%20NASA/2011 03 09 - NASA - Shuttle Crew Briefs Media on Successful Mission_VVSHiOFe4-0 - transcript (automated).pdf","Transcript Link")</f>
        <v>Transcript Link</v>
      </c>
    </row>
    <row r="4349" ht="165" spans="1:13">
      <c r="A4349" s="1" t="s">
        <v>19422</v>
      </c>
      <c r="B4349" s="1" t="s">
        <v>13</v>
      </c>
      <c r="C4349" s="4" t="s">
        <v>19427</v>
      </c>
      <c r="D4349" s="1" t="s">
        <v>19428</v>
      </c>
      <c r="E4349" s="1" t="s">
        <v>19429</v>
      </c>
      <c r="F4349" s="4" t="s">
        <v>17</v>
      </c>
      <c r="G4349" s="1" t="s">
        <v>18</v>
      </c>
      <c r="H4349" s="1" t="s">
        <v>19</v>
      </c>
      <c r="I4349" s="1" t="s">
        <v>20</v>
      </c>
      <c r="J4349" s="1" t="s">
        <v>19430</v>
      </c>
      <c r="K4349" s="1" t="s">
        <v>22</v>
      </c>
      <c r="L4349" s="1" t="str">
        <f>HYPERLINK("https://files.afu.se/Downloads/Transcripts/0%20-%20Government/USA%20-%20NASA/2011 03 09 - NASA - Entry Team Escorts Discovery Home_gWhJLg1umAE - transcript (automated).pdf","Transcript Link")</f>
        <v>Transcript Link</v>
      </c>
      <c r="M4349" s="2" t="str">
        <f>HYPERLINK("https://files.afu.se/Downloads/Transcripts/0%20-%20Government/USA%20-%20NASA/2011 03 09 - NASA - Entry Team Escorts Discovery Home_gWhJLg1umAE - transcript (automated).pdf","Transcript Link")</f>
        <v>Transcript Link</v>
      </c>
    </row>
    <row r="4350" ht="165" spans="1:13">
      <c r="A4350" s="1" t="s">
        <v>19422</v>
      </c>
      <c r="B4350" s="1" t="s">
        <v>13</v>
      </c>
      <c r="C4350" s="4" t="s">
        <v>19431</v>
      </c>
      <c r="D4350" s="1" t="s">
        <v>19432</v>
      </c>
      <c r="E4350" s="1" t="s">
        <v>19433</v>
      </c>
      <c r="F4350" s="4" t="s">
        <v>17</v>
      </c>
      <c r="G4350" s="1" t="s">
        <v>18</v>
      </c>
      <c r="H4350" s="1" t="s">
        <v>19</v>
      </c>
      <c r="I4350" s="1" t="s">
        <v>20</v>
      </c>
      <c r="J4350" s="1" t="s">
        <v>19434</v>
      </c>
      <c r="K4350" s="1" t="s">
        <v>22</v>
      </c>
      <c r="L4350" s="1" t="str">
        <f>HYPERLINK("https://files.afu.se/Downloads/Transcripts/0%20-%20Government/USA%20-%20NASA/2011 03 09 - NASA - NASA Hails Return of Discovery and Crew_zFx7R4Jm1TM - transcript (automated).pdf","Transcript Link")</f>
        <v>Transcript Link</v>
      </c>
      <c r="M4350" s="2" t="str">
        <f>HYPERLINK("https://files.afu.se/Downloads/Transcripts/0%20-%20Government/USA%20-%20NASA/2011 03 09 - NASA - NASA Hails Return of Discovery and Crew_zFx7R4Jm1TM - transcript (automated).pdf","Transcript Link")</f>
        <v>Transcript Link</v>
      </c>
    </row>
    <row r="4351" ht="165" spans="1:13">
      <c r="A4351" s="1" t="s">
        <v>19422</v>
      </c>
      <c r="B4351" s="1" t="s">
        <v>13</v>
      </c>
      <c r="C4351" s="4" t="s">
        <v>19435</v>
      </c>
      <c r="D4351" s="1" t="s">
        <v>19436</v>
      </c>
      <c r="E4351" s="1" t="s">
        <v>19437</v>
      </c>
      <c r="F4351" s="4" t="s">
        <v>17</v>
      </c>
      <c r="G4351" s="1" t="s">
        <v>18</v>
      </c>
      <c r="H4351" s="1" t="s">
        <v>19</v>
      </c>
      <c r="I4351" s="1" t="s">
        <v>20</v>
      </c>
      <c r="J4351" s="1" t="s">
        <v>19438</v>
      </c>
      <c r="K4351" s="1" t="s">
        <v>22</v>
      </c>
      <c r="L4351" s="1" t="str">
        <f>HYPERLINK("https://files.afu.se/Downloads/Transcripts/0%20-%20Government/USA%20-%20NASA/2011 03 09 - NASA - NASA Administrator Greets Discovery Crew_DJwjwtCsDhs - transcript (automated).pdf","Transcript Link")</f>
        <v>Transcript Link</v>
      </c>
      <c r="M4351" s="2" t="str">
        <f>HYPERLINK("https://files.afu.se/Downloads/Transcripts/0%20-%20Government/USA%20-%20NASA/2011 03 09 - NASA - NASA Administrator Greets Discovery Crew_DJwjwtCsDhs - transcript (automated).pdf","Transcript Link")</f>
        <v>Transcript Link</v>
      </c>
    </row>
    <row r="4352" ht="165" spans="1:13">
      <c r="A4352" s="1" t="s">
        <v>19422</v>
      </c>
      <c r="B4352" s="1" t="s">
        <v>13</v>
      </c>
      <c r="C4352" s="4" t="s">
        <v>19439</v>
      </c>
      <c r="D4352" s="1" t="s">
        <v>19440</v>
      </c>
      <c r="E4352" s="1" t="s">
        <v>19441</v>
      </c>
      <c r="F4352" s="4" t="s">
        <v>17</v>
      </c>
      <c r="G4352" s="1" t="s">
        <v>18</v>
      </c>
      <c r="H4352" s="1" t="s">
        <v>19</v>
      </c>
      <c r="I4352" s="1" t="s">
        <v>20</v>
      </c>
      <c r="J4352" s="1" t="s">
        <v>19442</v>
      </c>
      <c r="K4352" s="1" t="s">
        <v>22</v>
      </c>
      <c r="L4352" s="1" t="str">
        <f>HYPERLINK("https://files.afu.se/Downloads/Transcripts/0%20-%20Government/USA%20-%20NASA/2011 03 09 - NASA - Discovery's Final Flight Ends Safely at Kennedy_Drv0SS1rCpk - transcript (automated).pdf","Transcript Link")</f>
        <v>Transcript Link</v>
      </c>
      <c r="M4352" s="2" t="str">
        <f>HYPERLINK("https://files.afu.se/Downloads/Transcripts/0%20-%20Government/USA%20-%20NASA/2011 03 09 - NASA - Discovery's Final Flight Ends Safely at Kennedy_Drv0SS1rCpk - transcript (automated).pdf","Transcript Link")</f>
        <v>Transcript Link</v>
      </c>
    </row>
    <row r="4353" ht="165" spans="1:13">
      <c r="A4353" s="1" t="s">
        <v>19422</v>
      </c>
      <c r="B4353" s="1" t="s">
        <v>13</v>
      </c>
      <c r="C4353" s="4" t="s">
        <v>19443</v>
      </c>
      <c r="D4353" s="1" t="s">
        <v>19444</v>
      </c>
      <c r="E4353" s="1" t="s">
        <v>19445</v>
      </c>
      <c r="F4353" s="4" t="s">
        <v>17</v>
      </c>
      <c r="G4353" s="1" t="s">
        <v>18</v>
      </c>
      <c r="H4353" s="1" t="s">
        <v>19</v>
      </c>
      <c r="I4353" s="1" t="s">
        <v>20</v>
      </c>
      <c r="J4353" s="1" t="s">
        <v>19446</v>
      </c>
      <c r="K4353" s="1" t="s">
        <v>22</v>
      </c>
      <c r="L4353" s="1" t="str">
        <f>HYPERLINK("https://files.afu.se/Downloads/Transcripts/0%20-%20Government/USA%20-%20NASA/2011 03 09 - NASA - Shuttle Crew Preps for Wednesday Landing_da13q8AHTzs - transcript (automated).pdf","Transcript Link")</f>
        <v>Transcript Link</v>
      </c>
      <c r="M4353" s="2" t="str">
        <f>HYPERLINK("https://files.afu.se/Downloads/Transcripts/0%20-%20Government/USA%20-%20NASA/2011 03 09 - NASA - Shuttle Crew Preps for Wednesday Landing_da13q8AHTzs - transcript (automated).pdf","Transcript Link")</f>
        <v>Transcript Link</v>
      </c>
    </row>
    <row r="4354" ht="165" spans="1:13">
      <c r="A4354" s="1" t="s">
        <v>19447</v>
      </c>
      <c r="B4354" s="1" t="s">
        <v>13</v>
      </c>
      <c r="C4354" s="4" t="s">
        <v>19448</v>
      </c>
      <c r="D4354" s="1" t="s">
        <v>19449</v>
      </c>
      <c r="E4354" s="1" t="s">
        <v>19450</v>
      </c>
      <c r="F4354" s="4" t="s">
        <v>17</v>
      </c>
      <c r="G4354" s="1" t="s">
        <v>18</v>
      </c>
      <c r="H4354" s="1" t="s">
        <v>19</v>
      </c>
      <c r="I4354" s="1" t="s">
        <v>20</v>
      </c>
      <c r="J4354" s="1" t="s">
        <v>19451</v>
      </c>
      <c r="K4354" s="1" t="s">
        <v>22</v>
      </c>
      <c r="L4354" s="1" t="str">
        <f>HYPERLINK("https://files.afu.se/Downloads/Transcripts/0%20-%20Government/USA%20-%20NASA/2011 03 08 - NASA - Discovery Crew  Meets  Media on Way Home_FqriQJCFXag - transcript (automated).pdf","Transcript Link")</f>
        <v>Transcript Link</v>
      </c>
      <c r="M4354" s="2" t="str">
        <f>HYPERLINK("https://files.afu.se/Downloads/Transcripts/0%20-%20Government/USA%20-%20NASA/2011 03 08 - NASA - Discovery Crew  Meets  Media on Way Home_FqriQJCFXag - transcript (automated).pdf","Transcript Link")</f>
        <v>Transcript Link</v>
      </c>
    </row>
    <row r="4355" ht="165" spans="1:13">
      <c r="A4355" s="1" t="s">
        <v>19447</v>
      </c>
      <c r="B4355" s="1" t="s">
        <v>13</v>
      </c>
      <c r="C4355" s="4" t="s">
        <v>19452</v>
      </c>
      <c r="D4355" s="1" t="s">
        <v>19453</v>
      </c>
      <c r="E4355" s="1" t="s">
        <v>19454</v>
      </c>
      <c r="F4355" s="4" t="s">
        <v>17</v>
      </c>
      <c r="G4355" s="1" t="s">
        <v>18</v>
      </c>
      <c r="H4355" s="1" t="s">
        <v>19</v>
      </c>
      <c r="I4355" s="1" t="s">
        <v>20</v>
      </c>
      <c r="J4355" s="1" t="s">
        <v>19455</v>
      </c>
      <c r="K4355" s="1" t="s">
        <v>22</v>
      </c>
      <c r="L4355" s="1" t="str">
        <f>HYPERLINK("https://files.afu.se/Downloads/Transcripts/0%20-%20Government/USA%20-%20NASA/2011 03 08 - NASA - Discovery's Final Landing Preps Outlined_N7gmzQUG57E - transcript (automated).pdf","Transcript Link")</f>
        <v>Transcript Link</v>
      </c>
      <c r="M4355" s="2" t="str">
        <f>HYPERLINK("https://files.afu.se/Downloads/Transcripts/0%20-%20Government/USA%20-%20NASA/2011 03 08 - NASA - Discovery's Final Landing Preps Outlined_N7gmzQUG57E - transcript (automated).pdf","Transcript Link")</f>
        <v>Transcript Link</v>
      </c>
    </row>
    <row r="4356" ht="165" spans="1:13">
      <c r="A4356" s="1" t="s">
        <v>19447</v>
      </c>
      <c r="B4356" s="1" t="s">
        <v>13</v>
      </c>
      <c r="C4356" s="4" t="s">
        <v>19456</v>
      </c>
      <c r="D4356" s="1" t="s">
        <v>19457</v>
      </c>
      <c r="E4356" s="1" t="s">
        <v>19458</v>
      </c>
      <c r="F4356" s="4" t="s">
        <v>17</v>
      </c>
      <c r="G4356" s="1" t="s">
        <v>18</v>
      </c>
      <c r="H4356" s="1" t="s">
        <v>19</v>
      </c>
      <c r="I4356" s="1" t="s">
        <v>20</v>
      </c>
      <c r="J4356" s="1" t="s">
        <v>19459</v>
      </c>
      <c r="K4356" s="1" t="s">
        <v>22</v>
      </c>
      <c r="L4356" s="1" t="str">
        <f>HYPERLINK("https://files.afu.se/Downloads/Transcripts/0%20-%20Government/USA%20-%20NASA/2011 03 08 - NASA - Final Post  MMT Briefing for STS-133_DGn_zp9Ln5E - transcript (automated).pdf","Transcript Link")</f>
        <v>Transcript Link</v>
      </c>
      <c r="M4356" s="2" t="str">
        <f>HYPERLINK("https://files.afu.se/Downloads/Transcripts/0%20-%20Government/USA%20-%20NASA/2011 03 08 - NASA - Final Post  MMT Briefing for STS-133_DGn_zp9Ln5E - transcript (automated).pdf","Transcript Link")</f>
        <v>Transcript Link</v>
      </c>
    </row>
    <row r="4357" ht="165" spans="1:13">
      <c r="A4357" s="1" t="s">
        <v>19447</v>
      </c>
      <c r="B4357" s="1" t="s">
        <v>13</v>
      </c>
      <c r="C4357" s="4" t="s">
        <v>19460</v>
      </c>
      <c r="D4357" s="1" t="s">
        <v>19461</v>
      </c>
      <c r="E4357" s="1" t="s">
        <v>19462</v>
      </c>
      <c r="F4357" s="4" t="s">
        <v>17</v>
      </c>
      <c r="G4357" s="1" t="s">
        <v>18</v>
      </c>
      <c r="H4357" s="1" t="s">
        <v>19</v>
      </c>
      <c r="I4357" s="1" t="s">
        <v>20</v>
      </c>
      <c r="J4357" s="1" t="s">
        <v>19463</v>
      </c>
      <c r="K4357" s="1" t="s">
        <v>22</v>
      </c>
      <c r="L4357" s="1" t="str">
        <f>HYPERLINK("https://files.afu.se/Downloads/Transcripts/0%20-%20Government/USA%20-%20NASA/2011 03 08 - NASA - Rockin'  Crew Wakeup_UWHCsZtF37Q - transcript (automated).pdf","Transcript Link")</f>
        <v>Transcript Link</v>
      </c>
      <c r="M4357" s="2" t="str">
        <f>HYPERLINK("https://files.afu.se/Downloads/Transcripts/0%20-%20Government/USA%20-%20NASA/2011 03 08 - NASA - Rockin'  Crew Wakeup_UWHCsZtF37Q - transcript (automated).pdf","Transcript Link")</f>
        <v>Transcript Link</v>
      </c>
    </row>
    <row r="4358" ht="165" spans="1:13">
      <c r="A4358" s="1" t="s">
        <v>19447</v>
      </c>
      <c r="B4358" s="1" t="s">
        <v>13</v>
      </c>
      <c r="C4358" s="4" t="s">
        <v>19464</v>
      </c>
      <c r="D4358" s="1" t="s">
        <v>19465</v>
      </c>
      <c r="E4358" s="1" t="s">
        <v>19466</v>
      </c>
      <c r="F4358" s="4" t="s">
        <v>17</v>
      </c>
      <c r="G4358" s="1" t="s">
        <v>18</v>
      </c>
      <c r="H4358" s="1" t="s">
        <v>19</v>
      </c>
      <c r="I4358" s="1" t="s">
        <v>20</v>
      </c>
      <c r="J4358" s="1" t="s">
        <v>19467</v>
      </c>
      <c r="K4358" s="1" t="s">
        <v>22</v>
      </c>
      <c r="L4358" s="1" t="str">
        <f>HYPERLINK("https://files.afu.se/Downloads/Transcripts/0%20-%20Government/USA%20-%20NASA/2011 03 08 - NASA - Discovery Heads for Home_0t5--gUbMCg - transcript (automated).pdf","Transcript Link")</f>
        <v>Transcript Link</v>
      </c>
      <c r="M4358" s="2" t="str">
        <f>HYPERLINK("https://files.afu.se/Downloads/Transcripts/0%20-%20Government/USA%20-%20NASA/2011 03 08 - NASA - Discovery Heads for Home_0t5--gUbMCg - transcript (automated).pdf","Transcript Link")</f>
        <v>Transcript Link</v>
      </c>
    </row>
    <row r="4359" ht="165" spans="1:13">
      <c r="A4359" s="1" t="s">
        <v>19468</v>
      </c>
      <c r="B4359" s="1" t="s">
        <v>13</v>
      </c>
      <c r="C4359" s="4" t="s">
        <v>19469</v>
      </c>
      <c r="D4359" s="1" t="s">
        <v>19470</v>
      </c>
      <c r="E4359" s="1" t="s">
        <v>19471</v>
      </c>
      <c r="F4359" s="4" t="s">
        <v>17</v>
      </c>
      <c r="G4359" s="1" t="s">
        <v>18</v>
      </c>
      <c r="H4359" s="1" t="s">
        <v>19</v>
      </c>
      <c r="I4359" s="1" t="s">
        <v>20</v>
      </c>
      <c r="J4359" s="1" t="s">
        <v>19472</v>
      </c>
      <c r="K4359" s="1" t="s">
        <v>22</v>
      </c>
      <c r="L4359" s="1" t="str">
        <f>HYPERLINK("https://files.afu.se/Downloads/Transcripts/0%20-%20Government/USA%20-%20NASA/2011 03 07 - NASA - FD 11 Preps Prelude Landing_RRfZAVc1Alo - transcript (automated).pdf","Transcript Link")</f>
        <v>Transcript Link</v>
      </c>
      <c r="M4359" s="2" t="str">
        <f>HYPERLINK("https://files.afu.se/Downloads/Transcripts/0%20-%20Government/USA%20-%20NASA/2011 03 07 - NASA - FD 11 Preps Prelude Landing_RRfZAVc1Alo - transcript (automated).pdf","Transcript Link")</f>
        <v>Transcript Link</v>
      </c>
    </row>
    <row r="4360" ht="165" spans="1:13">
      <c r="A4360" s="1" t="s">
        <v>19468</v>
      </c>
      <c r="B4360" s="1" t="s">
        <v>13</v>
      </c>
      <c r="C4360" s="4" t="s">
        <v>19473</v>
      </c>
      <c r="D4360" s="1" t="s">
        <v>19474</v>
      </c>
      <c r="E4360" s="1" t="s">
        <v>19475</v>
      </c>
      <c r="F4360" s="4" t="s">
        <v>17</v>
      </c>
      <c r="G4360" s="1" t="s">
        <v>18</v>
      </c>
      <c r="H4360" s="1" t="s">
        <v>19</v>
      </c>
      <c r="I4360" s="1" t="s">
        <v>20</v>
      </c>
      <c r="J4360" s="1" t="s">
        <v>19476</v>
      </c>
      <c r="K4360" s="1" t="s">
        <v>22</v>
      </c>
      <c r="L4360" s="1" t="str">
        <f>HYPERLINK("https://files.afu.se/Downloads/Transcripts/0%20-%20Government/USA%20-%20NASA/2011 03 07 - NASA - Discovery Undocks from ISS_bIdB1UWlNDU - transcript (automated).pdf","Transcript Link")</f>
        <v>Transcript Link</v>
      </c>
      <c r="M4360" s="2" t="str">
        <f>HYPERLINK("https://files.afu.se/Downloads/Transcripts/0%20-%20Government/USA%20-%20NASA/2011 03 07 - NASA - Discovery Undocks from ISS_bIdB1UWlNDU - transcript (automated).pdf","Transcript Link")</f>
        <v>Transcript Link</v>
      </c>
    </row>
    <row r="4361" ht="165" spans="1:13">
      <c r="A4361" s="1" t="s">
        <v>19468</v>
      </c>
      <c r="B4361" s="1" t="s">
        <v>13</v>
      </c>
      <c r="C4361" s="4" t="s">
        <v>19477</v>
      </c>
      <c r="D4361" s="1" t="s">
        <v>19478</v>
      </c>
      <c r="E4361" s="1" t="s">
        <v>19479</v>
      </c>
      <c r="F4361" s="4" t="s">
        <v>17</v>
      </c>
      <c r="G4361" s="1" t="s">
        <v>18</v>
      </c>
      <c r="H4361" s="1" t="s">
        <v>19</v>
      </c>
      <c r="I4361" s="1" t="s">
        <v>20</v>
      </c>
      <c r="J4361" s="1" t="s">
        <v>19480</v>
      </c>
      <c r="K4361" s="1" t="s">
        <v>22</v>
      </c>
      <c r="L4361" s="1" t="str">
        <f>HYPERLINK("https://files.afu.se/Downloads/Transcripts/0%20-%20Government/USA%20-%20NASA/2011 03 07 - NASA - Goodbyes Shared as Shuttle Crew Leaves ISS_-UO__C5UihE - transcript (automated).pdf","Transcript Link")</f>
        <v>Transcript Link</v>
      </c>
      <c r="M4361" s="2" t="str">
        <f>HYPERLINK("https://files.afu.se/Downloads/Transcripts/0%20-%20Government/USA%20-%20NASA/2011 03 07 - NASA - Goodbyes Shared as Shuttle Crew Leaves ISS_-UO__C5UihE - transcript (automated).pdf","Transcript Link")</f>
        <v>Transcript Link</v>
      </c>
    </row>
    <row r="4362" ht="165" spans="1:13">
      <c r="A4362" s="1" t="s">
        <v>19468</v>
      </c>
      <c r="B4362" s="1" t="s">
        <v>13</v>
      </c>
      <c r="C4362" s="4" t="s">
        <v>19481</v>
      </c>
      <c r="D4362" s="1" t="s">
        <v>19482</v>
      </c>
      <c r="E4362" s="1" t="s">
        <v>19483</v>
      </c>
      <c r="F4362" s="4" t="s">
        <v>17</v>
      </c>
      <c r="G4362" s="1" t="s">
        <v>18</v>
      </c>
      <c r="H4362" s="1" t="s">
        <v>19</v>
      </c>
      <c r="I4362" s="1" t="s">
        <v>20</v>
      </c>
      <c r="J4362" s="1" t="s">
        <v>19484</v>
      </c>
      <c r="K4362" s="1" t="s">
        <v>22</v>
      </c>
      <c r="L4362" s="1" t="str">
        <f>HYPERLINK("https://files.afu.se/Downloads/Transcripts/0%20-%20Government/USA%20-%20NASA/2011 03 07 - NASA - Shuttle-Delivered Cargo Moved to ISS_t6nVSmjZScU - transcript (automated).pdf","Transcript Link")</f>
        <v>Transcript Link</v>
      </c>
      <c r="M4362" s="2" t="str">
        <f>HYPERLINK("https://files.afu.se/Downloads/Transcripts/0%20-%20Government/USA%20-%20NASA/2011 03 07 - NASA - Shuttle-Delivered Cargo Moved to ISS_t6nVSmjZScU - transcript (automated).pdf","Transcript Link")</f>
        <v>Transcript Link</v>
      </c>
    </row>
    <row r="4363" ht="165" spans="1:13">
      <c r="A4363" s="1" t="s">
        <v>19468</v>
      </c>
      <c r="B4363" s="1" t="s">
        <v>13</v>
      </c>
      <c r="C4363" s="4" t="s">
        <v>19485</v>
      </c>
      <c r="D4363" s="1" t="s">
        <v>19486</v>
      </c>
      <c r="E4363" s="1" t="s">
        <v>19487</v>
      </c>
      <c r="F4363" s="4" t="s">
        <v>17</v>
      </c>
      <c r="G4363" s="1" t="s">
        <v>18</v>
      </c>
      <c r="H4363" s="1" t="s">
        <v>19</v>
      </c>
      <c r="I4363" s="1" t="s">
        <v>20</v>
      </c>
      <c r="J4363" s="1" t="s">
        <v>19488</v>
      </c>
      <c r="K4363" s="1" t="s">
        <v>22</v>
      </c>
      <c r="L4363" s="1" t="str">
        <f>HYPERLINK("https://files.afu.se/Downloads/Transcripts/0%20-%20Government/USA%20-%20NASA/2011 03 07 - NASA - Discovery Completes ISS Assembly_BSJIEKcHlho - transcript (automated).pdf","Transcript Link")</f>
        <v>Transcript Link</v>
      </c>
      <c r="M4363" s="2" t="str">
        <f>HYPERLINK("https://files.afu.se/Downloads/Transcripts/0%20-%20Government/USA%20-%20NASA/2011 03 07 - NASA - Discovery Completes ISS Assembly_BSJIEKcHlho - transcript (automated).pdf","Transcript Link")</f>
        <v>Transcript Link</v>
      </c>
    </row>
    <row r="4364" ht="165" spans="1:13">
      <c r="A4364" s="1" t="s">
        <v>19468</v>
      </c>
      <c r="B4364" s="1" t="s">
        <v>13</v>
      </c>
      <c r="C4364" s="4" t="s">
        <v>19489</v>
      </c>
      <c r="D4364" s="1" t="s">
        <v>19490</v>
      </c>
      <c r="E4364" s="1" t="s">
        <v>19491</v>
      </c>
      <c r="F4364" s="4" t="s">
        <v>17</v>
      </c>
      <c r="G4364" s="1" t="s">
        <v>18</v>
      </c>
      <c r="H4364" s="1" t="s">
        <v>19</v>
      </c>
      <c r="I4364" s="1" t="s">
        <v>20</v>
      </c>
      <c r="J4364" s="1" t="s">
        <v>19492</v>
      </c>
      <c r="K4364" s="1" t="s">
        <v>22</v>
      </c>
      <c r="L4364" s="1" t="str">
        <f>HYPERLINK("https://files.afu.se/Downloads/Transcripts/0%20-%20Government/USA%20-%20NASA/2011 03 07 - NASA - Discovery Launch Captured by Multiple Cameras_xRVHylmxUk8 - transcript (automated).pdf","Transcript Link")</f>
        <v>Transcript Link</v>
      </c>
      <c r="M4364" s="2" t="str">
        <f>HYPERLINK("https://files.afu.se/Downloads/Transcripts/0%20-%20Government/USA%20-%20NASA/2011 03 07 - NASA - Discovery Launch Captured by Multiple Cameras_xRVHylmxUk8 - transcript (automated).pdf","Transcript Link")</f>
        <v>Transcript Link</v>
      </c>
    </row>
    <row r="4365" ht="165" spans="1:13">
      <c r="A4365" s="1" t="s">
        <v>19468</v>
      </c>
      <c r="B4365" s="1" t="s">
        <v>13</v>
      </c>
      <c r="C4365" s="4" t="s">
        <v>19493</v>
      </c>
      <c r="D4365" s="1" t="s">
        <v>19494</v>
      </c>
      <c r="E4365" s="1" t="s">
        <v>19495</v>
      </c>
      <c r="F4365" s="4" t="s">
        <v>17</v>
      </c>
      <c r="G4365" s="1" t="s">
        <v>18</v>
      </c>
      <c r="H4365" s="1" t="s">
        <v>19</v>
      </c>
      <c r="I4365" s="1" t="s">
        <v>20</v>
      </c>
      <c r="J4365" s="1" t="s">
        <v>19496</v>
      </c>
      <c r="K4365" s="1" t="s">
        <v>22</v>
      </c>
      <c r="L4365" s="1" t="str">
        <f>HYPERLINK("https://files.afu.se/Downloads/Transcripts/0%20-%20Government/USA%20-%20NASA/2011 03 07 - NASA - STS-133 Mission Status Briefing_YkqiblIgB_Y - transcript (automated).pdf","Transcript Link")</f>
        <v>Transcript Link</v>
      </c>
      <c r="M4365" s="2" t="str">
        <f>HYPERLINK("https://files.afu.se/Downloads/Transcripts/0%20-%20Government/USA%20-%20NASA/2011 03 07 - NASA - STS-133 Mission Status Briefing_YkqiblIgB_Y - transcript (automated).pdf","Transcript Link")</f>
        <v>Transcript Link</v>
      </c>
    </row>
    <row r="4366" ht="225" spans="1:13">
      <c r="A4366" s="1" t="s">
        <v>19468</v>
      </c>
      <c r="B4366" s="1" t="s">
        <v>13</v>
      </c>
      <c r="C4366" s="4" t="s">
        <v>19497</v>
      </c>
      <c r="D4366" s="1" t="s">
        <v>19498</v>
      </c>
      <c r="E4366" s="1" t="s">
        <v>19499</v>
      </c>
      <c r="F4366" s="4" t="s">
        <v>17</v>
      </c>
      <c r="G4366" s="1" t="s">
        <v>18</v>
      </c>
      <c r="H4366" s="1" t="s">
        <v>19</v>
      </c>
      <c r="I4366" s="1" t="s">
        <v>20</v>
      </c>
      <c r="J4366" s="1" t="s">
        <v>19500</v>
      </c>
      <c r="K4366" s="1" t="s">
        <v>22</v>
      </c>
      <c r="L4366" s="1" t="str">
        <f>HYPERLINK("https://files.afu.se/Downloads/Transcripts/0%20-%20Government/USA%20-%20NASA/2011 03 07 - NASA -  Capt. Kirk  Wakes Discovery Crew_WYmozt4yFZs - transcript (automated).pdf","Transcript Link")</f>
        <v>Transcript Link</v>
      </c>
      <c r="M4366" s="2" t="str">
        <f>HYPERLINK("https://files.afu.se/Downloads/Transcripts/0%20-%20Government/USA%20-%20NASA/2011 03 07 - NASA -  Capt. Kirk  Wakes Discovery Crew_WYmozt4yFZs - transcript (automated).pdf","Transcript Link")</f>
        <v>Transcript Link</v>
      </c>
    </row>
    <row r="4367" ht="225" spans="1:13">
      <c r="A4367" s="1" t="s">
        <v>19468</v>
      </c>
      <c r="B4367" s="1" t="s">
        <v>13</v>
      </c>
      <c r="C4367" s="4" t="s">
        <v>19501</v>
      </c>
      <c r="D4367" s="1" t="s">
        <v>19498</v>
      </c>
      <c r="E4367" s="1" t="s">
        <v>19499</v>
      </c>
      <c r="F4367" s="4" t="s">
        <v>17</v>
      </c>
      <c r="G4367" s="1" t="s">
        <v>18</v>
      </c>
      <c r="H4367" s="1" t="s">
        <v>19</v>
      </c>
      <c r="I4367" s="1" t="s">
        <v>20</v>
      </c>
      <c r="J4367" s="1" t="s">
        <v>19502</v>
      </c>
      <c r="K4367" s="1" t="s">
        <v>22</v>
      </c>
      <c r="L4367" s="1" t="str">
        <f>HYPERLINK("https://files.afu.se/Downloads/Transcripts/0%20-%20Government/USA%20-%20NASA/2011 03 07 - NASA -  Capt. Kirk  Wakes Discovery Crew_g8okqWukoaU - transcript (automated).pdf","Transcript Link")</f>
        <v>Transcript Link</v>
      </c>
      <c r="M4367" s="2" t="str">
        <f>HYPERLINK("https://files.afu.se/Downloads/Transcripts/0%20-%20Government/USA%20-%20NASA/2011 03 07 - NASA -  Capt. Kirk  Wakes Discovery Crew_g8okqWukoaU - transcript (automated).pdf","Transcript Link")</f>
        <v>Transcript Link</v>
      </c>
    </row>
    <row r="4368" ht="165" spans="1:13">
      <c r="A4368" s="1" t="s">
        <v>19468</v>
      </c>
      <c r="B4368" s="1" t="s">
        <v>13</v>
      </c>
      <c r="C4368" s="4" t="s">
        <v>19503</v>
      </c>
      <c r="D4368" s="1" t="s">
        <v>18666</v>
      </c>
      <c r="E4368" s="1" t="s">
        <v>19504</v>
      </c>
      <c r="F4368" s="4" t="s">
        <v>17</v>
      </c>
      <c r="G4368" s="1" t="s">
        <v>18</v>
      </c>
      <c r="H4368" s="1" t="s">
        <v>19</v>
      </c>
      <c r="I4368" s="1" t="s">
        <v>20</v>
      </c>
      <c r="J4368" s="1" t="s">
        <v>19505</v>
      </c>
      <c r="K4368" s="1" t="s">
        <v>22</v>
      </c>
      <c r="L4368" s="1" t="str">
        <f>HYPERLINK("https://files.afu.se/Downloads/Transcripts/0%20-%20Government/USA%20-%20NASA/2011 03 07 - NASA - Shuttle Crew Bids Station Adieu_0wEMBhq-EZ8 - transcript (automated).pdf","Transcript Link")</f>
        <v>Transcript Link</v>
      </c>
      <c r="M4368" s="2" t="str">
        <f>HYPERLINK("https://files.afu.se/Downloads/Transcripts/0%20-%20Government/USA%20-%20NASA/2011 03 07 - NASA - Shuttle Crew Bids Station Adieu_0wEMBhq-EZ8 - transcript (automated).pdf","Transcript Link")</f>
        <v>Transcript Link</v>
      </c>
    </row>
    <row r="4369" ht="165" spans="1:13">
      <c r="A4369" s="1" t="s">
        <v>19506</v>
      </c>
      <c r="B4369" s="1" t="s">
        <v>13</v>
      </c>
      <c r="C4369" s="4" t="s">
        <v>19507</v>
      </c>
      <c r="D4369" s="1" t="s">
        <v>19508</v>
      </c>
      <c r="E4369" s="1" t="s">
        <v>19509</v>
      </c>
      <c r="F4369" s="4" t="s">
        <v>17</v>
      </c>
      <c r="G4369" s="1" t="s">
        <v>18</v>
      </c>
      <c r="H4369" s="1" t="s">
        <v>19</v>
      </c>
      <c r="I4369" s="1" t="s">
        <v>20</v>
      </c>
      <c r="J4369" s="1" t="s">
        <v>19510</v>
      </c>
      <c r="K4369" s="1" t="s">
        <v>22</v>
      </c>
      <c r="L4369" s="1" t="str">
        <f>HYPERLINK("https://files.afu.se/Downloads/Transcripts/0%20-%20Government/USA%20-%20NASA/2011 03 06 - NASA - Mission Moves Into Final Phase_x0OaCenDySM - transcript (automated).pdf","Transcript Link")</f>
        <v>Transcript Link</v>
      </c>
      <c r="M4369" s="2" t="str">
        <f>HYPERLINK("https://files.afu.se/Downloads/Transcripts/0%20-%20Government/USA%20-%20NASA/2011 03 06 - NASA - Mission Moves Into Final Phase_x0OaCenDySM - transcript (automated).pdf","Transcript Link")</f>
        <v>Transcript Link</v>
      </c>
    </row>
    <row r="4370" ht="165" spans="1:13">
      <c r="A4370" s="1" t="s">
        <v>19506</v>
      </c>
      <c r="B4370" s="1" t="s">
        <v>13</v>
      </c>
      <c r="C4370" s="4" t="s">
        <v>19511</v>
      </c>
      <c r="D4370" s="1" t="s">
        <v>19512</v>
      </c>
      <c r="E4370" s="1" t="s">
        <v>19513</v>
      </c>
      <c r="F4370" s="4" t="s">
        <v>17</v>
      </c>
      <c r="G4370" s="1" t="s">
        <v>18</v>
      </c>
      <c r="H4370" s="1" t="s">
        <v>19</v>
      </c>
      <c r="I4370" s="1" t="s">
        <v>20</v>
      </c>
      <c r="J4370" s="1" t="s">
        <v>19514</v>
      </c>
      <c r="K4370" s="1" t="s">
        <v>22</v>
      </c>
      <c r="L4370" s="1" t="str">
        <f>HYPERLINK("https://files.afu.se/Downloads/Transcripts/0%20-%20Government/USA%20-%20NASA/2011 03 06 - NASA - On-Orbit Crews Troubleshoot Station  Air Scrubber _R22UNGuJyYw - transcript (automated).pdf","Transcript Link")</f>
        <v>Transcript Link</v>
      </c>
      <c r="M4370" s="2" t="str">
        <f>HYPERLINK("https://files.afu.se/Downloads/Transcripts/0%20-%20Government/USA%20-%20NASA/2011 03 06 - NASA - On-Orbit Crews Troubleshoot Station  Air Scrubber _R22UNGuJyYw - transcript (automated).pdf","Transcript Link")</f>
        <v>Transcript Link</v>
      </c>
    </row>
    <row r="4371" ht="165" spans="1:13">
      <c r="A4371" s="1" t="s">
        <v>19506</v>
      </c>
      <c r="B4371" s="1" t="s">
        <v>13</v>
      </c>
      <c r="C4371" s="4" t="s">
        <v>19515</v>
      </c>
      <c r="D4371" s="1" t="s">
        <v>19516</v>
      </c>
      <c r="E4371" s="1" t="s">
        <v>19517</v>
      </c>
      <c r="F4371" s="4" t="s">
        <v>17</v>
      </c>
      <c r="G4371" s="1" t="s">
        <v>18</v>
      </c>
      <c r="H4371" s="1" t="s">
        <v>19</v>
      </c>
      <c r="I4371" s="1" t="s">
        <v>20</v>
      </c>
      <c r="J4371" s="1" t="s">
        <v>19518</v>
      </c>
      <c r="K4371" s="1" t="s">
        <v>22</v>
      </c>
      <c r="L4371" s="1" t="str">
        <f>HYPERLINK("https://files.afu.se/Downloads/Transcripts/0%20-%20Government/USA%20-%20NASA/2011 03 06 - NASA - Shuttle Crew Spends Last Full Day on Station_wxmw3LE9rvY - transcript (automated).pdf","Transcript Link")</f>
        <v>Transcript Link</v>
      </c>
      <c r="M4371" s="2" t="str">
        <f>HYPERLINK("https://files.afu.se/Downloads/Transcripts/0%20-%20Government/USA%20-%20NASA/2011 03 06 - NASA - Shuttle Crew Spends Last Full Day on Station_wxmw3LE9rvY - transcript (automated).pdf","Transcript Link")</f>
        <v>Transcript Link</v>
      </c>
    </row>
    <row r="4372" ht="165" spans="1:13">
      <c r="A4372" s="1" t="s">
        <v>19519</v>
      </c>
      <c r="B4372" s="1" t="s">
        <v>13</v>
      </c>
      <c r="C4372" s="4" t="s">
        <v>19520</v>
      </c>
      <c r="D4372" s="1" t="s">
        <v>19521</v>
      </c>
      <c r="E4372" s="1" t="s">
        <v>19522</v>
      </c>
      <c r="F4372" s="4" t="s">
        <v>17</v>
      </c>
      <c r="G4372" s="1" t="s">
        <v>18</v>
      </c>
      <c r="H4372" s="1" t="s">
        <v>19</v>
      </c>
      <c r="I4372" s="1" t="s">
        <v>20</v>
      </c>
      <c r="J4372" s="1" t="s">
        <v>19523</v>
      </c>
      <c r="K4372" s="1" t="s">
        <v>22</v>
      </c>
      <c r="L4372" s="1" t="str">
        <f>HYPERLINK("https://files.afu.se/Downloads/Transcripts/0%20-%20Government/USA%20-%20NASA/2011 03 05 - NASA - News Conference Tops Crew's Day in Space_FE0sgybgQy4 - transcript (automated).pdf","Transcript Link")</f>
        <v>Transcript Link</v>
      </c>
      <c r="M4372" s="2" t="str">
        <f>HYPERLINK("https://files.afu.se/Downloads/Transcripts/0%20-%20Government/USA%20-%20NASA/2011 03 05 - NASA - News Conference Tops Crew's Day in Space_FE0sgybgQy4 - transcript (automated).pdf","Transcript Link")</f>
        <v>Transcript Link</v>
      </c>
    </row>
    <row r="4373" ht="165" spans="1:13">
      <c r="A4373" s="1" t="s">
        <v>19519</v>
      </c>
      <c r="B4373" s="1" t="s">
        <v>13</v>
      </c>
      <c r="C4373" s="4" t="s">
        <v>19524</v>
      </c>
      <c r="D4373" s="1" t="s">
        <v>19525</v>
      </c>
      <c r="E4373" s="1" t="s">
        <v>19526</v>
      </c>
      <c r="F4373" s="4" t="s">
        <v>17</v>
      </c>
      <c r="G4373" s="1" t="s">
        <v>18</v>
      </c>
      <c r="H4373" s="1" t="s">
        <v>19</v>
      </c>
      <c r="I4373" s="1" t="s">
        <v>20</v>
      </c>
      <c r="J4373" s="1" t="s">
        <v>19527</v>
      </c>
      <c r="K4373" s="1" t="s">
        <v>22</v>
      </c>
      <c r="L4373" s="1" t="str">
        <f>HYPERLINK("https://files.afu.se/Downloads/Transcripts/0%20-%20Government/USA%20-%20NASA/2011 03 05 - NASA - Crews Continue Outfitting New Station  Room _zLmDKo5rxKg - transcript (automated).pdf","Transcript Link")</f>
        <v>Transcript Link</v>
      </c>
      <c r="M4373" s="2" t="str">
        <f>HYPERLINK("https://files.afu.se/Downloads/Transcripts/0%20-%20Government/USA%20-%20NASA/2011 03 05 - NASA - Crews Continue Outfitting New Station  Room _zLmDKo5rxKg - transcript (automated).pdf","Transcript Link")</f>
        <v>Transcript Link</v>
      </c>
    </row>
    <row r="4374" ht="165" spans="1:13">
      <c r="A4374" s="1" t="s">
        <v>19528</v>
      </c>
      <c r="B4374" s="1" t="s">
        <v>13</v>
      </c>
      <c r="C4374" s="4" t="s">
        <v>19529</v>
      </c>
      <c r="D4374" s="1" t="s">
        <v>19530</v>
      </c>
      <c r="E4374" s="1" t="s">
        <v>19531</v>
      </c>
      <c r="F4374" s="4" t="s">
        <v>17</v>
      </c>
      <c r="G4374" s="1" t="s">
        <v>18</v>
      </c>
      <c r="H4374" s="1" t="s">
        <v>19</v>
      </c>
      <c r="I4374" s="1" t="s">
        <v>20</v>
      </c>
      <c r="J4374" s="1" t="s">
        <v>19532</v>
      </c>
      <c r="K4374" s="1" t="s">
        <v>22</v>
      </c>
      <c r="L4374" s="1" t="str">
        <f>HYPERLINK("https://files.afu.se/Downloads/Transcripts/0%20-%20Government/USA%20-%20NASA/2011 03 04 - NASA - Shuttle, Station Crews Hold Joint News Conference_HQz3huNCX-o - transcript (automated).pdf","Transcript Link")</f>
        <v>Transcript Link</v>
      </c>
      <c r="M4374" s="2" t="str">
        <f>HYPERLINK("https://files.afu.se/Downloads/Transcripts/0%20-%20Government/USA%20-%20NASA/2011 03 04 - NASA - Shuttle, Station Crews Hold Joint News Conference_HQz3huNCX-o - transcript (automated).pdf","Transcript Link")</f>
        <v>Transcript Link</v>
      </c>
    </row>
    <row r="4375" ht="165" spans="1:13">
      <c r="A4375" s="1" t="s">
        <v>19528</v>
      </c>
      <c r="B4375" s="1" t="s">
        <v>13</v>
      </c>
      <c r="C4375" s="4" t="s">
        <v>19533</v>
      </c>
      <c r="D4375" s="1" t="s">
        <v>19534</v>
      </c>
      <c r="E4375" s="1" t="s">
        <v>19535</v>
      </c>
      <c r="F4375" s="4" t="s">
        <v>17</v>
      </c>
      <c r="G4375" s="1" t="s">
        <v>18</v>
      </c>
      <c r="H4375" s="1" t="s">
        <v>19</v>
      </c>
      <c r="I4375" s="1" t="s">
        <v>20</v>
      </c>
      <c r="J4375" s="1" t="s">
        <v>19536</v>
      </c>
      <c r="K4375" s="1" t="s">
        <v>22</v>
      </c>
      <c r="L4375" s="1" t="str">
        <f>HYPERLINK("https://files.afu.se/Downloads/Transcripts/0%20-%20Government/USA%20-%20NASA/2011 03 04 - NASA - Endeavour Gears Up on This Week @NASA_Hv7Qw9bnZe8 - transcript (automated).pdf","Transcript Link")</f>
        <v>Transcript Link</v>
      </c>
      <c r="M4375" s="2" t="str">
        <f>HYPERLINK("https://files.afu.se/Downloads/Transcripts/0%20-%20Government/USA%20-%20NASA/2011 03 04 - NASA - Endeavour Gears Up on This Week @NASA_Hv7Qw9bnZe8 - transcript (automated).pdf","Transcript Link")</f>
        <v>Transcript Link</v>
      </c>
    </row>
    <row r="4376" ht="165" spans="1:13">
      <c r="A4376" s="1" t="s">
        <v>19528</v>
      </c>
      <c r="B4376" s="1" t="s">
        <v>13</v>
      </c>
      <c r="C4376" s="4" t="s">
        <v>19537</v>
      </c>
      <c r="D4376" s="1" t="s">
        <v>19538</v>
      </c>
      <c r="E4376" s="1" t="s">
        <v>19539</v>
      </c>
      <c r="F4376" s="4" t="s">
        <v>17</v>
      </c>
      <c r="G4376" s="1" t="s">
        <v>18</v>
      </c>
      <c r="H4376" s="1" t="s">
        <v>19</v>
      </c>
      <c r="I4376" s="1" t="s">
        <v>20</v>
      </c>
      <c r="J4376" s="1" t="s">
        <v>19540</v>
      </c>
      <c r="K4376" s="1" t="s">
        <v>22</v>
      </c>
      <c r="L4376" s="1" t="str">
        <f>HYPERLINK("https://files.afu.se/Downloads/Transcripts/0%20-%20Government/USA%20-%20NASA/2011 03 04 - NASA - Media Briefed on Glory Mission Failure_U_IKkGJzFDM - transcript (automated).pdf","Transcript Link")</f>
        <v>Transcript Link</v>
      </c>
      <c r="M4376" s="2" t="str">
        <f>HYPERLINK("https://files.afu.se/Downloads/Transcripts/0%20-%20Government/USA%20-%20NASA/2011 03 04 - NASA - Media Briefed on Glory Mission Failure_U_IKkGJzFDM - transcript (automated).pdf","Transcript Link")</f>
        <v>Transcript Link</v>
      </c>
    </row>
    <row r="4377" ht="165" spans="1:13">
      <c r="A4377" s="1" t="s">
        <v>19528</v>
      </c>
      <c r="B4377" s="1" t="s">
        <v>13</v>
      </c>
      <c r="C4377" s="4" t="s">
        <v>19541</v>
      </c>
      <c r="D4377" s="1" t="s">
        <v>19542</v>
      </c>
      <c r="E4377" s="1" t="s">
        <v>19543</v>
      </c>
      <c r="F4377" s="4" t="s">
        <v>17</v>
      </c>
      <c r="G4377" s="1" t="s">
        <v>18</v>
      </c>
      <c r="H4377" s="1" t="s">
        <v>19</v>
      </c>
      <c r="I4377" s="1" t="s">
        <v>20</v>
      </c>
      <c r="J4377" s="1" t="s">
        <v>19544</v>
      </c>
      <c r="K4377" s="1" t="s">
        <v>22</v>
      </c>
      <c r="L4377" s="1" t="str">
        <f>HYPERLINK("https://files.afu.se/Downloads/Transcripts/0%20-%20Government/USA%20-%20NASA/2011 03 04 - NASA - On-Orbit Astronauts Talk with Marshall Interns_FvSDO1GS2gY - transcript (automated).pdf","Transcript Link")</f>
        <v>Transcript Link</v>
      </c>
      <c r="M4377" s="2" t="str">
        <f>HYPERLINK("https://files.afu.se/Downloads/Transcripts/0%20-%20Government/USA%20-%20NASA/2011 03 04 - NASA - On-Orbit Astronauts Talk with Marshall Interns_FvSDO1GS2gY - transcript (automated).pdf","Transcript Link")</f>
        <v>Transcript Link</v>
      </c>
    </row>
    <row r="4378" ht="165" spans="1:13">
      <c r="A4378" s="1" t="s">
        <v>19528</v>
      </c>
      <c r="B4378" s="1" t="s">
        <v>13</v>
      </c>
      <c r="C4378" s="4" t="s">
        <v>19545</v>
      </c>
      <c r="D4378" s="1" t="s">
        <v>19546</v>
      </c>
      <c r="E4378" s="1" t="s">
        <v>19547</v>
      </c>
      <c r="F4378" s="4" t="s">
        <v>17</v>
      </c>
      <c r="G4378" s="1" t="s">
        <v>18</v>
      </c>
      <c r="H4378" s="1" t="s">
        <v>19</v>
      </c>
      <c r="I4378" s="1" t="s">
        <v>20</v>
      </c>
      <c r="J4378" s="1" t="s">
        <v>19548</v>
      </c>
      <c r="K4378" s="1" t="s">
        <v>22</v>
      </c>
      <c r="L4378" s="1" t="str">
        <f>HYPERLINK("https://files.afu.se/Downloads/Transcripts/0%20-%20Government/USA%20-%20NASA/2011 03 04 - NASA - President's Phone Call Tops Crew's Flight Day 8_Q3jh3UEF97Q - transcript (automated).pdf","Transcript Link")</f>
        <v>Transcript Link</v>
      </c>
      <c r="M4378" s="2" t="str">
        <f>HYPERLINK("https://files.afu.se/Downloads/Transcripts/0%20-%20Government/USA%20-%20NASA/2011 03 04 - NASA - President's Phone Call Tops Crew's Flight Day 8_Q3jh3UEF97Q - transcript (automated).pdf","Transcript Link")</f>
        <v>Transcript Link</v>
      </c>
    </row>
    <row r="4379" ht="165" spans="1:13">
      <c r="A4379" s="1" t="s">
        <v>19549</v>
      </c>
      <c r="B4379" s="1" t="s">
        <v>13</v>
      </c>
      <c r="C4379" s="4" t="s">
        <v>19550</v>
      </c>
      <c r="D4379" s="1" t="s">
        <v>19551</v>
      </c>
      <c r="E4379" s="1" t="s">
        <v>19552</v>
      </c>
      <c r="F4379" s="4" t="s">
        <v>17</v>
      </c>
      <c r="G4379" s="1" t="s">
        <v>18</v>
      </c>
      <c r="H4379" s="1" t="s">
        <v>19</v>
      </c>
      <c r="I4379" s="1" t="s">
        <v>20</v>
      </c>
      <c r="J4379" s="1" t="s">
        <v>19553</v>
      </c>
      <c r="K4379" s="1" t="s">
        <v>22</v>
      </c>
      <c r="L4379" s="1" t="str">
        <f>HYPERLINK("https://files.afu.se/Downloads/Transcripts/0%20-%20Government/USA%20-%20NASA/2011 03 03 - NASA - President Obama Calls On-Orbit Crews_UE1o_1U8cYg - transcript (automated).pdf","Transcript Link")</f>
        <v>Transcript Link</v>
      </c>
      <c r="M4379" s="2" t="str">
        <f>HYPERLINK("https://files.afu.se/Downloads/Transcripts/0%20-%20Government/USA%20-%20NASA/2011 03 03 - NASA - President Obama Calls On-Orbit Crews_UE1o_1U8cYg - transcript (automated).pdf","Transcript Link")</f>
        <v>Transcript Link</v>
      </c>
    </row>
    <row r="4380" ht="165" spans="1:13">
      <c r="A4380" s="1" t="s">
        <v>19549</v>
      </c>
      <c r="B4380" s="1" t="s">
        <v>13</v>
      </c>
      <c r="C4380" s="4" t="s">
        <v>19554</v>
      </c>
      <c r="D4380" s="1" t="s">
        <v>19551</v>
      </c>
      <c r="E4380" s="1" t="s">
        <v>19555</v>
      </c>
      <c r="F4380" s="4" t="s">
        <v>17</v>
      </c>
      <c r="G4380" s="1" t="s">
        <v>18</v>
      </c>
      <c r="H4380" s="1" t="s">
        <v>19</v>
      </c>
      <c r="I4380" s="1" t="s">
        <v>20</v>
      </c>
      <c r="J4380" s="1" t="s">
        <v>19556</v>
      </c>
      <c r="K4380" s="1" t="s">
        <v>22</v>
      </c>
      <c r="L4380" s="1" t="str">
        <f>HYPERLINK("https://files.afu.se/Downloads/Transcripts/0%20-%20Government/USA%20-%20NASA/2011 03 03 - NASA - President Obama Calls On-Orbit Crews_kSuNwTxeAuo - transcript (automated).pdf","Transcript Link")</f>
        <v>Transcript Link</v>
      </c>
      <c r="M4380" s="2" t="str">
        <f>HYPERLINK("https://files.afu.se/Downloads/Transcripts/0%20-%20Government/USA%20-%20NASA/2011 03 03 - NASA - President Obama Calls On-Orbit Crews_kSuNwTxeAuo - transcript (automated).pdf","Transcript Link")</f>
        <v>Transcript Link</v>
      </c>
    </row>
    <row r="4381" ht="165" spans="1:13">
      <c r="A4381" s="1" t="s">
        <v>19549</v>
      </c>
      <c r="B4381" s="1" t="s">
        <v>13</v>
      </c>
      <c r="C4381" s="4" t="s">
        <v>19557</v>
      </c>
      <c r="D4381" s="1" t="s">
        <v>19558</v>
      </c>
      <c r="E4381" s="1" t="s">
        <v>19559</v>
      </c>
      <c r="F4381" s="4" t="s">
        <v>17</v>
      </c>
      <c r="G4381" s="1" t="s">
        <v>18</v>
      </c>
      <c r="H4381" s="1" t="s">
        <v>19</v>
      </c>
      <c r="I4381" s="1" t="s">
        <v>20</v>
      </c>
      <c r="J4381" s="1" t="s">
        <v>19560</v>
      </c>
      <c r="K4381" s="1" t="s">
        <v>22</v>
      </c>
      <c r="L4381" s="1" t="str">
        <f>HYPERLINK("https://files.afu.se/Downloads/Transcripts/0%20-%20Government/USA%20-%20NASA/2011 03 03 - NASA - New Views of Discovery's Launch from Shuttle's Solid Rocket Boosters_fvSRnOJ8x38 - transcript (automated).pdf","Transcript Link")</f>
        <v>Transcript Link</v>
      </c>
      <c r="M4381" s="2" t="str">
        <f>HYPERLINK("https://files.afu.se/Downloads/Transcripts/0%20-%20Government/USA%20-%20NASA/2011 03 03 - NASA - New Views of Discovery's Launch from Shuttle's Solid Rocket Boosters_fvSRnOJ8x38 - transcript (automated).pdf","Transcript Link")</f>
        <v>Transcript Link</v>
      </c>
    </row>
    <row r="4382" ht="165" spans="1:13">
      <c r="A4382" s="1" t="s">
        <v>19549</v>
      </c>
      <c r="B4382" s="1" t="s">
        <v>13</v>
      </c>
      <c r="C4382" s="4" t="s">
        <v>19561</v>
      </c>
      <c r="D4382" s="1" t="s">
        <v>19562</v>
      </c>
      <c r="E4382" s="1" t="s">
        <v>19563</v>
      </c>
      <c r="F4382" s="4" t="s">
        <v>17</v>
      </c>
      <c r="G4382" s="1" t="s">
        <v>18</v>
      </c>
      <c r="H4382" s="1" t="s">
        <v>19</v>
      </c>
      <c r="I4382" s="1" t="s">
        <v>20</v>
      </c>
      <c r="J4382" s="1" t="s">
        <v>19564</v>
      </c>
      <c r="K4382" s="1" t="s">
        <v>22</v>
      </c>
      <c r="L4382" s="1" t="str">
        <f>HYPERLINK("https://files.afu.se/Downloads/Transcripts/0%20-%20Government/USA%20-%20NASA/2011 03 03 - NASA - Shuttle Astronauts Chat with Broadcast Media_y1Rhqg3pvqQ - transcript (automated).pdf","Transcript Link")</f>
        <v>Transcript Link</v>
      </c>
      <c r="M4382" s="2" t="str">
        <f>HYPERLINK("https://files.afu.se/Downloads/Transcripts/0%20-%20Government/USA%20-%20NASA/2011 03 03 - NASA - Shuttle Astronauts Chat with Broadcast Media_y1Rhqg3pvqQ - transcript (automated).pdf","Transcript Link")</f>
        <v>Transcript Link</v>
      </c>
    </row>
    <row r="4383" ht="165" spans="1:13">
      <c r="A4383" s="1" t="s">
        <v>19549</v>
      </c>
      <c r="B4383" s="1" t="s">
        <v>13</v>
      </c>
      <c r="C4383" s="4" t="s">
        <v>19565</v>
      </c>
      <c r="D4383" s="1" t="s">
        <v>19566</v>
      </c>
      <c r="E4383" s="1" t="s">
        <v>19567</v>
      </c>
      <c r="F4383" s="4" t="s">
        <v>17</v>
      </c>
      <c r="G4383" s="1" t="s">
        <v>18</v>
      </c>
      <c r="H4383" s="1" t="s">
        <v>19</v>
      </c>
      <c r="I4383" s="1" t="s">
        <v>20</v>
      </c>
      <c r="J4383" s="1" t="s">
        <v>19568</v>
      </c>
      <c r="K4383" s="1" t="s">
        <v>22</v>
      </c>
      <c r="L4383" s="1" t="str">
        <f>HYPERLINK("https://files.afu.se/Downloads/Transcripts/0%20-%20Government/USA%20-%20NASA/2011 03 03 - NASA - Second EVA Highlights Flight Day 7_7odWaoSpGRg - transcript (automated).pdf","Transcript Link")</f>
        <v>Transcript Link</v>
      </c>
      <c r="M4383" s="2" t="str">
        <f>HYPERLINK("https://files.afu.se/Downloads/Transcripts/0%20-%20Government/USA%20-%20NASA/2011 03 03 - NASA - Second EVA Highlights Flight Day 7_7odWaoSpGRg - transcript (automated).pdf","Transcript Link")</f>
        <v>Transcript Link</v>
      </c>
    </row>
    <row r="4384" ht="165" spans="1:13">
      <c r="A4384" s="1" t="s">
        <v>19549</v>
      </c>
      <c r="B4384" s="1" t="s">
        <v>13</v>
      </c>
      <c r="C4384" s="4" t="s">
        <v>19569</v>
      </c>
      <c r="D4384" s="1" t="s">
        <v>19570</v>
      </c>
      <c r="E4384" s="1" t="s">
        <v>19571</v>
      </c>
      <c r="F4384" s="4" t="s">
        <v>17</v>
      </c>
      <c r="G4384" s="1" t="s">
        <v>18</v>
      </c>
      <c r="H4384" s="1" t="s">
        <v>19</v>
      </c>
      <c r="I4384" s="1" t="s">
        <v>20</v>
      </c>
      <c r="J4384" s="1" t="s">
        <v>19572</v>
      </c>
      <c r="K4384" s="1" t="s">
        <v>22</v>
      </c>
      <c r="L4384" s="1" t="str">
        <f>HYPERLINK("https://files.afu.se/Downloads/Transcripts/0%20-%20Government/USA%20-%20NASA/2011 03 03 - NASA - Discovery Crew on National, Local TV_NmbEt_olRys - transcript (automated).pdf","Transcript Link")</f>
        <v>Transcript Link</v>
      </c>
      <c r="M4384" s="2" t="str">
        <f>HYPERLINK("https://files.afu.se/Downloads/Transcripts/0%20-%20Government/USA%20-%20NASA/2011 03 03 - NASA - Discovery Crew on National, Local TV_NmbEt_olRys - transcript (automated).pdf","Transcript Link")</f>
        <v>Transcript Link</v>
      </c>
    </row>
    <row r="4385" ht="165" spans="1:13">
      <c r="A4385" s="1" t="s">
        <v>19549</v>
      </c>
      <c r="B4385" s="1" t="s">
        <v>13</v>
      </c>
      <c r="C4385" s="4" t="s">
        <v>19573</v>
      </c>
      <c r="D4385" s="1" t="s">
        <v>19574</v>
      </c>
      <c r="E4385" s="1" t="s">
        <v>19575</v>
      </c>
      <c r="F4385" s="4" t="s">
        <v>17</v>
      </c>
      <c r="G4385" s="1" t="s">
        <v>18</v>
      </c>
      <c r="H4385" s="1" t="s">
        <v>19</v>
      </c>
      <c r="I4385" s="1" t="s">
        <v>20</v>
      </c>
      <c r="J4385" s="1" t="s">
        <v>19576</v>
      </c>
      <c r="K4385" s="1" t="s">
        <v>22</v>
      </c>
      <c r="L4385" s="1" t="str">
        <f>HYPERLINK("https://files.afu.se/Downloads/Transcripts/0%20-%20Government/USA%20-%20NASA/2011 03 03 - NASA - Module Installed to Station's Unity Node_3LX18OeUAFA - transcript (automated).pdf","Transcript Link")</f>
        <v>Transcript Link</v>
      </c>
      <c r="M4385" s="2" t="str">
        <f>HYPERLINK("https://files.afu.se/Downloads/Transcripts/0%20-%20Government/USA%20-%20NASA/2011 03 03 - NASA - Module Installed to Station's Unity Node_3LX18OeUAFA - transcript (automated).pdf","Transcript Link")</f>
        <v>Transcript Link</v>
      </c>
    </row>
    <row r="4386" ht="165" spans="1:13">
      <c r="A4386" s="1" t="s">
        <v>19549</v>
      </c>
      <c r="B4386" s="1" t="s">
        <v>13</v>
      </c>
      <c r="C4386" s="4" t="s">
        <v>19577</v>
      </c>
      <c r="D4386" s="1" t="s">
        <v>19578</v>
      </c>
      <c r="E4386" s="1" t="s">
        <v>19579</v>
      </c>
      <c r="F4386" s="4" t="s">
        <v>17</v>
      </c>
      <c r="G4386" s="1" t="s">
        <v>18</v>
      </c>
      <c r="H4386" s="1" t="s">
        <v>19</v>
      </c>
      <c r="I4386" s="1" t="s">
        <v>20</v>
      </c>
      <c r="J4386" s="1" t="s">
        <v>19580</v>
      </c>
      <c r="K4386" s="1" t="s">
        <v>22</v>
      </c>
      <c r="L4386" s="1" t="str">
        <f>HYPERLINK("https://files.afu.se/Downloads/Transcripts/0%20-%20Government/USA%20-%20NASA/2011 03 03 - NASA - Bowen, Drew Back Outside on Flight Day 7_E2RyGOB7v_Y - transcript (automated).pdf","Transcript Link")</f>
        <v>Transcript Link</v>
      </c>
      <c r="M4386" s="2" t="str">
        <f>HYPERLINK("https://files.afu.se/Downloads/Transcripts/0%20-%20Government/USA%20-%20NASA/2011 03 03 - NASA - Bowen, Drew Back Outside on Flight Day 7_E2RyGOB7v_Y - transcript (automated).pdf","Transcript Link")</f>
        <v>Transcript Link</v>
      </c>
    </row>
    <row r="4387" ht="165" spans="1:13">
      <c r="A4387" s="1" t="s">
        <v>19549</v>
      </c>
      <c r="B4387" s="1" t="s">
        <v>13</v>
      </c>
      <c r="C4387" s="4" t="s">
        <v>19581</v>
      </c>
      <c r="D4387" s="1" t="s">
        <v>19582</v>
      </c>
      <c r="E4387" s="1" t="s">
        <v>19583</v>
      </c>
      <c r="F4387" s="4" t="s">
        <v>17</v>
      </c>
      <c r="G4387" s="1" t="s">
        <v>18</v>
      </c>
      <c r="H4387" s="1" t="s">
        <v>19</v>
      </c>
      <c r="I4387" s="1" t="s">
        <v>20</v>
      </c>
      <c r="J4387" s="1" t="s">
        <v>19584</v>
      </c>
      <c r="K4387" s="1" t="s">
        <v>22</v>
      </c>
      <c r="L4387" s="1" t="str">
        <f>HYPERLINK("https://files.afu.se/Downloads/Transcripts/0%20-%20Government/USA%20-%20NASA/2011 03 03 - NASA - Mission Team Pleased with Progress_-UiVHayv3gM - transcript (automated).pdf","Transcript Link")</f>
        <v>Transcript Link</v>
      </c>
      <c r="M4387" s="2" t="str">
        <f>HYPERLINK("https://files.afu.se/Downloads/Transcripts/0%20-%20Government/USA%20-%20NASA/2011 03 03 - NASA - Mission Team Pleased with Progress_-UiVHayv3gM - transcript (automated).pdf","Transcript Link")</f>
        <v>Transcript Link</v>
      </c>
    </row>
    <row r="4388" ht="210" spans="1:13">
      <c r="A4388" s="1" t="s">
        <v>19585</v>
      </c>
      <c r="B4388" s="1" t="s">
        <v>13</v>
      </c>
      <c r="C4388" s="4" t="s">
        <v>19586</v>
      </c>
      <c r="D4388" s="1" t="s">
        <v>19587</v>
      </c>
      <c r="E4388" s="1" t="s">
        <v>19588</v>
      </c>
      <c r="F4388" s="4" t="s">
        <v>17</v>
      </c>
      <c r="G4388" s="1" t="s">
        <v>18</v>
      </c>
      <c r="H4388" s="1" t="s">
        <v>19</v>
      </c>
      <c r="I4388" s="1" t="s">
        <v>20</v>
      </c>
      <c r="J4388" s="1" t="s">
        <v>19589</v>
      </c>
      <c r="K4388" s="1" t="s">
        <v>22</v>
      </c>
      <c r="L4388" s="1" t="str">
        <f>HYPERLINK("https://files.afu.se/Downloads/Transcripts/0%20-%20Government/USA%20-%20NASA/2011 03 02 - NASA - Shuttle Endeavour Attached to Boosters, Tank for Final Mission_KfH8fjJecyE - transcript (automated).pdf","Transcript Link")</f>
        <v>Transcript Link</v>
      </c>
      <c r="M4388" s="2" t="str">
        <f>HYPERLINK("https://files.afu.se/Downloads/Transcripts/0%20-%20Government/USA%20-%20NASA/2011 03 02 - NASA - Shuttle Endeavour Attached to Boosters, Tank for Final Mission_KfH8fjJecyE - transcript (automated).pdf","Transcript Link")</f>
        <v>Transcript Link</v>
      </c>
    </row>
    <row r="4389" ht="165" spans="1:13">
      <c r="A4389" s="1" t="s">
        <v>19585</v>
      </c>
      <c r="B4389" s="1" t="s">
        <v>13</v>
      </c>
      <c r="C4389" s="4" t="s">
        <v>19590</v>
      </c>
      <c r="D4389" s="1" t="s">
        <v>19591</v>
      </c>
      <c r="E4389" s="1" t="s">
        <v>19592</v>
      </c>
      <c r="F4389" s="4" t="s">
        <v>17</v>
      </c>
      <c r="G4389" s="1" t="s">
        <v>18</v>
      </c>
      <c r="H4389" s="1" t="s">
        <v>19</v>
      </c>
      <c r="I4389" s="1" t="s">
        <v>20</v>
      </c>
      <c r="J4389" s="1" t="s">
        <v>19593</v>
      </c>
      <c r="K4389" s="1" t="s">
        <v>22</v>
      </c>
      <c r="L4389" s="1" t="str">
        <f>HYPERLINK("https://files.afu.se/Downloads/Transcripts/0%20-%20Government/USA%20-%20NASA/2011 03 02 - NASA - Bowen and Drew Perform First Spacewalk_-S9bAkz2X70 - transcript (automated).pdf","Transcript Link")</f>
        <v>Transcript Link</v>
      </c>
      <c r="M4389" s="2" t="str">
        <f>HYPERLINK("https://files.afu.se/Downloads/Transcripts/0%20-%20Government/USA%20-%20NASA/2011 03 02 - NASA - Bowen and Drew Perform First Spacewalk_-S9bAkz2X70 - transcript (automated).pdf","Transcript Link")</f>
        <v>Transcript Link</v>
      </c>
    </row>
    <row r="4390" ht="165" spans="1:13">
      <c r="A4390" s="1" t="s">
        <v>19585</v>
      </c>
      <c r="B4390" s="1" t="s">
        <v>13</v>
      </c>
      <c r="C4390" s="4" t="s">
        <v>19594</v>
      </c>
      <c r="D4390" s="1" t="s">
        <v>19595</v>
      </c>
      <c r="E4390" s="1" t="s">
        <v>19596</v>
      </c>
      <c r="F4390" s="4" t="s">
        <v>17</v>
      </c>
      <c r="G4390" s="1" t="s">
        <v>18</v>
      </c>
      <c r="H4390" s="1" t="s">
        <v>19</v>
      </c>
      <c r="I4390" s="1" t="s">
        <v>20</v>
      </c>
      <c r="J4390" s="1" t="s">
        <v>19597</v>
      </c>
      <c r="K4390" s="1" t="s">
        <v>22</v>
      </c>
      <c r="L4390" s="1" t="str">
        <f>HYPERLINK("https://files.afu.se/Downloads/Transcripts/0%20-%20Government/USA%20-%20NASA/2011 03 02 - NASA - Bowen and Drew Campout on Flight Day 4_OFQ3HGHMBa8 - transcript (automated).pdf","Transcript Link")</f>
        <v>Transcript Link</v>
      </c>
      <c r="M4390" s="2" t="str">
        <f>HYPERLINK("https://files.afu.se/Downloads/Transcripts/0%20-%20Government/USA%20-%20NASA/2011 03 02 - NASA - Bowen and Drew Campout on Flight Day 4_OFQ3HGHMBa8 - transcript (automated).pdf","Transcript Link")</f>
        <v>Transcript Link</v>
      </c>
    </row>
    <row r="4391" ht="165" spans="1:13">
      <c r="A4391" s="1" t="s">
        <v>19585</v>
      </c>
      <c r="B4391" s="1" t="s">
        <v>13</v>
      </c>
      <c r="C4391" s="4" t="s">
        <v>19598</v>
      </c>
      <c r="D4391" s="1" t="s">
        <v>19599</v>
      </c>
      <c r="E4391" s="1" t="s">
        <v>19600</v>
      </c>
      <c r="F4391" s="4" t="s">
        <v>17</v>
      </c>
      <c r="G4391" s="1" t="s">
        <v>18</v>
      </c>
      <c r="H4391" s="1" t="s">
        <v>19</v>
      </c>
      <c r="I4391" s="1" t="s">
        <v>20</v>
      </c>
      <c r="J4391" s="1" t="s">
        <v>19601</v>
      </c>
      <c r="K4391" s="1" t="s">
        <v>22</v>
      </c>
      <c r="L4391" s="1" t="str">
        <f>HYPERLINK("https://files.afu.se/Downloads/Transcripts/0%20-%20Government/USA%20-%20NASA/2011 03 02 - NASA - Station Gets New Storage Module_TRxwXrTMwew - transcript (automated).pdf","Transcript Link")</f>
        <v>Transcript Link</v>
      </c>
      <c r="M4391" s="2" t="str">
        <f>HYPERLINK("https://files.afu.se/Downloads/Transcripts/0%20-%20Government/USA%20-%20NASA/2011 03 02 - NASA - Station Gets New Storage Module_TRxwXrTMwew - transcript (automated).pdf","Transcript Link")</f>
        <v>Transcript Link</v>
      </c>
    </row>
    <row r="4392" ht="165" spans="1:13">
      <c r="A4392" s="1" t="s">
        <v>19602</v>
      </c>
      <c r="B4392" s="1" t="s">
        <v>13</v>
      </c>
      <c r="C4392" s="4" t="s">
        <v>19603</v>
      </c>
      <c r="D4392" s="1" t="s">
        <v>19604</v>
      </c>
      <c r="E4392" s="1" t="s">
        <v>19605</v>
      </c>
      <c r="F4392" s="4" t="s">
        <v>17</v>
      </c>
      <c r="G4392" s="1" t="s">
        <v>18</v>
      </c>
      <c r="H4392" s="1" t="s">
        <v>19</v>
      </c>
      <c r="I4392" s="1" t="s">
        <v>20</v>
      </c>
      <c r="J4392" s="1" t="s">
        <v>19606</v>
      </c>
      <c r="K4392" s="1" t="s">
        <v>22</v>
      </c>
      <c r="L4392" s="1" t="str">
        <f>HYPERLINK("https://files.afu.se/Downloads/Transcripts/0%20-%20Government/USA%20-%20NASA/2011 03 01 - NASA - Spacewalkers Ready for Second Excursion_flf4-SOgJO8 - transcript (automated).pdf","Transcript Link")</f>
        <v>Transcript Link</v>
      </c>
      <c r="M4392" s="2" t="str">
        <f>HYPERLINK("https://files.afu.se/Downloads/Transcripts/0%20-%20Government/USA%20-%20NASA/2011 03 01 - NASA - Spacewalkers Ready for Second Excursion_flf4-SOgJO8 - transcript (automated).pdf","Transcript Link")</f>
        <v>Transcript Link</v>
      </c>
    </row>
    <row r="4393" ht="165" spans="1:13">
      <c r="A4393" s="1" t="s">
        <v>19602</v>
      </c>
      <c r="B4393" s="1" t="s">
        <v>13</v>
      </c>
      <c r="C4393" s="4" t="s">
        <v>19607</v>
      </c>
      <c r="D4393" s="1" t="s">
        <v>19608</v>
      </c>
      <c r="E4393" s="1" t="s">
        <v>19609</v>
      </c>
      <c r="F4393" s="4" t="s">
        <v>17</v>
      </c>
      <c r="G4393" s="1" t="s">
        <v>18</v>
      </c>
      <c r="H4393" s="1" t="s">
        <v>19</v>
      </c>
      <c r="I4393" s="1" t="s">
        <v>20</v>
      </c>
      <c r="J4393" s="1" t="s">
        <v>19610</v>
      </c>
      <c r="K4393" s="1" t="s">
        <v>22</v>
      </c>
      <c r="L4393" s="1" t="str">
        <f>HYPERLINK("https://files.afu.se/Downloads/Transcripts/0%20-%20Government/USA%20-%20NASA/2011 03 01 - NASA - First Spacewalk Successful for Drew, Bowen_3OUTa8RhZvI - transcript (automated).pdf","Transcript Link")</f>
        <v>Transcript Link</v>
      </c>
      <c r="M4393" s="2" t="str">
        <f>HYPERLINK("https://files.afu.se/Downloads/Transcripts/0%20-%20Government/USA%20-%20NASA/2011 03 01 - NASA - First Spacewalk Successful for Drew, Bowen_3OUTa8RhZvI - transcript (automated).pdf","Transcript Link")</f>
        <v>Transcript Link</v>
      </c>
    </row>
    <row r="4394" ht="165" spans="1:13">
      <c r="A4394" s="1" t="s">
        <v>19602</v>
      </c>
      <c r="B4394" s="1" t="s">
        <v>13</v>
      </c>
      <c r="C4394" s="4" t="s">
        <v>19611</v>
      </c>
      <c r="D4394" s="1" t="s">
        <v>19612</v>
      </c>
      <c r="E4394" s="1" t="s">
        <v>19613</v>
      </c>
      <c r="F4394" s="4" t="s">
        <v>17</v>
      </c>
      <c r="G4394" s="1" t="s">
        <v>18</v>
      </c>
      <c r="H4394" s="1" t="s">
        <v>19</v>
      </c>
      <c r="I4394" s="1" t="s">
        <v>20</v>
      </c>
      <c r="J4394" s="1" t="s">
        <v>19614</v>
      </c>
      <c r="K4394" s="1" t="s">
        <v>22</v>
      </c>
      <c r="L4394" s="1" t="str">
        <f>HYPERLINK("https://files.afu.se/Downloads/Transcripts/0%20-%20Government/USA%20-%20NASA/2011 03 01 - NASA - EVA 1 Recapped by Mission Managers_uMvkVGwS060 - transcript (automated).pdf","Transcript Link")</f>
        <v>Transcript Link</v>
      </c>
      <c r="M4394" s="2" t="str">
        <f>HYPERLINK("https://files.afu.se/Downloads/Transcripts/0%20-%20Government/USA%20-%20NASA/2011 03 01 - NASA - EVA 1 Recapped by Mission Managers_uMvkVGwS060 - transcript (automated).pdf","Transcript Link")</f>
        <v>Transcript Link</v>
      </c>
    </row>
    <row r="4395" ht="165" spans="1:13">
      <c r="A4395" s="1" t="s">
        <v>19615</v>
      </c>
      <c r="B4395" s="1" t="s">
        <v>13</v>
      </c>
      <c r="C4395" s="4" t="s">
        <v>19616</v>
      </c>
      <c r="D4395" s="1" t="s">
        <v>19617</v>
      </c>
      <c r="E4395" s="1" t="s">
        <v>19618</v>
      </c>
      <c r="F4395" s="4" t="s">
        <v>17</v>
      </c>
      <c r="G4395" s="1" t="s">
        <v>18</v>
      </c>
      <c r="H4395" s="1" t="s">
        <v>19</v>
      </c>
      <c r="I4395" s="1" t="s">
        <v>20</v>
      </c>
      <c r="J4395" s="1" t="s">
        <v>19619</v>
      </c>
      <c r="K4395" s="1" t="s">
        <v>22</v>
      </c>
      <c r="L4395" s="1" t="str">
        <f>HYPERLINK("https://files.afu.se/Downloads/Transcripts/0%20-%20Government/USA%20-%20NASA/2011 02 28 - NASA - Discovery Flips for Safety Before Docking &amp; Hatch Opening_n7V5IQAxp4w - transcript (automated).pdf","Transcript Link")</f>
        <v>Transcript Link</v>
      </c>
      <c r="M4395" s="2" t="str">
        <f>HYPERLINK("https://files.afu.se/Downloads/Transcripts/0%20-%20Government/USA%20-%20NASA/2011 02 28 - NASA - Discovery Flips for Safety Before Docking &amp; Hatch Opening_n7V5IQAxp4w - transcript (automated).pdf","Transcript Link")</f>
        <v>Transcript Link</v>
      </c>
    </row>
    <row r="4396" ht="165" spans="1:13">
      <c r="A4396" s="1" t="s">
        <v>19615</v>
      </c>
      <c r="B4396" s="1" t="s">
        <v>13</v>
      </c>
      <c r="C4396" s="4" t="s">
        <v>19620</v>
      </c>
      <c r="D4396" s="1" t="s">
        <v>19621</v>
      </c>
      <c r="E4396" s="1" t="s">
        <v>19622</v>
      </c>
      <c r="F4396" s="4" t="s">
        <v>17</v>
      </c>
      <c r="G4396" s="1" t="s">
        <v>18</v>
      </c>
      <c r="H4396" s="1" t="s">
        <v>19</v>
      </c>
      <c r="I4396" s="1" t="s">
        <v>20</v>
      </c>
      <c r="J4396" s="1" t="s">
        <v>19623</v>
      </c>
      <c r="K4396" s="1" t="s">
        <v>22</v>
      </c>
      <c r="L4396" s="1" t="str">
        <f>HYPERLINK("https://files.afu.se/Downloads/Transcripts/0%20-%20Government/USA%20-%20NASA/2011 02 28 - NASA - Discovery Crew Inspects Orbiter_bX9vMkzcelQ - transcript (automated).pdf","Transcript Link")</f>
        <v>Transcript Link</v>
      </c>
      <c r="M4396" s="2" t="str">
        <f>HYPERLINK("https://files.afu.se/Downloads/Transcripts/0%20-%20Government/USA%20-%20NASA/2011 02 28 - NASA - Discovery Crew Inspects Orbiter_bX9vMkzcelQ - transcript (automated).pdf","Transcript Link")</f>
        <v>Transcript Link</v>
      </c>
    </row>
    <row r="4397" ht="165" spans="1:13">
      <c r="A4397" s="1" t="s">
        <v>19615</v>
      </c>
      <c r="B4397" s="1" t="s">
        <v>13</v>
      </c>
      <c r="C4397" s="4" t="s">
        <v>19624</v>
      </c>
      <c r="D4397" s="1" t="s">
        <v>19625</v>
      </c>
      <c r="E4397" s="1" t="s">
        <v>19626</v>
      </c>
      <c r="F4397" s="4" t="s">
        <v>17</v>
      </c>
      <c r="G4397" s="1" t="s">
        <v>18</v>
      </c>
      <c r="H4397" s="1" t="s">
        <v>19</v>
      </c>
      <c r="I4397" s="1" t="s">
        <v>20</v>
      </c>
      <c r="J4397" s="1" t="s">
        <v>19627</v>
      </c>
      <c r="K4397" s="1" t="s">
        <v>22</v>
      </c>
      <c r="L4397" s="1" t="str">
        <f>HYPERLINK("https://files.afu.se/Downloads/Transcripts/0%20-%20Government/USA%20-%20NASA/2011 02 28 - NASA - Discovery Launch Tops Flight Day 1_vUwd23UoHNk - transcript (automated).pdf","Transcript Link")</f>
        <v>Transcript Link</v>
      </c>
      <c r="M4397" s="2" t="str">
        <f>HYPERLINK("https://files.afu.se/Downloads/Transcripts/0%20-%20Government/USA%20-%20NASA/2011 02 28 - NASA - Discovery Launch Tops Flight Day 1_vUwd23UoHNk - transcript (automated).pdf","Transcript Link")</f>
        <v>Transcript Link</v>
      </c>
    </row>
    <row r="4398" ht="165" spans="1:13">
      <c r="A4398" s="1" t="s">
        <v>19615</v>
      </c>
      <c r="B4398" s="1" t="s">
        <v>13</v>
      </c>
      <c r="C4398" s="4" t="s">
        <v>19628</v>
      </c>
      <c r="D4398" s="1" t="s">
        <v>19629</v>
      </c>
      <c r="E4398" s="1" t="s">
        <v>19630</v>
      </c>
      <c r="F4398" s="4" t="s">
        <v>17</v>
      </c>
      <c r="G4398" s="1" t="s">
        <v>18</v>
      </c>
      <c r="H4398" s="1" t="s">
        <v>19</v>
      </c>
      <c r="I4398" s="1" t="s">
        <v>20</v>
      </c>
      <c r="J4398" s="1" t="s">
        <v>19631</v>
      </c>
      <c r="K4398" s="1" t="s">
        <v>22</v>
      </c>
      <c r="L4398" s="1" t="str">
        <f>HYPERLINK("https://files.afu.se/Downloads/Transcripts/0%20-%20Government/USA%20-%20NASA/2011 02 28 - NASA - STS-133 Flight Day 4 Highlights  Spacewalk One Preparations_tW1dVjXH9LQ - transcript (automated).pdf","Transcript Link")</f>
        <v>Transcript Link</v>
      </c>
      <c r="M4398" s="2" t="str">
        <f>HYPERLINK("https://files.afu.se/Downloads/Transcripts/0%20-%20Government/USA%20-%20NASA/2011 02 28 - NASA - STS-133 Flight Day 4 Highlights  Spacewalk One Preparations_tW1dVjXH9LQ - transcript (automated).pdf","Transcript Link")</f>
        <v>Transcript Link</v>
      </c>
    </row>
    <row r="4399" ht="165" spans="1:13">
      <c r="A4399" s="1" t="s">
        <v>19632</v>
      </c>
      <c r="B4399" s="1" t="s">
        <v>13</v>
      </c>
      <c r="C4399" s="4" t="s">
        <v>19633</v>
      </c>
      <c r="D4399" s="1" t="s">
        <v>19634</v>
      </c>
      <c r="E4399" s="1" t="s">
        <v>19635</v>
      </c>
      <c r="F4399" s="4" t="s">
        <v>17</v>
      </c>
      <c r="G4399" s="1" t="s">
        <v>18</v>
      </c>
      <c r="H4399" s="1" t="s">
        <v>19</v>
      </c>
      <c r="I4399" s="1" t="s">
        <v>20</v>
      </c>
      <c r="J4399" s="1" t="s">
        <v>19636</v>
      </c>
      <c r="K4399" s="1" t="s">
        <v>22</v>
      </c>
      <c r="L4399" s="1" t="str">
        <f>HYPERLINK("https://files.afu.se/Downloads/Transcripts/0%20-%20Government/USA%20-%20NASA/2011 02 27 - NASA - POST MMT Briefing - DAY 4_IdKJRXP-2vg - transcript (automated).pdf","Transcript Link")</f>
        <v>Transcript Link</v>
      </c>
      <c r="M4399" s="2" t="str">
        <f>HYPERLINK("https://files.afu.se/Downloads/Transcripts/0%20-%20Government/USA%20-%20NASA/2011 02 27 - NASA - POST MMT Briefing - DAY 4_IdKJRXP-2vg - transcript (automated).pdf","Transcript Link")</f>
        <v>Transcript Link</v>
      </c>
    </row>
    <row r="4400" ht="165" spans="1:13">
      <c r="A4400" s="1" t="s">
        <v>19632</v>
      </c>
      <c r="B4400" s="1" t="s">
        <v>13</v>
      </c>
      <c r="C4400" s="4" t="s">
        <v>19637</v>
      </c>
      <c r="D4400" s="1" t="s">
        <v>19638</v>
      </c>
      <c r="E4400" s="1" t="s">
        <v>19639</v>
      </c>
      <c r="F4400" s="4" t="s">
        <v>17</v>
      </c>
      <c r="G4400" s="1" t="s">
        <v>18</v>
      </c>
      <c r="H4400" s="1" t="s">
        <v>19</v>
      </c>
      <c r="I4400" s="1" t="s">
        <v>20</v>
      </c>
      <c r="J4400" s="1" t="s">
        <v>19640</v>
      </c>
      <c r="K4400" s="1" t="s">
        <v>22</v>
      </c>
      <c r="L4400" s="1" t="str">
        <f>HYPERLINK("https://files.afu.se/Downloads/Transcripts/0%20-%20Government/USA%20-%20NASA/2011 02 27 - NASA - STS-133 and Expedition 26 Crews Talk With Media_SvJgJx5PTyQ - transcript (automated).pdf","Transcript Link")</f>
        <v>Transcript Link</v>
      </c>
      <c r="M4400" s="2" t="str">
        <f>HYPERLINK("https://files.afu.se/Downloads/Transcripts/0%20-%20Government/USA%20-%20NASA/2011 02 27 - NASA - STS-133 and Expedition 26 Crews Talk With Media_SvJgJx5PTyQ - transcript (automated).pdf","Transcript Link")</f>
        <v>Transcript Link</v>
      </c>
    </row>
    <row r="4401" ht="165" spans="1:13">
      <c r="A4401" s="1" t="s">
        <v>19632</v>
      </c>
      <c r="B4401" s="1" t="s">
        <v>13</v>
      </c>
      <c r="C4401" s="4" t="s">
        <v>19641</v>
      </c>
      <c r="D4401" s="1" t="s">
        <v>19642</v>
      </c>
      <c r="E4401" s="1" t="s">
        <v>19643</v>
      </c>
      <c r="F4401" s="4" t="s">
        <v>17</v>
      </c>
      <c r="G4401" s="1" t="s">
        <v>18</v>
      </c>
      <c r="H4401" s="1" t="s">
        <v>19</v>
      </c>
      <c r="I4401" s="1" t="s">
        <v>20</v>
      </c>
      <c r="J4401" s="1" t="s">
        <v>19644</v>
      </c>
      <c r="K4401" s="1" t="s">
        <v>22</v>
      </c>
      <c r="L4401" s="1" t="str">
        <f>HYPERLINK("https://files.afu.se/Downloads/Transcripts/0%20-%20Government/USA%20-%20NASA/2011 02 27 - NASA - STS-133 Flight Day 3 Highlights - STS-133 Rendezvous Pitch Maneuver, Docking &amp; Hatch Opening_pecFxSjmIlM - transcript (automated).pdf","Transcript Link")</f>
        <v>Transcript Link</v>
      </c>
      <c r="M4401" s="2" t="str">
        <f>HYPERLINK("https://files.afu.se/Downloads/Transcripts/0%20-%20Government/USA%20-%20NASA/2011 02 27 - NASA - STS-133 Flight Day 3 Highlights - STS-133 Rendezvous Pitch Maneuver, Docking &amp; Hatch Opening_pecFxSjmIlM - transcript (automated).pdf","Transcript Link")</f>
        <v>Transcript Link</v>
      </c>
    </row>
    <row r="4402" ht="165" spans="1:13">
      <c r="A4402" s="1" t="s">
        <v>19632</v>
      </c>
      <c r="B4402" s="1" t="s">
        <v>13</v>
      </c>
      <c r="C4402" s="4" t="s">
        <v>19645</v>
      </c>
      <c r="D4402" s="1" t="s">
        <v>19646</v>
      </c>
      <c r="E4402" s="1" t="s">
        <v>19647</v>
      </c>
      <c r="F4402" s="4" t="s">
        <v>17</v>
      </c>
      <c r="G4402" s="1" t="s">
        <v>18</v>
      </c>
      <c r="H4402" s="1" t="s">
        <v>19</v>
      </c>
      <c r="I4402" s="1" t="s">
        <v>20</v>
      </c>
      <c r="J4402" s="1" t="s">
        <v>19648</v>
      </c>
      <c r="K4402" s="1" t="s">
        <v>22</v>
      </c>
      <c r="L4402" s="1" t="str">
        <f>HYPERLINK("https://files.afu.se/Downloads/Transcripts/0%20-%20Government/USA%20-%20NASA/2011 02 27 - NASA - STS-133 DAY 4 Mission Status Briefing_W4ICBKdH00U - transcript (automated).pdf","Transcript Link")</f>
        <v>Transcript Link</v>
      </c>
      <c r="M4402" s="2" t="str">
        <f>HYPERLINK("https://files.afu.se/Downloads/Transcripts/0%20-%20Government/USA%20-%20NASA/2011 02 27 - NASA - STS-133 DAY 4 Mission Status Briefing_W4ICBKdH00U - transcript (automated).pdf","Transcript Link")</f>
        <v>Transcript Link</v>
      </c>
    </row>
    <row r="4403" ht="165" spans="1:13">
      <c r="A4403" s="1" t="s">
        <v>19649</v>
      </c>
      <c r="B4403" s="1" t="s">
        <v>13</v>
      </c>
      <c r="C4403" s="4" t="s">
        <v>19650</v>
      </c>
      <c r="D4403" s="1" t="s">
        <v>19494</v>
      </c>
      <c r="E4403" s="1" t="s">
        <v>19651</v>
      </c>
      <c r="F4403" s="4" t="s">
        <v>17</v>
      </c>
      <c r="G4403" s="1" t="s">
        <v>18</v>
      </c>
      <c r="H4403" s="1" t="s">
        <v>19</v>
      </c>
      <c r="I4403" s="1" t="s">
        <v>20</v>
      </c>
      <c r="J4403" s="1" t="s">
        <v>19652</v>
      </c>
      <c r="K4403" s="1" t="s">
        <v>22</v>
      </c>
      <c r="L4403" s="1" t="str">
        <f>HYPERLINK("https://files.afu.se/Downloads/Transcripts/0%20-%20Government/USA%20-%20NASA/2011 02 26 - NASA - STS-133 Mission Status Briefing_lw4wPH84igc - transcript (automated).pdf","Transcript Link")</f>
        <v>Transcript Link</v>
      </c>
      <c r="M4403" s="2" t="str">
        <f>HYPERLINK("https://files.afu.se/Downloads/Transcripts/0%20-%20Government/USA%20-%20NASA/2011 02 26 - NASA - STS-133 Mission Status Briefing_lw4wPH84igc - transcript (automated).pdf","Transcript Link")</f>
        <v>Transcript Link</v>
      </c>
    </row>
    <row r="4404" ht="165" spans="1:13">
      <c r="A4404" s="1" t="s">
        <v>19649</v>
      </c>
      <c r="B4404" s="1" t="s">
        <v>13</v>
      </c>
      <c r="C4404" s="4" t="s">
        <v>19653</v>
      </c>
      <c r="D4404" s="1" t="s">
        <v>19654</v>
      </c>
      <c r="E4404" s="1" t="s">
        <v>19655</v>
      </c>
      <c r="F4404" s="4" t="s">
        <v>17</v>
      </c>
      <c r="G4404" s="1" t="s">
        <v>18</v>
      </c>
      <c r="H4404" s="1" t="s">
        <v>19</v>
      </c>
      <c r="I4404" s="1" t="s">
        <v>20</v>
      </c>
      <c r="J4404" s="1" t="s">
        <v>19656</v>
      </c>
      <c r="K4404" s="1" t="s">
        <v>22</v>
      </c>
      <c r="L4404" s="1" t="str">
        <f>HYPERLINK("https://files.afu.se/Downloads/Transcripts/0%20-%20Government/USA%20-%20NASA/2011 02 26 - NASA - STS 133 Hatch Opening &amp; Welcome_5XkH-3zjXJA - transcript (automated).pdf","Transcript Link")</f>
        <v>Transcript Link</v>
      </c>
      <c r="M4404" s="2" t="str">
        <f>HYPERLINK("https://files.afu.se/Downloads/Transcripts/0%20-%20Government/USA%20-%20NASA/2011 02 26 - NASA - STS 133 Hatch Opening &amp; Welcome_5XkH-3zjXJA - transcript (automated).pdf","Transcript Link")</f>
        <v>Transcript Link</v>
      </c>
    </row>
    <row r="4405" ht="165" spans="1:13">
      <c r="A4405" s="1" t="s">
        <v>19649</v>
      </c>
      <c r="B4405" s="1" t="s">
        <v>13</v>
      </c>
      <c r="C4405" s="4" t="s">
        <v>19657</v>
      </c>
      <c r="D4405" s="1" t="s">
        <v>19658</v>
      </c>
      <c r="E4405" s="1" t="s">
        <v>19659</v>
      </c>
      <c r="F4405" s="4" t="s">
        <v>17</v>
      </c>
      <c r="G4405" s="1" t="s">
        <v>18</v>
      </c>
      <c r="H4405" s="1" t="s">
        <v>19</v>
      </c>
      <c r="I4405" s="1" t="s">
        <v>20</v>
      </c>
      <c r="J4405" s="1" t="s">
        <v>19660</v>
      </c>
      <c r="K4405" s="1" t="s">
        <v>22</v>
      </c>
      <c r="L4405" s="1" t="str">
        <f>HYPERLINK("https://files.afu.se/Downloads/Transcripts/0%20-%20Government/USA%20-%20NASA/2011 02 26 - NASA - Discovery STS 133 Docks to The ISS_c2ajFTQzKb0 - transcript (automated).pdf","Transcript Link")</f>
        <v>Transcript Link</v>
      </c>
      <c r="M4405" s="2" t="str">
        <f>HYPERLINK("https://files.afu.se/Downloads/Transcripts/0%20-%20Government/USA%20-%20NASA/2011 02 26 - NASA - Discovery STS 133 Docks to The ISS_c2ajFTQzKb0 - transcript (automated).pdf","Transcript Link")</f>
        <v>Transcript Link</v>
      </c>
    </row>
    <row r="4406" ht="165" spans="1:13">
      <c r="A4406" s="1" t="s">
        <v>19649</v>
      </c>
      <c r="B4406" s="1" t="s">
        <v>13</v>
      </c>
      <c r="C4406" s="4" t="s">
        <v>19661</v>
      </c>
      <c r="D4406" s="1" t="s">
        <v>19662</v>
      </c>
      <c r="E4406" s="1" t="s">
        <v>19663</v>
      </c>
      <c r="F4406" s="4" t="s">
        <v>17</v>
      </c>
      <c r="G4406" s="1" t="s">
        <v>18</v>
      </c>
      <c r="H4406" s="1" t="s">
        <v>19</v>
      </c>
      <c r="I4406" s="1" t="s">
        <v>20</v>
      </c>
      <c r="J4406" s="1" t="s">
        <v>19664</v>
      </c>
      <c r="K4406" s="1" t="s">
        <v>22</v>
      </c>
      <c r="L4406" s="1" t="str">
        <f>HYPERLINK("https://files.afu.se/Downloads/Transcripts/0%20-%20Government/USA%20-%20NASA/2011 02 26 - NASA - STS-133 Rendezvous Pitch Maneuver_VnLnkZq3yA8 - transcript (automated).pdf","Transcript Link")</f>
        <v>Transcript Link</v>
      </c>
      <c r="M4406" s="2" t="str">
        <f>HYPERLINK("https://files.afu.se/Downloads/Transcripts/0%20-%20Government/USA%20-%20NASA/2011 02 26 - NASA - STS-133 Rendezvous Pitch Maneuver_VnLnkZq3yA8 - transcript (automated).pdf","Transcript Link")</f>
        <v>Transcript Link</v>
      </c>
    </row>
    <row r="4407" ht="165" spans="1:13">
      <c r="A4407" s="1" t="s">
        <v>19649</v>
      </c>
      <c r="B4407" s="1" t="s">
        <v>13</v>
      </c>
      <c r="C4407" s="4" t="s">
        <v>19665</v>
      </c>
      <c r="D4407" s="1" t="s">
        <v>19666</v>
      </c>
      <c r="E4407" s="1" t="s">
        <v>19667</v>
      </c>
      <c r="F4407" s="4" t="s">
        <v>17</v>
      </c>
      <c r="G4407" s="1" t="s">
        <v>18</v>
      </c>
      <c r="H4407" s="1" t="s">
        <v>19</v>
      </c>
      <c r="I4407" s="1" t="s">
        <v>20</v>
      </c>
      <c r="J4407" s="1" t="s">
        <v>19668</v>
      </c>
      <c r="K4407" s="1" t="s">
        <v>22</v>
      </c>
      <c r="L4407" s="1" t="str">
        <f>HYPERLINK("https://files.afu.se/Downloads/Transcripts/0%20-%20Government/USA%20-%20NASA/2011 02 26 - NASA - STS-133 Flight Day 2 Highlights    Discovery Crew Inspects Orbiter_3lvSI_Oy2sA - transcript (automated).pdf","Transcript Link")</f>
        <v>Transcript Link</v>
      </c>
      <c r="M4407" s="2" t="str">
        <f>HYPERLINK("https://files.afu.se/Downloads/Transcripts/0%20-%20Government/USA%20-%20NASA/2011 02 26 - NASA - STS-133 Flight Day 2 Highlights    Discovery Crew Inspects Orbiter_3lvSI_Oy2sA - transcript (automated).pdf","Transcript Link")</f>
        <v>Transcript Link</v>
      </c>
    </row>
    <row r="4408" ht="165" spans="1:13">
      <c r="A4408" s="1" t="s">
        <v>19649</v>
      </c>
      <c r="B4408" s="1" t="s">
        <v>13</v>
      </c>
      <c r="C4408" s="4" t="s">
        <v>19669</v>
      </c>
      <c r="D4408" s="1" t="s">
        <v>19670</v>
      </c>
      <c r="E4408" s="1" t="s">
        <v>19671</v>
      </c>
      <c r="F4408" s="4" t="s">
        <v>17</v>
      </c>
      <c r="G4408" s="1" t="s">
        <v>18</v>
      </c>
      <c r="H4408" s="1" t="s">
        <v>19</v>
      </c>
      <c r="I4408" s="1" t="s">
        <v>20</v>
      </c>
      <c r="J4408" s="1" t="s">
        <v>19672</v>
      </c>
      <c r="K4408" s="1" t="s">
        <v>22</v>
      </c>
      <c r="L4408" s="1" t="str">
        <f>HYPERLINK("https://files.afu.se/Downloads/Transcripts/0%20-%20Government/USA%20-%20NASA/2011 02 26 - NASA - STS-133 Day 2 Mission Status Briefing_H_p3CGw-VlE - transcript (automated).pdf","Transcript Link")</f>
        <v>Transcript Link</v>
      </c>
      <c r="M4408" s="2" t="str">
        <f>HYPERLINK("https://files.afu.se/Downloads/Transcripts/0%20-%20Government/USA%20-%20NASA/2011 02 26 - NASA - STS-133 Day 2 Mission Status Briefing_H_p3CGw-VlE - transcript (automated).pdf","Transcript Link")</f>
        <v>Transcript Link</v>
      </c>
    </row>
    <row r="4409" ht="165" spans="1:13">
      <c r="A4409" s="1" t="s">
        <v>19673</v>
      </c>
      <c r="B4409" s="1" t="s">
        <v>13</v>
      </c>
      <c r="C4409" s="4" t="s">
        <v>19674</v>
      </c>
      <c r="D4409" s="1" t="s">
        <v>19675</v>
      </c>
      <c r="E4409" s="1" t="s">
        <v>19676</v>
      </c>
      <c r="F4409" s="4" t="s">
        <v>17</v>
      </c>
      <c r="G4409" s="1" t="s">
        <v>18</v>
      </c>
      <c r="H4409" s="1" t="s">
        <v>19</v>
      </c>
      <c r="I4409" s="1" t="s">
        <v>20</v>
      </c>
      <c r="J4409" s="1" t="s">
        <v>19677</v>
      </c>
      <c r="K4409" s="1" t="s">
        <v>22</v>
      </c>
      <c r="L4409" s="1" t="str">
        <f>HYPERLINK("https://files.afu.se/Downloads/Transcripts/0%20-%20Government/USA%20-%20NASA/2011 02 25 - NASA - Discovery's Final Launch to the ISS for STS-133  Headlines This Week @NASA__6NDwYonh-w - transcript (automated).pdf","Transcript Link")</f>
        <v>Transcript Link</v>
      </c>
      <c r="M4409" s="2" t="str">
        <f>HYPERLINK("https://files.afu.se/Downloads/Transcripts/0%20-%20Government/USA%20-%20NASA/2011 02 25 - NASA - Discovery's Final Launch to the ISS for STS-133  Headlines This Week @NASA__6NDwYonh-w - transcript (automated).pdf","Transcript Link")</f>
        <v>Transcript Link</v>
      </c>
    </row>
    <row r="4410" ht="225" spans="1:13">
      <c r="A4410" s="1" t="s">
        <v>19673</v>
      </c>
      <c r="B4410" s="1" t="s">
        <v>13</v>
      </c>
      <c r="C4410" s="4" t="s">
        <v>19678</v>
      </c>
      <c r="D4410" s="1" t="s">
        <v>19679</v>
      </c>
      <c r="E4410" s="1" t="s">
        <v>19680</v>
      </c>
      <c r="F4410" s="4" t="s">
        <v>17</v>
      </c>
      <c r="G4410" s="1" t="s">
        <v>18</v>
      </c>
      <c r="H4410" s="1" t="s">
        <v>19</v>
      </c>
      <c r="I4410" s="1" t="s">
        <v>20</v>
      </c>
      <c r="J4410" s="1" t="s">
        <v>19681</v>
      </c>
      <c r="K4410" s="1" t="s">
        <v>22</v>
      </c>
      <c r="L4410" s="1" t="str">
        <f>HYPERLINK("https://files.afu.se/Downloads/Transcripts/0%20-%20Government/USA%20-%20NASA/2011 02 25 - NASA - STS-133 Flight Day 1 Highlights_OwQNn5i2Hmo - transcript (automated).pdf","Transcript Link")</f>
        <v>Transcript Link</v>
      </c>
      <c r="M4410" s="2" t="str">
        <f>HYPERLINK("https://files.afu.se/Downloads/Transcripts/0%20-%20Government/USA%20-%20NASA/2011 02 25 - NASA - STS-133 Flight Day 1 Highlights_OwQNn5i2Hmo - transcript (automated).pdf","Transcript Link")</f>
        <v>Transcript Link</v>
      </c>
    </row>
    <row r="4411" ht="165" spans="1:13">
      <c r="A4411" s="1" t="s">
        <v>19673</v>
      </c>
      <c r="B4411" s="1" t="s">
        <v>13</v>
      </c>
      <c r="C4411" s="4" t="s">
        <v>19682</v>
      </c>
      <c r="D4411" s="1" t="s">
        <v>19683</v>
      </c>
      <c r="E4411" s="1" t="s">
        <v>19684</v>
      </c>
      <c r="F4411" s="4" t="s">
        <v>17</v>
      </c>
      <c r="G4411" s="1" t="s">
        <v>18</v>
      </c>
      <c r="H4411" s="1" t="s">
        <v>19</v>
      </c>
      <c r="I4411" s="1" t="s">
        <v>20</v>
      </c>
      <c r="J4411" s="1" t="s">
        <v>19685</v>
      </c>
      <c r="K4411" s="1" t="s">
        <v>22</v>
      </c>
      <c r="L4411" s="1" t="str">
        <f>HYPERLINK("https://files.afu.se/Downloads/Transcripts/0%20-%20Government/USA%20-%20NASA/2011 02 25 - NASA - Discovery Continues Journey to ISS_TExUzUR88qc - transcript (automated).pdf","Transcript Link")</f>
        <v>Transcript Link</v>
      </c>
      <c r="M4411" s="2" t="str">
        <f>HYPERLINK("https://files.afu.se/Downloads/Transcripts/0%20-%20Government/USA%20-%20NASA/2011 02 25 - NASA - Discovery Continues Journey to ISS_TExUzUR88qc - transcript (automated).pdf","Transcript Link")</f>
        <v>Transcript Link</v>
      </c>
    </row>
    <row r="4412" ht="165" spans="1:13">
      <c r="A4412" s="1" t="s">
        <v>19686</v>
      </c>
      <c r="B4412" s="1" t="s">
        <v>13</v>
      </c>
      <c r="C4412" s="4" t="s">
        <v>19687</v>
      </c>
      <c r="D4412" s="1" t="s">
        <v>19688</v>
      </c>
      <c r="E4412" s="1" t="s">
        <v>19689</v>
      </c>
      <c r="F4412" s="4" t="s">
        <v>17</v>
      </c>
      <c r="G4412" s="1" t="s">
        <v>18</v>
      </c>
      <c r="H4412" s="1" t="s">
        <v>19</v>
      </c>
      <c r="I4412" s="1" t="s">
        <v>20</v>
      </c>
      <c r="J4412" s="1" t="s">
        <v>19690</v>
      </c>
      <c r="K4412" s="1" t="s">
        <v>22</v>
      </c>
      <c r="L4412" s="1" t="str">
        <f>HYPERLINK("https://files.afu.se/Downloads/Transcripts/0%20-%20Government/USA%20-%20NASA/2011 02 24 - NASA - Discovery's Last Ride_UpVClvUzhPA - transcript (automated).pdf","Transcript Link")</f>
        <v>Transcript Link</v>
      </c>
      <c r="M4412" s="2" t="str">
        <f>HYPERLINK("https://files.afu.se/Downloads/Transcripts/0%20-%20Government/USA%20-%20NASA/2011 02 24 - NASA - Discovery's Last Ride_UpVClvUzhPA - transcript (automated).pdf","Transcript Link")</f>
        <v>Transcript Link</v>
      </c>
    </row>
    <row r="4413" ht="165" spans="1:13">
      <c r="A4413" s="1" t="s">
        <v>19686</v>
      </c>
      <c r="B4413" s="1" t="s">
        <v>13</v>
      </c>
      <c r="C4413" s="4" t="s">
        <v>19691</v>
      </c>
      <c r="D4413" s="1" t="s">
        <v>19692</v>
      </c>
      <c r="E4413" s="1" t="s">
        <v>19693</v>
      </c>
      <c r="F4413" s="4" t="s">
        <v>17</v>
      </c>
      <c r="G4413" s="1" t="s">
        <v>18</v>
      </c>
      <c r="H4413" s="1" t="s">
        <v>19</v>
      </c>
      <c r="I4413" s="1" t="s">
        <v>20</v>
      </c>
      <c r="J4413" s="1" t="s">
        <v>19694</v>
      </c>
      <c r="K4413" s="1" t="s">
        <v>22</v>
      </c>
      <c r="L4413" s="1" t="str">
        <f>HYPERLINK("https://files.afu.se/Downloads/Transcripts/0%20-%20Government/USA%20-%20NASA/2011 02 24 - NASA - European Cargo Ship Docks to ISS_SH65Chfip0g - transcript (automated).pdf","Transcript Link")</f>
        <v>Transcript Link</v>
      </c>
      <c r="M4413" s="2" t="str">
        <f>HYPERLINK("https://files.afu.se/Downloads/Transcripts/0%20-%20Government/USA%20-%20NASA/2011 02 24 - NASA - European Cargo Ship Docks to ISS_SH65Chfip0g - transcript (automated).pdf","Transcript Link")</f>
        <v>Transcript Link</v>
      </c>
    </row>
    <row r="4414" ht="165" spans="1:13">
      <c r="A4414" s="1" t="s">
        <v>19686</v>
      </c>
      <c r="B4414" s="1" t="s">
        <v>13</v>
      </c>
      <c r="C4414" s="4" t="s">
        <v>19695</v>
      </c>
      <c r="D4414" s="1" t="s">
        <v>19696</v>
      </c>
      <c r="E4414" s="1" t="s">
        <v>19697</v>
      </c>
      <c r="F4414" s="4" t="s">
        <v>17</v>
      </c>
      <c r="G4414" s="1" t="s">
        <v>18</v>
      </c>
      <c r="H4414" s="1" t="s">
        <v>19</v>
      </c>
      <c r="I4414" s="1" t="s">
        <v>20</v>
      </c>
      <c r="J4414" s="1" t="s">
        <v>19698</v>
      </c>
      <c r="K4414" s="1" t="s">
        <v>22</v>
      </c>
      <c r="L4414" s="1" t="str">
        <f>HYPERLINK("https://files.afu.se/Downloads/Transcripts/0%20-%20Government/USA%20-%20NASA/2011 02 24 - NASA - Discovery's Scheduled Liftoff Nears_B3dxvNfrFU4 - transcript (automated).pdf","Transcript Link")</f>
        <v>Transcript Link</v>
      </c>
      <c r="M4414" s="2" t="str">
        <f>HYPERLINK("https://files.afu.se/Downloads/Transcripts/0%20-%20Government/USA%20-%20NASA/2011 02 24 - NASA - Discovery's Scheduled Liftoff Nears_B3dxvNfrFU4 - transcript (automated).pdf","Transcript Link")</f>
        <v>Transcript Link</v>
      </c>
    </row>
    <row r="4415" ht="165" spans="1:13">
      <c r="A4415" s="1" t="s">
        <v>19699</v>
      </c>
      <c r="B4415" s="1" t="s">
        <v>13</v>
      </c>
      <c r="C4415" s="4" t="s">
        <v>19700</v>
      </c>
      <c r="D4415" s="1" t="s">
        <v>19701</v>
      </c>
      <c r="E4415" s="1" t="s">
        <v>19702</v>
      </c>
      <c r="F4415" s="4" t="s">
        <v>17</v>
      </c>
      <c r="G4415" s="1" t="s">
        <v>18</v>
      </c>
      <c r="H4415" s="1" t="s">
        <v>19</v>
      </c>
      <c r="I4415" s="1" t="s">
        <v>20</v>
      </c>
      <c r="J4415" s="1" t="s">
        <v>19703</v>
      </c>
      <c r="K4415" s="1" t="s">
        <v>22</v>
      </c>
      <c r="L4415" s="1" t="str">
        <f>HYPERLINK("https://files.afu.se/Downloads/Transcripts/0%20-%20Government/USA%20-%20NASA/2011 02 23 - NASA - NASA Administrator Applauds a Record Breaking Year for Agency CFC Contributions_fBhrFxUbhYg - transcript (automated).pdf","Transcript Link")</f>
        <v>Transcript Link</v>
      </c>
      <c r="M4415" s="2" t="str">
        <f>HYPERLINK("https://files.afu.se/Downloads/Transcripts/0%20-%20Government/USA%20-%20NASA/2011 02 23 - NASA - NASA Administrator Applauds a Record Breaking Year for Agency CFC Contributions_fBhrFxUbhYg - transcript (automated).pdf","Transcript Link")</f>
        <v>Transcript Link</v>
      </c>
    </row>
    <row r="4416" ht="165" spans="1:13">
      <c r="A4416" s="1" t="s">
        <v>19704</v>
      </c>
      <c r="B4416" s="1" t="s">
        <v>13</v>
      </c>
      <c r="C4416" s="4" t="s">
        <v>19705</v>
      </c>
      <c r="D4416" s="1" t="s">
        <v>19706</v>
      </c>
      <c r="E4416" s="1" t="s">
        <v>19707</v>
      </c>
      <c r="F4416" s="4" t="s">
        <v>17</v>
      </c>
      <c r="G4416" s="1" t="s">
        <v>18</v>
      </c>
      <c r="H4416" s="1" t="s">
        <v>19</v>
      </c>
      <c r="I4416" s="1" t="s">
        <v>20</v>
      </c>
      <c r="J4416" s="1" t="s">
        <v>19708</v>
      </c>
      <c r="K4416" s="1" t="s">
        <v>22</v>
      </c>
      <c r="L4416" s="1" t="str">
        <f>HYPERLINK("https://files.afu.se/Downloads/Transcripts/0%20-%20Government/USA%20-%20NASA/2011 02 22 - NASA - Kennedy Space Center Hosts the 9 11 Memorial Flag_hysniE1bVzg - transcript (automated).pdf","Transcript Link")</f>
        <v>Transcript Link</v>
      </c>
      <c r="M4416" s="2" t="str">
        <f>HYPERLINK("https://files.afu.se/Downloads/Transcripts/0%20-%20Government/USA%20-%20NASA/2011 02 22 - NASA - Kennedy Space Center Hosts the 9 11 Memorial Flag_hysniE1bVzg - transcript (automated).pdf","Transcript Link")</f>
        <v>Transcript Link</v>
      </c>
    </row>
    <row r="4417" ht="180" spans="1:13">
      <c r="A4417" s="1" t="s">
        <v>19704</v>
      </c>
      <c r="B4417" s="1" t="s">
        <v>13</v>
      </c>
      <c r="C4417" s="4" t="s">
        <v>19709</v>
      </c>
      <c r="D4417" s="1" t="s">
        <v>19710</v>
      </c>
      <c r="E4417" s="1" t="s">
        <v>19711</v>
      </c>
      <c r="F4417" s="4" t="s">
        <v>17</v>
      </c>
      <c r="G4417" s="1" t="s">
        <v>18</v>
      </c>
      <c r="H4417" s="1" t="s">
        <v>19</v>
      </c>
      <c r="I4417" s="1" t="s">
        <v>20</v>
      </c>
      <c r="J4417" s="1" t="s">
        <v>19712</v>
      </c>
      <c r="K4417" s="1" t="s">
        <v>22</v>
      </c>
      <c r="L4417" s="1" t="str">
        <f>HYPERLINK("https://files.afu.se/Downloads/Transcripts/0%20-%20Government/USA%20-%20NASA/2011 02 22 - NASA - Glory Ready for Climate Mission with Launch on Redesigned Taurus XL_FfhtmLPBuR4 - transcript (automated).pdf","Transcript Link")</f>
        <v>Transcript Link</v>
      </c>
      <c r="M4417" s="2" t="str">
        <f>HYPERLINK("https://files.afu.se/Downloads/Transcripts/0%20-%20Government/USA%20-%20NASA/2011 02 22 - NASA - Glory Ready for Climate Mission with Launch on Redesigned Taurus XL_FfhtmLPBuR4 - transcript (automated).pdf","Transcript Link")</f>
        <v>Transcript Link</v>
      </c>
    </row>
    <row r="4418" ht="165" spans="1:13">
      <c r="A4418" s="1" t="s">
        <v>19704</v>
      </c>
      <c r="B4418" s="1" t="s">
        <v>13</v>
      </c>
      <c r="C4418" s="4" t="s">
        <v>19713</v>
      </c>
      <c r="D4418" s="1" t="s">
        <v>19714</v>
      </c>
      <c r="E4418" s="1" t="s">
        <v>19715</v>
      </c>
      <c r="F4418" s="4" t="s">
        <v>17</v>
      </c>
      <c r="G4418" s="1" t="s">
        <v>18</v>
      </c>
      <c r="H4418" s="1" t="s">
        <v>19</v>
      </c>
      <c r="I4418" s="1" t="s">
        <v>20</v>
      </c>
      <c r="J4418" s="1" t="s">
        <v>19716</v>
      </c>
      <c r="K4418" s="1" t="s">
        <v>22</v>
      </c>
      <c r="L4418" s="1" t="str">
        <f>HYPERLINK("https://files.afu.se/Downloads/Transcripts/0%20-%20Government/USA%20-%20NASA/2011 02 22 - NASA - Countdown Continues for Thursday's Shuttle Launch_Ynqy3XV18zw - transcript (automated).pdf","Transcript Link")</f>
        <v>Transcript Link</v>
      </c>
      <c r="M4418" s="2" t="str">
        <f>HYPERLINK("https://files.afu.se/Downloads/Transcripts/0%20-%20Government/USA%20-%20NASA/2011 02 22 - NASA - Countdown Continues for Thursday's Shuttle Launch_Ynqy3XV18zw - transcript (automated).pdf","Transcript Link")</f>
        <v>Transcript Link</v>
      </c>
    </row>
    <row r="4419" ht="165" spans="1:13">
      <c r="A4419" s="1" t="s">
        <v>19704</v>
      </c>
      <c r="B4419" s="1" t="s">
        <v>13</v>
      </c>
      <c r="C4419" s="4" t="s">
        <v>19717</v>
      </c>
      <c r="D4419" s="1" t="s">
        <v>19718</v>
      </c>
      <c r="E4419" s="1" t="s">
        <v>19719</v>
      </c>
      <c r="F4419" s="4" t="s">
        <v>17</v>
      </c>
      <c r="G4419" s="1" t="s">
        <v>18</v>
      </c>
      <c r="H4419" s="1" t="s">
        <v>19</v>
      </c>
      <c r="I4419" s="1" t="s">
        <v>20</v>
      </c>
      <c r="J4419" s="1" t="s">
        <v>19720</v>
      </c>
      <c r="K4419" s="1" t="s">
        <v>22</v>
      </c>
      <c r="L4419" s="1" t="str">
        <f>HYPERLINK("https://files.afu.se/Downloads/Transcripts/0%20-%20Government/USA%20-%20NASA/2011 02 22 - NASA - ELaNa  Educational Launch of Nanosatellites - Catch a Ride with Glory_tYddpBvMOUo - transcript (automated).pdf","Transcript Link")</f>
        <v>Transcript Link</v>
      </c>
      <c r="M4419" s="2" t="str">
        <f>HYPERLINK("https://files.afu.se/Downloads/Transcripts/0%20-%20Government/USA%20-%20NASA/2011 02 22 - NASA - ELaNa  Educational Launch of Nanosatellites - Catch a Ride with Glory_tYddpBvMOUo - transcript (automated).pdf","Transcript Link")</f>
        <v>Transcript Link</v>
      </c>
    </row>
    <row r="4420" ht="165" spans="1:13">
      <c r="A4420" s="1" t="s">
        <v>19721</v>
      </c>
      <c r="B4420" s="1" t="s">
        <v>13</v>
      </c>
      <c r="C4420" s="4" t="s">
        <v>19722</v>
      </c>
      <c r="D4420" s="1" t="s">
        <v>19723</v>
      </c>
      <c r="E4420" s="1" t="s">
        <v>19724</v>
      </c>
      <c r="F4420" s="4" t="s">
        <v>17</v>
      </c>
      <c r="G4420" s="1" t="s">
        <v>18</v>
      </c>
      <c r="H4420" s="1" t="s">
        <v>19</v>
      </c>
      <c r="I4420" s="1" t="s">
        <v>20</v>
      </c>
      <c r="J4420" s="1" t="s">
        <v>19725</v>
      </c>
      <c r="K4420" s="1" t="s">
        <v>22</v>
      </c>
      <c r="L4420" s="1" t="str">
        <f>HYPERLINK("https://files.afu.se/Downloads/Transcripts/0%20-%20Government/USA%20-%20NASA/2011 02 21 - NASA - Glory to Study Aerosols' Role in Climate_rs_ps8zsMX4 - transcript (automated).pdf","Transcript Link")</f>
        <v>Transcript Link</v>
      </c>
      <c r="M4420" s="2" t="str">
        <f>HYPERLINK("https://files.afu.se/Downloads/Transcripts/0%20-%20Government/USA%20-%20NASA/2011 02 21 - NASA - Glory to Study Aerosols' Role in Climate_rs_ps8zsMX4 - transcript (automated).pdf","Transcript Link")</f>
        <v>Transcript Link</v>
      </c>
    </row>
    <row r="4421" ht="165" spans="1:13">
      <c r="A4421" s="1" t="s">
        <v>19721</v>
      </c>
      <c r="B4421" s="1" t="s">
        <v>13</v>
      </c>
      <c r="C4421" s="4" t="s">
        <v>19726</v>
      </c>
      <c r="D4421" s="1" t="s">
        <v>19727</v>
      </c>
      <c r="E4421" s="1" t="s">
        <v>19728</v>
      </c>
      <c r="F4421" s="4" t="s">
        <v>17</v>
      </c>
      <c r="G4421" s="1" t="s">
        <v>18</v>
      </c>
      <c r="H4421" s="1" t="s">
        <v>19</v>
      </c>
      <c r="I4421" s="1" t="s">
        <v>20</v>
      </c>
      <c r="J4421" s="1" t="s">
        <v>19729</v>
      </c>
      <c r="K4421" s="1" t="s">
        <v>22</v>
      </c>
      <c r="L4421" s="1" t="str">
        <f>HYPERLINK("https://files.afu.se/Downloads/Transcripts/0%20-%20Government/USA%20-%20NASA/2011 02 21 - NASA - Glory Set to Launch Feb. 23 on Climate Mission_Qv5NHCbVkBI - transcript (automated).pdf","Transcript Link")</f>
        <v>Transcript Link</v>
      </c>
      <c r="M4421" s="2" t="str">
        <f>HYPERLINK("https://files.afu.se/Downloads/Transcripts/0%20-%20Government/USA%20-%20NASA/2011 02 21 - NASA - Glory Set to Launch Feb. 23 on Climate Mission_Qv5NHCbVkBI - transcript (automated).pdf","Transcript Link")</f>
        <v>Transcript Link</v>
      </c>
    </row>
    <row r="4422" ht="165" spans="1:13">
      <c r="A4422" s="1" t="s">
        <v>19721</v>
      </c>
      <c r="B4422" s="1" t="s">
        <v>13</v>
      </c>
      <c r="C4422" s="4" t="s">
        <v>19730</v>
      </c>
      <c r="D4422" s="1" t="s">
        <v>19731</v>
      </c>
      <c r="E4422" s="1" t="s">
        <v>19732</v>
      </c>
      <c r="F4422" s="4" t="s">
        <v>17</v>
      </c>
      <c r="G4422" s="1" t="s">
        <v>18</v>
      </c>
      <c r="H4422" s="1" t="s">
        <v>19</v>
      </c>
      <c r="I4422" s="1" t="s">
        <v>20</v>
      </c>
      <c r="J4422" s="1" t="s">
        <v>19733</v>
      </c>
      <c r="K4422" s="1" t="s">
        <v>22</v>
      </c>
      <c r="L4422" s="1" t="str">
        <f>HYPERLINK("https://files.afu.se/Downloads/Transcripts/0%20-%20Government/USA%20-%20NASA/2011 02 21 - NASA - Discovery, Weather Look Good for Thursday Launch_PwPZebSjnGQ - transcript (automated).pdf","Transcript Link")</f>
        <v>Transcript Link</v>
      </c>
      <c r="M4422" s="2" t="str">
        <f>HYPERLINK("https://files.afu.se/Downloads/Transcripts/0%20-%20Government/USA%20-%20NASA/2011 02 21 - NASA - Discovery, Weather Look Good for Thursday Launch_PwPZebSjnGQ - transcript (automated).pdf","Transcript Link")</f>
        <v>Transcript Link</v>
      </c>
    </row>
    <row r="4423" ht="165" spans="1:13">
      <c r="A4423" s="1" t="s">
        <v>19734</v>
      </c>
      <c r="B4423" s="1" t="s">
        <v>13</v>
      </c>
      <c r="C4423" s="4" t="s">
        <v>19735</v>
      </c>
      <c r="D4423" s="1" t="s">
        <v>19736</v>
      </c>
      <c r="E4423" s="1" t="s">
        <v>19737</v>
      </c>
      <c r="F4423" s="4" t="s">
        <v>17</v>
      </c>
      <c r="G4423" s="1" t="s">
        <v>18</v>
      </c>
      <c r="H4423" s="1" t="s">
        <v>19</v>
      </c>
      <c r="I4423" s="1" t="s">
        <v>20</v>
      </c>
      <c r="J4423" s="1" t="s">
        <v>19738</v>
      </c>
      <c r="K4423" s="1" t="s">
        <v>22</v>
      </c>
      <c r="L4423" s="1" t="str">
        <f>HYPERLINK("https://files.afu.se/Downloads/Transcripts/0%20-%20Government/USA%20-%20NASA/2011 02 20 - NASA - Final Space Shuttle Discovery Crew Arrives at NASA's Kennedy Space Center for STS-133 Launch_DOFfw-YrgR0 - transcript (automated).pdf","Transcript Link")</f>
        <v>Transcript Link</v>
      </c>
      <c r="M4423" s="2" t="str">
        <f>HYPERLINK("https://files.afu.se/Downloads/Transcripts/0%20-%20Government/USA%20-%20NASA/2011 02 20 - NASA - Final Space Shuttle Discovery Crew Arrives at NASA's Kennedy Space Center for STS-133 Launch_DOFfw-YrgR0 - transcript (automated).pdf","Transcript Link")</f>
        <v>Transcript Link</v>
      </c>
    </row>
    <row r="4424" ht="165" spans="1:13">
      <c r="A4424" s="1" t="s">
        <v>19739</v>
      </c>
      <c r="B4424" s="1" t="s">
        <v>13</v>
      </c>
      <c r="C4424" s="4" t="s">
        <v>19740</v>
      </c>
      <c r="D4424" s="1" t="s">
        <v>19741</v>
      </c>
      <c r="E4424" s="1" t="s">
        <v>19742</v>
      </c>
      <c r="F4424" s="4" t="s">
        <v>17</v>
      </c>
      <c r="G4424" s="1" t="s">
        <v>18</v>
      </c>
      <c r="H4424" s="1" t="s">
        <v>19</v>
      </c>
      <c r="I4424" s="1" t="s">
        <v>20</v>
      </c>
      <c r="J4424" s="1" t="s">
        <v>19743</v>
      </c>
      <c r="K4424" s="1" t="s">
        <v>22</v>
      </c>
      <c r="L4424" s="1" t="str">
        <f>HYPERLINK("https://files.afu.se/Downloads/Transcripts/0%20-%20Government/USA%20-%20NASA/2011 02 19 - NASA - Launch Date Set for Shuttle Discovery_2fd7W0bZLWI - transcript (automated).pdf","Transcript Link")</f>
        <v>Transcript Link</v>
      </c>
      <c r="M4424" s="2" t="str">
        <f>HYPERLINK("https://files.afu.se/Downloads/Transcripts/0%20-%20Government/USA%20-%20NASA/2011 02 19 - NASA - Launch Date Set for Shuttle Discovery_2fd7W0bZLWI - transcript (automated).pdf","Transcript Link")</f>
        <v>Transcript Link</v>
      </c>
    </row>
    <row r="4425" ht="165" spans="1:13">
      <c r="A4425" s="1" t="s">
        <v>19739</v>
      </c>
      <c r="B4425" s="1" t="s">
        <v>13</v>
      </c>
      <c r="C4425" s="4" t="s">
        <v>19744</v>
      </c>
      <c r="D4425" s="1" t="s">
        <v>19745</v>
      </c>
      <c r="E4425" s="1" t="s">
        <v>19746</v>
      </c>
      <c r="F4425" s="4" t="s">
        <v>17</v>
      </c>
      <c r="G4425" s="1" t="s">
        <v>18</v>
      </c>
      <c r="H4425" s="1" t="s">
        <v>19</v>
      </c>
      <c r="I4425" s="1" t="s">
        <v>20</v>
      </c>
      <c r="J4425" s="1" t="s">
        <v>19747</v>
      </c>
      <c r="K4425" s="1" t="s">
        <v>22</v>
      </c>
      <c r="L4425" s="1" t="str">
        <f>HYPERLINK("https://files.afu.se/Downloads/Transcripts/0%20-%20Government/USA%20-%20NASA/2011 02 19 - NASA - New Shuttle Launch Date Tops This Week @ NASA_mjOd9BHfsbw - transcript (automated).pdf","Transcript Link")</f>
        <v>Transcript Link</v>
      </c>
      <c r="M4425" s="2" t="str">
        <f>HYPERLINK("https://files.afu.se/Downloads/Transcripts/0%20-%20Government/USA%20-%20NASA/2011 02 19 - NASA - New Shuttle Launch Date Tops This Week @ NASA_mjOd9BHfsbw - transcript (automated).pdf","Transcript Link")</f>
        <v>Transcript Link</v>
      </c>
    </row>
    <row r="4426" ht="165" spans="1:13">
      <c r="A4426" s="1" t="s">
        <v>19748</v>
      </c>
      <c r="B4426" s="1" t="s">
        <v>13</v>
      </c>
      <c r="C4426" s="4" t="s">
        <v>19749</v>
      </c>
      <c r="D4426" s="1" t="s">
        <v>19750</v>
      </c>
      <c r="E4426" s="1" t="s">
        <v>19751</v>
      </c>
      <c r="F4426" s="4" t="s">
        <v>17</v>
      </c>
      <c r="G4426" s="1" t="s">
        <v>18</v>
      </c>
      <c r="H4426" s="1" t="s">
        <v>19</v>
      </c>
      <c r="I4426" s="1" t="s">
        <v>20</v>
      </c>
      <c r="J4426" s="1" t="s">
        <v>19752</v>
      </c>
      <c r="K4426" s="1" t="s">
        <v>22</v>
      </c>
      <c r="L4426" s="1" t="str">
        <f>HYPERLINK("https://files.afu.se/Downloads/Transcripts/0%20-%20Government/USA%20-%20NASA/2011 02 18 - NASA - NASA Celebrates Black History Month_bnxQ8sMgAEw - transcript (automated).pdf","Transcript Link")</f>
        <v>Transcript Link</v>
      </c>
      <c r="M4426" s="2" t="str">
        <f>HYPERLINK("https://files.afu.se/Downloads/Transcripts/0%20-%20Government/USA%20-%20NASA/2011 02 18 - NASA - NASA Celebrates Black History Month_bnxQ8sMgAEw - transcript (automated).pdf","Transcript Link")</f>
        <v>Transcript Link</v>
      </c>
    </row>
    <row r="4427" ht="165" spans="1:13">
      <c r="A4427" s="1" t="s">
        <v>19748</v>
      </c>
      <c r="B4427" s="1" t="s">
        <v>13</v>
      </c>
      <c r="C4427" s="4" t="s">
        <v>19753</v>
      </c>
      <c r="D4427" s="1" t="s">
        <v>19754</v>
      </c>
      <c r="E4427" s="1" t="s">
        <v>19755</v>
      </c>
      <c r="F4427" s="4" t="s">
        <v>17</v>
      </c>
      <c r="G4427" s="1" t="s">
        <v>18</v>
      </c>
      <c r="H4427" s="1" t="s">
        <v>19</v>
      </c>
      <c r="I4427" s="1" t="s">
        <v>20</v>
      </c>
      <c r="J4427" s="1" t="s">
        <v>19756</v>
      </c>
      <c r="K4427" s="1" t="s">
        <v>22</v>
      </c>
      <c r="L4427" s="1" t="str">
        <f>HYPERLINK("https://files.afu.se/Downloads/Transcripts/0%20-%20Government/USA%20-%20NASA/2011 02 18 - NASA - Expedition 24  Life in Space_R7wPaVpLI4o - transcript (automated).pdf","Transcript Link")</f>
        <v>Transcript Link</v>
      </c>
      <c r="M4427" s="2" t="str">
        <f>HYPERLINK("https://files.afu.se/Downloads/Transcripts/0%20-%20Government/USA%20-%20NASA/2011 02 18 - NASA - Expedition 24  Life in Space_R7wPaVpLI4o - transcript (automated).pdf","Transcript Link")</f>
        <v>Transcript Link</v>
      </c>
    </row>
    <row r="4428" ht="165" spans="1:13">
      <c r="A4428" s="1" t="s">
        <v>19748</v>
      </c>
      <c r="B4428" s="1" t="s">
        <v>13</v>
      </c>
      <c r="C4428" s="4" t="s">
        <v>19757</v>
      </c>
      <c r="D4428" s="1" t="s">
        <v>19758</v>
      </c>
      <c r="E4428" s="1" t="s">
        <v>19759</v>
      </c>
      <c r="F4428" s="4" t="s">
        <v>17</v>
      </c>
      <c r="G4428" s="1" t="s">
        <v>18</v>
      </c>
      <c r="H4428" s="1" t="s">
        <v>19</v>
      </c>
      <c r="I4428" s="1" t="s">
        <v>20</v>
      </c>
      <c r="J4428" s="1" t="s">
        <v>19760</v>
      </c>
      <c r="K4428" s="1" t="s">
        <v>22</v>
      </c>
      <c r="L4428" s="1" t="str">
        <f>HYPERLINK("https://files.afu.se/Downloads/Transcripts/0%20-%20Government/USA%20-%20NASA/2011 02 18 - NASA - Hubble Shows New Image of Spiral Galaxy NGC 2841_12ZMgnC86o0 - transcript (automated).pdf","Transcript Link")</f>
        <v>Transcript Link</v>
      </c>
      <c r="M4428" s="2" t="str">
        <f>HYPERLINK("https://files.afu.se/Downloads/Transcripts/0%20-%20Government/USA%20-%20NASA/2011 02 18 - NASA - Hubble Shows New Image of Spiral Galaxy NGC 2841_12ZMgnC86o0 - transcript (automated).pdf","Transcript Link")</f>
        <v>Transcript Link</v>
      </c>
    </row>
    <row r="4429" ht="165" spans="1:13">
      <c r="A4429" s="1" t="s">
        <v>19761</v>
      </c>
      <c r="B4429" s="1" t="s">
        <v>13</v>
      </c>
      <c r="C4429" s="4" t="s">
        <v>19762</v>
      </c>
      <c r="D4429" s="1" t="s">
        <v>19763</v>
      </c>
      <c r="E4429" s="1" t="s">
        <v>19764</v>
      </c>
      <c r="F4429" s="4" t="s">
        <v>17</v>
      </c>
      <c r="G4429" s="1" t="s">
        <v>18</v>
      </c>
      <c r="H4429" s="1" t="s">
        <v>19</v>
      </c>
      <c r="I4429" s="1" t="s">
        <v>20</v>
      </c>
      <c r="J4429" s="1" t="s">
        <v>19765</v>
      </c>
      <c r="K4429" s="1" t="s">
        <v>22</v>
      </c>
      <c r="L4429" s="1" t="str">
        <f>HYPERLINK("https://files.afu.se/Downloads/Transcripts/0%20-%20Government/USA%20-%20NASA/2011 02 17 - NASA - Paolo Plants Seeds of Learning with Students_dc8SJI1zHWg - transcript (automated).pdf","Transcript Link")</f>
        <v>Transcript Link</v>
      </c>
      <c r="M4429" s="2" t="str">
        <f>HYPERLINK("https://files.afu.se/Downloads/Transcripts/0%20-%20Government/USA%20-%20NASA/2011 02 17 - NASA - Paolo Plants Seeds of Learning with Students_dc8SJI1zHWg - transcript (automated).pdf","Transcript Link")</f>
        <v>Transcript Link</v>
      </c>
    </row>
    <row r="4430" ht="165" spans="1:13">
      <c r="A4430" s="1" t="s">
        <v>19766</v>
      </c>
      <c r="B4430" s="1" t="s">
        <v>13</v>
      </c>
      <c r="C4430" s="4" t="s">
        <v>19767</v>
      </c>
      <c r="D4430" s="1" t="s">
        <v>19768</v>
      </c>
      <c r="E4430" s="1" t="s">
        <v>19769</v>
      </c>
      <c r="F4430" s="4" t="s">
        <v>17</v>
      </c>
      <c r="G4430" s="1" t="s">
        <v>18</v>
      </c>
      <c r="H4430" s="1" t="s">
        <v>19</v>
      </c>
      <c r="I4430" s="1" t="s">
        <v>20</v>
      </c>
      <c r="J4430" s="1" t="s">
        <v>19770</v>
      </c>
      <c r="K4430" s="1" t="s">
        <v>22</v>
      </c>
      <c r="L4430" s="1" t="str">
        <f>HYPERLINK("https://files.afu.se/Downloads/Transcripts/0%20-%20Government/USA%20-%20NASA/2011 02 16 - NASA - European Cargo Craft Launches to ISS_-m0uuO4HBgY - transcript (automated).pdf","Transcript Link")</f>
        <v>Transcript Link</v>
      </c>
      <c r="M4430" s="2" t="str">
        <f>HYPERLINK("https://files.afu.se/Downloads/Transcripts/0%20-%20Government/USA%20-%20NASA/2011 02 16 - NASA - European Cargo Craft Launches to ISS_-m0uuO4HBgY - transcript (automated).pdf","Transcript Link")</f>
        <v>Transcript Link</v>
      </c>
    </row>
    <row r="4431" ht="165" spans="1:13">
      <c r="A4431" s="1" t="s">
        <v>19766</v>
      </c>
      <c r="B4431" s="1" t="s">
        <v>13</v>
      </c>
      <c r="C4431" s="4" t="s">
        <v>19771</v>
      </c>
      <c r="D4431" s="1" t="s">
        <v>19772</v>
      </c>
      <c r="E4431" s="1" t="s">
        <v>19773</v>
      </c>
      <c r="F4431" s="4" t="s">
        <v>17</v>
      </c>
      <c r="G4431" s="1" t="s">
        <v>18</v>
      </c>
      <c r="H4431" s="1" t="s">
        <v>19</v>
      </c>
      <c r="I4431" s="1" t="s">
        <v>20</v>
      </c>
      <c r="J4431" s="1" t="s">
        <v>19774</v>
      </c>
      <c r="K4431" s="1" t="s">
        <v>22</v>
      </c>
      <c r="L4431" s="1" t="str">
        <f>HYPERLINK("https://files.afu.se/Downloads/Transcripts/0%20-%20Government/USA%20-%20NASA/2011 02 16 - NASA - Expedition 26 Cosmonauts Spacewalk for Science Gear_dZFaMouTY1s - transcript (automated).pdf","Transcript Link")</f>
        <v>Transcript Link</v>
      </c>
      <c r="M4431" s="2" t="str">
        <f>HYPERLINK("https://files.afu.se/Downloads/Transcripts/0%20-%20Government/USA%20-%20NASA/2011 02 16 - NASA - Expedition 26 Cosmonauts Spacewalk for Science Gear_dZFaMouTY1s - transcript (automated).pdf","Transcript Link")</f>
        <v>Transcript Link</v>
      </c>
    </row>
    <row r="4432" ht="165" spans="1:13">
      <c r="A4432" s="1" t="s">
        <v>19766</v>
      </c>
      <c r="B4432" s="1" t="s">
        <v>13</v>
      </c>
      <c r="C4432" s="4" t="s">
        <v>19775</v>
      </c>
      <c r="D4432" s="1" t="s">
        <v>19776</v>
      </c>
      <c r="E4432" s="1" t="s">
        <v>19777</v>
      </c>
      <c r="F4432" s="4" t="s">
        <v>17</v>
      </c>
      <c r="G4432" s="1" t="s">
        <v>18</v>
      </c>
      <c r="H4432" s="1" t="s">
        <v>19</v>
      </c>
      <c r="I4432" s="1" t="s">
        <v>20</v>
      </c>
      <c r="J4432" s="1" t="s">
        <v>19778</v>
      </c>
      <c r="K4432" s="1" t="s">
        <v>22</v>
      </c>
      <c r="L4432" s="1" t="str">
        <f>HYPERLINK("https://files.afu.se/Downloads/Transcripts/0%20-%20Government/USA%20-%20NASA/2011 02 16 - NASA - NASA Briefs Media on Comet Flyby_jZKSWuowgPI - transcript (automated).pdf","Transcript Link")</f>
        <v>Transcript Link</v>
      </c>
      <c r="M4432" s="2" t="str">
        <f>HYPERLINK("https://files.afu.se/Downloads/Transcripts/0%20-%20Government/USA%20-%20NASA/2011 02 16 - NASA - NASA Briefs Media on Comet Flyby_jZKSWuowgPI - transcript (automated).pdf","Transcript Link")</f>
        <v>Transcript Link</v>
      </c>
    </row>
    <row r="4433" ht="165" spans="1:13">
      <c r="A4433" s="1" t="s">
        <v>19779</v>
      </c>
      <c r="B4433" s="1" t="s">
        <v>13</v>
      </c>
      <c r="C4433" s="4" t="s">
        <v>19780</v>
      </c>
      <c r="D4433" s="1" t="s">
        <v>19781</v>
      </c>
      <c r="E4433" s="1" t="s">
        <v>19782</v>
      </c>
      <c r="F4433" s="4" t="s">
        <v>17</v>
      </c>
      <c r="G4433" s="1" t="s">
        <v>18</v>
      </c>
      <c r="H4433" s="1" t="s">
        <v>19</v>
      </c>
      <c r="I4433" s="1" t="s">
        <v>20</v>
      </c>
      <c r="J4433" s="1" t="s">
        <v>19783</v>
      </c>
      <c r="K4433" s="1" t="s">
        <v>22</v>
      </c>
      <c r="L4433" s="1" t="str">
        <f>HYPERLINK("https://files.afu.se/Downloads/Transcripts/0%20-%20Government/USA%20-%20NASA/2011 02 15 - NASA - Expedition 26 ISS Crew Discusses Mission with Media_AOcyDYf21NM - transcript (automated).pdf","Transcript Link")</f>
        <v>Transcript Link</v>
      </c>
      <c r="M4433" s="2" t="str">
        <f>HYPERLINK("https://files.afu.se/Downloads/Transcripts/0%20-%20Government/USA%20-%20NASA/2011 02 15 - NASA - Expedition 26 ISS Crew Discusses Mission with Media_AOcyDYf21NM - transcript (automated).pdf","Transcript Link")</f>
        <v>Transcript Link</v>
      </c>
    </row>
    <row r="4434" ht="270" spans="1:13">
      <c r="A4434" s="1" t="s">
        <v>19779</v>
      </c>
      <c r="B4434" s="1" t="s">
        <v>13</v>
      </c>
      <c r="C4434" s="4" t="s">
        <v>19784</v>
      </c>
      <c r="D4434" s="1" t="s">
        <v>19785</v>
      </c>
      <c r="E4434" s="1" t="s">
        <v>19786</v>
      </c>
      <c r="F4434" s="4" t="s">
        <v>17</v>
      </c>
      <c r="G4434" s="1" t="s">
        <v>18</v>
      </c>
      <c r="H4434" s="1" t="s">
        <v>19</v>
      </c>
      <c r="I4434" s="1" t="s">
        <v>20</v>
      </c>
      <c r="J4434" s="1" t="s">
        <v>19787</v>
      </c>
      <c r="K4434" s="1" t="s">
        <v>22</v>
      </c>
      <c r="L4434" s="1" t="str">
        <f>HYPERLINK("https://files.afu.se/Downloads/Transcripts/0%20-%20Government/USA%20-%20NASA/2011 02 15 - NASA - NASA Spacecraft Completes Comet Flyby_aL6vLBKydpE - transcript (automated).pdf","Transcript Link")</f>
        <v>Transcript Link</v>
      </c>
      <c r="M4434" s="2" t="str">
        <f>HYPERLINK("https://files.afu.se/Downloads/Transcripts/0%20-%20Government/USA%20-%20NASA/2011 02 15 - NASA - NASA Spacecraft Completes Comet Flyby_aL6vLBKydpE - transcript (automated).pdf","Transcript Link")</f>
        <v>Transcript Link</v>
      </c>
    </row>
    <row r="4435" ht="165" spans="1:13">
      <c r="A4435" s="1" t="s">
        <v>19788</v>
      </c>
      <c r="B4435" s="1" t="s">
        <v>13</v>
      </c>
      <c r="C4435" s="4" t="s">
        <v>19789</v>
      </c>
      <c r="D4435" s="1" t="s">
        <v>19790</v>
      </c>
      <c r="E4435" s="1" t="s">
        <v>19791</v>
      </c>
      <c r="F4435" s="4" t="s">
        <v>17</v>
      </c>
      <c r="G4435" s="1" t="s">
        <v>18</v>
      </c>
      <c r="H4435" s="1" t="s">
        <v>19</v>
      </c>
      <c r="I4435" s="1" t="s">
        <v>20</v>
      </c>
      <c r="J4435" s="1" t="s">
        <v>19792</v>
      </c>
      <c r="K4435" s="1" t="s">
        <v>22</v>
      </c>
      <c r="L4435" s="1" t="str">
        <f>HYPERLINK("https://files.afu.se/Downloads/Transcripts/0%20-%20Government/USA%20-%20NASA/2011 02 14 - NASA - With Mark Kelly in Command Crew Train for STS-134 Shuttle Mission_LASAF49JTgE - transcript (automated).pdf","Transcript Link")</f>
        <v>Transcript Link</v>
      </c>
      <c r="M4435" s="2" t="str">
        <f>HYPERLINK("https://files.afu.se/Downloads/Transcripts/0%20-%20Government/USA%20-%20NASA/2011 02 14 - NASA - With Mark Kelly in Command Crew Train for STS-134 Shuttle Mission_LASAF49JTgE - transcript (automated).pdf","Transcript Link")</f>
        <v>Transcript Link</v>
      </c>
    </row>
    <row r="4436" ht="165" spans="1:13">
      <c r="A4436" s="1" t="s">
        <v>19788</v>
      </c>
      <c r="B4436" s="1" t="s">
        <v>13</v>
      </c>
      <c r="C4436" s="4" t="s">
        <v>19793</v>
      </c>
      <c r="D4436" s="1" t="s">
        <v>19794</v>
      </c>
      <c r="E4436" s="1" t="s">
        <v>19795</v>
      </c>
      <c r="F4436" s="4" t="s">
        <v>17</v>
      </c>
      <c r="G4436" s="1" t="s">
        <v>18</v>
      </c>
      <c r="H4436" s="1" t="s">
        <v>19</v>
      </c>
      <c r="I4436" s="1" t="s">
        <v>20</v>
      </c>
      <c r="J4436" s="1" t="s">
        <v>19796</v>
      </c>
      <c r="K4436" s="1" t="s">
        <v>22</v>
      </c>
      <c r="L4436" s="1" t="str">
        <f>HYPERLINK("https://files.afu.se/Downloads/Transcripts/0%20-%20Government/USA%20-%20NASA/2011 02 14 - NASA - NASA to  Reach for New Heights _cmOiW_JbXMc - transcript (automated).pdf","Transcript Link")</f>
        <v>Transcript Link</v>
      </c>
      <c r="M4436" s="2" t="str">
        <f>HYPERLINK("https://files.afu.se/Downloads/Transcripts/0%20-%20Government/USA%20-%20NASA/2011 02 14 - NASA - NASA to  Reach for New Heights _cmOiW_JbXMc - transcript (automated).pdf","Transcript Link")</f>
        <v>Transcript Link</v>
      </c>
    </row>
    <row r="4437" ht="165" spans="1:13">
      <c r="A4437" s="1" t="s">
        <v>19788</v>
      </c>
      <c r="B4437" s="1" t="s">
        <v>13</v>
      </c>
      <c r="C4437" s="4" t="s">
        <v>19797</v>
      </c>
      <c r="D4437" s="1" t="s">
        <v>19798</v>
      </c>
      <c r="E4437" s="1" t="s">
        <v>19799</v>
      </c>
      <c r="F4437" s="4" t="s">
        <v>17</v>
      </c>
      <c r="G4437" s="1" t="s">
        <v>18</v>
      </c>
      <c r="H4437" s="1" t="s">
        <v>19</v>
      </c>
      <c r="I4437" s="1" t="s">
        <v>20</v>
      </c>
      <c r="J4437" s="1" t="s">
        <v>19800</v>
      </c>
      <c r="K4437" s="1" t="s">
        <v>22</v>
      </c>
      <c r="L4437" s="1" t="str">
        <f>HYPERLINK("https://files.afu.se/Downloads/Transcripts/0%20-%20Government/USA%20-%20NASA/2011 02 14 - NASA - Deadline Nears for NASA Space Tech Fellowship Applications_mAIrpnRFKBg - transcript (automated).pdf","Transcript Link")</f>
        <v>Transcript Link</v>
      </c>
      <c r="M4437" s="2" t="str">
        <f>HYPERLINK("https://files.afu.se/Downloads/Transcripts/0%20-%20Government/USA%20-%20NASA/2011 02 14 - NASA - Deadline Nears for NASA Space Tech Fellowship Applications_mAIrpnRFKBg - transcript (automated).pdf","Transcript Link")</f>
        <v>Transcript Link</v>
      </c>
    </row>
    <row r="4438" ht="165" spans="1:13">
      <c r="A4438" s="1" t="s">
        <v>19801</v>
      </c>
      <c r="B4438" s="1" t="s">
        <v>13</v>
      </c>
      <c r="C4438" s="4" t="s">
        <v>19802</v>
      </c>
      <c r="D4438" s="1" t="s">
        <v>19803</v>
      </c>
      <c r="E4438" s="1" t="s">
        <v>19804</v>
      </c>
      <c r="F4438" s="4" t="s">
        <v>17</v>
      </c>
      <c r="G4438" s="1" t="s">
        <v>18</v>
      </c>
      <c r="H4438" s="1" t="s">
        <v>19</v>
      </c>
      <c r="I4438" s="1" t="s">
        <v>20</v>
      </c>
      <c r="J4438" s="1" t="s">
        <v>19805</v>
      </c>
      <c r="K4438" s="1" t="s">
        <v>22</v>
      </c>
      <c r="L4438" s="1" t="str">
        <f>HYPERLINK("https://files.afu.se/Downloads/Transcripts/0%20-%20Government/USA%20-%20NASA/2011 02 11 - NASA - More News on Repairs to Space Shuttle Discovery's External Tank on This Week @ NASA!_CQE0S_G7XIk - transcript (automated).pdf","Transcript Link")</f>
        <v>Transcript Link</v>
      </c>
      <c r="M4438" s="2" t="str">
        <f>HYPERLINK("https://files.afu.se/Downloads/Transcripts/0%20-%20Government/USA%20-%20NASA/2011 02 11 - NASA - More News on Repairs to Space Shuttle Discovery's External Tank on This Week @ NASA!_CQE0S_G7XIk - transcript (automated).pdf","Transcript Link")</f>
        <v>Transcript Link</v>
      </c>
    </row>
    <row r="4439" ht="165" spans="1:13">
      <c r="A4439" s="1" t="s">
        <v>19806</v>
      </c>
      <c r="B4439" s="1" t="s">
        <v>13</v>
      </c>
      <c r="C4439" s="4" t="s">
        <v>19807</v>
      </c>
      <c r="D4439" s="1" t="s">
        <v>19808</v>
      </c>
      <c r="E4439" s="1" t="s">
        <v>19809</v>
      </c>
      <c r="F4439" s="4" t="s">
        <v>17</v>
      </c>
      <c r="G4439" s="1" t="s">
        <v>18</v>
      </c>
      <c r="H4439" s="1" t="s">
        <v>19</v>
      </c>
      <c r="I4439" s="1" t="s">
        <v>20</v>
      </c>
      <c r="J4439" s="1" t="s">
        <v>19810</v>
      </c>
      <c r="K4439" s="1" t="s">
        <v>22</v>
      </c>
      <c r="L4439" s="1" t="str">
        <f>HYPERLINK("https://files.afu.se/Downloads/Transcripts/0%20-%20Government/USA%20-%20NASA/2011 02 10 - NASA - STS-133 Crew Trains in Virtual Reality_2zihywXgyOI - transcript (automated).pdf","Transcript Link")</f>
        <v>Transcript Link</v>
      </c>
      <c r="M4439" s="2" t="str">
        <f>HYPERLINK("https://files.afu.se/Downloads/Transcripts/0%20-%20Government/USA%20-%20NASA/2011 02 10 - NASA - STS-133 Crew Trains in Virtual Reality_2zihywXgyOI - transcript (automated).pdf","Transcript Link")</f>
        <v>Transcript Link</v>
      </c>
    </row>
    <row r="4440" ht="165" spans="1:13">
      <c r="A4440" s="1" t="s">
        <v>19811</v>
      </c>
      <c r="B4440" s="1" t="s">
        <v>13</v>
      </c>
      <c r="C4440" s="4" t="s">
        <v>19812</v>
      </c>
      <c r="D4440" s="1" t="s">
        <v>19813</v>
      </c>
      <c r="E4440" s="1" t="s">
        <v>19814</v>
      </c>
      <c r="F4440" s="4" t="s">
        <v>17</v>
      </c>
      <c r="G4440" s="1" t="s">
        <v>18</v>
      </c>
      <c r="H4440" s="1" t="s">
        <v>19</v>
      </c>
      <c r="I4440" s="1" t="s">
        <v>20</v>
      </c>
      <c r="J4440" s="1" t="s">
        <v>19815</v>
      </c>
      <c r="K4440" s="1" t="s">
        <v>22</v>
      </c>
      <c r="L4440" s="1" t="str">
        <f>HYPERLINK("https://files.afu.se/Downloads/Transcripts/0%20-%20Government/USA%20-%20NASA/2011 02 09 - NASA - Cady Performs for Public Radio Audience_y9f8KsPfYsU - transcript (automated).pdf","Transcript Link")</f>
        <v>Transcript Link</v>
      </c>
      <c r="M4440" s="2" t="str">
        <f>HYPERLINK("https://files.afu.se/Downloads/Transcripts/0%20-%20Government/USA%20-%20NASA/2011 02 09 - NASA - Cady Performs for Public Radio Audience_y9f8KsPfYsU - transcript (automated).pdf","Transcript Link")</f>
        <v>Transcript Link</v>
      </c>
    </row>
    <row r="4441" ht="165" spans="1:13">
      <c r="A4441" s="1" t="s">
        <v>19816</v>
      </c>
      <c r="B4441" s="1" t="s">
        <v>13</v>
      </c>
      <c r="C4441" s="4" t="s">
        <v>19817</v>
      </c>
      <c r="D4441" s="1" t="s">
        <v>19818</v>
      </c>
      <c r="E4441" s="1" t="s">
        <v>19819</v>
      </c>
      <c r="F4441" s="4" t="s">
        <v>17</v>
      </c>
      <c r="G4441" s="1" t="s">
        <v>18</v>
      </c>
      <c r="H4441" s="1" t="s">
        <v>19</v>
      </c>
      <c r="I4441" s="1" t="s">
        <v>20</v>
      </c>
      <c r="J4441" s="1" t="s">
        <v>19820</v>
      </c>
      <c r="K4441" s="1" t="s">
        <v>22</v>
      </c>
      <c r="L4441" s="1" t="str">
        <f>HYPERLINK("https://files.afu.se/Downloads/Transcripts/0%20-%20Government/USA%20-%20NASA/2011 02 08 - NASA - Mark Kelly Trains for STS-134_iHzEsXUfqD0 - transcript (automated).pdf","Transcript Link")</f>
        <v>Transcript Link</v>
      </c>
      <c r="M4441" s="2" t="str">
        <f>HYPERLINK("https://files.afu.se/Downloads/Transcripts/0%20-%20Government/USA%20-%20NASA/2011 02 08 - NASA - Mark Kelly Trains for STS-134_iHzEsXUfqD0 - transcript (automated).pdf","Transcript Link")</f>
        <v>Transcript Link</v>
      </c>
    </row>
    <row r="4442" ht="165" spans="1:13">
      <c r="A4442" s="1" t="s">
        <v>19816</v>
      </c>
      <c r="B4442" s="1" t="s">
        <v>13</v>
      </c>
      <c r="C4442" s="4" t="s">
        <v>19821</v>
      </c>
      <c r="D4442" s="1" t="s">
        <v>19822</v>
      </c>
      <c r="E4442" s="1" t="s">
        <v>19823</v>
      </c>
      <c r="F4442" s="4" t="s">
        <v>17</v>
      </c>
      <c r="G4442" s="1" t="s">
        <v>18</v>
      </c>
      <c r="H4442" s="1" t="s">
        <v>19</v>
      </c>
      <c r="I4442" s="1" t="s">
        <v>20</v>
      </c>
      <c r="J4442" s="1" t="s">
        <v>19824</v>
      </c>
      <c r="K4442" s="1" t="s">
        <v>22</v>
      </c>
      <c r="L4442" s="1" t="str">
        <f>HYPERLINK("https://files.afu.se/Downloads/Transcripts/0%20-%20Government/USA%20-%20NASA/2011 02 08 - NASA - NASA Mission Sheds New Light on Full Sun_4IMFbhjbFj4 - transcript (automated).pdf","Transcript Link")</f>
        <v>Transcript Link</v>
      </c>
      <c r="M4442" s="2" t="str">
        <f>HYPERLINK("https://files.afu.se/Downloads/Transcripts/0%20-%20Government/USA%20-%20NASA/2011 02 08 - NASA - NASA Mission Sheds New Light on Full Sun_4IMFbhjbFj4 - transcript (automated).pdf","Transcript Link")</f>
        <v>Transcript Link</v>
      </c>
    </row>
    <row r="4443" ht="195" spans="1:13">
      <c r="A4443" s="1" t="s">
        <v>19825</v>
      </c>
      <c r="B4443" s="1" t="s">
        <v>13</v>
      </c>
      <c r="C4443" s="4" t="s">
        <v>19826</v>
      </c>
      <c r="D4443" s="1" t="s">
        <v>19827</v>
      </c>
      <c r="E4443" s="1" t="s">
        <v>19828</v>
      </c>
      <c r="F4443" s="4" t="s">
        <v>17</v>
      </c>
      <c r="G4443" s="1" t="s">
        <v>18</v>
      </c>
      <c r="H4443" s="1" t="s">
        <v>19</v>
      </c>
      <c r="I4443" s="1" t="s">
        <v>20</v>
      </c>
      <c r="J4443" s="1" t="s">
        <v>19829</v>
      </c>
      <c r="K4443" s="1" t="s">
        <v>22</v>
      </c>
      <c r="L4443" s="1" t="str">
        <f>HYPERLINK("https://files.afu.se/Downloads/Transcripts/0%20-%20Government/USA%20-%20NASA/2011 02 04 - NASA - Kelly to Fly on Shuttle Mission_u9VDPGY2DEQ - transcript (automated).pdf","Transcript Link")</f>
        <v>Transcript Link</v>
      </c>
      <c r="M4443" s="2" t="str">
        <f>HYPERLINK("https://files.afu.se/Downloads/Transcripts/0%20-%20Government/USA%20-%20NASA/2011 02 04 - NASA - Kelly to Fly on Shuttle Mission_u9VDPGY2DEQ - transcript (automated).pdf","Transcript Link")</f>
        <v>Transcript Link</v>
      </c>
    </row>
    <row r="4444" ht="165" spans="1:13">
      <c r="A4444" s="1" t="s">
        <v>19825</v>
      </c>
      <c r="B4444" s="1" t="s">
        <v>13</v>
      </c>
      <c r="C4444" s="4" t="s">
        <v>19830</v>
      </c>
      <c r="D4444" s="1" t="s">
        <v>19831</v>
      </c>
      <c r="E4444" s="1" t="s">
        <v>19832</v>
      </c>
      <c r="F4444" s="4" t="s">
        <v>17</v>
      </c>
      <c r="G4444" s="1" t="s">
        <v>18</v>
      </c>
      <c r="H4444" s="1" t="s">
        <v>19</v>
      </c>
      <c r="I4444" s="1" t="s">
        <v>20</v>
      </c>
      <c r="J4444" s="1" t="s">
        <v>19833</v>
      </c>
      <c r="K4444" s="1" t="s">
        <v>22</v>
      </c>
      <c r="L4444" s="1" t="str">
        <f>HYPERLINK("https://files.afu.se/Downloads/Transcripts/0%20-%20Government/USA%20-%20NASA/2011 02 04 - NASA - Mark Kelly Remains STS-134 Commander Tops This Week @NASA_wKVoSCDJ-f4 - transcript (automated).pdf","Transcript Link")</f>
        <v>Transcript Link</v>
      </c>
      <c r="M4444" s="2" t="str">
        <f>HYPERLINK("https://files.afu.se/Downloads/Transcripts/0%20-%20Government/USA%20-%20NASA/2011 02 04 - NASA - Mark Kelly Remains STS-134 Commander Tops This Week @NASA_wKVoSCDJ-f4 - transcript (automated).pdf","Transcript Link")</f>
        <v>Transcript Link</v>
      </c>
    </row>
    <row r="4445" ht="165" spans="1:13">
      <c r="A4445" s="1" t="s">
        <v>19834</v>
      </c>
      <c r="B4445" s="1" t="s">
        <v>13</v>
      </c>
      <c r="C4445" s="4" t="s">
        <v>19835</v>
      </c>
      <c r="D4445" s="1" t="s">
        <v>19836</v>
      </c>
      <c r="E4445" s="1" t="s">
        <v>19837</v>
      </c>
      <c r="F4445" s="4" t="s">
        <v>17</v>
      </c>
      <c r="G4445" s="1" t="s">
        <v>18</v>
      </c>
      <c r="H4445" s="1" t="s">
        <v>19</v>
      </c>
      <c r="I4445" s="1" t="s">
        <v>20</v>
      </c>
      <c r="J4445" s="1" t="s">
        <v>19838</v>
      </c>
      <c r="K4445" s="1" t="s">
        <v>22</v>
      </c>
      <c r="L4445" s="1" t="str">
        <f>HYPERLINK("https://files.afu.se/Downloads/Transcripts/0%20-%20Government/USA%20-%20NASA/2011 02 03 - NASA - ISS Commander Kelly Reflects on Tucson Tragedy_Ucbm-BPxjq0 - transcript (automated).pdf","Transcript Link")</f>
        <v>Transcript Link</v>
      </c>
      <c r="M4445" s="2" t="str">
        <f>HYPERLINK("https://files.afu.se/Downloads/Transcripts/0%20-%20Government/USA%20-%20NASA/2011 02 03 - NASA - ISS Commander Kelly Reflects on Tucson Tragedy_Ucbm-BPxjq0 - transcript (automated).pdf","Transcript Link")</f>
        <v>Transcript Link</v>
      </c>
    </row>
    <row r="4446" ht="180" spans="1:13">
      <c r="A4446" s="1" t="s">
        <v>19839</v>
      </c>
      <c r="B4446" s="1" t="s">
        <v>13</v>
      </c>
      <c r="C4446" s="4" t="s">
        <v>19840</v>
      </c>
      <c r="D4446" s="1" t="s">
        <v>19841</v>
      </c>
      <c r="E4446" s="1" t="s">
        <v>19842</v>
      </c>
      <c r="F4446" s="4" t="s">
        <v>17</v>
      </c>
      <c r="G4446" s="1" t="s">
        <v>18</v>
      </c>
      <c r="H4446" s="1" t="s">
        <v>19</v>
      </c>
      <c r="I4446" s="1" t="s">
        <v>20</v>
      </c>
      <c r="J4446" s="1" t="s">
        <v>19843</v>
      </c>
      <c r="K4446" s="1" t="s">
        <v>22</v>
      </c>
      <c r="L4446" s="1" t="str">
        <f>HYPERLINK("https://files.afu.se/Downloads/Transcripts/0%20-%20Government/USA%20-%20NASA/2011 02 02 - NASA - NASA's Kepler Finds Its First  Goldilocks  Candidates_zZHSptpDoLQ - transcript (automated).pdf","Transcript Link")</f>
        <v>Transcript Link</v>
      </c>
      <c r="M4446" s="2" t="str">
        <f>HYPERLINK("https://files.afu.se/Downloads/Transcripts/0%20-%20Government/USA%20-%20NASA/2011 02 02 - NASA - NASA's Kepler Finds Its First  Goldilocks  Candidates_zZHSptpDoLQ - transcript (automated).pdf","Transcript Link")</f>
        <v>Transcript Link</v>
      </c>
    </row>
    <row r="4447" ht="165" spans="1:13">
      <c r="A4447" s="1" t="s">
        <v>19844</v>
      </c>
      <c r="B4447" s="1" t="s">
        <v>13</v>
      </c>
      <c r="C4447" s="4" t="s">
        <v>19845</v>
      </c>
      <c r="D4447" s="1" t="s">
        <v>19846</v>
      </c>
      <c r="E4447" s="1" t="s">
        <v>19847</v>
      </c>
      <c r="F4447" s="4" t="s">
        <v>17</v>
      </c>
      <c r="G4447" s="1" t="s">
        <v>18</v>
      </c>
      <c r="H4447" s="1" t="s">
        <v>19</v>
      </c>
      <c r="I4447" s="1" t="s">
        <v>20</v>
      </c>
      <c r="J4447" s="1" t="s">
        <v>19848</v>
      </c>
      <c r="K4447" s="1" t="s">
        <v>22</v>
      </c>
      <c r="L4447" s="1" t="str">
        <f>HYPERLINK("https://files.afu.se/Downloads/Transcripts/0%20-%20Government/USA%20-%20NASA/2011 02 01 - NASA - Shuttle Discovery Back on Launch Pad_OJYxOLF9FiM - transcript (automated).pdf","Transcript Link")</f>
        <v>Transcript Link</v>
      </c>
      <c r="M4447" s="2" t="str">
        <f>HYPERLINK("https://files.afu.se/Downloads/Transcripts/0%20-%20Government/USA%20-%20NASA/2011 02 01 - NASA - Shuttle Discovery Back on Launch Pad_OJYxOLF9FiM - transcript (automated).pdf","Transcript Link")</f>
        <v>Transcript Link</v>
      </c>
    </row>
    <row r="4448" ht="165" spans="1:13">
      <c r="A4448" s="1" t="s">
        <v>19844</v>
      </c>
      <c r="B4448" s="1" t="s">
        <v>13</v>
      </c>
      <c r="C4448" s="4" t="s">
        <v>19849</v>
      </c>
      <c r="D4448" s="1" t="s">
        <v>19850</v>
      </c>
      <c r="E4448" s="1" t="s">
        <v>19851</v>
      </c>
      <c r="F4448" s="4" t="s">
        <v>17</v>
      </c>
      <c r="G4448" s="1" t="s">
        <v>18</v>
      </c>
      <c r="H4448" s="1" t="s">
        <v>19</v>
      </c>
      <c r="I4448" s="1" t="s">
        <v>20</v>
      </c>
      <c r="J4448" s="1" t="s">
        <v>19852</v>
      </c>
      <c r="K4448" s="1" t="s">
        <v>22</v>
      </c>
      <c r="L4448" s="1" t="str">
        <f>HYPERLINK("https://files.afu.se/Downloads/Transcripts/0%20-%20Government/USA%20-%20NASA/2011 02 01 - NASA - Discovery Team Gets Bowen as Pinch-Hitter_l9bOnh0hwbU - transcript (automated).pdf","Transcript Link")</f>
        <v>Transcript Link</v>
      </c>
      <c r="M4448" s="2" t="str">
        <f>HYPERLINK("https://files.afu.se/Downloads/Transcripts/0%20-%20Government/USA%20-%20NASA/2011 02 01 - NASA - Discovery Team Gets Bowen as Pinch-Hitter_l9bOnh0hwbU - transcript (automated).pdf","Transcript Link")</f>
        <v>Transcript Link</v>
      </c>
    </row>
    <row r="4449" ht="165" spans="1:13">
      <c r="A4449" s="1" t="s">
        <v>19844</v>
      </c>
      <c r="B4449" s="1" t="s">
        <v>13</v>
      </c>
      <c r="C4449" s="4" t="s">
        <v>19853</v>
      </c>
      <c r="D4449" s="1" t="s">
        <v>19854</v>
      </c>
      <c r="E4449" s="1" t="s">
        <v>19855</v>
      </c>
      <c r="F4449" s="4" t="s">
        <v>17</v>
      </c>
      <c r="G4449" s="1" t="s">
        <v>18</v>
      </c>
      <c r="H4449" s="1" t="s">
        <v>19</v>
      </c>
      <c r="I4449" s="1" t="s">
        <v>20</v>
      </c>
      <c r="J4449" s="1" t="s">
        <v>19856</v>
      </c>
      <c r="K4449" s="1" t="s">
        <v>22</v>
      </c>
      <c r="L4449" s="1" t="str">
        <f>HYPERLINK("https://files.afu.se/Downloads/Transcripts/0%20-%20Government/USA%20-%20NASA/2011 02 01 - NASA - STS-133 Astronauts Train with New Crew Member_nAetqx5bods - transcript (automated).pdf","Transcript Link")</f>
        <v>Transcript Link</v>
      </c>
      <c r="M4449" s="2" t="str">
        <f>HYPERLINK("https://files.afu.se/Downloads/Transcripts/0%20-%20Government/USA%20-%20NASA/2011 02 01 - NASA - STS-133 Astronauts Train with New Crew Member_nAetqx5bods - transcript (automated).pdf","Transcript Link")</f>
        <v>Transcript Link</v>
      </c>
    </row>
    <row r="4450" ht="165" spans="1:13">
      <c r="A4450" s="1" t="s">
        <v>19844</v>
      </c>
      <c r="B4450" s="1" t="s">
        <v>13</v>
      </c>
      <c r="C4450" s="4" t="s">
        <v>19857</v>
      </c>
      <c r="D4450" s="1" t="s">
        <v>19846</v>
      </c>
      <c r="E4450" s="1" t="s">
        <v>19858</v>
      </c>
      <c r="F4450" s="4" t="s">
        <v>17</v>
      </c>
      <c r="G4450" s="1" t="s">
        <v>18</v>
      </c>
      <c r="H4450" s="1" t="s">
        <v>19</v>
      </c>
      <c r="I4450" s="1" t="s">
        <v>20</v>
      </c>
      <c r="J4450" s="1" t="s">
        <v>19859</v>
      </c>
      <c r="K4450" s="1" t="s">
        <v>22</v>
      </c>
      <c r="L4450" s="1" t="str">
        <f>HYPERLINK("https://files.afu.se/Downloads/Transcripts/0%20-%20Government/USA%20-%20NASA/2011 02 01 - NASA - Shuttle Discovery Back on Launch Pad_npV44pHdzdM - transcript (automated).pdf","Transcript Link")</f>
        <v>Transcript Link</v>
      </c>
      <c r="M4450" s="2" t="str">
        <f>HYPERLINK("https://files.afu.se/Downloads/Transcripts/0%20-%20Government/USA%20-%20NASA/2011 02 01 - NASA - Shuttle Discovery Back on Launch Pad_npV44pHdzdM - transcript (automated).pdf","Transcript Link")</f>
        <v>Transcript Link</v>
      </c>
    </row>
    <row r="4451" ht="225" spans="1:13">
      <c r="A4451" s="1" t="s">
        <v>19844</v>
      </c>
      <c r="B4451" s="1" t="s">
        <v>13</v>
      </c>
      <c r="C4451" s="4" t="s">
        <v>19860</v>
      </c>
      <c r="D4451" s="1" t="s">
        <v>19861</v>
      </c>
      <c r="E4451" s="1" t="s">
        <v>19862</v>
      </c>
      <c r="F4451" s="4" t="s">
        <v>17</v>
      </c>
      <c r="G4451" s="1" t="s">
        <v>18</v>
      </c>
      <c r="H4451" s="1" t="s">
        <v>19</v>
      </c>
      <c r="I4451" s="1" t="s">
        <v>20</v>
      </c>
      <c r="J4451" s="1" t="s">
        <v>19863</v>
      </c>
      <c r="K4451" s="1" t="s">
        <v>22</v>
      </c>
      <c r="L4451" s="1" t="str">
        <f>HYPERLINK("https://files.afu.se/Downloads/Transcripts/0%20-%20Government/USA%20-%20NASA/2011 02 01 - NASA - NASA'S Space Shuttle Discovery Departs of Launch Pad for STS-133 Mission_5_mNN5v41KY - transcript (automated).pdf","Transcript Link")</f>
        <v>Transcript Link</v>
      </c>
      <c r="M4451" s="2" t="str">
        <f>HYPERLINK("https://files.afu.se/Downloads/Transcripts/0%20-%20Government/USA%20-%20NASA/2011 02 01 - NASA - NASA'S Space Shuttle Discovery Departs of Launch Pad for STS-133 Mission_5_mNN5v41KY - transcript (automated).pdf","Transcript Link")</f>
        <v>Transcript Link</v>
      </c>
    </row>
    <row r="4452" ht="165" spans="1:13">
      <c r="A4452" s="1" t="s">
        <v>19864</v>
      </c>
      <c r="B4452" s="1" t="s">
        <v>13</v>
      </c>
      <c r="C4452" s="4" t="s">
        <v>19865</v>
      </c>
      <c r="D4452" s="1" t="s">
        <v>19866</v>
      </c>
      <c r="E4452" s="1" t="s">
        <v>19867</v>
      </c>
      <c r="F4452" s="4" t="s">
        <v>17</v>
      </c>
      <c r="G4452" s="1" t="s">
        <v>18</v>
      </c>
      <c r="H4452" s="1" t="s">
        <v>19</v>
      </c>
      <c r="I4452" s="1" t="s">
        <v>20</v>
      </c>
      <c r="J4452" s="1" t="s">
        <v>19868</v>
      </c>
      <c r="K4452" s="1" t="s">
        <v>22</v>
      </c>
      <c r="L4452" s="1" t="str">
        <f>HYPERLINK("https://files.afu.se/Downloads/Transcripts/0%20-%20Government/USA%20-%20NASA/2011 01 31 - NASA - AJ26 Flight Engine Installed for Test Firing_yZZHZCr27HE - transcript (automated).pdf","Transcript Link")</f>
        <v>Transcript Link</v>
      </c>
      <c r="M4452" s="2" t="str">
        <f>HYPERLINK("https://files.afu.se/Downloads/Transcripts/0%20-%20Government/USA%20-%20NASA/2011 01 31 - NASA - AJ26 Flight Engine Installed for Test Firing_yZZHZCr27HE - transcript (automated).pdf","Transcript Link")</f>
        <v>Transcript Link</v>
      </c>
    </row>
    <row r="4453" ht="165" spans="1:13">
      <c r="A4453" s="1" t="s">
        <v>19864</v>
      </c>
      <c r="B4453" s="1" t="s">
        <v>13</v>
      </c>
      <c r="C4453" s="4" t="s">
        <v>19869</v>
      </c>
      <c r="D4453" s="1" t="s">
        <v>19870</v>
      </c>
      <c r="E4453" s="1" t="s">
        <v>19871</v>
      </c>
      <c r="F4453" s="4" t="s">
        <v>17</v>
      </c>
      <c r="G4453" s="1" t="s">
        <v>18</v>
      </c>
      <c r="H4453" s="1" t="s">
        <v>19</v>
      </c>
      <c r="I4453" s="1" t="s">
        <v>20</v>
      </c>
      <c r="J4453" s="1" t="s">
        <v>19872</v>
      </c>
      <c r="K4453" s="1" t="s">
        <v>22</v>
      </c>
      <c r="L4453" s="1" t="str">
        <f>HYPERLINK("https://files.afu.se/Downloads/Transcripts/0%20-%20Government/USA%20-%20NASA/2011 01 31 - NASA - Hubble Goes to Great Lengths on This Week @NASA_fF8vP5YEm3g - transcript (automated).pdf","Transcript Link")</f>
        <v>Transcript Link</v>
      </c>
      <c r="M4453" s="2" t="str">
        <f>HYPERLINK("https://files.afu.se/Downloads/Transcripts/0%20-%20Government/USA%20-%20NASA/2011 01 31 - NASA - Hubble Goes to Great Lengths on This Week @NASA_fF8vP5YEm3g - transcript (automated).pdf","Transcript Link")</f>
        <v>Transcript Link</v>
      </c>
    </row>
    <row r="4454" ht="255" spans="1:13">
      <c r="A4454" s="1" t="s">
        <v>19864</v>
      </c>
      <c r="B4454" s="1" t="s">
        <v>13</v>
      </c>
      <c r="C4454" s="4" t="s">
        <v>19873</v>
      </c>
      <c r="D4454" s="1" t="s">
        <v>19874</v>
      </c>
      <c r="E4454" s="1" t="s">
        <v>19875</v>
      </c>
      <c r="F4454" s="4" t="s">
        <v>17</v>
      </c>
      <c r="G4454" s="1" t="s">
        <v>18</v>
      </c>
      <c r="H4454" s="1" t="s">
        <v>19</v>
      </c>
      <c r="I4454" s="1" t="s">
        <v>20</v>
      </c>
      <c r="J4454" s="1" t="s">
        <v>19876</v>
      </c>
      <c r="K4454" s="1" t="s">
        <v>22</v>
      </c>
      <c r="L4454" s="1" t="str">
        <f>HYPERLINK("https://files.afu.se/Downloads/Transcripts/0%20-%20Government/USA%20-%20NASA/2011 01 31 - NASA - Apollo 14 - 40th Anniversary_OZQjxC-kRdE - transcript (automated).pdf","Transcript Link")</f>
        <v>Transcript Link</v>
      </c>
      <c r="M4454" s="2" t="str">
        <f>HYPERLINK("https://files.afu.se/Downloads/Transcripts/0%20-%20Government/USA%20-%20NASA/2011 01 31 - NASA - Apollo 14 - 40th Anniversary_OZQjxC-kRdE - transcript (automated).pdf","Transcript Link")</f>
        <v>Transcript Link</v>
      </c>
    </row>
    <row r="4455" ht="165" spans="1:13">
      <c r="A4455" s="1" t="s">
        <v>19877</v>
      </c>
      <c r="B4455" s="1" t="s">
        <v>13</v>
      </c>
      <c r="C4455" s="4" t="s">
        <v>19878</v>
      </c>
      <c r="D4455" s="1" t="s">
        <v>19879</v>
      </c>
      <c r="E4455" s="1" t="s">
        <v>19880</v>
      </c>
      <c r="F4455" s="4" t="s">
        <v>17</v>
      </c>
      <c r="G4455" s="1" t="s">
        <v>18</v>
      </c>
      <c r="H4455" s="1" t="s">
        <v>19</v>
      </c>
      <c r="I4455" s="1" t="s">
        <v>20</v>
      </c>
      <c r="J4455" s="1" t="s">
        <v>19881</v>
      </c>
      <c r="K4455" s="1" t="s">
        <v>22</v>
      </c>
      <c r="L4455" s="1" t="str">
        <f>HYPERLINK("https://files.afu.se/Downloads/Transcripts/0%20-%20Government/USA%20-%20NASA/2011 01 30 - NASA -  Progress  Docks to ISS_2eSHTAO7ZUo - transcript (automated).pdf","Transcript Link")</f>
        <v>Transcript Link</v>
      </c>
      <c r="M4455" s="2" t="str">
        <f>HYPERLINK("https://files.afu.se/Downloads/Transcripts/0%20-%20Government/USA%20-%20NASA/2011 01 30 - NASA -  Progress  Docks to ISS_2eSHTAO7ZUo - transcript (automated).pdf","Transcript Link")</f>
        <v>Transcript Link</v>
      </c>
    </row>
    <row r="4456" ht="165" spans="1:13">
      <c r="A4456" s="1" t="s">
        <v>19882</v>
      </c>
      <c r="B4456" s="1" t="s">
        <v>13</v>
      </c>
      <c r="C4456" s="4" t="s">
        <v>19883</v>
      </c>
      <c r="D4456" s="1" t="s">
        <v>19870</v>
      </c>
      <c r="E4456" s="1" t="s">
        <v>19884</v>
      </c>
      <c r="F4456" s="4" t="s">
        <v>17</v>
      </c>
      <c r="G4456" s="1" t="s">
        <v>18</v>
      </c>
      <c r="H4456" s="1" t="s">
        <v>19</v>
      </c>
      <c r="I4456" s="1" t="s">
        <v>20</v>
      </c>
      <c r="J4456" s="1" t="s">
        <v>19885</v>
      </c>
      <c r="K4456" s="1" t="s">
        <v>22</v>
      </c>
      <c r="L4456" s="1" t="str">
        <f>HYPERLINK("https://files.afu.se/Downloads/Transcripts/0%20-%20Government/USA%20-%20NASA/2011 01 28 - NASA - Hubble Goes to Great Lengths on This Week @NASA_KrdSLrJHXFw - transcript (automated).pdf","Transcript Link")</f>
        <v>Transcript Link</v>
      </c>
      <c r="M4456" s="2" t="str">
        <f>HYPERLINK("https://files.afu.se/Downloads/Transcripts/0%20-%20Government/USA%20-%20NASA/2011 01 28 - NASA - Hubble Goes to Great Lengths on This Week @NASA_KrdSLrJHXFw - transcript (automated).pdf","Transcript Link")</f>
        <v>Transcript Link</v>
      </c>
    </row>
    <row r="4457" ht="375" spans="1:13">
      <c r="A4457" s="1" t="s">
        <v>19882</v>
      </c>
      <c r="B4457" s="1" t="s">
        <v>13</v>
      </c>
      <c r="C4457" s="4" t="s">
        <v>19886</v>
      </c>
      <c r="D4457" s="1" t="s">
        <v>19887</v>
      </c>
      <c r="E4457" s="1" t="s">
        <v>19888</v>
      </c>
      <c r="F4457" s="4" t="s">
        <v>17</v>
      </c>
      <c r="G4457" s="1" t="s">
        <v>18</v>
      </c>
      <c r="H4457" s="1" t="s">
        <v>19</v>
      </c>
      <c r="I4457" s="1" t="s">
        <v>20</v>
      </c>
      <c r="J4457" s="1" t="s">
        <v>19889</v>
      </c>
      <c r="K4457" s="1" t="s">
        <v>22</v>
      </c>
      <c r="L4457" s="1" t="str">
        <f>HYPERLINK("https://files.afu.se/Downloads/Transcripts/0%20-%20Government/USA%20-%20NASA/2011 01 28 - NASA - Challenger Astronauts Remembered at Florida Memorial_KyFejZwXg5k - transcript (automated).pdf","Transcript Link")</f>
        <v>Transcript Link</v>
      </c>
      <c r="M4457" s="2" t="str">
        <f>HYPERLINK("https://files.afu.se/Downloads/Transcripts/0%20-%20Government/USA%20-%20NASA/2011 01 28 - NASA - Challenger Astronauts Remembered at Florida Memorial_KyFejZwXg5k - transcript (automated).pdf","Transcript Link")</f>
        <v>Transcript Link</v>
      </c>
    </row>
    <row r="4458" ht="375" spans="1:13">
      <c r="A4458" s="1" t="s">
        <v>19882</v>
      </c>
      <c r="B4458" s="1" t="s">
        <v>13</v>
      </c>
      <c r="C4458" s="4" t="s">
        <v>19890</v>
      </c>
      <c r="D4458" s="1" t="s">
        <v>19891</v>
      </c>
      <c r="E4458" s="1" t="s">
        <v>19892</v>
      </c>
      <c r="F4458" s="4" t="s">
        <v>17</v>
      </c>
      <c r="G4458" s="1" t="s">
        <v>18</v>
      </c>
      <c r="H4458" s="1" t="s">
        <v>19</v>
      </c>
      <c r="I4458" s="1" t="s">
        <v>20</v>
      </c>
      <c r="J4458" s="1" t="s">
        <v>19893</v>
      </c>
      <c r="K4458" s="1" t="s">
        <v>22</v>
      </c>
      <c r="L4458" s="1" t="str">
        <f>HYPERLINK("https://files.afu.se/Downloads/Transcripts/0%20-%20Government/USA%20-%20NASA/2011 01 28 - NASA - Challenger Memorial Ceremony Held in Florida_83xwb9ARw5Y - transcript (automated).pdf","Transcript Link")</f>
        <v>Transcript Link</v>
      </c>
      <c r="M4458" s="2" t="str">
        <f>HYPERLINK("https://files.afu.se/Downloads/Transcripts/0%20-%20Government/USA%20-%20NASA/2011 01 28 - NASA - Challenger Memorial Ceremony Held in Florida_83xwb9ARw5Y - transcript (automated).pdf","Transcript Link")</f>
        <v>Transcript Link</v>
      </c>
    </row>
    <row r="4459" ht="165" spans="1:13">
      <c r="A4459" s="1" t="s">
        <v>19882</v>
      </c>
      <c r="B4459" s="1" t="s">
        <v>13</v>
      </c>
      <c r="C4459" s="4" t="s">
        <v>19894</v>
      </c>
      <c r="D4459" s="1" t="s">
        <v>19895</v>
      </c>
      <c r="E4459" s="1" t="s">
        <v>19896</v>
      </c>
      <c r="F4459" s="4" t="s">
        <v>17</v>
      </c>
      <c r="G4459" s="1" t="s">
        <v>18</v>
      </c>
      <c r="H4459" s="1" t="s">
        <v>19</v>
      </c>
      <c r="I4459" s="1" t="s">
        <v>20</v>
      </c>
      <c r="J4459" s="1" t="s">
        <v>19897</v>
      </c>
      <c r="K4459" s="1" t="s">
        <v>22</v>
      </c>
      <c r="L4459" s="1" t="str">
        <f>HYPERLINK("https://files.afu.se/Downloads/Transcripts/0%20-%20Government/USA%20-%20NASA/2011 01 28 - NASA - NASA and OPTIMUS PRIME Team Up_ANwlI_zKe3k - transcript (automated).pdf","Transcript Link")</f>
        <v>Transcript Link</v>
      </c>
      <c r="M4459" s="2" t="str">
        <f>HYPERLINK("https://files.afu.se/Downloads/Transcripts/0%20-%20Government/USA%20-%20NASA/2011 01 28 - NASA - NASA and OPTIMUS PRIME Team Up_ANwlI_zKe3k - transcript (automated).pdf","Transcript Link")</f>
        <v>Transcript Link</v>
      </c>
    </row>
    <row r="4460" ht="240" spans="1:13">
      <c r="A4460" s="1" t="s">
        <v>19898</v>
      </c>
      <c r="B4460" s="1" t="s">
        <v>13</v>
      </c>
      <c r="C4460" s="4" t="s">
        <v>19899</v>
      </c>
      <c r="D4460" s="1" t="s">
        <v>19900</v>
      </c>
      <c r="E4460" s="1" t="s">
        <v>19901</v>
      </c>
      <c r="F4460" s="4" t="s">
        <v>17</v>
      </c>
      <c r="G4460" s="1" t="s">
        <v>18</v>
      </c>
      <c r="H4460" s="1" t="s">
        <v>19</v>
      </c>
      <c r="I4460" s="1" t="s">
        <v>20</v>
      </c>
      <c r="J4460" s="1" t="s">
        <v>19902</v>
      </c>
      <c r="K4460" s="1" t="s">
        <v>22</v>
      </c>
      <c r="L4460" s="1" t="str">
        <f>HYPERLINK("https://files.afu.se/Downloads/Transcripts/0%20-%20Government/USA%20-%20NASA/2011 01 27 - NASA - Japanese Cargo Craft Arrives at ISS_NhTylM5PW7k - transcript (automated).pdf","Transcript Link")</f>
        <v>Transcript Link</v>
      </c>
      <c r="M4460" s="2" t="str">
        <f>HYPERLINK("https://files.afu.se/Downloads/Transcripts/0%20-%20Government/USA%20-%20NASA/2011 01 27 - NASA - Japanese Cargo Craft Arrives at ISS_NhTylM5PW7k - transcript (automated).pdf","Transcript Link")</f>
        <v>Transcript Link</v>
      </c>
    </row>
    <row r="4461" ht="165" spans="1:13">
      <c r="A4461" s="1" t="s">
        <v>19903</v>
      </c>
      <c r="B4461" s="1" t="s">
        <v>13</v>
      </c>
      <c r="C4461" s="4" t="s">
        <v>19904</v>
      </c>
      <c r="D4461" s="1" t="s">
        <v>8100</v>
      </c>
      <c r="E4461" s="1" t="s">
        <v>19905</v>
      </c>
      <c r="F4461" s="4" t="s">
        <v>17</v>
      </c>
      <c r="G4461" s="1" t="s">
        <v>18</v>
      </c>
      <c r="H4461" s="1" t="s">
        <v>19</v>
      </c>
      <c r="I4461" s="1" t="s">
        <v>20</v>
      </c>
      <c r="J4461" s="1" t="s">
        <v>19906</v>
      </c>
      <c r="K4461" s="1" t="s">
        <v>22</v>
      </c>
      <c r="L4461" s="1" t="str">
        <f>HYPERLINK("https://files.afu.se/Downloads/Transcripts/0%20-%20Government/USA%20-%20NASA/2011 01 26 - NASA - NASA Day of Remembrance_Xkjis0Uwqyk - transcript (automated).pdf","Transcript Link")</f>
        <v>Transcript Link</v>
      </c>
      <c r="M4461" s="2" t="str">
        <f>HYPERLINK("https://files.afu.se/Downloads/Transcripts/0%20-%20Government/USA%20-%20NASA/2011 01 26 - NASA - NASA Day of Remembrance_Xkjis0Uwqyk - transcript (automated).pdf","Transcript Link")</f>
        <v>Transcript Link</v>
      </c>
    </row>
    <row r="4462" ht="195" spans="1:13">
      <c r="A4462" s="1" t="s">
        <v>19903</v>
      </c>
      <c r="B4462" s="1" t="s">
        <v>13</v>
      </c>
      <c r="C4462" s="4" t="s">
        <v>19907</v>
      </c>
      <c r="D4462" s="1" t="s">
        <v>19908</v>
      </c>
      <c r="E4462" s="1" t="s">
        <v>19909</v>
      </c>
      <c r="F4462" s="4" t="s">
        <v>17</v>
      </c>
      <c r="G4462" s="1" t="s">
        <v>18</v>
      </c>
      <c r="H4462" s="1" t="s">
        <v>19</v>
      </c>
      <c r="I4462" s="1" t="s">
        <v>20</v>
      </c>
      <c r="J4462" s="1" t="s">
        <v>19910</v>
      </c>
      <c r="K4462" s="1" t="s">
        <v>22</v>
      </c>
      <c r="L4462" s="1" t="str">
        <f>HYPERLINK("https://files.afu.se/Downloads/Transcripts/0%20-%20Government/USA%20-%20NASA/2011 01 26 - NASA - Next Station Crew Meets with Media_11Dsh7_WDg0 - transcript (automated).pdf","Transcript Link")</f>
        <v>Transcript Link</v>
      </c>
      <c r="M4462" s="2" t="str">
        <f>HYPERLINK("https://files.afu.se/Downloads/Transcripts/0%20-%20Government/USA%20-%20NASA/2011 01 26 - NASA - Next Station Crew Meets with Media_11Dsh7_WDg0 - transcript (automated).pdf","Transcript Link")</f>
        <v>Transcript Link</v>
      </c>
    </row>
    <row r="4463" ht="165" spans="1:13">
      <c r="A4463" s="1" t="s">
        <v>19903</v>
      </c>
      <c r="B4463" s="1" t="s">
        <v>13</v>
      </c>
      <c r="C4463" s="4" t="s">
        <v>19911</v>
      </c>
      <c r="D4463" s="1" t="s">
        <v>19912</v>
      </c>
      <c r="E4463" s="1" t="s">
        <v>19913</v>
      </c>
      <c r="F4463" s="4" t="s">
        <v>17</v>
      </c>
      <c r="G4463" s="1" t="s">
        <v>18</v>
      </c>
      <c r="H4463" s="1" t="s">
        <v>19</v>
      </c>
      <c r="I4463" s="1" t="s">
        <v>20</v>
      </c>
      <c r="J4463" s="1" t="s">
        <v>19914</v>
      </c>
      <c r="K4463" s="1" t="s">
        <v>22</v>
      </c>
      <c r="L4463" s="1" t="str">
        <f>HYPERLINK("https://files.afu.se/Downloads/Transcripts/0%20-%20Government/USA%20-%20NASA/2011 01 26 - NASA - Foam Reaffixed to Discovery's External Tank_YIuNNZTllmY - transcript (automated).pdf","Transcript Link")</f>
        <v>Transcript Link</v>
      </c>
      <c r="M4463" s="2" t="str">
        <f>HYPERLINK("https://files.afu.se/Downloads/Transcripts/0%20-%20Government/USA%20-%20NASA/2011 01 26 - NASA - Foam Reaffixed to Discovery's External Tank_YIuNNZTllmY - transcript (automated).pdf","Transcript Link")</f>
        <v>Transcript Link</v>
      </c>
    </row>
    <row r="4464" ht="165" spans="1:13">
      <c r="A4464" s="1" t="s">
        <v>19903</v>
      </c>
      <c r="B4464" s="1" t="s">
        <v>13</v>
      </c>
      <c r="C4464" s="4" t="s">
        <v>19915</v>
      </c>
      <c r="D4464" s="1" t="s">
        <v>19916</v>
      </c>
      <c r="E4464" s="1" t="s">
        <v>19917</v>
      </c>
      <c r="F4464" s="4" t="s">
        <v>17</v>
      </c>
      <c r="G4464" s="1" t="s">
        <v>18</v>
      </c>
      <c r="H4464" s="1" t="s">
        <v>19</v>
      </c>
      <c r="I4464" s="1" t="s">
        <v>20</v>
      </c>
      <c r="J4464" s="1" t="s">
        <v>19918</v>
      </c>
      <c r="K4464" s="1" t="s">
        <v>22</v>
      </c>
      <c r="L4464" s="1" t="str">
        <f>HYPERLINK("https://files.afu.se/Downloads/Transcripts/0%20-%20Government/USA%20-%20NASA/2011 01 26 - NASA - NASA Ships  Fish  for Rockets_Fvr3XipwXYE - transcript (automated).pdf","Transcript Link")</f>
        <v>Transcript Link</v>
      </c>
      <c r="M4464" s="2" t="str">
        <f>HYPERLINK("https://files.afu.se/Downloads/Transcripts/0%20-%20Government/USA%20-%20NASA/2011 01 26 - NASA - NASA Ships  Fish  for Rockets_Fvr3XipwXYE - transcript (automated).pdf","Transcript Link")</f>
        <v>Transcript Link</v>
      </c>
    </row>
    <row r="4465" ht="165" spans="1:13">
      <c r="A4465" s="1" t="s">
        <v>19903</v>
      </c>
      <c r="B4465" s="1" t="s">
        <v>13</v>
      </c>
      <c r="C4465" s="4" t="s">
        <v>19919</v>
      </c>
      <c r="D4465" s="1" t="s">
        <v>19920</v>
      </c>
      <c r="E4465" s="1" t="s">
        <v>19921</v>
      </c>
      <c r="F4465" s="4" t="s">
        <v>17</v>
      </c>
      <c r="G4465" s="1" t="s">
        <v>18</v>
      </c>
      <c r="H4465" s="1" t="s">
        <v>19</v>
      </c>
      <c r="I4465" s="1" t="s">
        <v>20</v>
      </c>
      <c r="J4465" s="1" t="s">
        <v>19922</v>
      </c>
      <c r="K4465" s="1" t="s">
        <v>22</v>
      </c>
      <c r="L4465" s="1" t="str">
        <f>HYPERLINK("https://files.afu.se/Downloads/Transcripts/0%20-%20Government/USA%20-%20NASA/2011 01 26 - NASA - NASA's Hubble Finds Most Distant Galaxy Candidate Ever Seen in Universe_T8Q698X03W0 - transcript (automated).pdf","Transcript Link")</f>
        <v>Transcript Link</v>
      </c>
      <c r="M4465" s="2" t="str">
        <f>HYPERLINK("https://files.afu.se/Downloads/Transcripts/0%20-%20Government/USA%20-%20NASA/2011 01 26 - NASA - NASA's Hubble Finds Most Distant Galaxy Candidate Ever Seen in Universe_T8Q698X03W0 - transcript (automated).pdf","Transcript Link")</f>
        <v>Transcript Link</v>
      </c>
    </row>
    <row r="4466" ht="165" spans="1:13">
      <c r="A4466" s="1" t="s">
        <v>19903</v>
      </c>
      <c r="B4466" s="1" t="s">
        <v>13</v>
      </c>
      <c r="C4466" s="4" t="s">
        <v>19923</v>
      </c>
      <c r="D4466" s="1" t="s">
        <v>19924</v>
      </c>
      <c r="E4466" s="1" t="s">
        <v>19925</v>
      </c>
      <c r="F4466" s="4" t="s">
        <v>17</v>
      </c>
      <c r="G4466" s="1" t="s">
        <v>18</v>
      </c>
      <c r="H4466" s="1" t="s">
        <v>19</v>
      </c>
      <c r="I4466" s="1" t="s">
        <v>20</v>
      </c>
      <c r="J4466" s="1" t="s">
        <v>19926</v>
      </c>
      <c r="K4466" s="1" t="s">
        <v>22</v>
      </c>
      <c r="L4466" s="1" t="str">
        <f>HYPERLINK("https://files.afu.se/Downloads/Transcripts/0%20-%20Government/USA%20-%20NASA/2011 01 26 - NASA - Nespoli Discusses ISS Mission with European, Italian Space Officials_WGB6qylPCo8 - transcript (automated).pdf","Transcript Link")</f>
        <v>Transcript Link</v>
      </c>
      <c r="M4466" s="2" t="str">
        <f>HYPERLINK("https://files.afu.se/Downloads/Transcripts/0%20-%20Government/USA%20-%20NASA/2011 01 26 - NASA - Nespoli Discusses ISS Mission with European, Italian Space Officials_WGB6qylPCo8 - transcript (automated).pdf","Transcript Link")</f>
        <v>Transcript Link</v>
      </c>
    </row>
    <row r="4467" ht="165" spans="1:13">
      <c r="A4467" s="1" t="s">
        <v>19927</v>
      </c>
      <c r="B4467" s="1" t="s">
        <v>13</v>
      </c>
      <c r="C4467" s="4" t="s">
        <v>19928</v>
      </c>
      <c r="D4467" s="1" t="s">
        <v>19929</v>
      </c>
      <c r="E4467" s="1" t="s">
        <v>19930</v>
      </c>
      <c r="F4467" s="4" t="s">
        <v>17</v>
      </c>
      <c r="G4467" s="1" t="s">
        <v>18</v>
      </c>
      <c r="H4467" s="1" t="s">
        <v>19</v>
      </c>
      <c r="I4467" s="1" t="s">
        <v>20</v>
      </c>
      <c r="J4467" s="1" t="s">
        <v>19931</v>
      </c>
      <c r="K4467" s="1" t="s">
        <v>22</v>
      </c>
      <c r="L4467" s="1" t="str">
        <f>HYPERLINK("https://files.afu.se/Downloads/Transcripts/0%20-%20Government/USA%20-%20NASA/2011 01 25 - NASA - ISS Commander Kelly Discusses Shooting Aftermath with Network Media_rVXhhGrSBvY - transcript (automated).pdf","Transcript Link")</f>
        <v>Transcript Link</v>
      </c>
      <c r="M4467" s="2" t="str">
        <f>HYPERLINK("https://files.afu.se/Downloads/Transcripts/0%20-%20Government/USA%20-%20NASA/2011 01 25 - NASA - ISS Commander Kelly Discusses Shooting Aftermath with Network Media_rVXhhGrSBvY - transcript (automated).pdf","Transcript Link")</f>
        <v>Transcript Link</v>
      </c>
    </row>
    <row r="4468" ht="165" spans="1:13">
      <c r="A4468" s="1" t="s">
        <v>19932</v>
      </c>
      <c r="B4468" s="1" t="s">
        <v>13</v>
      </c>
      <c r="C4468" s="4" t="s">
        <v>19933</v>
      </c>
      <c r="D4468" s="1" t="s">
        <v>19934</v>
      </c>
      <c r="E4468" s="1" t="s">
        <v>19935</v>
      </c>
      <c r="F4468" s="4" t="s">
        <v>17</v>
      </c>
      <c r="G4468" s="1" t="s">
        <v>18</v>
      </c>
      <c r="H4468" s="1" t="s">
        <v>19</v>
      </c>
      <c r="I4468" s="1" t="s">
        <v>20</v>
      </c>
      <c r="J4468" s="1" t="s">
        <v>19936</v>
      </c>
      <c r="K4468" s="1" t="s">
        <v>22</v>
      </c>
      <c r="L4468" s="1" t="str">
        <f>HYPERLINK("https://files.afu.se/Downloads/Transcripts/0%20-%20Government/USA%20-%20NASA/2011 01 22 - NASA - Japanese Cargo Ship Heads for the International Space Station_svUMzW3kV1s - transcript (automated).pdf","Transcript Link")</f>
        <v>Transcript Link</v>
      </c>
      <c r="M4468" s="2" t="str">
        <f>HYPERLINK("https://files.afu.se/Downloads/Transcripts/0%20-%20Government/USA%20-%20NASA/2011 01 22 - NASA - Japanese Cargo Ship Heads for the International Space Station_svUMzW3kV1s - transcript (automated).pdf","Transcript Link")</f>
        <v>Transcript Link</v>
      </c>
    </row>
    <row r="4469" ht="165" spans="1:13">
      <c r="A4469" s="1" t="s">
        <v>19937</v>
      </c>
      <c r="B4469" s="1" t="s">
        <v>13</v>
      </c>
      <c r="C4469" s="4" t="s">
        <v>19938</v>
      </c>
      <c r="D4469" s="1" t="s">
        <v>19939</v>
      </c>
      <c r="E4469" s="1" t="s">
        <v>19940</v>
      </c>
      <c r="F4469" s="4" t="s">
        <v>17</v>
      </c>
      <c r="G4469" s="1" t="s">
        <v>18</v>
      </c>
      <c r="H4469" s="1" t="s">
        <v>19</v>
      </c>
      <c r="I4469" s="1" t="s">
        <v>20</v>
      </c>
      <c r="J4469" s="1" t="s">
        <v>19941</v>
      </c>
      <c r="K4469" s="1" t="s">
        <v>22</v>
      </c>
      <c r="L4469" s="1" t="str">
        <f>HYPERLINK("https://files.afu.se/Downloads/Transcripts/0%20-%20Government/USA%20-%20NASA/2011 01 21 - NASA - On this Week At NASA..._tjZp6WWpbb0 - transcript (automated).pdf","Transcript Link")</f>
        <v>Transcript Link</v>
      </c>
      <c r="M4469" s="2" t="str">
        <f>HYPERLINK("https://files.afu.se/Downloads/Transcripts/0%20-%20Government/USA%20-%20NASA/2011 01 21 - NASA - On this Week At NASA..._tjZp6WWpbb0 - transcript (automated).pdf","Transcript Link")</f>
        <v>Transcript Link</v>
      </c>
    </row>
    <row r="4470" ht="165" spans="1:13">
      <c r="A4470" s="1" t="s">
        <v>19942</v>
      </c>
      <c r="B4470" s="1" t="s">
        <v>13</v>
      </c>
      <c r="C4470" s="4" t="s">
        <v>19943</v>
      </c>
      <c r="D4470" s="1" t="s">
        <v>19944</v>
      </c>
      <c r="E4470" s="1" t="s">
        <v>19945</v>
      </c>
      <c r="F4470" s="4" t="s">
        <v>17</v>
      </c>
      <c r="G4470" s="1" t="s">
        <v>18</v>
      </c>
      <c r="H4470" s="1" t="s">
        <v>19</v>
      </c>
      <c r="I4470" s="1" t="s">
        <v>20</v>
      </c>
      <c r="J4470" s="1" t="s">
        <v>19946</v>
      </c>
      <c r="K4470" s="1" t="s">
        <v>22</v>
      </c>
      <c r="L4470" s="1" t="str">
        <f>HYPERLINK("https://files.afu.se/Downloads/Transcripts/0%20-%20Government/USA%20-%20NASA/2011 01 20 - NASA - Scientists Brief the Media on a Glory-ous New Mission_g30lVjUU5Y0 - transcript (automated).pdf","Transcript Link")</f>
        <v>Transcript Link</v>
      </c>
      <c r="M4470" s="2" t="str">
        <f>HYPERLINK("https://files.afu.se/Downloads/Transcripts/0%20-%20Government/USA%20-%20NASA/2011 01 20 - NASA - Scientists Brief the Media on a Glory-ous New Mission_g30lVjUU5Y0 - transcript (automated).pdf","Transcript Link")</f>
        <v>Transcript Link</v>
      </c>
    </row>
    <row r="4471" ht="165" spans="1:13">
      <c r="A4471" s="1" t="s">
        <v>19942</v>
      </c>
      <c r="B4471" s="1" t="s">
        <v>13</v>
      </c>
      <c r="C4471" s="4" t="s">
        <v>19947</v>
      </c>
      <c r="D4471" s="1" t="s">
        <v>19948</v>
      </c>
      <c r="E4471" s="1" t="s">
        <v>19949</v>
      </c>
      <c r="F4471" s="4" t="s">
        <v>17</v>
      </c>
      <c r="G4471" s="1" t="s">
        <v>18</v>
      </c>
      <c r="H4471" s="1" t="s">
        <v>19</v>
      </c>
      <c r="I4471" s="1" t="s">
        <v>20</v>
      </c>
      <c r="J4471" s="1" t="s">
        <v>19950</v>
      </c>
      <c r="K4471" s="1" t="s">
        <v>22</v>
      </c>
      <c r="L4471" s="1" t="str">
        <f>HYPERLINK("https://files.afu.se/Downloads/Transcripts/0%20-%20Government/USA%20-%20NASA/2011 01 20 - NASA - International Space Station Astronauts speak with United Kingdom students_uKMKGSt8W4k - transcript (automated).pdf","Transcript Link")</f>
        <v>Transcript Link</v>
      </c>
      <c r="M4471" s="2" t="str">
        <f>HYPERLINK("https://files.afu.se/Downloads/Transcripts/0%20-%20Government/USA%20-%20NASA/2011 01 20 - NASA - International Space Station Astronauts speak with United Kingdom students_uKMKGSt8W4k - transcript (automated).pdf","Transcript Link")</f>
        <v>Transcript Link</v>
      </c>
    </row>
    <row r="4472" ht="165" spans="1:13">
      <c r="A4472" s="1" t="s">
        <v>19951</v>
      </c>
      <c r="B4472" s="1" t="s">
        <v>13</v>
      </c>
      <c r="C4472" s="4" t="s">
        <v>19952</v>
      </c>
      <c r="D4472" s="1" t="s">
        <v>19953</v>
      </c>
      <c r="E4472" s="1" t="s">
        <v>19954</v>
      </c>
      <c r="F4472" s="4" t="s">
        <v>17</v>
      </c>
      <c r="G4472" s="1" t="s">
        <v>18</v>
      </c>
      <c r="H4472" s="1" t="s">
        <v>19</v>
      </c>
      <c r="I4472" s="1" t="s">
        <v>20</v>
      </c>
      <c r="J4472" s="1" t="s">
        <v>19955</v>
      </c>
      <c r="K4472" s="1" t="s">
        <v>22</v>
      </c>
      <c r="L4472" s="1" t="str">
        <f>HYPERLINK("https://files.afu.se/Downloads/Transcripts/0%20-%20Government/USA%20-%20NASA/2011 01 19 - NASA - International Space Station Astronauts speak with Oregon students_WU2pY5K88aM - transcript (automated).pdf","Transcript Link")</f>
        <v>Transcript Link</v>
      </c>
      <c r="M4472" s="2" t="str">
        <f>HYPERLINK("https://files.afu.se/Downloads/Transcripts/0%20-%20Government/USA%20-%20NASA/2011 01 19 - NASA - International Space Station Astronauts speak with Oregon students_WU2pY5K88aM - transcript (automated).pdf","Transcript Link")</f>
        <v>Transcript Link</v>
      </c>
    </row>
    <row r="4473" ht="165" spans="1:13">
      <c r="A4473" s="1" t="s">
        <v>19951</v>
      </c>
      <c r="B4473" s="1" t="s">
        <v>13</v>
      </c>
      <c r="C4473" s="4" t="s">
        <v>19956</v>
      </c>
      <c r="D4473" s="1" t="s">
        <v>19957</v>
      </c>
      <c r="E4473" s="1" t="s">
        <v>19958</v>
      </c>
      <c r="F4473" s="4" t="s">
        <v>17</v>
      </c>
      <c r="G4473" s="1" t="s">
        <v>18</v>
      </c>
      <c r="H4473" s="1" t="s">
        <v>19</v>
      </c>
      <c r="I4473" s="1" t="s">
        <v>20</v>
      </c>
      <c r="J4473" s="1" t="s">
        <v>19959</v>
      </c>
      <c r="K4473" s="1" t="s">
        <v>22</v>
      </c>
      <c r="L4473" s="1" t="str">
        <f>HYPERLINK("https://files.afu.se/Downloads/Transcripts/0%20-%20Government/USA%20-%20NASA/2011 01 19 - NASA - Stardust-NExT Scientists Excited About Valentine's Day_RQnYyV9JbbY - transcript (automated).pdf","Transcript Link")</f>
        <v>Transcript Link</v>
      </c>
      <c r="M4473" s="2" t="str">
        <f>HYPERLINK("https://files.afu.se/Downloads/Transcripts/0%20-%20Government/USA%20-%20NASA/2011 01 19 - NASA - Stardust-NExT Scientists Excited About Valentine's Day_RQnYyV9JbbY - transcript (automated).pdf","Transcript Link")</f>
        <v>Transcript Link</v>
      </c>
    </row>
    <row r="4474" ht="165" spans="1:13">
      <c r="A4474" s="1" t="s">
        <v>19951</v>
      </c>
      <c r="B4474" s="1" t="s">
        <v>13</v>
      </c>
      <c r="C4474" s="4" t="s">
        <v>19960</v>
      </c>
      <c r="D4474" s="1" t="s">
        <v>19961</v>
      </c>
      <c r="E4474" s="1" t="s">
        <v>19962</v>
      </c>
      <c r="F4474" s="4" t="s">
        <v>17</v>
      </c>
      <c r="G4474" s="1" t="s">
        <v>18</v>
      </c>
      <c r="H4474" s="1" t="s">
        <v>19</v>
      </c>
      <c r="I4474" s="1" t="s">
        <v>20</v>
      </c>
      <c r="J4474" s="1" t="s">
        <v>19963</v>
      </c>
      <c r="K4474" s="1" t="s">
        <v>22</v>
      </c>
      <c r="L4474" s="1" t="str">
        <f>HYPERLINK("https://files.afu.se/Downloads/Transcripts/0%20-%20Government/USA%20-%20NASA/2011 01 19 - NASA - Discovery's New Target Launch Date Tops This Week @NASA_G8PybJo9IWk - transcript (automated).pdf","Transcript Link")</f>
        <v>Transcript Link</v>
      </c>
      <c r="M4474" s="2" t="str">
        <f>HYPERLINK("https://files.afu.se/Downloads/Transcripts/0%20-%20Government/USA%20-%20NASA/2011 01 19 - NASA - Discovery's New Target Launch Date Tops This Week @NASA_G8PybJo9IWk - transcript (automated).pdf","Transcript Link")</f>
        <v>Transcript Link</v>
      </c>
    </row>
    <row r="4475" ht="165" spans="1:13">
      <c r="A4475" s="1" t="s">
        <v>19964</v>
      </c>
      <c r="B4475" s="1" t="s">
        <v>13</v>
      </c>
      <c r="C4475" s="4" t="s">
        <v>19965</v>
      </c>
      <c r="D4475" s="1" t="s">
        <v>19966</v>
      </c>
      <c r="E4475" s="1" t="s">
        <v>19967</v>
      </c>
      <c r="F4475" s="4" t="s">
        <v>17</v>
      </c>
      <c r="G4475" s="1" t="s">
        <v>18</v>
      </c>
      <c r="H4475" s="1" t="s">
        <v>19</v>
      </c>
      <c r="I4475" s="1" t="s">
        <v>20</v>
      </c>
      <c r="J4475" s="1" t="s">
        <v>19968</v>
      </c>
      <c r="K4475" s="1" t="s">
        <v>22</v>
      </c>
      <c r="L4475" s="1" t="str">
        <f>HYPERLINK("https://files.afu.se/Downloads/Transcripts/0%20-%20Government/USA%20-%20NASA/2011 01 18 - NASA - Waking up, working, and going to sleep in Zero G_FdQA-pE2luQ - transcript (automated).pdf","Transcript Link")</f>
        <v>Transcript Link</v>
      </c>
      <c r="M4475" s="2" t="str">
        <f>HYPERLINK("https://files.afu.se/Downloads/Transcripts/0%20-%20Government/USA%20-%20NASA/2011 01 18 - NASA - Waking up, working, and going to sleep in Zero G_FdQA-pE2luQ - transcript (automated).pdf","Transcript Link")</f>
        <v>Transcript Link</v>
      </c>
    </row>
    <row r="4476" ht="165" spans="1:13">
      <c r="A4476" s="1" t="s">
        <v>19964</v>
      </c>
      <c r="B4476" s="1" t="s">
        <v>13</v>
      </c>
      <c r="C4476" s="4" t="s">
        <v>19969</v>
      </c>
      <c r="D4476" s="1" t="s">
        <v>19970</v>
      </c>
      <c r="E4476" s="1" t="s">
        <v>19971</v>
      </c>
      <c r="F4476" s="4" t="s">
        <v>17</v>
      </c>
      <c r="G4476" s="1" t="s">
        <v>18</v>
      </c>
      <c r="H4476" s="1" t="s">
        <v>19</v>
      </c>
      <c r="I4476" s="1" t="s">
        <v>20</v>
      </c>
      <c r="J4476" s="1" t="s">
        <v>19972</v>
      </c>
      <c r="K4476" s="1" t="s">
        <v>22</v>
      </c>
      <c r="L4476" s="1" t="str">
        <f>HYPERLINK("https://files.afu.se/Downloads/Transcripts/0%20-%20Government/USA%20-%20NASA/2011 01 18 - NASA - Astronaut Scott Kelly confides with Primetime Host Diane Sawyer_xr7fPdfQ_nY - transcript (automated).pdf","Transcript Link")</f>
        <v>Transcript Link</v>
      </c>
      <c r="M4476" s="2" t="str">
        <f>HYPERLINK("https://files.afu.se/Downloads/Transcripts/0%20-%20Government/USA%20-%20NASA/2011 01 18 - NASA - Astronaut Scott Kelly confides with Primetime Host Diane Sawyer_xr7fPdfQ_nY - transcript (automated).pdf","Transcript Link")</f>
        <v>Transcript Link</v>
      </c>
    </row>
    <row r="4477" ht="165" spans="1:13">
      <c r="A4477" s="1" t="s">
        <v>19973</v>
      </c>
      <c r="B4477" s="1" t="s">
        <v>13</v>
      </c>
      <c r="C4477" s="4" t="s">
        <v>19974</v>
      </c>
      <c r="D4477" s="1" t="s">
        <v>19975</v>
      </c>
      <c r="E4477" s="1" t="s">
        <v>19976</v>
      </c>
      <c r="F4477" s="4" t="s">
        <v>17</v>
      </c>
      <c r="G4477" s="1" t="s">
        <v>18</v>
      </c>
      <c r="H4477" s="1" t="s">
        <v>19</v>
      </c>
      <c r="I4477" s="1" t="s">
        <v>20</v>
      </c>
      <c r="J4477" s="1" t="s">
        <v>19977</v>
      </c>
      <c r="K4477" s="1" t="s">
        <v>22</v>
      </c>
      <c r="L4477" s="1" t="str">
        <f>HYPERLINK("https://files.afu.se/Downloads/Transcripts/0%20-%20Government/USA%20-%20NASA/2011 01 13 - NASA - Mars Exploration Detailed at Smithsonian's  Air and Space _xd58pvZWluA - transcript (automated).pdf","Transcript Link")</f>
        <v>Transcript Link</v>
      </c>
      <c r="M4477" s="2" t="str">
        <f>HYPERLINK("https://files.afu.se/Downloads/Transcripts/0%20-%20Government/USA%20-%20NASA/2011 01 13 - NASA - Mars Exploration Detailed at Smithsonian's  Air and Space _xd58pvZWluA - transcript (automated).pdf","Transcript Link")</f>
        <v>Transcript Link</v>
      </c>
    </row>
    <row r="4478" ht="165" spans="1:13">
      <c r="A4478" s="1" t="s">
        <v>19973</v>
      </c>
      <c r="B4478" s="1" t="s">
        <v>13</v>
      </c>
      <c r="C4478" s="4" t="s">
        <v>19978</v>
      </c>
      <c r="D4478" s="1" t="s">
        <v>19979</v>
      </c>
      <c r="E4478" s="1" t="s">
        <v>19980</v>
      </c>
      <c r="F4478" s="4" t="s">
        <v>17</v>
      </c>
      <c r="G4478" s="1" t="s">
        <v>18</v>
      </c>
      <c r="H4478" s="1" t="s">
        <v>19</v>
      </c>
      <c r="I4478" s="1" t="s">
        <v>20</v>
      </c>
      <c r="J4478" s="1" t="s">
        <v>19981</v>
      </c>
      <c r="K4478" s="1" t="s">
        <v>22</v>
      </c>
      <c r="L4478" s="1" t="str">
        <f>HYPERLINK("https://files.afu.se/Downloads/Transcripts/0%20-%20Government/USA%20-%20NASA/2011 01 13 - NASA - European Astronaut Discusses Life in Space with Britain's  Beeb _TlNhva55hZY - transcript (automated).pdf","Transcript Link")</f>
        <v>Transcript Link</v>
      </c>
      <c r="M4478" s="2" t="str">
        <f>HYPERLINK("https://files.afu.se/Downloads/Transcripts/0%20-%20Government/USA%20-%20NASA/2011 01 13 - NASA - European Astronaut Discusses Life in Space with Britain's  Beeb _TlNhva55hZY - transcript (automated).pdf","Transcript Link")</f>
        <v>Transcript Link</v>
      </c>
    </row>
    <row r="4479" ht="165" spans="1:13">
      <c r="A4479" s="1" t="s">
        <v>19982</v>
      </c>
      <c r="B4479" s="1" t="s">
        <v>13</v>
      </c>
      <c r="C4479" s="4" t="s">
        <v>19983</v>
      </c>
      <c r="D4479" s="1" t="s">
        <v>19984</v>
      </c>
      <c r="E4479" s="1" t="s">
        <v>19985</v>
      </c>
      <c r="F4479" s="4" t="s">
        <v>17</v>
      </c>
      <c r="G4479" s="1" t="s">
        <v>18</v>
      </c>
      <c r="H4479" s="1" t="s">
        <v>19</v>
      </c>
      <c r="I4479" s="1" t="s">
        <v>20</v>
      </c>
      <c r="J4479" s="1" t="s">
        <v>19986</v>
      </c>
      <c r="K4479" s="1" t="s">
        <v>22</v>
      </c>
      <c r="L4479" s="1" t="str">
        <f>HYPERLINK("https://files.afu.se/Downloads/Transcripts/0%20-%20Government/USA%20-%20NASA/2011 01 12 - NASA - STS-133 Target Launch Date Tops This Week @NASA -- Updated_mfdQO1k2ehM - transcript (automated).pdf","Transcript Link")</f>
        <v>Transcript Link</v>
      </c>
      <c r="M4479" s="2" t="str">
        <f>HYPERLINK("https://files.afu.se/Downloads/Transcripts/0%20-%20Government/USA%20-%20NASA/2011 01 12 - NASA - STS-133 Target Launch Date Tops This Week @NASA -- Updated_mfdQO1k2ehM - transcript (automated).pdf","Transcript Link")</f>
        <v>Transcript Link</v>
      </c>
    </row>
    <row r="4480" ht="165" spans="1:13">
      <c r="A4480" s="1" t="s">
        <v>19982</v>
      </c>
      <c r="B4480" s="1" t="s">
        <v>13</v>
      </c>
      <c r="C4480" s="4" t="s">
        <v>19987</v>
      </c>
      <c r="D4480" s="1" t="s">
        <v>19988</v>
      </c>
      <c r="E4480" s="1" t="s">
        <v>19989</v>
      </c>
      <c r="F4480" s="4" t="s">
        <v>17</v>
      </c>
      <c r="G4480" s="1" t="s">
        <v>18</v>
      </c>
      <c r="H4480" s="1" t="s">
        <v>19</v>
      </c>
      <c r="I4480" s="1" t="s">
        <v>20</v>
      </c>
      <c r="J4480" s="1" t="s">
        <v>19990</v>
      </c>
      <c r="K4480" s="1" t="s">
        <v>22</v>
      </c>
      <c r="L4480" s="1" t="str">
        <f>HYPERLINK("https://files.afu.se/Downloads/Transcripts/0%20-%20Government/USA%20-%20NASA/2011 01 12 - NASA - Station Crew Shares Mission Details with Florida Students_fzgsKupw5hM - transcript (automated).pdf","Transcript Link")</f>
        <v>Transcript Link</v>
      </c>
      <c r="M4480" s="2" t="str">
        <f>HYPERLINK("https://files.afu.se/Downloads/Transcripts/0%20-%20Government/USA%20-%20NASA/2011 01 12 - NASA - Station Crew Shares Mission Details with Florida Students_fzgsKupw5hM - transcript (automated).pdf","Transcript Link")</f>
        <v>Transcript Link</v>
      </c>
    </row>
    <row r="4481" ht="165" spans="1:13">
      <c r="A4481" s="1" t="s">
        <v>19991</v>
      </c>
      <c r="B4481" s="1" t="s">
        <v>13</v>
      </c>
      <c r="C4481" s="4" t="s">
        <v>19992</v>
      </c>
      <c r="D4481" s="1" t="s">
        <v>19993</v>
      </c>
      <c r="E4481" s="1" t="s">
        <v>19994</v>
      </c>
      <c r="F4481" s="4" t="s">
        <v>17</v>
      </c>
      <c r="G4481" s="1" t="s">
        <v>18</v>
      </c>
      <c r="H4481" s="1" t="s">
        <v>19</v>
      </c>
      <c r="I4481" s="1" t="s">
        <v>20</v>
      </c>
      <c r="J4481" s="1" t="s">
        <v>19995</v>
      </c>
      <c r="K4481" s="1" t="s">
        <v>22</v>
      </c>
      <c r="L4481" s="1" t="str">
        <f>HYPERLINK("https://files.afu.se/Downloads/Transcripts/0%20-%20Government/USA%20-%20NASA/2011 01 11 - NASA - Russian Prime Minister Calls ISS_sq9gVEZjmlM - transcript (automated).pdf","Transcript Link")</f>
        <v>Transcript Link</v>
      </c>
      <c r="M4481" s="2" t="str">
        <f>HYPERLINK("https://files.afu.se/Downloads/Transcripts/0%20-%20Government/USA%20-%20NASA/2011 01 11 - NASA - Russian Prime Minister Calls ISS_sq9gVEZjmlM - transcript (automated).pdf","Transcript Link")</f>
        <v>Transcript Link</v>
      </c>
    </row>
    <row r="4482" ht="165" spans="1:13">
      <c r="A4482" s="1" t="s">
        <v>19996</v>
      </c>
      <c r="B4482" s="1" t="s">
        <v>13</v>
      </c>
      <c r="C4482" s="4" t="s">
        <v>19997</v>
      </c>
      <c r="D4482" s="1" t="s">
        <v>19998</v>
      </c>
      <c r="E4482" s="1" t="s">
        <v>19999</v>
      </c>
      <c r="F4482" s="4" t="s">
        <v>17</v>
      </c>
      <c r="G4482" s="1" t="s">
        <v>18</v>
      </c>
      <c r="H4482" s="1" t="s">
        <v>19</v>
      </c>
      <c r="I4482" s="1" t="s">
        <v>20</v>
      </c>
      <c r="J4482" s="1" t="s">
        <v>20000</v>
      </c>
      <c r="K4482" s="1" t="s">
        <v>22</v>
      </c>
      <c r="L4482" s="1" t="str">
        <f>HYPERLINK("https://files.afu.se/Downloads/Transcripts/0%20-%20Government/USA%20-%20NASA/2011 01 10 - NASA - NASA'S Mission Control and ISS Crew Observe National Moment of Silence_1n9GjJszdyQ - transcript (automated).pdf","Transcript Link")</f>
        <v>Transcript Link</v>
      </c>
      <c r="M4482" s="2" t="str">
        <f>HYPERLINK("https://files.afu.se/Downloads/Transcripts/0%20-%20Government/USA%20-%20NASA/2011 01 10 - NASA - NASA'S Mission Control and ISS Crew Observe National Moment of Silence_1n9GjJszdyQ - transcript (automated).pdf","Transcript Link")</f>
        <v>Transcript Link</v>
      </c>
    </row>
    <row r="4483" ht="165" spans="1:13">
      <c r="A4483" s="1" t="s">
        <v>19996</v>
      </c>
      <c r="B4483" s="1" t="s">
        <v>13</v>
      </c>
      <c r="C4483" s="4" t="s">
        <v>20001</v>
      </c>
      <c r="D4483" s="1" t="s">
        <v>20002</v>
      </c>
      <c r="E4483" s="1" t="s">
        <v>20003</v>
      </c>
      <c r="F4483" s="4" t="s">
        <v>17</v>
      </c>
      <c r="G4483" s="1" t="s">
        <v>18</v>
      </c>
      <c r="H4483" s="1" t="s">
        <v>19</v>
      </c>
      <c r="I4483" s="1" t="s">
        <v>20</v>
      </c>
      <c r="J4483" s="1" t="s">
        <v>20004</v>
      </c>
      <c r="K4483" s="1" t="s">
        <v>22</v>
      </c>
      <c r="L4483" s="1" t="str">
        <f>HYPERLINK("https://files.afu.se/Downloads/Transcripts/0%20-%20Government/USA%20-%20NASA/2011 01 10 - NASA - NASA's Kepler Spacecraft Discovers Its First Rocky Exoplanet_1-0-HKHjsPY - transcript (automated).pdf","Transcript Link")</f>
        <v>Transcript Link</v>
      </c>
      <c r="M4483" s="2" t="str">
        <f>HYPERLINK("https://files.afu.se/Downloads/Transcripts/0%20-%20Government/USA%20-%20NASA/2011 01 10 - NASA - NASA's Kepler Spacecraft Discovers Its First Rocky Exoplanet_1-0-HKHjsPY - transcript (automated).pdf","Transcript Link")</f>
        <v>Transcript Link</v>
      </c>
    </row>
    <row r="4484" ht="165" spans="1:13">
      <c r="A4484" s="1" t="s">
        <v>19996</v>
      </c>
      <c r="B4484" s="1" t="s">
        <v>13</v>
      </c>
      <c r="C4484" s="4" t="s">
        <v>20005</v>
      </c>
      <c r="D4484" s="1" t="s">
        <v>19998</v>
      </c>
      <c r="E4484" s="1" t="s">
        <v>19999</v>
      </c>
      <c r="F4484" s="4" t="s">
        <v>17</v>
      </c>
      <c r="G4484" s="1" t="s">
        <v>18</v>
      </c>
      <c r="H4484" s="1" t="s">
        <v>19</v>
      </c>
      <c r="I4484" s="1" t="s">
        <v>20</v>
      </c>
      <c r="J4484" s="1" t="s">
        <v>20006</v>
      </c>
      <c r="K4484" s="1" t="s">
        <v>22</v>
      </c>
      <c r="L4484" s="1" t="str">
        <f>HYPERLINK("https://files.afu.se/Downloads/Transcripts/0%20-%20Government/USA%20-%20NASA/2011 01 10 - NASA - NASA'S Mission Control and ISS Crew Observe National Moment of Silence_Xe71vveJMjA - transcript (automated).pdf","Transcript Link")</f>
        <v>Transcript Link</v>
      </c>
      <c r="M4484" s="2" t="str">
        <f>HYPERLINK("https://files.afu.se/Downloads/Transcripts/0%20-%20Government/USA%20-%20NASA/2011 01 10 - NASA - NASA'S Mission Control and ISS Crew Observe National Moment of Silence_Xe71vveJMjA - transcript (automated).pdf","Transcript Link")</f>
        <v>Transcript Link</v>
      </c>
    </row>
    <row r="4485" ht="165" spans="1:13">
      <c r="A4485" s="1" t="s">
        <v>20007</v>
      </c>
      <c r="B4485" s="1" t="s">
        <v>13</v>
      </c>
      <c r="C4485" s="4" t="s">
        <v>20008</v>
      </c>
      <c r="D4485" s="1" t="s">
        <v>20009</v>
      </c>
      <c r="E4485" s="1" t="s">
        <v>20010</v>
      </c>
      <c r="F4485" s="4" t="s">
        <v>17</v>
      </c>
      <c r="G4485" s="1" t="s">
        <v>18</v>
      </c>
      <c r="H4485" s="1" t="s">
        <v>19</v>
      </c>
      <c r="I4485" s="1" t="s">
        <v>20</v>
      </c>
      <c r="J4485" s="1" t="s">
        <v>20011</v>
      </c>
      <c r="K4485" s="1" t="s">
        <v>22</v>
      </c>
      <c r="L4485" s="1" t="str">
        <f>HYPERLINK("https://files.afu.se/Downloads/Transcripts/0%20-%20Government/USA%20-%20NASA/2011 01 07 - NASA - STS-133 Launch Team Practices Liftoff Procedures_bpydgvoo7x8 - transcript (automated).pdf","Transcript Link")</f>
        <v>Transcript Link</v>
      </c>
      <c r="M4485" s="2" t="str">
        <f>HYPERLINK("https://files.afu.se/Downloads/Transcripts/0%20-%20Government/USA%20-%20NASA/2011 01 07 - NASA - STS-133 Launch Team Practices Liftoff Procedures_bpydgvoo7x8 - transcript (automated).pdf","Transcript Link")</f>
        <v>Transcript Link</v>
      </c>
    </row>
    <row r="4486" ht="165" spans="1:13">
      <c r="A4486" s="1" t="s">
        <v>20012</v>
      </c>
      <c r="B4486" s="1" t="s">
        <v>13</v>
      </c>
      <c r="C4486" s="4" t="s">
        <v>20013</v>
      </c>
      <c r="D4486" s="1" t="s">
        <v>20014</v>
      </c>
      <c r="E4486" s="1" t="s">
        <v>20015</v>
      </c>
      <c r="F4486" s="4" t="s">
        <v>17</v>
      </c>
      <c r="G4486" s="1" t="s">
        <v>18</v>
      </c>
      <c r="H4486" s="1" t="s">
        <v>19</v>
      </c>
      <c r="I4486" s="1" t="s">
        <v>20</v>
      </c>
      <c r="J4486" s="1" t="s">
        <v>20016</v>
      </c>
      <c r="K4486" s="1" t="s">
        <v>22</v>
      </c>
      <c r="L4486" s="1" t="str">
        <f>HYPERLINK("https://files.afu.se/Downloads/Transcripts/0%20-%20Government/USA%20-%20NASA/2011 01 06 - NASA - Station Crew Talks with Stateside TV_xZrdrWpEBRE - transcript (automated).pdf","Transcript Link")</f>
        <v>Transcript Link</v>
      </c>
      <c r="M4486" s="2" t="str">
        <f>HYPERLINK("https://files.afu.se/Downloads/Transcripts/0%20-%20Government/USA%20-%20NASA/2011 01 06 - NASA - Station Crew Talks with Stateside TV_xZrdrWpEBRE - transcript (automated).pdf","Transcript Link")</f>
        <v>Transcript Link</v>
      </c>
    </row>
    <row r="4487" ht="300" spans="1:13">
      <c r="A4487" s="1" t="s">
        <v>20017</v>
      </c>
      <c r="B4487" s="1" t="s">
        <v>13</v>
      </c>
      <c r="C4487" s="4" t="s">
        <v>20018</v>
      </c>
      <c r="D4487" s="1" t="s">
        <v>20019</v>
      </c>
      <c r="E4487" s="1" t="s">
        <v>20020</v>
      </c>
      <c r="F4487" s="4" t="s">
        <v>17</v>
      </c>
      <c r="G4487" s="1" t="s">
        <v>18</v>
      </c>
      <c r="H4487" s="1" t="s">
        <v>19</v>
      </c>
      <c r="I4487" s="1" t="s">
        <v>20</v>
      </c>
      <c r="J4487" s="1" t="s">
        <v>20021</v>
      </c>
      <c r="K4487" s="1" t="s">
        <v>22</v>
      </c>
      <c r="L4487" s="1" t="str">
        <f>HYPERLINK("https://files.afu.se/Downloads/Transcripts/0%20-%20Government/USA%20-%20NASA/2011 01 05 - NASA - Shuttle Discovery's External Tank Undergoes Modifications and More_xuhqSVBSruw - transcript (automated).pdf","Transcript Link")</f>
        <v>Transcript Link</v>
      </c>
      <c r="M4487" s="2" t="str">
        <f>HYPERLINK("https://files.afu.se/Downloads/Transcripts/0%20-%20Government/USA%20-%20NASA/2011 01 05 - NASA - Shuttle Discovery's External Tank Undergoes Modifications and More_xuhqSVBSruw - transcript (automated).pdf","Transcript Link")</f>
        <v>Transcript Link</v>
      </c>
    </row>
    <row r="4488" ht="165" spans="1:13">
      <c r="A4488" s="1" t="s">
        <v>20017</v>
      </c>
      <c r="B4488" s="1" t="s">
        <v>13</v>
      </c>
      <c r="C4488" s="4" t="s">
        <v>20022</v>
      </c>
      <c r="D4488" s="1" t="s">
        <v>20023</v>
      </c>
      <c r="E4488" s="1" t="s">
        <v>20024</v>
      </c>
      <c r="F4488" s="4" t="s">
        <v>17</v>
      </c>
      <c r="G4488" s="1" t="s">
        <v>18</v>
      </c>
      <c r="H4488" s="1" t="s">
        <v>19</v>
      </c>
      <c r="I4488" s="1" t="s">
        <v>20</v>
      </c>
      <c r="J4488" s="1" t="s">
        <v>20025</v>
      </c>
      <c r="K4488" s="1" t="s">
        <v>22</v>
      </c>
      <c r="L4488" s="1" t="str">
        <f>HYPERLINK("https://files.afu.se/Downloads/Transcripts/0%20-%20Government/USA%20-%20NASA/2011 01 05 - NASA - ESA Astronaut Nespoli  Parla Con  Italian TV_k6XrZVDKXn0 - transcript (automated).pdf","Transcript Link")</f>
        <v>Transcript Link</v>
      </c>
      <c r="M4488" s="2" t="str">
        <f>HYPERLINK("https://files.afu.se/Downloads/Transcripts/0%20-%20Government/USA%20-%20NASA/2011 01 05 - NASA - ESA Astronaut Nespoli  Parla Con  Italian TV_k6XrZVDKXn0 - transcript (automated).pdf","Transcript Link")</f>
        <v>Transcript Link</v>
      </c>
    </row>
    <row r="4489" ht="165" spans="1:13">
      <c r="A4489" s="1" t="s">
        <v>20026</v>
      </c>
      <c r="B4489" s="1" t="s">
        <v>13</v>
      </c>
      <c r="C4489" s="4" t="s">
        <v>20027</v>
      </c>
      <c r="D4489" s="1" t="s">
        <v>20028</v>
      </c>
      <c r="E4489" s="1" t="s">
        <v>20029</v>
      </c>
      <c r="F4489" s="4" t="s">
        <v>17</v>
      </c>
      <c r="G4489" s="1" t="s">
        <v>18</v>
      </c>
      <c r="H4489" s="1" t="s">
        <v>19</v>
      </c>
      <c r="I4489" s="1" t="s">
        <v>20</v>
      </c>
      <c r="J4489" s="1" t="s">
        <v>20030</v>
      </c>
      <c r="K4489" s="1" t="s">
        <v>22</v>
      </c>
      <c r="L4489" s="1" t="str">
        <f>HYPERLINK("https://files.afu.se/Downloads/Transcripts/0%20-%20Government/USA%20-%20NASA/2011 01 04 - NASA -  Opportunity  to Spend 7th Anniversary at Stadium-size Crater_rpecnnbJPjg - transcript (automated).pdf","Transcript Link")</f>
        <v>Transcript Link</v>
      </c>
      <c r="M4489" s="2" t="str">
        <f>HYPERLINK("https://files.afu.se/Downloads/Transcripts/0%20-%20Government/USA%20-%20NASA/2011 01 04 - NASA -  Opportunity  to Spend 7th Anniversary at Stadium-size Crater_rpecnnbJPjg - transcript (automated).pdf","Transcript Link")</f>
        <v>Transcript Link</v>
      </c>
    </row>
    <row r="4490" ht="165" spans="1:13">
      <c r="A4490" s="1" t="s">
        <v>20031</v>
      </c>
      <c r="B4490" s="1" t="s">
        <v>13</v>
      </c>
      <c r="C4490" s="4" t="s">
        <v>20032</v>
      </c>
      <c r="D4490" s="1" t="s">
        <v>20033</v>
      </c>
      <c r="E4490" s="1" t="s">
        <v>20034</v>
      </c>
      <c r="F4490" s="4" t="s">
        <v>17</v>
      </c>
      <c r="G4490" s="1" t="s">
        <v>18</v>
      </c>
      <c r="H4490" s="1" t="s">
        <v>19</v>
      </c>
      <c r="I4490" s="1" t="s">
        <v>20</v>
      </c>
      <c r="J4490" s="1" t="s">
        <v>20035</v>
      </c>
      <c r="K4490" s="1" t="s">
        <v>22</v>
      </c>
      <c r="L4490" s="1" t="str">
        <f>HYPERLINK("https://files.afu.se/Downloads/Transcripts/0%20-%20Government/USA%20-%20NASA/2010 12 30 - NASA - Expedition 26 Crew Gives Media Update on Mission_9eMUd2Fb59w - transcript (automated).pdf","Transcript Link")</f>
        <v>Transcript Link</v>
      </c>
      <c r="M4490" s="2" t="str">
        <f>HYPERLINK("https://files.afu.se/Downloads/Transcripts/0%20-%20Government/USA%20-%20NASA/2010 12 30 - NASA - Expedition 26 Crew Gives Media Update on Mission_9eMUd2Fb59w - transcript (automated).pdf","Transcript Link")</f>
        <v>Transcript Link</v>
      </c>
    </row>
    <row r="4491" ht="165" spans="1:13">
      <c r="A4491" s="1" t="s">
        <v>20031</v>
      </c>
      <c r="B4491" s="1" t="s">
        <v>13</v>
      </c>
      <c r="C4491" s="4" t="s">
        <v>20036</v>
      </c>
      <c r="D4491" s="1" t="s">
        <v>6194</v>
      </c>
      <c r="E4491" s="1" t="s">
        <v>20037</v>
      </c>
      <c r="F4491" s="4" t="s">
        <v>17</v>
      </c>
      <c r="G4491" s="1" t="s">
        <v>18</v>
      </c>
      <c r="H4491" s="1" t="s">
        <v>19</v>
      </c>
      <c r="I4491" s="1" t="s">
        <v>20</v>
      </c>
      <c r="J4491" s="1" t="s">
        <v>20038</v>
      </c>
      <c r="K4491" s="1" t="s">
        <v>22</v>
      </c>
      <c r="L4491" s="1" t="str">
        <f>HYPERLINK("https://files.afu.se/Downloads/Transcripts/0%20-%20Government/USA%20-%20NASA/2010 12 30 - NASA - Happy New Year from NASA_bKJcDyBgTlc - transcript (automated).pdf","Transcript Link")</f>
        <v>Transcript Link</v>
      </c>
      <c r="M4491" s="2" t="str">
        <f>HYPERLINK("https://files.afu.se/Downloads/Transcripts/0%20-%20Government/USA%20-%20NASA/2010 12 30 - NASA - Happy New Year from NASA_bKJcDyBgTlc - transcript (automated).pdf","Transcript Link")</f>
        <v>Transcript Link</v>
      </c>
    </row>
    <row r="4492" ht="270" spans="1:13">
      <c r="A4492" s="1" t="s">
        <v>20039</v>
      </c>
      <c r="B4492" s="1" t="s">
        <v>13</v>
      </c>
      <c r="C4492" s="4" t="s">
        <v>20040</v>
      </c>
      <c r="D4492" s="1" t="s">
        <v>20041</v>
      </c>
      <c r="E4492" s="1" t="s">
        <v>20042</v>
      </c>
      <c r="F4492" s="4" t="s">
        <v>17</v>
      </c>
      <c r="G4492" s="1" t="s">
        <v>18</v>
      </c>
      <c r="H4492" s="1" t="s">
        <v>19</v>
      </c>
      <c r="I4492" s="1" t="s">
        <v>20</v>
      </c>
      <c r="J4492" s="1" t="s">
        <v>20043</v>
      </c>
      <c r="K4492" s="1" t="s">
        <v>22</v>
      </c>
      <c r="L4492" s="1" t="str">
        <f>HYPERLINK("https://files.afu.se/Downloads/Transcripts/0%20-%20Government/USA%20-%20NASA/2010 12 29 - NASA - More Scans Taken of Shuttle Discovery's External Tank for The STS-133 Mission_gD2iT8hSm0k - transcript (automated).pdf","Transcript Link")</f>
        <v>Transcript Link</v>
      </c>
      <c r="M4492" s="2" t="str">
        <f>HYPERLINK("https://files.afu.se/Downloads/Transcripts/0%20-%20Government/USA%20-%20NASA/2010 12 29 - NASA - More Scans Taken of Shuttle Discovery's External Tank for The STS-133 Mission_gD2iT8hSm0k - transcript (automated).pdf","Transcript Link")</f>
        <v>Transcript Link</v>
      </c>
    </row>
    <row r="4493" ht="165" spans="1:13">
      <c r="A4493" s="1" t="s">
        <v>20044</v>
      </c>
      <c r="B4493" s="1" t="s">
        <v>13</v>
      </c>
      <c r="C4493" s="4" t="s">
        <v>20045</v>
      </c>
      <c r="D4493" s="1" t="s">
        <v>20046</v>
      </c>
      <c r="E4493" s="1" t="s">
        <v>20047</v>
      </c>
      <c r="F4493" s="4" t="s">
        <v>17</v>
      </c>
      <c r="G4493" s="1" t="s">
        <v>18</v>
      </c>
      <c r="H4493" s="1" t="s">
        <v>19</v>
      </c>
      <c r="I4493" s="1" t="s">
        <v>20</v>
      </c>
      <c r="J4493" s="1" t="s">
        <v>20048</v>
      </c>
      <c r="K4493" s="1" t="s">
        <v>22</v>
      </c>
      <c r="L4493" s="1" t="str">
        <f>HYPERLINK("https://files.afu.se/Downloads/Transcripts/0%20-%20Government/USA%20-%20NASA/2010 12 28 - NASA - V  Shaped Design Makes for Quieter Aircraft_xnjIFKNalCg - transcript (automated).pdf","Transcript Link")</f>
        <v>Transcript Link</v>
      </c>
      <c r="M4493" s="2" t="str">
        <f>HYPERLINK("https://files.afu.se/Downloads/Transcripts/0%20-%20Government/USA%20-%20NASA/2010 12 28 - NASA - V  Shaped Design Makes for Quieter Aircraft_xnjIFKNalCg - transcript (automated).pdf","Transcript Link")</f>
        <v>Transcript Link</v>
      </c>
    </row>
    <row r="4494" ht="165" spans="1:13">
      <c r="A4494" s="1" t="s">
        <v>20044</v>
      </c>
      <c r="B4494" s="1" t="s">
        <v>13</v>
      </c>
      <c r="C4494" s="4" t="s">
        <v>20049</v>
      </c>
      <c r="D4494" s="1" t="s">
        <v>20050</v>
      </c>
      <c r="E4494" s="1" t="s">
        <v>20051</v>
      </c>
      <c r="F4494" s="4" t="s">
        <v>17</v>
      </c>
      <c r="G4494" s="1" t="s">
        <v>18</v>
      </c>
      <c r="H4494" s="1" t="s">
        <v>19</v>
      </c>
      <c r="I4494" s="1" t="s">
        <v>20</v>
      </c>
      <c r="J4494" s="1" t="s">
        <v>20052</v>
      </c>
      <c r="K4494" s="1" t="s">
        <v>22</v>
      </c>
      <c r="L4494" s="1" t="str">
        <f>HYPERLINK("https://files.afu.se/Downloads/Transcripts/0%20-%20Government/USA%20-%20NASA/2010 12 28 - NASA - Station Crew Speaks with Cleveland-area Students_jweL9xyyu98 - transcript (automated).pdf","Transcript Link")</f>
        <v>Transcript Link</v>
      </c>
      <c r="M4494" s="2" t="str">
        <f>HYPERLINK("https://files.afu.se/Downloads/Transcripts/0%20-%20Government/USA%20-%20NASA/2010 12 28 - NASA - Station Crew Speaks with Cleveland-area Students_jweL9xyyu98 - transcript (automated).pdf","Transcript Link")</f>
        <v>Transcript Link</v>
      </c>
    </row>
    <row r="4495" ht="165" spans="1:13">
      <c r="A4495" s="1" t="s">
        <v>20053</v>
      </c>
      <c r="B4495" s="1" t="s">
        <v>13</v>
      </c>
      <c r="C4495" s="4" t="s">
        <v>20054</v>
      </c>
      <c r="D4495" s="1" t="s">
        <v>20055</v>
      </c>
      <c r="E4495" s="1" t="s">
        <v>20056</v>
      </c>
      <c r="F4495" s="4" t="s">
        <v>17</v>
      </c>
      <c r="G4495" s="1" t="s">
        <v>18</v>
      </c>
      <c r="H4495" s="1" t="s">
        <v>19</v>
      </c>
      <c r="I4495" s="1" t="s">
        <v>20</v>
      </c>
      <c r="J4495" s="1" t="s">
        <v>20057</v>
      </c>
      <c r="K4495" s="1" t="s">
        <v>22</v>
      </c>
      <c r="L4495" s="1" t="str">
        <f>HYPERLINK("https://files.afu.se/Downloads/Transcripts/0%20-%20Government/USA%20-%20NASA/2010 12 23 - NASA - This Week at NASA -- This Year at NASA (Part 1&amp;2)_Q7p1nHtFT5Y - transcript (automated).pdf","Transcript Link")</f>
        <v>Transcript Link</v>
      </c>
      <c r="M4495" s="2" t="str">
        <f>HYPERLINK("https://files.afu.se/Downloads/Transcripts/0%20-%20Government/USA%20-%20NASA/2010 12 23 - NASA - This Week at NASA -- This Year at NASA (Part 1&amp;2)_Q7p1nHtFT5Y - transcript (automated).pdf","Transcript Link")</f>
        <v>Transcript Link</v>
      </c>
    </row>
    <row r="4496" ht="165" spans="1:13">
      <c r="A4496" s="1" t="s">
        <v>20053</v>
      </c>
      <c r="B4496" s="1" t="s">
        <v>13</v>
      </c>
      <c r="C4496" s="4" t="s">
        <v>20058</v>
      </c>
      <c r="D4496" s="1" t="s">
        <v>20059</v>
      </c>
      <c r="E4496" s="1" t="s">
        <v>20060</v>
      </c>
      <c r="F4496" s="4" t="s">
        <v>17</v>
      </c>
      <c r="G4496" s="1" t="s">
        <v>18</v>
      </c>
      <c r="H4496" s="1" t="s">
        <v>19</v>
      </c>
      <c r="I4496" s="1" t="s">
        <v>20</v>
      </c>
      <c r="J4496" s="1" t="s">
        <v>20061</v>
      </c>
      <c r="K4496" s="1" t="s">
        <v>22</v>
      </c>
      <c r="L4496" s="1" t="str">
        <f>HYPERLINK("https://files.afu.se/Downloads/Transcripts/0%20-%20Government/USA%20-%20NASA/2010 12 23 - NASA - Sensors and Foam Removed From Shuttle's External Tank_MiUB6HRgmGU - transcript (automated).pdf","Transcript Link")</f>
        <v>Transcript Link</v>
      </c>
      <c r="M4496" s="2" t="str">
        <f>HYPERLINK("https://files.afu.se/Downloads/Transcripts/0%20-%20Government/USA%20-%20NASA/2010 12 23 - NASA - Sensors and Foam Removed From Shuttle's External Tank_MiUB6HRgmGU - transcript (automated).pdf","Transcript Link")</f>
        <v>Transcript Link</v>
      </c>
    </row>
    <row r="4497" ht="165" spans="1:13">
      <c r="A4497" s="1" t="s">
        <v>20053</v>
      </c>
      <c r="B4497" s="1" t="s">
        <v>13</v>
      </c>
      <c r="C4497" s="4" t="s">
        <v>20062</v>
      </c>
      <c r="D4497" s="1" t="s">
        <v>20063</v>
      </c>
      <c r="E4497" s="1" t="s">
        <v>20064</v>
      </c>
      <c r="F4497" s="4" t="s">
        <v>17</v>
      </c>
      <c r="G4497" s="1" t="s">
        <v>18</v>
      </c>
      <c r="H4497" s="1" t="s">
        <v>19</v>
      </c>
      <c r="I4497" s="1" t="s">
        <v>20</v>
      </c>
      <c r="J4497" s="1" t="s">
        <v>20065</v>
      </c>
      <c r="K4497" s="1" t="s">
        <v>22</v>
      </c>
      <c r="L4497" s="1" t="str">
        <f>HYPERLINK("https://files.afu.se/Downloads/Transcripts/0%20-%20Government/USA%20-%20NASA/2010 12 23 - NASA -  Robinson  and Robonaut Reach Out to Students_NsIlYF4Kh-U - transcript (automated).pdf","Transcript Link")</f>
        <v>Transcript Link</v>
      </c>
      <c r="M4497" s="2" t="str">
        <f>HYPERLINK("https://files.afu.se/Downloads/Transcripts/0%20-%20Government/USA%20-%20NASA/2010 12 23 - NASA -  Robinson  and Robonaut Reach Out to Students_NsIlYF4Kh-U - transcript (automated).pdf","Transcript Link")</f>
        <v>Transcript Link</v>
      </c>
    </row>
    <row r="4498" ht="165" spans="1:13">
      <c r="A4498" s="1" t="s">
        <v>20066</v>
      </c>
      <c r="B4498" s="1" t="s">
        <v>13</v>
      </c>
      <c r="C4498" s="4" t="s">
        <v>20067</v>
      </c>
      <c r="D4498" s="1" t="s">
        <v>20068</v>
      </c>
      <c r="E4498" s="1" t="s">
        <v>20069</v>
      </c>
      <c r="F4498" s="4" t="s">
        <v>17</v>
      </c>
      <c r="G4498" s="1" t="s">
        <v>18</v>
      </c>
      <c r="H4498" s="1" t="s">
        <v>19</v>
      </c>
      <c r="I4498" s="1" t="s">
        <v>20</v>
      </c>
      <c r="J4498" s="1" t="s">
        <v>20070</v>
      </c>
      <c r="K4498" s="1" t="s">
        <v>22</v>
      </c>
      <c r="L4498" s="1" t="str">
        <f>HYPERLINK("https://files.afu.se/Downloads/Transcripts/0%20-%20Government/USA%20-%20NASA/2010 12 22 - NASA - Martian Holiday-  I'm Dreaming of a Blue Sunset _Gsu79p3KWX4 - transcript (automated).pdf","Transcript Link")</f>
        <v>Transcript Link</v>
      </c>
      <c r="M4498" s="2" t="str">
        <f>HYPERLINK("https://files.afu.se/Downloads/Transcripts/0%20-%20Government/USA%20-%20NASA/2010 12 22 - NASA - Martian Holiday-  I'm Dreaming of a Blue Sunset _Gsu79p3KWX4 - transcript (automated).pdf","Transcript Link")</f>
        <v>Transcript Link</v>
      </c>
    </row>
    <row r="4499" ht="195" spans="1:13">
      <c r="A4499" s="1" t="s">
        <v>20066</v>
      </c>
      <c r="B4499" s="1" t="s">
        <v>13</v>
      </c>
      <c r="C4499" s="4" t="s">
        <v>20071</v>
      </c>
      <c r="D4499" s="1" t="s">
        <v>20072</v>
      </c>
      <c r="E4499" s="1" t="s">
        <v>20073</v>
      </c>
      <c r="F4499" s="4" t="s">
        <v>17</v>
      </c>
      <c r="G4499" s="1" t="s">
        <v>18</v>
      </c>
      <c r="H4499" s="1" t="s">
        <v>19</v>
      </c>
      <c r="I4499" s="1" t="s">
        <v>20</v>
      </c>
      <c r="J4499" s="1" t="s">
        <v>20074</v>
      </c>
      <c r="K4499" s="1" t="s">
        <v>22</v>
      </c>
      <c r="L4499" s="1" t="str">
        <f>HYPERLINK("https://files.afu.se/Downloads/Transcripts/0%20-%20Government/USA%20-%20NASA/2010 12 22 - NASA - Discovery Rolls Off Launch Pad for Repairs Tests_DBGwJ-Wkucc - transcript (automated).pdf","Transcript Link")</f>
        <v>Transcript Link</v>
      </c>
      <c r="M4499" s="2" t="str">
        <f>HYPERLINK("https://files.afu.se/Downloads/Transcripts/0%20-%20Government/USA%20-%20NASA/2010 12 22 - NASA - Discovery Rolls Off Launch Pad for Repairs Tests_DBGwJ-Wkucc - transcript (automated).pdf","Transcript Link")</f>
        <v>Transcript Link</v>
      </c>
    </row>
    <row r="4500" ht="165" spans="1:13">
      <c r="A4500" s="1" t="s">
        <v>20066</v>
      </c>
      <c r="B4500" s="1" t="s">
        <v>13</v>
      </c>
      <c r="C4500" s="4" t="s">
        <v>20075</v>
      </c>
      <c r="D4500" s="1" t="s">
        <v>20076</v>
      </c>
      <c r="E4500" s="1" t="s">
        <v>20077</v>
      </c>
      <c r="F4500" s="4" t="s">
        <v>17</v>
      </c>
      <c r="G4500" s="1" t="s">
        <v>18</v>
      </c>
      <c r="H4500" s="1" t="s">
        <v>19</v>
      </c>
      <c r="I4500" s="1" t="s">
        <v>20</v>
      </c>
      <c r="J4500" s="1" t="s">
        <v>20078</v>
      </c>
      <c r="K4500" s="1" t="s">
        <v>22</v>
      </c>
      <c r="L4500" s="1" t="str">
        <f>HYPERLINK("https://files.afu.se/Downloads/Transcripts/0%20-%20Government/USA%20-%20NASA/2010 12 22 - NASA - ISS Crew Sends Holiday Greetings to All_2P7ZggLYo2g - transcript (automated).pdf","Transcript Link")</f>
        <v>Transcript Link</v>
      </c>
      <c r="M4500" s="2" t="str">
        <f>HYPERLINK("https://files.afu.se/Downloads/Transcripts/0%20-%20Government/USA%20-%20NASA/2010 12 22 - NASA - ISS Crew Sends Holiday Greetings to All_2P7ZggLYo2g - transcript (automated).pdf","Transcript Link")</f>
        <v>Transcript Link</v>
      </c>
    </row>
    <row r="4501" ht="165" spans="1:13">
      <c r="A4501" s="1" t="s">
        <v>20066</v>
      </c>
      <c r="B4501" s="1" t="s">
        <v>13</v>
      </c>
      <c r="C4501" s="4" t="s">
        <v>20079</v>
      </c>
      <c r="D4501" s="1" t="s">
        <v>20080</v>
      </c>
      <c r="E4501" s="1" t="s">
        <v>20081</v>
      </c>
      <c r="F4501" s="4" t="s">
        <v>17</v>
      </c>
      <c r="G4501" s="1" t="s">
        <v>18</v>
      </c>
      <c r="H4501" s="1" t="s">
        <v>19</v>
      </c>
      <c r="I4501" s="1" t="s">
        <v>20</v>
      </c>
      <c r="J4501" s="1" t="s">
        <v>20082</v>
      </c>
      <c r="K4501" s="1" t="s">
        <v>22</v>
      </c>
      <c r="L4501" s="1" t="str">
        <f>HYPERLINK("https://files.afu.se/Downloads/Transcripts/0%20-%20Government/USA%20-%20NASA/2010 12 22 - NASA - Coleman Awakens  American Morning _2Bc-Opq1IlA - transcript (automated).pdf","Transcript Link")</f>
        <v>Transcript Link</v>
      </c>
      <c r="M4501" s="2" t="str">
        <f>HYPERLINK("https://files.afu.se/Downloads/Transcripts/0%20-%20Government/USA%20-%20NASA/2010 12 22 - NASA - Coleman Awakens  American Morning _2Bc-Opq1IlA - transcript (automated).pdf","Transcript Link")</f>
        <v>Transcript Link</v>
      </c>
    </row>
    <row r="4502" ht="165" spans="1:13">
      <c r="A4502" s="1" t="s">
        <v>20066</v>
      </c>
      <c r="B4502" s="1" t="s">
        <v>13</v>
      </c>
      <c r="C4502" s="4" t="s">
        <v>20083</v>
      </c>
      <c r="D4502" s="1" t="s">
        <v>20084</v>
      </c>
      <c r="E4502" s="1" t="s">
        <v>20085</v>
      </c>
      <c r="F4502" s="4" t="s">
        <v>17</v>
      </c>
      <c r="G4502" s="1" t="s">
        <v>18</v>
      </c>
      <c r="H4502" s="1" t="s">
        <v>19</v>
      </c>
      <c r="I4502" s="1" t="s">
        <v>20</v>
      </c>
      <c r="J4502" s="1" t="s">
        <v>20086</v>
      </c>
      <c r="K4502" s="1" t="s">
        <v>22</v>
      </c>
      <c r="L4502" s="1" t="str">
        <f>HYPERLINK("https://files.afu.se/Downloads/Transcripts/0%20-%20Government/USA%20-%20NASA/2010 12 22 - NASA - NASA Season's Greetings 2010_BOddPaD-2-g - transcript (automated).pdf","Transcript Link")</f>
        <v>Transcript Link</v>
      </c>
      <c r="M4502" s="2" t="str">
        <f>HYPERLINK("https://files.afu.se/Downloads/Transcripts/0%20-%20Government/USA%20-%20NASA/2010 12 22 - NASA - NASA Season's Greetings 2010_BOddPaD-2-g - transcript (automated).pdf","Transcript Link")</f>
        <v>Transcript Link</v>
      </c>
    </row>
    <row r="4503" ht="165" spans="1:13">
      <c r="A4503" s="1" t="s">
        <v>20087</v>
      </c>
      <c r="B4503" s="1" t="s">
        <v>13</v>
      </c>
      <c r="C4503" s="4" t="s">
        <v>20088</v>
      </c>
      <c r="D4503" s="1" t="s">
        <v>20089</v>
      </c>
      <c r="E4503" s="1" t="s">
        <v>20090</v>
      </c>
      <c r="F4503" s="4" t="s">
        <v>17</v>
      </c>
      <c r="G4503" s="1" t="s">
        <v>18</v>
      </c>
      <c r="H4503" s="1" t="s">
        <v>19</v>
      </c>
      <c r="I4503" s="1" t="s">
        <v>20</v>
      </c>
      <c r="J4503" s="1" t="s">
        <v>20091</v>
      </c>
      <c r="K4503" s="1" t="s">
        <v>22</v>
      </c>
      <c r="L4503" s="1" t="str">
        <f>HYPERLINK("https://files.afu.se/Downloads/Transcripts/0%20-%20Government/USA%20-%20NASA/2010 12 20 - NASA - Shuttle Undergoes Tanking Test_pxMuoAPxkvg - transcript (automated).pdf","Transcript Link")</f>
        <v>Transcript Link</v>
      </c>
      <c r="M4503" s="2" t="str">
        <f>HYPERLINK("https://files.afu.se/Downloads/Transcripts/0%20-%20Government/USA%20-%20NASA/2010 12 20 - NASA - Shuttle Undergoes Tanking Test_pxMuoAPxkvg - transcript (automated).pdf","Transcript Link")</f>
        <v>Transcript Link</v>
      </c>
    </row>
    <row r="4504" ht="165" spans="1:13">
      <c r="A4504" s="1" t="s">
        <v>20092</v>
      </c>
      <c r="B4504" s="1" t="s">
        <v>13</v>
      </c>
      <c r="C4504" s="4" t="s">
        <v>20093</v>
      </c>
      <c r="D4504" s="1" t="s">
        <v>19164</v>
      </c>
      <c r="E4504" s="1" t="s">
        <v>20094</v>
      </c>
      <c r="F4504" s="4" t="s">
        <v>17</v>
      </c>
      <c r="G4504" s="1" t="s">
        <v>18</v>
      </c>
      <c r="H4504" s="1" t="s">
        <v>19</v>
      </c>
      <c r="I4504" s="1" t="s">
        <v>20</v>
      </c>
      <c r="J4504" s="1" t="s">
        <v>20095</v>
      </c>
      <c r="K4504" s="1" t="s">
        <v>22</v>
      </c>
      <c r="L4504" s="1" t="str">
        <f>HYPERLINK("https://files.afu.se/Downloads/Transcripts/0%20-%20Government/USA%20-%20NASA/2010 12 18 - NASA - New Crew Members Welcomed to ISS_bha5IZTXzBY - transcript (automated).pdf","Transcript Link")</f>
        <v>Transcript Link</v>
      </c>
      <c r="M4504" s="2" t="str">
        <f>HYPERLINK("https://files.afu.se/Downloads/Transcripts/0%20-%20Government/USA%20-%20NASA/2010 12 18 - NASA - New Crew Members Welcomed to ISS_bha5IZTXzBY - transcript (automated).pdf","Transcript Link")</f>
        <v>Transcript Link</v>
      </c>
    </row>
    <row r="4505" ht="165" spans="1:13">
      <c r="A4505" s="1" t="s">
        <v>20096</v>
      </c>
      <c r="B4505" s="1" t="s">
        <v>13</v>
      </c>
      <c r="C4505" s="4" t="s">
        <v>20097</v>
      </c>
      <c r="D4505" s="1" t="s">
        <v>20098</v>
      </c>
      <c r="E4505" s="1" t="s">
        <v>20099</v>
      </c>
      <c r="F4505" s="4" t="s">
        <v>17</v>
      </c>
      <c r="G4505" s="1" t="s">
        <v>18</v>
      </c>
      <c r="H4505" s="1" t="s">
        <v>19</v>
      </c>
      <c r="I4505" s="1" t="s">
        <v>20</v>
      </c>
      <c r="J4505" s="1" t="s">
        <v>20100</v>
      </c>
      <c r="K4505" s="1" t="s">
        <v>22</v>
      </c>
      <c r="L4505" s="1" t="str">
        <f>HYPERLINK("https://files.afu.se/Downloads/Transcripts/0%20-%20Government/USA%20-%20NASA/2010 12 17 - NASA - This Year @NASA 2010_fzUmin_mHTs - transcript (automated).pdf","Transcript Link")</f>
        <v>Transcript Link</v>
      </c>
      <c r="M4505" s="2" t="str">
        <f>HYPERLINK("https://files.afu.se/Downloads/Transcripts/0%20-%20Government/USA%20-%20NASA/2010 12 17 - NASA - This Year @NASA 2010_fzUmin_mHTs - transcript (automated).pdf","Transcript Link")</f>
        <v>Transcript Link</v>
      </c>
    </row>
    <row r="4506" ht="165" spans="1:13">
      <c r="A4506" s="1" t="s">
        <v>20096</v>
      </c>
      <c r="B4506" s="1" t="s">
        <v>13</v>
      </c>
      <c r="C4506" s="4" t="s">
        <v>20101</v>
      </c>
      <c r="D4506" s="1" t="s">
        <v>20102</v>
      </c>
      <c r="E4506" s="1" t="s">
        <v>20103</v>
      </c>
      <c r="F4506" s="4" t="s">
        <v>17</v>
      </c>
      <c r="G4506" s="1" t="s">
        <v>18</v>
      </c>
      <c r="H4506" s="1" t="s">
        <v>19</v>
      </c>
      <c r="I4506" s="1" t="s">
        <v>20</v>
      </c>
      <c r="J4506" s="1" t="s">
        <v>20104</v>
      </c>
      <c r="K4506" s="1" t="s">
        <v>22</v>
      </c>
      <c r="L4506" s="1" t="str">
        <f>HYPERLINK("https://files.afu.se/Downloads/Transcripts/0%20-%20Government/USA%20-%20NASA/2010 12 17 - NASA - Soyuz Docks to Space Station_fDCeKGjhaRM - transcript (automated).pdf","Transcript Link")</f>
        <v>Transcript Link</v>
      </c>
      <c r="M4506" s="2" t="str">
        <f>HYPERLINK("https://files.afu.se/Downloads/Transcripts/0%20-%20Government/USA%20-%20NASA/2010 12 17 - NASA - Soyuz Docks to Space Station_fDCeKGjhaRM - transcript (automated).pdf","Transcript Link")</f>
        <v>Transcript Link</v>
      </c>
    </row>
    <row r="4507" ht="165" spans="1:13">
      <c r="A4507" s="1" t="s">
        <v>20096</v>
      </c>
      <c r="B4507" s="1" t="s">
        <v>13</v>
      </c>
      <c r="C4507" s="4" t="s">
        <v>20105</v>
      </c>
      <c r="D4507" s="1" t="s">
        <v>20106</v>
      </c>
      <c r="E4507" s="1" t="s">
        <v>20107</v>
      </c>
      <c r="F4507" s="4" t="s">
        <v>17</v>
      </c>
      <c r="G4507" s="1" t="s">
        <v>18</v>
      </c>
      <c r="H4507" s="1" t="s">
        <v>19</v>
      </c>
      <c r="I4507" s="1" t="s">
        <v>20</v>
      </c>
      <c r="J4507" s="1" t="s">
        <v>20108</v>
      </c>
      <c r="K4507" s="1" t="s">
        <v>22</v>
      </c>
      <c r="L4507" s="1" t="str">
        <f>HYPERLINK("https://files.afu.se/Downloads/Transcripts/0%20-%20Government/USA%20-%20NASA/2010 12 17 - NASA - NASA Science on the Road  Space Dogs and the Electric Atmosphere_4OGJrOx_jBU - transcript (automated).pdf","Transcript Link")</f>
        <v>Transcript Link</v>
      </c>
      <c r="M4507" s="2" t="str">
        <f>HYPERLINK("https://files.afu.se/Downloads/Transcripts/0%20-%20Government/USA%20-%20NASA/2010 12 17 - NASA - NASA Science on the Road  Space Dogs and the Electric Atmosphere_4OGJrOx_jBU - transcript (automated).pdf","Transcript Link")</f>
        <v>Transcript Link</v>
      </c>
    </row>
    <row r="4508" ht="165" spans="1:13">
      <c r="A4508" s="1" t="s">
        <v>20109</v>
      </c>
      <c r="B4508" s="1" t="s">
        <v>13</v>
      </c>
      <c r="C4508" s="4" t="s">
        <v>20110</v>
      </c>
      <c r="D4508" s="1" t="s">
        <v>20111</v>
      </c>
      <c r="E4508" s="1" t="s">
        <v>20112</v>
      </c>
      <c r="F4508" s="4" t="s">
        <v>17</v>
      </c>
      <c r="G4508" s="1" t="s">
        <v>18</v>
      </c>
      <c r="H4508" s="1" t="s">
        <v>19</v>
      </c>
      <c r="I4508" s="1" t="s">
        <v>20</v>
      </c>
      <c r="J4508" s="1" t="s">
        <v>20113</v>
      </c>
      <c r="K4508" s="1" t="s">
        <v>22</v>
      </c>
      <c r="L4508" s="1" t="str">
        <f>HYPERLINK("https://files.afu.se/Downloads/Transcripts/0%20-%20Government/USA%20-%20NASA/2010 12 16 - NASA - Administrator Shares Holiday Greetings, Praise with NASA  Family _KzCDsfZ0GQs - transcript (automated).pdf","Transcript Link")</f>
        <v>Transcript Link</v>
      </c>
      <c r="M4508" s="2" t="str">
        <f>HYPERLINK("https://files.afu.se/Downloads/Transcripts/0%20-%20Government/USA%20-%20NASA/2010 12 16 - NASA - Administrator Shares Holiday Greetings, Praise with NASA  Family _KzCDsfZ0GQs - transcript (automated).pdf","Transcript Link")</f>
        <v>Transcript Link</v>
      </c>
    </row>
    <row r="4509" ht="165" spans="1:13">
      <c r="A4509" s="1" t="s">
        <v>20109</v>
      </c>
      <c r="B4509" s="1" t="s">
        <v>13</v>
      </c>
      <c r="C4509" s="4" t="s">
        <v>20114</v>
      </c>
      <c r="D4509" s="1" t="s">
        <v>20115</v>
      </c>
      <c r="E4509" s="1" t="s">
        <v>20116</v>
      </c>
      <c r="F4509" s="4" t="s">
        <v>17</v>
      </c>
      <c r="G4509" s="1" t="s">
        <v>18</v>
      </c>
      <c r="H4509" s="1" t="s">
        <v>19</v>
      </c>
      <c r="I4509" s="1" t="s">
        <v>20</v>
      </c>
      <c r="J4509" s="1" t="s">
        <v>20117</v>
      </c>
      <c r="K4509" s="1" t="s">
        <v>22</v>
      </c>
      <c r="L4509" s="1" t="str">
        <f>HYPERLINK("https://files.afu.se/Downloads/Transcripts/0%20-%20Government/USA%20-%20NASA/2010 12 16 - NASA -  Best of the Best  Launches  Powered  by Music_48hjjKUS7G8 - transcript (automated).pdf","Transcript Link")</f>
        <v>Transcript Link</v>
      </c>
      <c r="M4509" s="2" t="str">
        <f>HYPERLINK("https://files.afu.se/Downloads/Transcripts/0%20-%20Government/USA%20-%20NASA/2010 12 16 - NASA -  Best of the Best  Launches  Powered  by Music_48hjjKUS7G8 - transcript (automated).pdf","Transcript Link")</f>
        <v>Transcript Link</v>
      </c>
    </row>
    <row r="4510" ht="165" spans="1:13">
      <c r="A4510" s="1" t="s">
        <v>20109</v>
      </c>
      <c r="B4510" s="1" t="s">
        <v>13</v>
      </c>
      <c r="C4510" s="4" t="s">
        <v>20118</v>
      </c>
      <c r="D4510" s="1" t="s">
        <v>20119</v>
      </c>
      <c r="E4510" s="1" t="s">
        <v>20120</v>
      </c>
      <c r="F4510" s="4" t="s">
        <v>17</v>
      </c>
      <c r="G4510" s="1" t="s">
        <v>18</v>
      </c>
      <c r="H4510" s="1" t="s">
        <v>19</v>
      </c>
      <c r="I4510" s="1" t="s">
        <v>20</v>
      </c>
      <c r="J4510" s="1" t="s">
        <v>20121</v>
      </c>
      <c r="K4510" s="1" t="s">
        <v>22</v>
      </c>
      <c r="L4510" s="1" t="str">
        <f>HYPERLINK("https://files.afu.se/Downloads/Transcripts/0%20-%20Government/USA%20-%20NASA/2010 12 16 - NASA -  Best of the Best  Provides New Views, Commentary of Shuttle Launches_vFwqZ4qAUkE - transcript (automated).pdf","Transcript Link")</f>
        <v>Transcript Link</v>
      </c>
      <c r="M4510" s="2" t="str">
        <f>HYPERLINK("https://files.afu.se/Downloads/Transcripts/0%20-%20Government/USA%20-%20NASA/2010 12 16 - NASA -  Best of the Best  Provides New Views, Commentary of Shuttle Launches_vFwqZ4qAUkE - transcript (automated).pdf","Transcript Link")</f>
        <v>Transcript Link</v>
      </c>
    </row>
    <row r="4511" ht="165" spans="1:13">
      <c r="A4511" s="1" t="s">
        <v>20122</v>
      </c>
      <c r="B4511" s="1" t="s">
        <v>13</v>
      </c>
      <c r="C4511" s="4" t="s">
        <v>20123</v>
      </c>
      <c r="D4511" s="1" t="s">
        <v>20124</v>
      </c>
      <c r="E4511" s="1" t="s">
        <v>20125</v>
      </c>
      <c r="F4511" s="4" t="s">
        <v>17</v>
      </c>
      <c r="G4511" s="1" t="s">
        <v>18</v>
      </c>
      <c r="H4511" s="1" t="s">
        <v>19</v>
      </c>
      <c r="I4511" s="1" t="s">
        <v>20</v>
      </c>
      <c r="J4511" s="1" t="s">
        <v>20126</v>
      </c>
      <c r="K4511" s="1" t="s">
        <v>22</v>
      </c>
      <c r="L4511" s="1" t="str">
        <f>HYPERLINK("https://files.afu.se/Downloads/Transcripts/0%20-%20Government/USA%20-%20NASA/2010 12 15 - NASA - Coleman, Crew Members Fly to ISS_rk0IOEBOiZI - transcript (automated).pdf","Transcript Link")</f>
        <v>Transcript Link</v>
      </c>
      <c r="M4511" s="2" t="str">
        <f>HYPERLINK("https://files.afu.se/Downloads/Transcripts/0%20-%20Government/USA%20-%20NASA/2010 12 15 - NASA - Coleman, Crew Members Fly to ISS_rk0IOEBOiZI - transcript (automated).pdf","Transcript Link")</f>
        <v>Transcript Link</v>
      </c>
    </row>
    <row r="4512" ht="165" spans="1:13">
      <c r="A4512" s="1" t="s">
        <v>20122</v>
      </c>
      <c r="B4512" s="1" t="s">
        <v>13</v>
      </c>
      <c r="C4512" s="4" t="s">
        <v>20127</v>
      </c>
      <c r="D4512" s="1" t="s">
        <v>20128</v>
      </c>
      <c r="E4512" s="1" t="s">
        <v>20129</v>
      </c>
      <c r="F4512" s="4" t="s">
        <v>17</v>
      </c>
      <c r="G4512" s="1" t="s">
        <v>18</v>
      </c>
      <c r="H4512" s="1" t="s">
        <v>19</v>
      </c>
      <c r="I4512" s="1" t="s">
        <v>20</v>
      </c>
      <c r="J4512" s="1" t="s">
        <v>20130</v>
      </c>
      <c r="K4512" s="1" t="s">
        <v>22</v>
      </c>
      <c r="L4512" s="1" t="str">
        <f>HYPERLINK("https://files.afu.se/Downloads/Transcripts/0%20-%20Government/USA%20-%20NASA/2010 12 15 - NASA - NASA Science on the Road  Creeping Faults in California_WaUup6a-IMk - transcript (automated).pdf","Transcript Link")</f>
        <v>Transcript Link</v>
      </c>
      <c r="M4512" s="2" t="str">
        <f>HYPERLINK("https://files.afu.se/Downloads/Transcripts/0%20-%20Government/USA%20-%20NASA/2010 12 15 - NASA - NASA Science on the Road  Creeping Faults in California_WaUup6a-IMk - transcript (automated).pdf","Transcript Link")</f>
        <v>Transcript Link</v>
      </c>
    </row>
    <row r="4513" ht="165" spans="1:13">
      <c r="A4513" s="1" t="s">
        <v>20122</v>
      </c>
      <c r="B4513" s="1" t="s">
        <v>13</v>
      </c>
      <c r="C4513" s="4" t="s">
        <v>20131</v>
      </c>
      <c r="D4513" s="1" t="s">
        <v>20132</v>
      </c>
      <c r="E4513" s="1" t="s">
        <v>20133</v>
      </c>
      <c r="F4513" s="4" t="s">
        <v>17</v>
      </c>
      <c r="G4513" s="1" t="s">
        <v>18</v>
      </c>
      <c r="H4513" s="1" t="s">
        <v>19</v>
      </c>
      <c r="I4513" s="1" t="s">
        <v>20</v>
      </c>
      <c r="J4513" s="1" t="s">
        <v>20134</v>
      </c>
      <c r="K4513" s="1" t="s">
        <v>22</v>
      </c>
      <c r="L4513" s="1" t="str">
        <f>HYPERLINK("https://files.afu.se/Downloads/Transcripts/0%20-%20Government/USA%20-%20NASA/2010 12 15 - NASA - Coleman and Crew Members Hold Final Pre-Launch News Conference_bKBcbBXecxs - transcript (automated).pdf","Transcript Link")</f>
        <v>Transcript Link</v>
      </c>
      <c r="M4513" s="2" t="str">
        <f>HYPERLINK("https://files.afu.se/Downloads/Transcripts/0%20-%20Government/USA%20-%20NASA/2010 12 15 - NASA - Coleman and Crew Members Hold Final Pre-Launch News Conference_bKBcbBXecxs - transcript (automated).pdf","Transcript Link")</f>
        <v>Transcript Link</v>
      </c>
    </row>
    <row r="4514" ht="165" spans="1:13">
      <c r="A4514" s="1" t="s">
        <v>20135</v>
      </c>
      <c r="B4514" s="1" t="s">
        <v>13</v>
      </c>
      <c r="C4514" s="4" t="s">
        <v>20136</v>
      </c>
      <c r="D4514" s="1" t="s">
        <v>20137</v>
      </c>
      <c r="E4514" s="1" t="s">
        <v>20138</v>
      </c>
      <c r="F4514" s="4" t="s">
        <v>17</v>
      </c>
      <c r="G4514" s="1" t="s">
        <v>18</v>
      </c>
      <c r="H4514" s="1" t="s">
        <v>19</v>
      </c>
      <c r="I4514" s="1" t="s">
        <v>20</v>
      </c>
      <c r="J4514" s="1" t="s">
        <v>20139</v>
      </c>
      <c r="K4514" s="1" t="s">
        <v>22</v>
      </c>
      <c r="L4514" s="1" t="str">
        <f>HYPERLINK("https://files.afu.se/Downloads/Transcripts/0%20-%20Government/USA%20-%20NASA/2010 12 14 - NASA - Kelly, Crew Await Three New ISS Residents_PHfxHcFWoaU - transcript (automated).pdf","Transcript Link")</f>
        <v>Transcript Link</v>
      </c>
      <c r="M4514" s="2" t="str">
        <f>HYPERLINK("https://files.afu.se/Downloads/Transcripts/0%20-%20Government/USA%20-%20NASA/2010 12 14 - NASA - Kelly, Crew Await Three New ISS Residents_PHfxHcFWoaU - transcript (automated).pdf","Transcript Link")</f>
        <v>Transcript Link</v>
      </c>
    </row>
    <row r="4515" ht="165" spans="1:13">
      <c r="A4515" s="1" t="s">
        <v>20135</v>
      </c>
      <c r="B4515" s="1" t="s">
        <v>13</v>
      </c>
      <c r="C4515" s="4" t="s">
        <v>20140</v>
      </c>
      <c r="D4515" s="1" t="s">
        <v>20141</v>
      </c>
      <c r="E4515" s="1" t="s">
        <v>20142</v>
      </c>
      <c r="F4515" s="4" t="s">
        <v>17</v>
      </c>
      <c r="G4515" s="1" t="s">
        <v>18</v>
      </c>
      <c r="H4515" s="1" t="s">
        <v>19</v>
      </c>
      <c r="I4515" s="1" t="s">
        <v>20</v>
      </c>
      <c r="J4515" s="1" t="s">
        <v>20143</v>
      </c>
      <c r="K4515" s="1" t="s">
        <v>22</v>
      </c>
      <c r="L4515" s="1" t="str">
        <f>HYPERLINK("https://files.afu.se/Downloads/Transcripts/0%20-%20Government/USA%20-%20NASA/2010 12 14 - NASA - Cassini Spots Potential Ice Volcano on Saturn Moon_up0yImiN4S4 - transcript (automated).pdf","Transcript Link")</f>
        <v>Transcript Link</v>
      </c>
      <c r="M4515" s="2" t="str">
        <f>HYPERLINK("https://files.afu.se/Downloads/Transcripts/0%20-%20Government/USA%20-%20NASA/2010 12 14 - NASA - Cassini Spots Potential Ice Volcano on Saturn Moon_up0yImiN4S4 - transcript (automated).pdf","Transcript Link")</f>
        <v>Transcript Link</v>
      </c>
    </row>
    <row r="4516" ht="165" spans="1:13">
      <c r="A4516" s="1" t="s">
        <v>20135</v>
      </c>
      <c r="B4516" s="1" t="s">
        <v>13</v>
      </c>
      <c r="C4516" s="4" t="s">
        <v>20144</v>
      </c>
      <c r="D4516" s="1" t="s">
        <v>20145</v>
      </c>
      <c r="E4516" s="1" t="s">
        <v>20146</v>
      </c>
      <c r="F4516" s="4" t="s">
        <v>17</v>
      </c>
      <c r="G4516" s="1" t="s">
        <v>18</v>
      </c>
      <c r="H4516" s="1" t="s">
        <v>19</v>
      </c>
      <c r="I4516" s="1" t="s">
        <v>20</v>
      </c>
      <c r="J4516" s="1" t="s">
        <v>20147</v>
      </c>
      <c r="K4516" s="1" t="s">
        <v>22</v>
      </c>
      <c r="L4516" s="1" t="str">
        <f>HYPERLINK("https://files.afu.se/Downloads/Transcripts/0%20-%20Government/USA%20-%20NASA/2010 12 14 - NASA - NASA Science on the Road  Oceans, Carbon, and Climate_hXg4ugCajkE - transcript (automated).pdf","Transcript Link")</f>
        <v>Transcript Link</v>
      </c>
      <c r="M4516" s="2" t="str">
        <f>HYPERLINK("https://files.afu.se/Downloads/Transcripts/0%20-%20Government/USA%20-%20NASA/2010 12 14 - NASA - NASA Science on the Road  Oceans, Carbon, and Climate_hXg4ugCajkE - transcript (automated).pdf","Transcript Link")</f>
        <v>Transcript Link</v>
      </c>
    </row>
    <row r="4517" ht="225" spans="1:13">
      <c r="A4517" s="1" t="s">
        <v>20148</v>
      </c>
      <c r="B4517" s="1" t="s">
        <v>13</v>
      </c>
      <c r="C4517" s="4" t="s">
        <v>20149</v>
      </c>
      <c r="D4517" s="1" t="s">
        <v>20150</v>
      </c>
      <c r="E4517" s="1" t="s">
        <v>20151</v>
      </c>
      <c r="F4517" s="4" t="s">
        <v>17</v>
      </c>
      <c r="G4517" s="1" t="s">
        <v>18</v>
      </c>
      <c r="H4517" s="1" t="s">
        <v>19</v>
      </c>
      <c r="I4517" s="1" t="s">
        <v>20</v>
      </c>
      <c r="J4517" s="1" t="s">
        <v>20152</v>
      </c>
      <c r="K4517" s="1" t="s">
        <v>22</v>
      </c>
      <c r="L4517" s="1" t="str">
        <f>HYPERLINK("https://files.afu.se/Downloads/Transcripts/0%20-%20Government/USA%20-%20NASA/2010 12 13 - NASA - Shuttle's External Tank Readied for Test_16Ex51OJVT4 - transcript (automated).pdf","Transcript Link")</f>
        <v>Transcript Link</v>
      </c>
      <c r="M4517" s="2" t="str">
        <f>HYPERLINK("https://files.afu.se/Downloads/Transcripts/0%20-%20Government/USA%20-%20NASA/2010 12 13 - NASA - Shuttle's External Tank Readied for Test_16Ex51OJVT4 - transcript (automated).pdf","Transcript Link")</f>
        <v>Transcript Link</v>
      </c>
    </row>
    <row r="4518" ht="165" spans="1:13">
      <c r="A4518" s="1" t="s">
        <v>20148</v>
      </c>
      <c r="B4518" s="1" t="s">
        <v>13</v>
      </c>
      <c r="C4518" s="4" t="s">
        <v>20153</v>
      </c>
      <c r="D4518" s="1" t="s">
        <v>20154</v>
      </c>
      <c r="E4518" s="1" t="s">
        <v>20155</v>
      </c>
      <c r="F4518" s="4" t="s">
        <v>17</v>
      </c>
      <c r="G4518" s="1" t="s">
        <v>18</v>
      </c>
      <c r="H4518" s="1" t="s">
        <v>19</v>
      </c>
      <c r="I4518" s="1" t="s">
        <v>20</v>
      </c>
      <c r="J4518" s="1" t="s">
        <v>20156</v>
      </c>
      <c r="K4518" s="1" t="s">
        <v>22</v>
      </c>
      <c r="L4518" s="1" t="str">
        <f>HYPERLINK("https://files.afu.se/Downloads/Transcripts/0%20-%20Government/USA%20-%20NASA/2010 12 13 - NASA - Soyuz Rolls Out to Pad for Wednesday Launch_dykfmqK22rs - transcript (automated).pdf","Transcript Link")</f>
        <v>Transcript Link</v>
      </c>
      <c r="M4518" s="2" t="str">
        <f>HYPERLINK("https://files.afu.se/Downloads/Transcripts/0%20-%20Government/USA%20-%20NASA/2010 12 13 - NASA - Soyuz Rolls Out to Pad for Wednesday Launch_dykfmqK22rs - transcript (automated).pdf","Transcript Link")</f>
        <v>Transcript Link</v>
      </c>
    </row>
    <row r="4519" ht="165" spans="1:13">
      <c r="A4519" s="1" t="s">
        <v>20157</v>
      </c>
      <c r="B4519" s="1" t="s">
        <v>13</v>
      </c>
      <c r="C4519" s="4" t="s">
        <v>20158</v>
      </c>
      <c r="D4519" s="1" t="s">
        <v>20159</v>
      </c>
      <c r="E4519" s="1" t="s">
        <v>20160</v>
      </c>
      <c r="F4519" s="4" t="s">
        <v>17</v>
      </c>
      <c r="G4519" s="1" t="s">
        <v>18</v>
      </c>
      <c r="H4519" s="1" t="s">
        <v>19</v>
      </c>
      <c r="I4519" s="1" t="s">
        <v>20</v>
      </c>
      <c r="J4519" s="1" t="s">
        <v>20161</v>
      </c>
      <c r="K4519" s="1" t="s">
        <v>22</v>
      </c>
      <c r="L4519" s="1" t="str">
        <f>HYPERLINK("https://files.afu.se/Downloads/Transcripts/0%20-%20Government/USA%20-%20NASA/2010 12 10 - NASA - Expedition 26 Crew's Final Launch Preps on This Week @NASA_MDG4fD6Qy7M - transcript (automated).pdf","Transcript Link")</f>
        <v>Transcript Link</v>
      </c>
      <c r="M4519" s="2" t="str">
        <f>HYPERLINK("https://files.afu.se/Downloads/Transcripts/0%20-%20Government/USA%20-%20NASA/2010 12 10 - NASA - Expedition 26 Crew's Final Launch Preps on This Week @NASA_MDG4fD6Qy7M - transcript (automated).pdf","Transcript Link")</f>
        <v>Transcript Link</v>
      </c>
    </row>
    <row r="4520" ht="165" spans="1:13">
      <c r="A4520" s="1" t="s">
        <v>20157</v>
      </c>
      <c r="B4520" s="1" t="s">
        <v>13</v>
      </c>
      <c r="C4520" s="4" t="s">
        <v>20162</v>
      </c>
      <c r="D4520" s="1" t="s">
        <v>20163</v>
      </c>
      <c r="E4520" s="1" t="s">
        <v>20164</v>
      </c>
      <c r="F4520" s="4" t="s">
        <v>17</v>
      </c>
      <c r="G4520" s="1" t="s">
        <v>18</v>
      </c>
      <c r="H4520" s="1" t="s">
        <v>19</v>
      </c>
      <c r="I4520" s="1" t="s">
        <v>20</v>
      </c>
      <c r="J4520" s="1" t="s">
        <v>20165</v>
      </c>
      <c r="K4520" s="1" t="s">
        <v>22</v>
      </c>
      <c r="L4520" s="1" t="str">
        <f>HYPERLINK("https://files.afu.se/Downloads/Transcripts/0%20-%20Government/USA%20-%20NASA/2010 12 10 - NASA - Shuttle's Main Engines Installed for Final Planned Flight_IsRm11sRi5E - transcript (automated).pdf","Transcript Link")</f>
        <v>Transcript Link</v>
      </c>
      <c r="M4520" s="2" t="str">
        <f>HYPERLINK("https://files.afu.se/Downloads/Transcripts/0%20-%20Government/USA%20-%20NASA/2010 12 10 - NASA - Shuttle's Main Engines Installed for Final Planned Flight_IsRm11sRi5E - transcript (automated).pdf","Transcript Link")</f>
        <v>Transcript Link</v>
      </c>
    </row>
    <row r="4521" ht="165" spans="1:13">
      <c r="A4521" s="1" t="s">
        <v>20157</v>
      </c>
      <c r="B4521" s="1" t="s">
        <v>13</v>
      </c>
      <c r="C4521" s="4" t="s">
        <v>20166</v>
      </c>
      <c r="D4521" s="1" t="s">
        <v>20167</v>
      </c>
      <c r="E4521" s="1" t="s">
        <v>20168</v>
      </c>
      <c r="F4521" s="4" t="s">
        <v>17</v>
      </c>
      <c r="G4521" s="1" t="s">
        <v>18</v>
      </c>
      <c r="H4521" s="1" t="s">
        <v>19</v>
      </c>
      <c r="I4521" s="1" t="s">
        <v>20</v>
      </c>
      <c r="J4521" s="1" t="s">
        <v>20169</v>
      </c>
      <c r="K4521" s="1" t="s">
        <v>22</v>
      </c>
      <c r="L4521" s="1" t="str">
        <f>HYPERLINK("https://files.afu.se/Downloads/Transcripts/0%20-%20Government/USA%20-%20NASA/2010 12 10 - NASA - Soyuz Crew Readies for Launch to ISS_UE00r8ISDI4 - transcript (automated).pdf","Transcript Link")</f>
        <v>Transcript Link</v>
      </c>
      <c r="M4521" s="2" t="str">
        <f>HYPERLINK("https://files.afu.se/Downloads/Transcripts/0%20-%20Government/USA%20-%20NASA/2010 12 10 - NASA - Soyuz Crew Readies for Launch to ISS_UE00r8ISDI4 - transcript (automated).pdf","Transcript Link")</f>
        <v>Transcript Link</v>
      </c>
    </row>
    <row r="4522" ht="165" spans="1:13">
      <c r="A4522" s="1" t="s">
        <v>20170</v>
      </c>
      <c r="B4522" s="1" t="s">
        <v>13</v>
      </c>
      <c r="C4522" s="4" t="s">
        <v>20171</v>
      </c>
      <c r="D4522" s="1" t="s">
        <v>20172</v>
      </c>
      <c r="E4522" s="1" t="s">
        <v>20173</v>
      </c>
      <c r="F4522" s="4" t="s">
        <v>17</v>
      </c>
      <c r="G4522" s="1" t="s">
        <v>18</v>
      </c>
      <c r="H4522" s="1" t="s">
        <v>19</v>
      </c>
      <c r="I4522" s="1" t="s">
        <v>20</v>
      </c>
      <c r="J4522" s="1" t="s">
        <v>20174</v>
      </c>
      <c r="K4522" s="1" t="s">
        <v>22</v>
      </c>
      <c r="L4522" s="1" t="str">
        <f>HYPERLINK("https://files.afu.se/Downloads/Transcripts/0%20-%20Government/USA%20-%20NASA/2010 12 09 - NASA - Kelly Describes Life in Space for News Radio_Hzqd84njl3g - transcript (automated).pdf","Transcript Link")</f>
        <v>Transcript Link</v>
      </c>
      <c r="M4522" s="2" t="str">
        <f>HYPERLINK("https://files.afu.se/Downloads/Transcripts/0%20-%20Government/USA%20-%20NASA/2010 12 09 - NASA - Kelly Describes Life in Space for News Radio_Hzqd84njl3g - transcript (automated).pdf","Transcript Link")</f>
        <v>Transcript Link</v>
      </c>
    </row>
    <row r="4523" ht="165" spans="1:13">
      <c r="A4523" s="1" t="s">
        <v>20170</v>
      </c>
      <c r="B4523" s="1" t="s">
        <v>13</v>
      </c>
      <c r="C4523" s="4" t="s">
        <v>20175</v>
      </c>
      <c r="D4523" s="1" t="s">
        <v>20176</v>
      </c>
      <c r="E4523" s="1" t="s">
        <v>20177</v>
      </c>
      <c r="F4523" s="4" t="s">
        <v>17</v>
      </c>
      <c r="G4523" s="1" t="s">
        <v>18</v>
      </c>
      <c r="H4523" s="1" t="s">
        <v>19</v>
      </c>
      <c r="I4523" s="1" t="s">
        <v>20</v>
      </c>
      <c r="J4523" s="1" t="s">
        <v>20178</v>
      </c>
      <c r="K4523" s="1" t="s">
        <v>22</v>
      </c>
      <c r="L4523" s="1" t="str">
        <f>HYPERLINK("https://files.afu.se/Downloads/Transcripts/0%20-%20Government/USA%20-%20NASA/2010 12 09 - NASA - Post-Demonstration Launch News Conference on NASA's Commercial Orbital Transportation Services_i-GEZQ6zo9A - transcript (automated).pdf","Transcript Link")</f>
        <v>Transcript Link</v>
      </c>
      <c r="M4523" s="2" t="str">
        <f>HYPERLINK("https://files.afu.se/Downloads/Transcripts/0%20-%20Government/USA%20-%20NASA/2010 12 09 - NASA - Post-Demonstration Launch News Conference on NASA's Commercial Orbital Transportation Services_i-GEZQ6zo9A - transcript (automated).pdf","Transcript Link")</f>
        <v>Transcript Link</v>
      </c>
    </row>
    <row r="4524" ht="165" spans="1:13">
      <c r="A4524" s="1" t="s">
        <v>20179</v>
      </c>
      <c r="B4524" s="1" t="s">
        <v>13</v>
      </c>
      <c r="C4524" s="4" t="s">
        <v>20180</v>
      </c>
      <c r="D4524" s="1" t="s">
        <v>20181</v>
      </c>
      <c r="E4524" s="1" t="s">
        <v>20182</v>
      </c>
      <c r="F4524" s="4" t="s">
        <v>17</v>
      </c>
      <c r="G4524" s="1" t="s">
        <v>18</v>
      </c>
      <c r="H4524" s="1" t="s">
        <v>19</v>
      </c>
      <c r="I4524" s="1" t="s">
        <v>20</v>
      </c>
      <c r="J4524" s="1" t="s">
        <v>20183</v>
      </c>
      <c r="K4524" s="1" t="s">
        <v>22</v>
      </c>
      <c r="L4524" s="1" t="str">
        <f>HYPERLINK("https://files.afu.se/Downloads/Transcripts/0%20-%20Government/USA%20-%20NASA/2010 12 08 - NASA - Dragon Successfully Launched to Earth Orbit_PVVofOldIdw - transcript (automated).pdf","Transcript Link")</f>
        <v>Transcript Link</v>
      </c>
      <c r="M4524" s="2" t="str">
        <f>HYPERLINK("https://files.afu.se/Downloads/Transcripts/0%20-%20Government/USA%20-%20NASA/2010 12 08 - NASA - Dragon Successfully Launched to Earth Orbit_PVVofOldIdw - transcript (automated).pdf","Transcript Link")</f>
        <v>Transcript Link</v>
      </c>
    </row>
    <row r="4525" ht="165" spans="1:13">
      <c r="A4525" s="1" t="s">
        <v>20179</v>
      </c>
      <c r="B4525" s="1" t="s">
        <v>13</v>
      </c>
      <c r="C4525" s="4" t="s">
        <v>20184</v>
      </c>
      <c r="D4525" s="1" t="s">
        <v>20185</v>
      </c>
      <c r="E4525" s="1" t="s">
        <v>20186</v>
      </c>
      <c r="F4525" s="4" t="s">
        <v>17</v>
      </c>
      <c r="G4525" s="1" t="s">
        <v>18</v>
      </c>
      <c r="H4525" s="1" t="s">
        <v>19</v>
      </c>
      <c r="I4525" s="1" t="s">
        <v>20</v>
      </c>
      <c r="J4525" s="1" t="s">
        <v>20187</v>
      </c>
      <c r="K4525" s="1" t="s">
        <v>22</v>
      </c>
      <c r="L4525" s="1" t="str">
        <f>HYPERLINK("https://files.afu.se/Downloads/Transcripts/0%20-%20Government/USA%20-%20NASA/2010 12 08 - NASA - Station Crew Readies to Double Size_vPBeiLv_m-s - transcript (automated).pdf","Transcript Link")</f>
        <v>Transcript Link</v>
      </c>
      <c r="M4525" s="2" t="str">
        <f>HYPERLINK("https://files.afu.se/Downloads/Transcripts/0%20-%20Government/USA%20-%20NASA/2010 12 08 - NASA - Station Crew Readies to Double Size_vPBeiLv_m-s - transcript (automated).pdf","Transcript Link")</f>
        <v>Transcript Link</v>
      </c>
    </row>
    <row r="4526" ht="165" spans="1:13">
      <c r="A4526" s="1" t="s">
        <v>20179</v>
      </c>
      <c r="B4526" s="1" t="s">
        <v>13</v>
      </c>
      <c r="C4526" s="4" t="s">
        <v>20188</v>
      </c>
      <c r="D4526" s="1" t="s">
        <v>20189</v>
      </c>
      <c r="E4526" s="1" t="s">
        <v>20190</v>
      </c>
      <c r="F4526" s="4" t="s">
        <v>17</v>
      </c>
      <c r="G4526" s="1" t="s">
        <v>18</v>
      </c>
      <c r="H4526" s="1" t="s">
        <v>19</v>
      </c>
      <c r="I4526" s="1" t="s">
        <v>20</v>
      </c>
      <c r="J4526" s="1" t="s">
        <v>20191</v>
      </c>
      <c r="K4526" s="1" t="s">
        <v>22</v>
      </c>
      <c r="L4526" s="1" t="str">
        <f>HYPERLINK("https://files.afu.se/Downloads/Transcripts/0%20-%20Government/USA%20-%20NASA/2010 12 08 - NASA - NASA's Bolden Congratulates SpaceX on Successful Launch_QXWEoRDaXPM - transcript (automated).pdf","Transcript Link")</f>
        <v>Transcript Link</v>
      </c>
      <c r="M4526" s="2" t="str">
        <f>HYPERLINK("https://files.afu.se/Downloads/Transcripts/0%20-%20Government/USA%20-%20NASA/2010 12 08 - NASA - NASA's Bolden Congratulates SpaceX on Successful Launch_QXWEoRDaXPM - transcript (automated).pdf","Transcript Link")</f>
        <v>Transcript Link</v>
      </c>
    </row>
    <row r="4527" ht="165" spans="1:13">
      <c r="A4527" s="1" t="s">
        <v>20179</v>
      </c>
      <c r="B4527" s="1" t="s">
        <v>13</v>
      </c>
      <c r="C4527" s="4" t="s">
        <v>20192</v>
      </c>
      <c r="D4527" s="1" t="s">
        <v>20193</v>
      </c>
      <c r="E4527" s="1" t="s">
        <v>20194</v>
      </c>
      <c r="F4527" s="4" t="s">
        <v>17</v>
      </c>
      <c r="G4527" s="1" t="s">
        <v>18</v>
      </c>
      <c r="H4527" s="1" t="s">
        <v>19</v>
      </c>
      <c r="I4527" s="1" t="s">
        <v>20</v>
      </c>
      <c r="J4527" s="1" t="s">
        <v>20195</v>
      </c>
      <c r="K4527" s="1" t="s">
        <v>22</v>
      </c>
      <c r="L4527" s="1" t="str">
        <f>HYPERLINK("https://files.afu.se/Downloads/Transcripts/0%20-%20Government/USA%20-%20NASA/2010 12 08 - NASA - Dragon Successfully Launched to Earth Orbit HD_ZUU38XkSFEs - transcript (automated).pdf","Transcript Link")</f>
        <v>Transcript Link</v>
      </c>
      <c r="M4527" s="2" t="str">
        <f>HYPERLINK("https://files.afu.se/Downloads/Transcripts/0%20-%20Government/USA%20-%20NASA/2010 12 08 - NASA - Dragon Successfully Launched to Earth Orbit HD_ZUU38XkSFEs - transcript (automated).pdf","Transcript Link")</f>
        <v>Transcript Link</v>
      </c>
    </row>
    <row r="4528" ht="165" spans="1:13">
      <c r="A4528" s="1" t="s">
        <v>20179</v>
      </c>
      <c r="B4528" s="1" t="s">
        <v>13</v>
      </c>
      <c r="C4528" s="4" t="s">
        <v>20196</v>
      </c>
      <c r="D4528" s="1" t="s">
        <v>20197</v>
      </c>
      <c r="E4528" s="1" t="s">
        <v>20198</v>
      </c>
      <c r="F4528" s="4" t="s">
        <v>17</v>
      </c>
      <c r="G4528" s="1" t="s">
        <v>18</v>
      </c>
      <c r="H4528" s="1" t="s">
        <v>19</v>
      </c>
      <c r="I4528" s="1" t="s">
        <v>20</v>
      </c>
      <c r="J4528" s="1" t="s">
        <v>20199</v>
      </c>
      <c r="K4528" s="1" t="s">
        <v>22</v>
      </c>
      <c r="L4528" s="1" t="str">
        <f>HYPERLINK("https://files.afu.se/Downloads/Transcripts/0%20-%20Government/USA%20-%20NASA/2010 12 08 - NASA - New Show Details, Explains Changes in Arctic_LZcxJSMQBKY - transcript (automated).pdf","Transcript Link")</f>
        <v>Transcript Link</v>
      </c>
      <c r="M4528" s="2" t="str">
        <f>HYPERLINK("https://files.afu.se/Downloads/Transcripts/0%20-%20Government/USA%20-%20NASA/2010 12 08 - NASA - New Show Details, Explains Changes in Arctic_LZcxJSMQBKY - transcript (automated).pdf","Transcript Link")</f>
        <v>Transcript Link</v>
      </c>
    </row>
    <row r="4529" ht="165" spans="1:13">
      <c r="A4529" s="1" t="s">
        <v>20179</v>
      </c>
      <c r="B4529" s="1" t="s">
        <v>13</v>
      </c>
      <c r="C4529" s="4" t="s">
        <v>20200</v>
      </c>
      <c r="D4529" s="1" t="s">
        <v>20201</v>
      </c>
      <c r="E4529" s="1" t="s">
        <v>20202</v>
      </c>
      <c r="F4529" s="4" t="s">
        <v>17</v>
      </c>
      <c r="G4529" s="1" t="s">
        <v>18</v>
      </c>
      <c r="H4529" s="1" t="s">
        <v>19</v>
      </c>
      <c r="I4529" s="1" t="s">
        <v>20</v>
      </c>
      <c r="J4529" s="1" t="s">
        <v>20203</v>
      </c>
      <c r="K4529" s="1" t="s">
        <v>22</v>
      </c>
      <c r="L4529" s="1" t="str">
        <f>HYPERLINK("https://files.afu.se/Downloads/Transcripts/0%20-%20Government/USA%20-%20NASA/2010 12 08 - NASA - NASA Science Seminar  Arsenic and the Meaning of Life _de_2GoKGR54 - transcript (automated).pdf","Transcript Link")</f>
        <v>Transcript Link</v>
      </c>
      <c r="M4529" s="2" t="str">
        <f>HYPERLINK("https://files.afu.se/Downloads/Transcripts/0%20-%20Government/USA%20-%20NASA/2010 12 08 - NASA - NASA Science Seminar  Arsenic and the Meaning of Life _de_2GoKGR54 - transcript (automated).pdf","Transcript Link")</f>
        <v>Transcript Link</v>
      </c>
    </row>
    <row r="4530" ht="165" spans="1:13">
      <c r="A4530" s="1" t="s">
        <v>20204</v>
      </c>
      <c r="B4530" s="1" t="s">
        <v>13</v>
      </c>
      <c r="C4530" s="4" t="s">
        <v>20205</v>
      </c>
      <c r="D4530" s="1" t="s">
        <v>20206</v>
      </c>
      <c r="E4530" s="1" t="s">
        <v>20207</v>
      </c>
      <c r="F4530" s="4" t="s">
        <v>17</v>
      </c>
      <c r="G4530" s="1" t="s">
        <v>18</v>
      </c>
      <c r="H4530" s="1" t="s">
        <v>19</v>
      </c>
      <c r="I4530" s="1" t="s">
        <v>20</v>
      </c>
      <c r="J4530" s="1" t="s">
        <v>20208</v>
      </c>
      <c r="K4530" s="1" t="s">
        <v>22</v>
      </c>
      <c r="L4530" s="1" t="str">
        <f>HYPERLINK("https://files.afu.se/Downloads/Transcripts/0%20-%20Government/USA%20-%20NASA/2010 12 07 - NASA - NASA TV - Keeping Heroes Safe and the World Inspired_aVczgFMj4U4 - transcript (automated).pdf","Transcript Link")</f>
        <v>Transcript Link</v>
      </c>
      <c r="M4530" s="2" t="str">
        <f>HYPERLINK("https://files.afu.se/Downloads/Transcripts/0%20-%20Government/USA%20-%20NASA/2010 12 07 - NASA - NASA TV - Keeping Heroes Safe and the World Inspired_aVczgFMj4U4 - transcript (automated).pdf","Transcript Link")</f>
        <v>Transcript Link</v>
      </c>
    </row>
    <row r="4531" ht="165" spans="1:13">
      <c r="A4531" s="1" t="s">
        <v>20209</v>
      </c>
      <c r="B4531" s="1" t="s">
        <v>13</v>
      </c>
      <c r="C4531" s="4" t="s">
        <v>20210</v>
      </c>
      <c r="D4531" s="1" t="s">
        <v>20211</v>
      </c>
      <c r="E4531" s="1" t="s">
        <v>20212</v>
      </c>
      <c r="F4531" s="4" t="s">
        <v>17</v>
      </c>
      <c r="G4531" s="1" t="s">
        <v>18</v>
      </c>
      <c r="H4531" s="1" t="s">
        <v>19</v>
      </c>
      <c r="I4531" s="1" t="s">
        <v>20</v>
      </c>
      <c r="J4531" s="1" t="s">
        <v>20213</v>
      </c>
      <c r="K4531" s="1" t="s">
        <v>22</v>
      </c>
      <c r="L4531" s="1" t="str">
        <f>HYPERLINK("https://files.afu.se/Downloads/Transcripts/0%20-%20Government/USA%20-%20NASA/2010 12 06 - NASA - Falcon 9 Launch Postponed to No Earlier Than Wednesday_Powb_QQiJCw - transcript (automated).pdf","Transcript Link")</f>
        <v>Transcript Link</v>
      </c>
      <c r="M4531" s="2" t="str">
        <f>HYPERLINK("https://files.afu.se/Downloads/Transcripts/0%20-%20Government/USA%20-%20NASA/2010 12 06 - NASA - Falcon 9 Launch Postponed to No Earlier Than Wednesday_Powb_QQiJCw - transcript (automated).pdf","Transcript Link")</f>
        <v>Transcript Link</v>
      </c>
    </row>
    <row r="4532" ht="165" spans="1:13">
      <c r="A4532" s="1" t="s">
        <v>20209</v>
      </c>
      <c r="B4532" s="1" t="s">
        <v>13</v>
      </c>
      <c r="C4532" s="4" t="s">
        <v>20214</v>
      </c>
      <c r="D4532" s="1" t="s">
        <v>20215</v>
      </c>
      <c r="E4532" s="1" t="s">
        <v>20216</v>
      </c>
      <c r="F4532" s="4" t="s">
        <v>17</v>
      </c>
      <c r="G4532" s="1" t="s">
        <v>18</v>
      </c>
      <c r="H4532" s="1" t="s">
        <v>19</v>
      </c>
      <c r="I4532" s="1" t="s">
        <v>20</v>
      </c>
      <c r="J4532" s="1" t="s">
        <v>20217</v>
      </c>
      <c r="K4532" s="1" t="s">
        <v>22</v>
      </c>
      <c r="L4532" s="1" t="str">
        <f>HYPERLINK("https://files.afu.se/Downloads/Transcripts/0%20-%20Government/USA%20-%20NASA/2010 12 06 - NASA - NASA Doc Details Chilean Miners' Rescue_RkXN964rQb4 - transcript (automated).pdf","Transcript Link")</f>
        <v>Transcript Link</v>
      </c>
      <c r="M4532" s="2" t="str">
        <f>HYPERLINK("https://files.afu.se/Downloads/Transcripts/0%20-%20Government/USA%20-%20NASA/2010 12 06 - NASA - NASA Doc Details Chilean Miners' Rescue_RkXN964rQb4 - transcript (automated).pdf","Transcript Link")</f>
        <v>Transcript Link</v>
      </c>
    </row>
    <row r="4533" ht="210" spans="1:13">
      <c r="A4533" s="1" t="s">
        <v>20209</v>
      </c>
      <c r="B4533" s="1" t="s">
        <v>13</v>
      </c>
      <c r="C4533" s="4" t="s">
        <v>20218</v>
      </c>
      <c r="D4533" s="1" t="s">
        <v>20219</v>
      </c>
      <c r="E4533" s="1" t="s">
        <v>20220</v>
      </c>
      <c r="F4533" s="4" t="s">
        <v>17</v>
      </c>
      <c r="G4533" s="1" t="s">
        <v>18</v>
      </c>
      <c r="H4533" s="1" t="s">
        <v>19</v>
      </c>
      <c r="I4533" s="1" t="s">
        <v>20</v>
      </c>
      <c r="J4533" s="1" t="s">
        <v>20221</v>
      </c>
      <c r="K4533" s="1" t="s">
        <v>22</v>
      </c>
      <c r="L4533" s="1" t="str">
        <f>HYPERLINK("https://files.afu.se/Downloads/Transcripts/0%20-%20Government/USA%20-%20NASA/2010 12 06 - NASA - Expedition 26 Crew Departs for Kazakh Launch Site_sgmGX8kgsZc - transcript (automated).pdf","Transcript Link")</f>
        <v>Transcript Link</v>
      </c>
      <c r="M4533" s="2" t="str">
        <f>HYPERLINK("https://files.afu.se/Downloads/Transcripts/0%20-%20Government/USA%20-%20NASA/2010 12 06 - NASA - Expedition 26 Crew Departs for Kazakh Launch Site_sgmGX8kgsZc - transcript (automated).pdf","Transcript Link")</f>
        <v>Transcript Link</v>
      </c>
    </row>
    <row r="4534" ht="165" spans="1:13">
      <c r="A4534" s="1" t="s">
        <v>20222</v>
      </c>
      <c r="B4534" s="1" t="s">
        <v>13</v>
      </c>
      <c r="C4534" s="4" t="s">
        <v>20223</v>
      </c>
      <c r="D4534" s="1" t="s">
        <v>20224</v>
      </c>
      <c r="E4534" s="1" t="s">
        <v>20225</v>
      </c>
      <c r="F4534" s="4" t="s">
        <v>17</v>
      </c>
      <c r="G4534" s="1" t="s">
        <v>18</v>
      </c>
      <c r="H4534" s="1" t="s">
        <v>19</v>
      </c>
      <c r="I4534" s="1" t="s">
        <v>20</v>
      </c>
      <c r="J4534" s="1" t="s">
        <v>20226</v>
      </c>
      <c r="K4534" s="1" t="s">
        <v>22</v>
      </c>
      <c r="L4534" s="1" t="str">
        <f>HYPERLINK("https://files.afu.se/Downloads/Transcripts/0%20-%20Government/USA%20-%20NASA/2010 12 03 - NASA - A New Look at Life on This Week @NASA_Evlbc8yP75w - transcript (automated).pdf","Transcript Link")</f>
        <v>Transcript Link</v>
      </c>
      <c r="M4534" s="2" t="str">
        <f>HYPERLINK("https://files.afu.se/Downloads/Transcripts/0%20-%20Government/USA%20-%20NASA/2010 12 03 - NASA - A New Look at Life on This Week @NASA_Evlbc8yP75w - transcript (automated).pdf","Transcript Link")</f>
        <v>Transcript Link</v>
      </c>
    </row>
    <row r="4535" ht="285" spans="1:13">
      <c r="A4535" s="1" t="s">
        <v>20222</v>
      </c>
      <c r="B4535" s="1" t="s">
        <v>13</v>
      </c>
      <c r="C4535" s="4" t="s">
        <v>20227</v>
      </c>
      <c r="D4535" s="1" t="s">
        <v>20228</v>
      </c>
      <c r="E4535" s="1" t="s">
        <v>20229</v>
      </c>
      <c r="F4535" s="4" t="s">
        <v>17</v>
      </c>
      <c r="G4535" s="1" t="s">
        <v>18</v>
      </c>
      <c r="H4535" s="1" t="s">
        <v>19</v>
      </c>
      <c r="I4535" s="1" t="s">
        <v>20</v>
      </c>
      <c r="J4535" s="1" t="s">
        <v>20230</v>
      </c>
      <c r="K4535" s="1" t="s">
        <v>22</v>
      </c>
      <c r="L4535" s="1" t="str">
        <f>HYPERLINK("https://files.afu.se/Downloads/Transcripts/0%20-%20Government/USA%20-%20NASA/2010 12 03 - NASA - Discovery Launch No Earlier Than February 3_5xo60Zb_gqw - transcript (automated).pdf","Transcript Link")</f>
        <v>Transcript Link</v>
      </c>
      <c r="M4535" s="2" t="str">
        <f>HYPERLINK("https://files.afu.se/Downloads/Transcripts/0%20-%20Government/USA%20-%20NASA/2010 12 03 - NASA - Discovery Launch No Earlier Than February 3_5xo60Zb_gqw - transcript (automated).pdf","Transcript Link")</f>
        <v>Transcript Link</v>
      </c>
    </row>
    <row r="4536" ht="225" spans="1:13">
      <c r="A4536" s="1" t="s">
        <v>20231</v>
      </c>
      <c r="B4536" s="1" t="s">
        <v>13</v>
      </c>
      <c r="C4536" s="4" t="s">
        <v>20232</v>
      </c>
      <c r="D4536" s="1" t="s">
        <v>20233</v>
      </c>
      <c r="E4536" s="1" t="s">
        <v>20234</v>
      </c>
      <c r="F4536" s="4" t="s">
        <v>17</v>
      </c>
      <c r="G4536" s="1" t="s">
        <v>18</v>
      </c>
      <c r="H4536" s="1" t="s">
        <v>19</v>
      </c>
      <c r="I4536" s="1" t="s">
        <v>20</v>
      </c>
      <c r="J4536" s="1" t="s">
        <v>20235</v>
      </c>
      <c r="K4536" s="1" t="s">
        <v>22</v>
      </c>
      <c r="L4536" s="1" t="str">
        <f>HYPERLINK("https://files.afu.se/Downloads/Transcripts/0%20-%20Government/USA%20-%20NASA/2010 12 02 - NASA - NASA-Funded Research Discovers Life Built with Toxic Chemical_JVSJLUIQrA0 - transcript (automated).pdf","Transcript Link")</f>
        <v>Transcript Link</v>
      </c>
      <c r="M4536" s="2" t="str">
        <f>HYPERLINK("https://files.afu.se/Downloads/Transcripts/0%20-%20Government/USA%20-%20NASA/2010 12 02 - NASA - NASA-Funded Research Discovers Life Built with Toxic Chemical_JVSJLUIQrA0 - transcript (automated).pdf","Transcript Link")</f>
        <v>Transcript Link</v>
      </c>
    </row>
    <row r="4537" ht="165" spans="1:13">
      <c r="A4537" s="1" t="s">
        <v>20236</v>
      </c>
      <c r="B4537" s="1" t="s">
        <v>13</v>
      </c>
      <c r="C4537" s="4" t="s">
        <v>20237</v>
      </c>
      <c r="D4537" s="1" t="s">
        <v>20238</v>
      </c>
      <c r="E4537" s="1" t="s">
        <v>20239</v>
      </c>
      <c r="F4537" s="4" t="s">
        <v>17</v>
      </c>
      <c r="G4537" s="1" t="s">
        <v>18</v>
      </c>
      <c r="H4537" s="1" t="s">
        <v>19</v>
      </c>
      <c r="I4537" s="1" t="s">
        <v>20</v>
      </c>
      <c r="J4537" s="1" t="s">
        <v>20240</v>
      </c>
      <c r="K4537" s="1" t="s">
        <v>22</v>
      </c>
      <c r="L4537" s="1" t="str">
        <f>HYPERLINK("https://files.afu.se/Downloads/Transcripts/0%20-%20Government/USA%20-%20NASA/2010 12 01 - NASA - SOFIA Observatory Completes First Science Flight_mDU0fg6iLgk - transcript (automated).pdf","Transcript Link")</f>
        <v>Transcript Link</v>
      </c>
      <c r="M4537" s="2" t="str">
        <f>HYPERLINK("https://files.afu.se/Downloads/Transcripts/0%20-%20Government/USA%20-%20NASA/2010 12 01 - NASA - SOFIA Observatory Completes First Science Flight_mDU0fg6iLgk - transcript (automated).pdf","Transcript Link")</f>
        <v>Transcript Link</v>
      </c>
    </row>
    <row r="4538" ht="180" spans="1:13">
      <c r="A4538" s="1" t="s">
        <v>20236</v>
      </c>
      <c r="B4538" s="1" t="s">
        <v>13</v>
      </c>
      <c r="C4538" s="4" t="s">
        <v>20241</v>
      </c>
      <c r="D4538" s="1" t="s">
        <v>20242</v>
      </c>
      <c r="E4538" s="1" t="s">
        <v>20243</v>
      </c>
      <c r="F4538" s="4" t="s">
        <v>17</v>
      </c>
      <c r="G4538" s="1" t="s">
        <v>18</v>
      </c>
      <c r="H4538" s="1" t="s">
        <v>19</v>
      </c>
      <c r="I4538" s="1" t="s">
        <v>20</v>
      </c>
      <c r="J4538" s="1" t="s">
        <v>20244</v>
      </c>
      <c r="K4538" s="1" t="s">
        <v>22</v>
      </c>
      <c r="L4538" s="1" t="str">
        <f>HYPERLINK("https://files.afu.se/Downloads/Transcripts/0%20-%20Government/USA%20-%20NASA/2010 12 01 - NASA - Expedition 26 Meets the Media and Pays Homage at Red Square_Sbn7NXkxoEU - transcript (automated).pdf","Transcript Link")</f>
        <v>Transcript Link</v>
      </c>
      <c r="M4538" s="2" t="str">
        <f>HYPERLINK("https://files.afu.se/Downloads/Transcripts/0%20-%20Government/USA%20-%20NASA/2010 12 01 - NASA - Expedition 26 Meets the Media and Pays Homage at Red Square_Sbn7NXkxoEU - transcript (automated).pdf","Transcript Link")</f>
        <v>Transcript Link</v>
      </c>
    </row>
    <row r="4539" ht="180" spans="1:13">
      <c r="A4539" s="1" t="s">
        <v>20245</v>
      </c>
      <c r="B4539" s="1" t="s">
        <v>13</v>
      </c>
      <c r="C4539" s="4" t="s">
        <v>20246</v>
      </c>
      <c r="D4539" s="1" t="s">
        <v>20247</v>
      </c>
      <c r="E4539" s="1" t="s">
        <v>20248</v>
      </c>
      <c r="F4539" s="4" t="s">
        <v>17</v>
      </c>
      <c r="G4539" s="1" t="s">
        <v>18</v>
      </c>
      <c r="H4539" s="1" t="s">
        <v>19</v>
      </c>
      <c r="I4539" s="1" t="s">
        <v>20</v>
      </c>
      <c r="J4539" s="1" t="s">
        <v>20249</v>
      </c>
      <c r="K4539" s="1" t="s">
        <v>22</v>
      </c>
      <c r="L4539" s="1" t="str">
        <f>HYPERLINK("https://files.afu.se/Downloads/Transcripts/0%20-%20Government/USA%20-%20NASA/2010 11 30 - NASA - Students Start Space Week at Kennedy Space Center_XhHaA8K2gZM - transcript (automated).pdf","Transcript Link")</f>
        <v>Transcript Link</v>
      </c>
      <c r="M4539" s="2" t="str">
        <f>HYPERLINK("https://files.afu.se/Downloads/Transcripts/0%20-%20Government/USA%20-%20NASA/2010 11 30 - NASA - Students Start Space Week at Kennedy Space Center_XhHaA8K2gZM - transcript (automated).pdf","Transcript Link")</f>
        <v>Transcript Link</v>
      </c>
    </row>
    <row r="4540" ht="165" spans="1:13">
      <c r="A4540" s="1" t="s">
        <v>20250</v>
      </c>
      <c r="B4540" s="1" t="s">
        <v>13</v>
      </c>
      <c r="C4540" s="4" t="s">
        <v>20251</v>
      </c>
      <c r="D4540" s="1" t="s">
        <v>20252</v>
      </c>
      <c r="E4540" s="1" t="s">
        <v>20253</v>
      </c>
      <c r="F4540" s="4" t="s">
        <v>17</v>
      </c>
      <c r="G4540" s="1" t="s">
        <v>18</v>
      </c>
      <c r="H4540" s="1" t="s">
        <v>19</v>
      </c>
      <c r="I4540" s="1" t="s">
        <v>20</v>
      </c>
      <c r="J4540" s="1" t="s">
        <v>20254</v>
      </c>
      <c r="K4540" s="1" t="s">
        <v>22</v>
      </c>
      <c r="L4540" s="1" t="str">
        <f>HYPERLINK("https://files.afu.se/Downloads/Transcripts/0%20-%20Government/USA%20-%20NASA/2010 11 29 - NASA - On This Week at NASA..._02q4F_kDUB0 - transcript (automated).pdf","Transcript Link")</f>
        <v>Transcript Link</v>
      </c>
      <c r="M4540" s="2" t="str">
        <f>HYPERLINK("https://files.afu.se/Downloads/Transcripts/0%20-%20Government/USA%20-%20NASA/2010 11 29 - NASA - On This Week at NASA..._02q4F_kDUB0 - transcript (automated).pdf","Transcript Link")</f>
        <v>Transcript Link</v>
      </c>
    </row>
    <row r="4541" ht="165" spans="1:13">
      <c r="A4541" s="1" t="s">
        <v>20255</v>
      </c>
      <c r="B4541" s="1" t="s">
        <v>13</v>
      </c>
      <c r="C4541" s="4" t="s">
        <v>20256</v>
      </c>
      <c r="D4541" s="1" t="s">
        <v>20257</v>
      </c>
      <c r="E4541" s="1" t="s">
        <v>20258</v>
      </c>
      <c r="F4541" s="4" t="s">
        <v>17</v>
      </c>
      <c r="G4541" s="1" t="s">
        <v>18</v>
      </c>
      <c r="H4541" s="1" t="s">
        <v>19</v>
      </c>
      <c r="I4541" s="1" t="s">
        <v>20</v>
      </c>
      <c r="J4541" s="1" t="s">
        <v>20259</v>
      </c>
      <c r="K4541" s="1" t="s">
        <v>22</v>
      </c>
      <c r="L4541" s="1" t="str">
        <f>HYPERLINK("https://files.afu.se/Downloads/Transcripts/0%20-%20Government/USA%20-%20NASA/2010 11 26 - NASA - Expedition 25 Crew Lands Safely in Kazakhstan_AY08g_8XKbE - transcript (automated).pdf","Transcript Link")</f>
        <v>Transcript Link</v>
      </c>
      <c r="M4541" s="2" t="str">
        <f>HYPERLINK("https://files.afu.se/Downloads/Transcripts/0%20-%20Government/USA%20-%20NASA/2010 11 26 - NASA - Expedition 25 Crew Lands Safely in Kazakhstan_AY08g_8XKbE - transcript (automated).pdf","Transcript Link")</f>
        <v>Transcript Link</v>
      </c>
    </row>
    <row r="4542" ht="165" spans="1:13">
      <c r="A4542" s="1" t="s">
        <v>20255</v>
      </c>
      <c r="B4542" s="1" t="s">
        <v>13</v>
      </c>
      <c r="C4542" s="4" t="s">
        <v>20260</v>
      </c>
      <c r="D4542" s="1" t="s">
        <v>20261</v>
      </c>
      <c r="E4542" s="1" t="s">
        <v>20262</v>
      </c>
      <c r="F4542" s="4" t="s">
        <v>17</v>
      </c>
      <c r="G4542" s="1" t="s">
        <v>18</v>
      </c>
      <c r="H4542" s="1" t="s">
        <v>19</v>
      </c>
      <c r="I4542" s="1" t="s">
        <v>20</v>
      </c>
      <c r="J4542" s="1" t="s">
        <v>20263</v>
      </c>
      <c r="K4542" s="1" t="s">
        <v>22</v>
      </c>
      <c r="L4542" s="1" t="str">
        <f>HYPERLINK("https://files.afu.se/Downloads/Transcripts/0%20-%20Government/USA%20-%20NASA/2010 11 26 - NASA - Expedition 25 Undocks, Heads Home_G0TWEN7kVAY - transcript (automated).pdf","Transcript Link")</f>
        <v>Transcript Link</v>
      </c>
      <c r="M4542" s="2" t="str">
        <f>HYPERLINK("https://files.afu.se/Downloads/Transcripts/0%20-%20Government/USA%20-%20NASA/2010 11 26 - NASA - Expedition 25 Undocks, Heads Home_G0TWEN7kVAY - transcript (automated).pdf","Transcript Link")</f>
        <v>Transcript Link</v>
      </c>
    </row>
    <row r="4543" ht="165" spans="1:13">
      <c r="A4543" s="1" t="s">
        <v>20264</v>
      </c>
      <c r="B4543" s="1" t="s">
        <v>13</v>
      </c>
      <c r="C4543" s="4" t="s">
        <v>20265</v>
      </c>
      <c r="D4543" s="1" t="s">
        <v>20266</v>
      </c>
      <c r="E4543" s="1" t="s">
        <v>20267</v>
      </c>
      <c r="F4543" s="4" t="s">
        <v>17</v>
      </c>
      <c r="G4543" s="1" t="s">
        <v>18</v>
      </c>
      <c r="H4543" s="1" t="s">
        <v>19</v>
      </c>
      <c r="I4543" s="1" t="s">
        <v>20</v>
      </c>
      <c r="J4543" s="1" t="s">
        <v>20268</v>
      </c>
      <c r="K4543" s="1" t="s">
        <v>22</v>
      </c>
      <c r="L4543" s="1" t="str">
        <f>HYPERLINK("https://files.afu.se/Downloads/Transcripts/0%20-%20Government/USA%20-%20NASA/2010 11 25 - NASA - Expedition 25 Trio Closes Hatches, Prepares for Undocking_i_1cVX_P_aQ - transcript (automated).pdf","Transcript Link")</f>
        <v>Transcript Link</v>
      </c>
      <c r="M4543" s="2" t="str">
        <f>HYPERLINK("https://files.afu.se/Downloads/Transcripts/0%20-%20Government/USA%20-%20NASA/2010 11 25 - NASA - Expedition 25 Trio Closes Hatches, Prepares for Undocking_i_1cVX_P_aQ - transcript (automated).pdf","Transcript Link")</f>
        <v>Transcript Link</v>
      </c>
    </row>
    <row r="4544" ht="210" spans="1:13">
      <c r="A4544" s="1" t="s">
        <v>20264</v>
      </c>
      <c r="B4544" s="1" t="s">
        <v>13</v>
      </c>
      <c r="C4544" s="4" t="s">
        <v>20269</v>
      </c>
      <c r="D4544" s="1" t="s">
        <v>20270</v>
      </c>
      <c r="E4544" s="1" t="s">
        <v>20271</v>
      </c>
      <c r="F4544" s="4" t="s">
        <v>17</v>
      </c>
      <c r="G4544" s="1" t="s">
        <v>18</v>
      </c>
      <c r="H4544" s="1" t="s">
        <v>19</v>
      </c>
      <c r="I4544" s="1" t="s">
        <v>20</v>
      </c>
      <c r="J4544" s="1" t="s">
        <v>20272</v>
      </c>
      <c r="K4544" s="1" t="s">
        <v>22</v>
      </c>
      <c r="L4544" s="1" t="str">
        <f>HYPERLINK("https://files.afu.se/Downloads/Transcripts/0%20-%20Government/USA%20-%20NASA/2010 11 25 - NASA - NASA Managers Discuss Space Shuttle Discovery's STS-133 Mission_BtzNxMGbTA4 - transcript (automated).pdf","Transcript Link")</f>
        <v>Transcript Link</v>
      </c>
      <c r="M4544" s="2" t="str">
        <f>HYPERLINK("https://files.afu.se/Downloads/Transcripts/0%20-%20Government/USA%20-%20NASA/2010 11 25 - NASA - NASA Managers Discuss Space Shuttle Discovery's STS-133 Mission_BtzNxMGbTA4 - transcript (automated).pdf","Transcript Link")</f>
        <v>Transcript Link</v>
      </c>
    </row>
    <row r="4545" ht="165" spans="1:13">
      <c r="A4545" s="1" t="s">
        <v>20273</v>
      </c>
      <c r="B4545" s="1" t="s">
        <v>13</v>
      </c>
      <c r="C4545" s="4" t="s">
        <v>20274</v>
      </c>
      <c r="D4545" s="1" t="s">
        <v>20275</v>
      </c>
      <c r="E4545" s="1" t="s">
        <v>20276</v>
      </c>
      <c r="F4545" s="4" t="s">
        <v>17</v>
      </c>
      <c r="G4545" s="1" t="s">
        <v>18</v>
      </c>
      <c r="H4545" s="1" t="s">
        <v>19</v>
      </c>
      <c r="I4545" s="1" t="s">
        <v>20</v>
      </c>
      <c r="J4545" s="1" t="s">
        <v>20277</v>
      </c>
      <c r="K4545" s="1" t="s">
        <v>22</v>
      </c>
      <c r="L4545" s="1" t="str">
        <f>HYPERLINK("https://files.afu.se/Downloads/Transcripts/0%20-%20Government/USA%20-%20NASA/2010 11 24 - NASA - Expedition 25 Hands Over the Space Station to Expedition 26_sBkiOt3zjWI - transcript (automated).pdf","Transcript Link")</f>
        <v>Transcript Link</v>
      </c>
      <c r="M4545" s="2" t="str">
        <f>HYPERLINK("https://files.afu.se/Downloads/Transcripts/0%20-%20Government/USA%20-%20NASA/2010 11 24 - NASA - Expedition 25 Hands Over the Space Station to Expedition 26_sBkiOt3zjWI - transcript (automated).pdf","Transcript Link")</f>
        <v>Transcript Link</v>
      </c>
    </row>
    <row r="4546" ht="165" spans="1:13">
      <c r="A4546" s="1" t="s">
        <v>20278</v>
      </c>
      <c r="B4546" s="1" t="s">
        <v>13</v>
      </c>
      <c r="C4546" s="4" t="s">
        <v>20279</v>
      </c>
      <c r="D4546" s="1" t="s">
        <v>20280</v>
      </c>
      <c r="E4546" s="1" t="s">
        <v>20281</v>
      </c>
      <c r="F4546" s="4" t="s">
        <v>17</v>
      </c>
      <c r="G4546" s="1" t="s">
        <v>18</v>
      </c>
      <c r="H4546" s="1" t="s">
        <v>19</v>
      </c>
      <c r="I4546" s="1" t="s">
        <v>20</v>
      </c>
      <c r="J4546" s="1" t="s">
        <v>20282</v>
      </c>
      <c r="K4546" s="1" t="s">
        <v>22</v>
      </c>
      <c r="L4546" s="1" t="str">
        <f>HYPERLINK("https://files.afu.se/Downloads/Transcripts/0%20-%20Government/USA%20-%20NASA/2010 11 23 - NASA - Space Station Crew Uses HAM Radio to Call Earth_h73EYcyszf8 - transcript (automated).pdf","Transcript Link")</f>
        <v>Transcript Link</v>
      </c>
      <c r="M4546" s="2" t="str">
        <f>HYPERLINK("https://files.afu.se/Downloads/Transcripts/0%20-%20Government/USA%20-%20NASA/2010 11 23 - NASA - Space Station Crew Uses HAM Radio to Call Earth_h73EYcyszf8 - transcript (automated).pdf","Transcript Link")</f>
        <v>Transcript Link</v>
      </c>
    </row>
    <row r="4547" ht="165" spans="1:13">
      <c r="A4547" s="1" t="s">
        <v>20278</v>
      </c>
      <c r="B4547" s="1" t="s">
        <v>13</v>
      </c>
      <c r="C4547" s="4" t="s">
        <v>20283</v>
      </c>
      <c r="D4547" s="1" t="s">
        <v>20284</v>
      </c>
      <c r="E4547" s="1" t="s">
        <v>20285</v>
      </c>
      <c r="F4547" s="4" t="s">
        <v>17</v>
      </c>
      <c r="G4547" s="1" t="s">
        <v>18</v>
      </c>
      <c r="H4547" s="1" t="s">
        <v>19</v>
      </c>
      <c r="I4547" s="1" t="s">
        <v>20</v>
      </c>
      <c r="J4547" s="1" t="s">
        <v>20286</v>
      </c>
      <c r="K4547" s="1" t="s">
        <v>22</v>
      </c>
      <c r="L4547" s="1" t="str">
        <f>HYPERLINK("https://files.afu.se/Downloads/Transcripts/0%20-%20Government/USA%20-%20NASA/2010 11 23 - NASA - Station Crew Offers Thanks at the Thanksgiving Holiday_O9sYVb2Iecg - transcript (automated).pdf","Transcript Link")</f>
        <v>Transcript Link</v>
      </c>
      <c r="M4547" s="2" t="str">
        <f>HYPERLINK("https://files.afu.se/Downloads/Transcripts/0%20-%20Government/USA%20-%20NASA/2010 11 23 - NASA - Station Crew Offers Thanks at the Thanksgiving Holiday_O9sYVb2Iecg - transcript (automated).pdf","Transcript Link")</f>
        <v>Transcript Link</v>
      </c>
    </row>
    <row r="4548" ht="195" spans="1:13">
      <c r="A4548" s="1" t="s">
        <v>20278</v>
      </c>
      <c r="B4548" s="1" t="s">
        <v>13</v>
      </c>
      <c r="C4548" s="4" t="s">
        <v>20287</v>
      </c>
      <c r="D4548" s="1" t="s">
        <v>20288</v>
      </c>
      <c r="E4548" s="1" t="s">
        <v>20289</v>
      </c>
      <c r="F4548" s="4" t="s">
        <v>17</v>
      </c>
      <c r="G4548" s="1" t="s">
        <v>18</v>
      </c>
      <c r="H4548" s="1" t="s">
        <v>19</v>
      </c>
      <c r="I4548" s="1" t="s">
        <v>20</v>
      </c>
      <c r="J4548" s="1" t="s">
        <v>20290</v>
      </c>
      <c r="K4548" s="1" t="s">
        <v>22</v>
      </c>
      <c r="L4548" s="1" t="str">
        <f>HYPERLINK("https://files.afu.se/Downloads/Transcripts/0%20-%20Government/USA%20-%20NASA/2010 11 23 - NASA - Station Crew Discusses Life in Space at Department of Education Event_sVwkscQzOho - transcript (automated).pdf","Transcript Link")</f>
        <v>Transcript Link</v>
      </c>
      <c r="M4548" s="2" t="str">
        <f>HYPERLINK("https://files.afu.se/Downloads/Transcripts/0%20-%20Government/USA%20-%20NASA/2010 11 23 - NASA - Station Crew Discusses Life in Space at Department of Education Event_sVwkscQzOho - transcript (automated).pdf","Transcript Link")</f>
        <v>Transcript Link</v>
      </c>
    </row>
    <row r="4549" ht="165" spans="1:13">
      <c r="A4549" s="1" t="s">
        <v>20291</v>
      </c>
      <c r="B4549" s="1" t="s">
        <v>13</v>
      </c>
      <c r="C4549" s="4" t="s">
        <v>20292</v>
      </c>
      <c r="D4549" s="1" t="s">
        <v>20293</v>
      </c>
      <c r="E4549" s="1" t="s">
        <v>20294</v>
      </c>
      <c r="F4549" s="4" t="s">
        <v>17</v>
      </c>
      <c r="G4549" s="1" t="s">
        <v>18</v>
      </c>
      <c r="H4549" s="1" t="s">
        <v>19</v>
      </c>
      <c r="I4549" s="1" t="s">
        <v>20</v>
      </c>
      <c r="J4549" s="1" t="s">
        <v>20295</v>
      </c>
      <c r="K4549" s="1" t="s">
        <v>22</v>
      </c>
      <c r="L4549" s="1" t="str">
        <f>HYPERLINK("https://files.afu.se/Downloads/Transcripts/0%20-%20Government/USA%20-%20NASA/2010 11 22 - NASA - Departing Station Crew Member  Star Talks  During In-Flight Interview_9DWj1-Hxnz0 - transcript (automated).pdf","Transcript Link")</f>
        <v>Transcript Link</v>
      </c>
      <c r="M4549" s="2" t="str">
        <f>HYPERLINK("https://files.afu.se/Downloads/Transcripts/0%20-%20Government/USA%20-%20NASA/2010 11 22 - NASA - Departing Station Crew Member  Star Talks  During In-Flight Interview_9DWj1-Hxnz0 - transcript (automated).pdf","Transcript Link")</f>
        <v>Transcript Link</v>
      </c>
    </row>
    <row r="4550" ht="409.5" spans="1:13">
      <c r="A4550" s="1" t="s">
        <v>20296</v>
      </c>
      <c r="B4550" s="1" t="s">
        <v>13</v>
      </c>
      <c r="C4550" s="4" t="s">
        <v>20297</v>
      </c>
      <c r="D4550" s="1" t="s">
        <v>20298</v>
      </c>
      <c r="E4550" s="1" t="s">
        <v>20299</v>
      </c>
      <c r="F4550" s="4" t="s">
        <v>17</v>
      </c>
      <c r="G4550" s="1" t="s">
        <v>18</v>
      </c>
      <c r="H4550" s="1" t="s">
        <v>19</v>
      </c>
      <c r="I4550" s="1" t="s">
        <v>20</v>
      </c>
      <c r="J4550" s="1" t="s">
        <v>20300</v>
      </c>
      <c r="K4550" s="1" t="s">
        <v>22</v>
      </c>
      <c r="L4550" s="1" t="str">
        <f>HYPERLINK("https://files.afu.se/Downloads/Transcripts/0%20-%20Government/USA%20-%20NASA/2010 11 19 - NASA - NASA's Microsatellite FASTSAT Readies for Launch_DzeNeeA3iJY - transcript (automated).pdf","Transcript Link")</f>
        <v>Transcript Link</v>
      </c>
      <c r="M4550" s="2" t="str">
        <f>HYPERLINK("https://files.afu.se/Downloads/Transcripts/0%20-%20Government/USA%20-%20NASA/2010 11 19 - NASA - NASA's Microsatellite FASTSAT Readies for Launch_DzeNeeA3iJY - transcript (automated).pdf","Transcript Link")</f>
        <v>Transcript Link</v>
      </c>
    </row>
    <row r="4551" ht="300" spans="1:13">
      <c r="A4551" s="1" t="s">
        <v>20296</v>
      </c>
      <c r="B4551" s="1" t="s">
        <v>13</v>
      </c>
      <c r="C4551" s="4" t="s">
        <v>20301</v>
      </c>
      <c r="D4551" s="1" t="s">
        <v>20302</v>
      </c>
      <c r="E4551" s="1" t="s">
        <v>20303</v>
      </c>
      <c r="F4551" s="4" t="s">
        <v>17</v>
      </c>
      <c r="G4551" s="1" t="s">
        <v>18</v>
      </c>
      <c r="H4551" s="1" t="s">
        <v>19</v>
      </c>
      <c r="I4551" s="1" t="s">
        <v>20</v>
      </c>
      <c r="J4551" s="1" t="s">
        <v>20304</v>
      </c>
      <c r="K4551" s="1" t="s">
        <v>22</v>
      </c>
      <c r="L4551" s="1" t="str">
        <f>HYPERLINK("https://files.afu.se/Downloads/Transcripts/0%20-%20Government/USA%20-%20NASA/2010 11 19 - NASA - Repairs Made to Shuttle Discovery's External Tank_NWupQkE8WW8 - transcript (automated).pdf","Transcript Link")</f>
        <v>Transcript Link</v>
      </c>
      <c r="M4551" s="2" t="str">
        <f>HYPERLINK("https://files.afu.se/Downloads/Transcripts/0%20-%20Government/USA%20-%20NASA/2010 11 19 - NASA - Repairs Made to Shuttle Discovery's External Tank_NWupQkE8WW8 - transcript (automated).pdf","Transcript Link")</f>
        <v>Transcript Link</v>
      </c>
    </row>
    <row r="4552" ht="165" spans="1:13">
      <c r="A4552" s="1" t="s">
        <v>20305</v>
      </c>
      <c r="B4552" s="1" t="s">
        <v>13</v>
      </c>
      <c r="C4552" s="4" t="s">
        <v>20306</v>
      </c>
      <c r="D4552" s="1" t="s">
        <v>20307</v>
      </c>
      <c r="E4552" s="1" t="s">
        <v>20308</v>
      </c>
      <c r="F4552" s="4" t="s">
        <v>17</v>
      </c>
      <c r="G4552" s="1" t="s">
        <v>18</v>
      </c>
      <c r="H4552" s="1" t="s">
        <v>19</v>
      </c>
      <c r="I4552" s="1" t="s">
        <v>20</v>
      </c>
      <c r="J4552" s="1" t="s">
        <v>20309</v>
      </c>
      <c r="K4552" s="1" t="s">
        <v>22</v>
      </c>
      <c r="L4552" s="1" t="str">
        <f>HYPERLINK("https://files.afu.se/Downloads/Transcripts/0%20-%20Government/USA%20-%20NASA/2010 11 18 - NASA - EPOXI's Comet Encounter Produces Revealing Data_j0x-j1D4oJE - transcript (automated).pdf","Transcript Link")</f>
        <v>Transcript Link</v>
      </c>
      <c r="M4552" s="2" t="str">
        <f>HYPERLINK("https://files.afu.se/Downloads/Transcripts/0%20-%20Government/USA%20-%20NASA/2010 11 18 - NASA - EPOXI's Comet Encounter Produces Revealing Data_j0x-j1D4oJE - transcript (automated).pdf","Transcript Link")</f>
        <v>Transcript Link</v>
      </c>
    </row>
    <row r="4553" ht="165" spans="1:13">
      <c r="A4553" s="1" t="s">
        <v>20305</v>
      </c>
      <c r="B4553" s="1" t="s">
        <v>13</v>
      </c>
      <c r="C4553" s="4" t="s">
        <v>20310</v>
      </c>
      <c r="D4553" s="1" t="s">
        <v>20311</v>
      </c>
      <c r="E4553" s="1" t="s">
        <v>20312</v>
      </c>
      <c r="F4553" s="4" t="s">
        <v>17</v>
      </c>
      <c r="G4553" s="1" t="s">
        <v>18</v>
      </c>
      <c r="H4553" s="1" t="s">
        <v>19</v>
      </c>
      <c r="I4553" s="1" t="s">
        <v>20</v>
      </c>
      <c r="J4553" s="1" t="s">
        <v>20313</v>
      </c>
      <c r="K4553" s="1" t="s">
        <v>22</v>
      </c>
      <c r="L4553" s="1" t="str">
        <f>HYPERLINK("https://files.afu.se/Downloads/Transcripts/0%20-%20Government/USA%20-%20NASA/2010 11 18 - NASA - Wheels and Crew Chat with Rick and Bubba_rXX5Z5vbOlA - transcript (automated).pdf","Transcript Link")</f>
        <v>Transcript Link</v>
      </c>
      <c r="M4553" s="2" t="str">
        <f>HYPERLINK("https://files.afu.se/Downloads/Transcripts/0%20-%20Government/USA%20-%20NASA/2010 11 18 - NASA - Wheels and Crew Chat with Rick and Bubba_rXX5Z5vbOlA - transcript (automated).pdf","Transcript Link")</f>
        <v>Transcript Link</v>
      </c>
    </row>
    <row r="4554" ht="165" spans="1:13">
      <c r="A4554" s="1" t="s">
        <v>20305</v>
      </c>
      <c r="B4554" s="1" t="s">
        <v>13</v>
      </c>
      <c r="C4554" s="4" t="s">
        <v>20314</v>
      </c>
      <c r="D4554" s="1" t="s">
        <v>20315</v>
      </c>
      <c r="E4554" s="1" t="s">
        <v>20316</v>
      </c>
      <c r="F4554" s="4" t="s">
        <v>17</v>
      </c>
      <c r="G4554" s="1" t="s">
        <v>18</v>
      </c>
      <c r="H4554" s="1" t="s">
        <v>19</v>
      </c>
      <c r="I4554" s="1" t="s">
        <v>20</v>
      </c>
      <c r="J4554" s="1" t="s">
        <v>20317</v>
      </c>
      <c r="K4554" s="1" t="s">
        <v>22</v>
      </c>
      <c r="L4554" s="1" t="str">
        <f>HYPERLINK("https://files.afu.se/Downloads/Transcripts/0%20-%20Government/USA%20-%20NASA/2010 11 18 - NASA - EPOXI Data Reveals Comet's Secrets_LnAjWtsINnQ - transcript (automated).pdf","Transcript Link")</f>
        <v>Transcript Link</v>
      </c>
      <c r="M4554" s="2" t="str">
        <f>HYPERLINK("https://files.afu.se/Downloads/Transcripts/0%20-%20Government/USA%20-%20NASA/2010 11 18 - NASA - EPOXI Data Reveals Comet's Secrets_LnAjWtsINnQ - transcript (automated).pdf","Transcript Link")</f>
        <v>Transcript Link</v>
      </c>
    </row>
    <row r="4555" ht="165" spans="1:13">
      <c r="A4555" s="1" t="s">
        <v>20318</v>
      </c>
      <c r="B4555" s="1" t="s">
        <v>13</v>
      </c>
      <c r="C4555" s="4" t="s">
        <v>20319</v>
      </c>
      <c r="D4555" s="1" t="s">
        <v>20320</v>
      </c>
      <c r="E4555" s="1" t="s">
        <v>20321</v>
      </c>
      <c r="F4555" s="4" t="s">
        <v>17</v>
      </c>
      <c r="G4555" s="1" t="s">
        <v>18</v>
      </c>
      <c r="H4555" s="1" t="s">
        <v>19</v>
      </c>
      <c r="I4555" s="1" t="s">
        <v>20</v>
      </c>
      <c r="J4555" s="1" t="s">
        <v>20322</v>
      </c>
      <c r="K4555" s="1" t="s">
        <v>22</v>
      </c>
      <c r="L4555" s="1" t="str">
        <f>HYPERLINK("https://files.afu.se/Downloads/Transcripts/0%20-%20Government/USA%20-%20NASA/2010 11 17 - NASA - Shuttle Teams Repairing Source of Leak_GkP_HAzMnC0 - transcript (automated).pdf","Transcript Link")</f>
        <v>Transcript Link</v>
      </c>
      <c r="M4555" s="2" t="str">
        <f>HYPERLINK("https://files.afu.se/Downloads/Transcripts/0%20-%20Government/USA%20-%20NASA/2010 11 17 - NASA - Shuttle Teams Repairing Source of Leak_GkP_HAzMnC0 - transcript (automated).pdf","Transcript Link")</f>
        <v>Transcript Link</v>
      </c>
    </row>
    <row r="4556" ht="180" spans="1:13">
      <c r="A4556" s="1" t="s">
        <v>20323</v>
      </c>
      <c r="B4556" s="1" t="s">
        <v>13</v>
      </c>
      <c r="C4556" s="4" t="s">
        <v>20324</v>
      </c>
      <c r="D4556" s="1" t="s">
        <v>20302</v>
      </c>
      <c r="E4556" s="1" t="s">
        <v>20325</v>
      </c>
      <c r="F4556" s="4" t="s">
        <v>17</v>
      </c>
      <c r="G4556" s="1" t="s">
        <v>18</v>
      </c>
      <c r="H4556" s="1" t="s">
        <v>19</v>
      </c>
      <c r="I4556" s="1" t="s">
        <v>20</v>
      </c>
      <c r="J4556" s="1" t="s">
        <v>20326</v>
      </c>
      <c r="K4556" s="1" t="s">
        <v>22</v>
      </c>
      <c r="L4556" s="1" t="str">
        <f>HYPERLINK("https://files.afu.se/Downloads/Transcripts/0%20-%20Government/USA%20-%20NASA/2010 11 16 - NASA - Repairs Made to Shuttle Discovery's External Tank_5S_2XetvKn0 - transcript (automated).pdf","Transcript Link")</f>
        <v>Transcript Link</v>
      </c>
      <c r="M4556" s="2" t="str">
        <f>HYPERLINK("https://files.afu.se/Downloads/Transcripts/0%20-%20Government/USA%20-%20NASA/2010 11 16 - NASA - Repairs Made to Shuttle Discovery's External Tank_5S_2XetvKn0 - transcript (automated).pdf","Transcript Link")</f>
        <v>Transcript Link</v>
      </c>
    </row>
    <row r="4557" ht="165" spans="1:13">
      <c r="A4557" s="1" t="s">
        <v>20323</v>
      </c>
      <c r="B4557" s="1" t="s">
        <v>13</v>
      </c>
      <c r="C4557" s="4" t="s">
        <v>20327</v>
      </c>
      <c r="D4557" s="1" t="s">
        <v>20328</v>
      </c>
      <c r="E4557" s="1" t="s">
        <v>20329</v>
      </c>
      <c r="F4557" s="4" t="s">
        <v>17</v>
      </c>
      <c r="G4557" s="1" t="s">
        <v>18</v>
      </c>
      <c r="H4557" s="1" t="s">
        <v>19</v>
      </c>
      <c r="I4557" s="1" t="s">
        <v>20</v>
      </c>
      <c r="J4557" s="1" t="s">
        <v>20330</v>
      </c>
      <c r="K4557" s="1" t="s">
        <v>22</v>
      </c>
      <c r="L4557" s="1" t="str">
        <f>HYPERLINK("https://files.afu.se/Downloads/Transcripts/0%20-%20Government/USA%20-%20NASA/2010 11 16 - NASA - Chandra Science Briefing Centers on  Baby  Black Hole Neighbor_8jqrT1klE50 - transcript (automated).pdf","Transcript Link")</f>
        <v>Transcript Link</v>
      </c>
      <c r="M4557" s="2" t="str">
        <f>HYPERLINK("https://files.afu.se/Downloads/Transcripts/0%20-%20Government/USA%20-%20NASA/2010 11 16 - NASA - Chandra Science Briefing Centers on  Baby  Black Hole Neighbor_8jqrT1klE50 - transcript (automated).pdf","Transcript Link")</f>
        <v>Transcript Link</v>
      </c>
    </row>
    <row r="4558" ht="165" spans="1:13">
      <c r="A4558" s="1" t="s">
        <v>20323</v>
      </c>
      <c r="B4558" s="1" t="s">
        <v>13</v>
      </c>
      <c r="C4558" s="4" t="s">
        <v>20331</v>
      </c>
      <c r="D4558" s="1" t="s">
        <v>20332</v>
      </c>
      <c r="E4558" s="1" t="s">
        <v>20333</v>
      </c>
      <c r="F4558" s="4" t="s">
        <v>17</v>
      </c>
      <c r="G4558" s="1" t="s">
        <v>18</v>
      </c>
      <c r="H4558" s="1" t="s">
        <v>19</v>
      </c>
      <c r="I4558" s="1" t="s">
        <v>20</v>
      </c>
      <c r="J4558" s="1" t="s">
        <v>20334</v>
      </c>
      <c r="K4558" s="1" t="s">
        <v>22</v>
      </c>
      <c r="L4558" s="1" t="str">
        <f>HYPERLINK("https://files.afu.se/Downloads/Transcripts/0%20-%20Government/USA%20-%20NASA/2010 11 16 - NASA - ISS Cosmonauts Complete Spacewalk_vIlJFIX7_ks - transcript (automated).pdf","Transcript Link")</f>
        <v>Transcript Link</v>
      </c>
      <c r="M4558" s="2" t="str">
        <f>HYPERLINK("https://files.afu.se/Downloads/Transcripts/0%20-%20Government/USA%20-%20NASA/2010 11 16 - NASA - ISS Cosmonauts Complete Spacewalk_vIlJFIX7_ks - transcript (automated).pdf","Transcript Link")</f>
        <v>Transcript Link</v>
      </c>
    </row>
    <row r="4559" ht="165" spans="1:13">
      <c r="A4559" s="1" t="s">
        <v>20335</v>
      </c>
      <c r="B4559" s="1" t="s">
        <v>13</v>
      </c>
      <c r="C4559" s="4" t="s">
        <v>20336</v>
      </c>
      <c r="D4559" s="1" t="s">
        <v>20337</v>
      </c>
      <c r="E4559" s="1" t="s">
        <v>20338</v>
      </c>
      <c r="F4559" s="4" t="s">
        <v>17</v>
      </c>
      <c r="G4559" s="1" t="s">
        <v>18</v>
      </c>
      <c r="H4559" s="1" t="s">
        <v>19</v>
      </c>
      <c r="I4559" s="1" t="s">
        <v>20</v>
      </c>
      <c r="J4559" s="1" t="s">
        <v>20339</v>
      </c>
      <c r="K4559" s="1" t="s">
        <v>22</v>
      </c>
      <c r="L4559" s="1" t="str">
        <f>HYPERLINK("https://files.afu.se/Downloads/Transcripts/0%20-%20Government/USA%20-%20NASA/2010 11 15 - NASA - Chandra Discovers  Baby  Black Hole Neighbor_8YzHObZ2qb4 - transcript (automated).pdf","Transcript Link")</f>
        <v>Transcript Link</v>
      </c>
      <c r="M4559" s="2" t="str">
        <f>HYPERLINK("https://files.afu.se/Downloads/Transcripts/0%20-%20Government/USA%20-%20NASA/2010 11 15 - NASA - Chandra Discovers  Baby  Black Hole Neighbor_8YzHObZ2qb4 - transcript (automated).pdf","Transcript Link")</f>
        <v>Transcript Link</v>
      </c>
    </row>
    <row r="4560" ht="165" spans="1:13">
      <c r="A4560" s="1" t="s">
        <v>20335</v>
      </c>
      <c r="B4560" s="1" t="s">
        <v>13</v>
      </c>
      <c r="C4560" s="4" t="s">
        <v>20340</v>
      </c>
      <c r="D4560" s="1" t="s">
        <v>20341</v>
      </c>
      <c r="E4560" s="1" t="s">
        <v>20342</v>
      </c>
      <c r="F4560" s="4" t="s">
        <v>17</v>
      </c>
      <c r="G4560" s="1" t="s">
        <v>18</v>
      </c>
      <c r="H4560" s="1" t="s">
        <v>19</v>
      </c>
      <c r="I4560" s="1" t="s">
        <v>20</v>
      </c>
      <c r="J4560" s="1" t="s">
        <v>20343</v>
      </c>
      <c r="K4560" s="1" t="s">
        <v>22</v>
      </c>
      <c r="L4560" s="1" t="str">
        <f>HYPERLINK("https://files.afu.se/Downloads/Transcripts/0%20-%20Government/USA%20-%20NASA/2010 11 15 - NASA - NASA's Operation IceBridge Continues Antarctic Mission_Q53-qnWBNp4 - transcript (automated).pdf","Transcript Link")</f>
        <v>Transcript Link</v>
      </c>
      <c r="M4560" s="2" t="str">
        <f>HYPERLINK("https://files.afu.se/Downloads/Transcripts/0%20-%20Government/USA%20-%20NASA/2010 11 15 - NASA - NASA's Operation IceBridge Continues Antarctic Mission_Q53-qnWBNp4 - transcript (automated).pdf","Transcript Link")</f>
        <v>Transcript Link</v>
      </c>
    </row>
    <row r="4561" ht="165" spans="1:13">
      <c r="A4561" s="1" t="s">
        <v>20344</v>
      </c>
      <c r="B4561" s="1" t="s">
        <v>13</v>
      </c>
      <c r="C4561" s="4" t="s">
        <v>20345</v>
      </c>
      <c r="D4561" s="1" t="s">
        <v>20346</v>
      </c>
      <c r="E4561" s="1" t="s">
        <v>20347</v>
      </c>
      <c r="F4561" s="4" t="s">
        <v>17</v>
      </c>
      <c r="G4561" s="1" t="s">
        <v>18</v>
      </c>
      <c r="H4561" s="1" t="s">
        <v>19</v>
      </c>
      <c r="I4561" s="1" t="s">
        <v>20</v>
      </c>
      <c r="J4561" s="1" t="s">
        <v>20348</v>
      </c>
      <c r="K4561" s="1" t="s">
        <v>22</v>
      </c>
      <c r="L4561" s="1" t="str">
        <f>HYPERLINK("https://files.afu.se/Downloads/Transcripts/0%20-%20Government/USA%20-%20NASA/2010 11 12 - NASA - New Shuttle Launch Date Tops This Week @NASA_aIhP8nVik4Y - transcript (automated).pdf","Transcript Link")</f>
        <v>Transcript Link</v>
      </c>
      <c r="M4561" s="2" t="str">
        <f>HYPERLINK("https://files.afu.se/Downloads/Transcripts/0%20-%20Government/USA%20-%20NASA/2010 11 12 - NASA - New Shuttle Launch Date Tops This Week @NASA_aIhP8nVik4Y - transcript (automated).pdf","Transcript Link")</f>
        <v>Transcript Link</v>
      </c>
    </row>
    <row r="4562" ht="165" spans="1:13">
      <c r="A4562" s="1" t="s">
        <v>20349</v>
      </c>
      <c r="B4562" s="1" t="s">
        <v>13</v>
      </c>
      <c r="C4562" s="4" t="s">
        <v>20350</v>
      </c>
      <c r="D4562" s="1" t="s">
        <v>20351</v>
      </c>
      <c r="E4562" s="1" t="s">
        <v>20352</v>
      </c>
      <c r="F4562" s="4" t="s">
        <v>17</v>
      </c>
      <c r="G4562" s="1" t="s">
        <v>18</v>
      </c>
      <c r="H4562" s="1" t="s">
        <v>19</v>
      </c>
      <c r="I4562" s="1" t="s">
        <v>20</v>
      </c>
      <c r="J4562" s="1" t="s">
        <v>20353</v>
      </c>
      <c r="K4562" s="1" t="s">
        <v>22</v>
      </c>
      <c r="L4562" s="1" t="str">
        <f>HYPERLINK("https://files.afu.se/Downloads/Transcripts/0%20-%20Government/USA%20-%20NASA/2010 11 11 - NASA - Rocket Engine for Commercial Space Vehicle Test Fired at Stennis_MpLb-bifrZ8 - transcript (automated).pdf","Transcript Link")</f>
        <v>Transcript Link</v>
      </c>
      <c r="M4562" s="2" t="str">
        <f>HYPERLINK("https://files.afu.se/Downloads/Transcripts/0%20-%20Government/USA%20-%20NASA/2010 11 11 - NASA - Rocket Engine for Commercial Space Vehicle Test Fired at Stennis_MpLb-bifrZ8 - transcript (automated).pdf","Transcript Link")</f>
        <v>Transcript Link</v>
      </c>
    </row>
    <row r="4563" ht="165" spans="1:13">
      <c r="A4563" s="1" t="s">
        <v>20354</v>
      </c>
      <c r="B4563" s="1" t="s">
        <v>13</v>
      </c>
      <c r="C4563" s="4" t="s">
        <v>20355</v>
      </c>
      <c r="D4563" s="1" t="s">
        <v>20356</v>
      </c>
      <c r="E4563" s="1" t="s">
        <v>20357</v>
      </c>
      <c r="F4563" s="4" t="s">
        <v>17</v>
      </c>
      <c r="G4563" s="1" t="s">
        <v>18</v>
      </c>
      <c r="H4563" s="1" t="s">
        <v>19</v>
      </c>
      <c r="I4563" s="1" t="s">
        <v>20</v>
      </c>
      <c r="J4563" s="1" t="s">
        <v>20358</v>
      </c>
      <c r="K4563" s="1" t="s">
        <v>22</v>
      </c>
      <c r="L4563" s="1" t="str">
        <f>HYPERLINK("https://files.afu.se/Downloads/Transcripts/0%20-%20Government/USA%20-%20NASA/2010 11 10 - NASA - Discovery's Repair Begins at Kennedy_Xy2iKji29H8 - transcript (automated).pdf","Transcript Link")</f>
        <v>Transcript Link</v>
      </c>
      <c r="M4563" s="2" t="str">
        <f>HYPERLINK("https://files.afu.se/Downloads/Transcripts/0%20-%20Government/USA%20-%20NASA/2010 11 10 - NASA - Discovery's Repair Begins at Kennedy_Xy2iKji29H8 - transcript (automated).pdf","Transcript Link")</f>
        <v>Transcript Link</v>
      </c>
    </row>
    <row r="4564" ht="165" spans="1:13">
      <c r="A4564" s="1" t="s">
        <v>20354</v>
      </c>
      <c r="B4564" s="1" t="s">
        <v>13</v>
      </c>
      <c r="C4564" s="4" t="s">
        <v>20359</v>
      </c>
      <c r="D4564" s="1" t="s">
        <v>20360</v>
      </c>
      <c r="E4564" s="1" t="s">
        <v>20361</v>
      </c>
      <c r="F4564" s="4" t="s">
        <v>17</v>
      </c>
      <c r="G4564" s="1" t="s">
        <v>18</v>
      </c>
      <c r="H4564" s="1" t="s">
        <v>19</v>
      </c>
      <c r="I4564" s="1" t="s">
        <v>20</v>
      </c>
      <c r="J4564" s="1" t="s">
        <v>20362</v>
      </c>
      <c r="K4564" s="1" t="s">
        <v>22</v>
      </c>
      <c r="L4564" s="1" t="str">
        <f>HYPERLINK("https://files.afu.se/Downloads/Transcripts/0%20-%20Government/USA%20-%20NASA/2010 11 10 - NASA - Leinbach Shuttle's  Button-Pusher _900J_ODhap4 - transcript (automated).pdf","Transcript Link")</f>
        <v>Transcript Link</v>
      </c>
      <c r="M4564" s="2" t="str">
        <f>HYPERLINK("https://files.afu.se/Downloads/Transcripts/0%20-%20Government/USA%20-%20NASA/2010 11 10 - NASA - Leinbach Shuttle's  Button-Pusher _900J_ODhap4 - transcript (automated).pdf","Transcript Link")</f>
        <v>Transcript Link</v>
      </c>
    </row>
    <row r="4565" ht="165" spans="1:13">
      <c r="A4565" s="1" t="s">
        <v>20354</v>
      </c>
      <c r="B4565" s="1" t="s">
        <v>13</v>
      </c>
      <c r="C4565" s="4" t="s">
        <v>20363</v>
      </c>
      <c r="D4565" s="1" t="s">
        <v>20364</v>
      </c>
      <c r="E4565" s="1" t="s">
        <v>20365</v>
      </c>
      <c r="F4565" s="4" t="s">
        <v>17</v>
      </c>
      <c r="G4565" s="1" t="s">
        <v>18</v>
      </c>
      <c r="H4565" s="1" t="s">
        <v>19</v>
      </c>
      <c r="I4565" s="1" t="s">
        <v>20</v>
      </c>
      <c r="J4565" s="1" t="s">
        <v>20366</v>
      </c>
      <c r="K4565" s="1" t="s">
        <v>22</v>
      </c>
      <c r="L4565" s="1" t="str">
        <f>HYPERLINK("https://files.afu.se/Downloads/Transcripts/0%20-%20Government/USA%20-%20NASA/2010 11 10 - NASA - Discovery Crew Performs  Swimmingly  in NBL_d5DvW1caEgs - transcript (automated).pdf","Transcript Link")</f>
        <v>Transcript Link</v>
      </c>
      <c r="M4565" s="2" t="str">
        <f>HYPERLINK("https://files.afu.se/Downloads/Transcripts/0%20-%20Government/USA%20-%20NASA/2010 11 10 - NASA - Discovery Crew Performs  Swimmingly  in NBL_d5DvW1caEgs - transcript (automated).pdf","Transcript Link")</f>
        <v>Transcript Link</v>
      </c>
    </row>
    <row r="4566" ht="165" spans="1:13">
      <c r="A4566" s="1" t="s">
        <v>20354</v>
      </c>
      <c r="B4566" s="1" t="s">
        <v>13</v>
      </c>
      <c r="C4566" s="4" t="s">
        <v>20367</v>
      </c>
      <c r="D4566" s="1" t="s">
        <v>20368</v>
      </c>
      <c r="E4566" s="1" t="s">
        <v>20369</v>
      </c>
      <c r="F4566" s="4" t="s">
        <v>17</v>
      </c>
      <c r="G4566" s="1" t="s">
        <v>18</v>
      </c>
      <c r="H4566" s="1" t="s">
        <v>19</v>
      </c>
      <c r="I4566" s="1" t="s">
        <v>20</v>
      </c>
      <c r="J4566" s="1" t="s">
        <v>20370</v>
      </c>
      <c r="K4566" s="1" t="s">
        <v>22</v>
      </c>
      <c r="L4566" s="1" t="str">
        <f>HYPERLINK("https://files.afu.se/Downloads/Transcripts/0%20-%20Government/USA%20-%20NASA/2010 11 10 - NASA -  Larry the Cable Guy  Says  Git-R-Done!  and Watch NASA TV_AS-26XG9GXA - transcript (automated).pdf","Transcript Link")</f>
        <v>Transcript Link</v>
      </c>
      <c r="M4566" s="2" t="str">
        <f>HYPERLINK("https://files.afu.se/Downloads/Transcripts/0%20-%20Government/USA%20-%20NASA/2010 11 10 - NASA -  Larry the Cable Guy  Says  Git-R-Done!  and Watch NASA TV_AS-26XG9GXA - transcript (automated).pdf","Transcript Link")</f>
        <v>Transcript Link</v>
      </c>
    </row>
    <row r="4567" ht="165" spans="1:13">
      <c r="A4567" s="1" t="s">
        <v>20354</v>
      </c>
      <c r="B4567" s="1" t="s">
        <v>13</v>
      </c>
      <c r="C4567" s="4" t="s">
        <v>20371</v>
      </c>
      <c r="D4567" s="1" t="s">
        <v>20372</v>
      </c>
      <c r="E4567" s="1" t="s">
        <v>20373</v>
      </c>
      <c r="F4567" s="4" t="s">
        <v>17</v>
      </c>
      <c r="G4567" s="1" t="s">
        <v>18</v>
      </c>
      <c r="H4567" s="1" t="s">
        <v>19</v>
      </c>
      <c r="I4567" s="1" t="s">
        <v>20</v>
      </c>
      <c r="J4567" s="1" t="s">
        <v>20374</v>
      </c>
      <c r="K4567" s="1" t="s">
        <v>22</v>
      </c>
      <c r="L4567" s="1" t="str">
        <f>HYPERLINK("https://files.afu.se/Downloads/Transcripts/0%20-%20Government/USA%20-%20NASA/2010 11 10 - NASA - NASA TV  Larry the Cable Guy's  Favorite Channel_8pv1BeGYjMI - transcript (automated).pdf","Transcript Link")</f>
        <v>Transcript Link</v>
      </c>
      <c r="M4567" s="2" t="str">
        <f>HYPERLINK("https://files.afu.se/Downloads/Transcripts/0%20-%20Government/USA%20-%20NASA/2010 11 10 - NASA - NASA TV  Larry the Cable Guy's  Favorite Channel_8pv1BeGYjMI - transcript (automated).pdf","Transcript Link")</f>
        <v>Transcript Link</v>
      </c>
    </row>
    <row r="4568" ht="165" spans="1:13">
      <c r="A4568" s="1" t="s">
        <v>20354</v>
      </c>
      <c r="B4568" s="1" t="s">
        <v>13</v>
      </c>
      <c r="C4568" s="4" t="s">
        <v>20375</v>
      </c>
      <c r="D4568" s="1" t="s">
        <v>20376</v>
      </c>
      <c r="E4568" s="1" t="s">
        <v>20377</v>
      </c>
      <c r="F4568" s="4" t="s">
        <v>17</v>
      </c>
      <c r="G4568" s="1" t="s">
        <v>18</v>
      </c>
      <c r="H4568" s="1" t="s">
        <v>19</v>
      </c>
      <c r="I4568" s="1" t="s">
        <v>20</v>
      </c>
      <c r="J4568" s="1" t="s">
        <v>20378</v>
      </c>
      <c r="K4568" s="1" t="s">
        <v>22</v>
      </c>
      <c r="L4568" s="1" t="str">
        <f>HYPERLINK("https://files.afu.se/Downloads/Transcripts/0%20-%20Government/USA%20-%20NASA/2010 11 10 - NASA -  If You're Not, You Oughta Be!  says NASA TV Fan  Larry the Cable Guy _9hlu-Uvt0t4 - transcript (automated).pdf","Transcript Link")</f>
        <v>Transcript Link</v>
      </c>
      <c r="M4568" s="2" t="str">
        <f>HYPERLINK("https://files.afu.se/Downloads/Transcripts/0%20-%20Government/USA%20-%20NASA/2010 11 10 - NASA -  If You're Not, You Oughta Be!  says NASA TV Fan  Larry the Cable Guy _9hlu-Uvt0t4 - transcript (automated).pdf","Transcript Link")</f>
        <v>Transcript Link</v>
      </c>
    </row>
    <row r="4569" ht="165" spans="1:13">
      <c r="A4569" s="1" t="s">
        <v>20379</v>
      </c>
      <c r="B4569" s="1" t="s">
        <v>13</v>
      </c>
      <c r="C4569" s="4" t="s">
        <v>20380</v>
      </c>
      <c r="D4569" s="1" t="s">
        <v>20381</v>
      </c>
      <c r="E4569" s="1" t="s">
        <v>20382</v>
      </c>
      <c r="F4569" s="4" t="s">
        <v>17</v>
      </c>
      <c r="G4569" s="1" t="s">
        <v>18</v>
      </c>
      <c r="H4569" s="1" t="s">
        <v>19</v>
      </c>
      <c r="I4569" s="1" t="s">
        <v>20</v>
      </c>
      <c r="J4569" s="1" t="s">
        <v>20383</v>
      </c>
      <c r="K4569" s="1" t="s">
        <v>22</v>
      </c>
      <c r="L4569" s="1" t="str">
        <f>HYPERLINK("https://files.afu.se/Downloads/Transcripts/0%20-%20Government/USA%20-%20NASA/2010 11 09 - NASA - ISS Crew Pays Veterans Day Tribute to U.S. Servicemen and Women_X5PgNpwSqdI - transcript (automated).pdf","Transcript Link")</f>
        <v>Transcript Link</v>
      </c>
      <c r="M4569" s="2" t="str">
        <f>HYPERLINK("https://files.afu.se/Downloads/Transcripts/0%20-%20Government/USA%20-%20NASA/2010 11 09 - NASA - ISS Crew Pays Veterans Day Tribute to U.S. Servicemen and Women_X5PgNpwSqdI - transcript (automated).pdf","Transcript Link")</f>
        <v>Transcript Link</v>
      </c>
    </row>
    <row r="4570" ht="165" spans="1:13">
      <c r="A4570" s="1" t="s">
        <v>20384</v>
      </c>
      <c r="B4570" s="1" t="s">
        <v>13</v>
      </c>
      <c r="C4570" s="4" t="s">
        <v>20385</v>
      </c>
      <c r="D4570" s="1" t="s">
        <v>20386</v>
      </c>
      <c r="E4570" s="1" t="s">
        <v>20387</v>
      </c>
      <c r="F4570" s="4" t="s">
        <v>17</v>
      </c>
      <c r="G4570" s="1" t="s">
        <v>18</v>
      </c>
      <c r="H4570" s="1" t="s">
        <v>19</v>
      </c>
      <c r="I4570" s="1" t="s">
        <v>20</v>
      </c>
      <c r="J4570" s="1" t="s">
        <v>20388</v>
      </c>
      <c r="K4570" s="1" t="s">
        <v>22</v>
      </c>
      <c r="L4570" s="1" t="str">
        <f>HYPERLINK("https://files.afu.se/Downloads/Transcripts/0%20-%20Government/USA%20-%20NASA/2010 11 08 - NASA - NASA EPOXI Hartley Flyby Reveals New Insights into Comet Features_sD8BuJPGExE - transcript (automated).pdf","Transcript Link")</f>
        <v>Transcript Link</v>
      </c>
      <c r="M4570" s="2" t="str">
        <f>HYPERLINK("https://files.afu.se/Downloads/Transcripts/0%20-%20Government/USA%20-%20NASA/2010 11 08 - NASA - NASA EPOXI Hartley Flyby Reveals New Insights into Comet Features_sD8BuJPGExE - transcript (automated).pdf","Transcript Link")</f>
        <v>Transcript Link</v>
      </c>
    </row>
    <row r="4571" ht="165" spans="1:13">
      <c r="A4571" s="1" t="s">
        <v>20389</v>
      </c>
      <c r="B4571" s="1" t="s">
        <v>13</v>
      </c>
      <c r="C4571" s="4" t="s">
        <v>20390</v>
      </c>
      <c r="D4571" s="1" t="s">
        <v>20391</v>
      </c>
      <c r="E4571" s="1" t="s">
        <v>20392</v>
      </c>
      <c r="F4571" s="4" t="s">
        <v>17</v>
      </c>
      <c r="G4571" s="1" t="s">
        <v>18</v>
      </c>
      <c r="H4571" s="1" t="s">
        <v>19</v>
      </c>
      <c r="I4571" s="1" t="s">
        <v>20</v>
      </c>
      <c r="J4571" s="1" t="s">
        <v>20393</v>
      </c>
      <c r="K4571" s="1" t="s">
        <v>22</v>
      </c>
      <c r="L4571" s="1" t="str">
        <f>HYPERLINK("https://files.afu.se/Downloads/Transcripts/0%20-%20Government/USA%20-%20NASA/2010 11 05 - NASA - The Postponement of Mission STS-133 tops the billboard on This Week @ NASA_I6dru-Wefa0 - transcript (automated).pdf","Transcript Link")</f>
        <v>Transcript Link</v>
      </c>
      <c r="M4571" s="2" t="str">
        <f>HYPERLINK("https://files.afu.se/Downloads/Transcripts/0%20-%20Government/USA%20-%20NASA/2010 11 05 - NASA - The Postponement of Mission STS-133 tops the billboard on This Week @ NASA_I6dru-Wefa0 - transcript (automated).pdf","Transcript Link")</f>
        <v>Transcript Link</v>
      </c>
    </row>
    <row r="4572" ht="195" spans="1:13">
      <c r="A4572" s="1" t="s">
        <v>20394</v>
      </c>
      <c r="B4572" s="1" t="s">
        <v>13</v>
      </c>
      <c r="C4572" s="4" t="s">
        <v>20395</v>
      </c>
      <c r="D4572" s="1" t="s">
        <v>20396</v>
      </c>
      <c r="E4572" s="1" t="s">
        <v>20397</v>
      </c>
      <c r="F4572" s="4" t="s">
        <v>17</v>
      </c>
      <c r="G4572" s="1" t="s">
        <v>18</v>
      </c>
      <c r="H4572" s="1" t="s">
        <v>19</v>
      </c>
      <c r="I4572" s="1" t="s">
        <v>20</v>
      </c>
      <c r="J4572" s="1" t="s">
        <v>20398</v>
      </c>
      <c r="K4572" s="1" t="s">
        <v>22</v>
      </c>
      <c r="L4572" s="1" t="str">
        <f>HYPERLINK("https://files.afu.se/Downloads/Transcripts/0%20-%20Government/USA%20-%20NASA/2010 11 04 - NASA - STS-133 Mission Managers Give Go-Ahead for Thursday Launch_34cHTsgRFdg - transcript (automated).pdf","Transcript Link")</f>
        <v>Transcript Link</v>
      </c>
      <c r="M4572" s="2" t="str">
        <f>HYPERLINK("https://files.afu.se/Downloads/Transcripts/0%20-%20Government/USA%20-%20NASA/2010 11 04 - NASA - STS-133 Mission Managers Give Go-Ahead for Thursday Launch_34cHTsgRFdg - transcript (automated).pdf","Transcript Link")</f>
        <v>Transcript Link</v>
      </c>
    </row>
    <row r="4573" ht="225" spans="1:13">
      <c r="A4573" s="1" t="s">
        <v>20399</v>
      </c>
      <c r="B4573" s="1" t="s">
        <v>13</v>
      </c>
      <c r="C4573" s="4" t="s">
        <v>20400</v>
      </c>
      <c r="D4573" s="1" t="s">
        <v>20401</v>
      </c>
      <c r="E4573" s="1" t="s">
        <v>20402</v>
      </c>
      <c r="F4573" s="4" t="s">
        <v>17</v>
      </c>
      <c r="G4573" s="1" t="s">
        <v>18</v>
      </c>
      <c r="H4573" s="1" t="s">
        <v>19</v>
      </c>
      <c r="I4573" s="1" t="s">
        <v>20</v>
      </c>
      <c r="J4573" s="1" t="s">
        <v>20403</v>
      </c>
      <c r="K4573" s="1" t="s">
        <v>22</v>
      </c>
      <c r="L4573" s="1" t="str">
        <f>HYPERLINK("https://files.afu.se/Downloads/Transcripts/0%20-%20Government/USA%20-%20NASA/2010 11 02 - NASA - Discovery Launch Delayed by at Least a Day_bZMILIwkOzQ - transcript (automated).pdf","Transcript Link")</f>
        <v>Transcript Link</v>
      </c>
      <c r="M4573" s="2" t="str">
        <f>HYPERLINK("https://files.afu.se/Downloads/Transcripts/0%20-%20Government/USA%20-%20NASA/2010 11 02 - NASA - Discovery Launch Delayed by at Least a Day_bZMILIwkOzQ - transcript (automated).pdf","Transcript Link")</f>
        <v>Transcript Link</v>
      </c>
    </row>
    <row r="4574" ht="165" spans="1:13">
      <c r="A4574" s="1" t="s">
        <v>20399</v>
      </c>
      <c r="B4574" s="1" t="s">
        <v>13</v>
      </c>
      <c r="C4574" s="4" t="s">
        <v>20404</v>
      </c>
      <c r="D4574" s="1" t="s">
        <v>20405</v>
      </c>
      <c r="E4574" s="1" t="s">
        <v>20406</v>
      </c>
      <c r="F4574" s="4" t="s">
        <v>17</v>
      </c>
      <c r="G4574" s="1" t="s">
        <v>18</v>
      </c>
      <c r="H4574" s="1" t="s">
        <v>19</v>
      </c>
      <c r="I4574" s="1" t="s">
        <v>20</v>
      </c>
      <c r="J4574" s="1" t="s">
        <v>20407</v>
      </c>
      <c r="K4574" s="1" t="s">
        <v>22</v>
      </c>
      <c r="L4574" s="1" t="str">
        <f>HYPERLINK("https://files.afu.se/Downloads/Transcripts/0%20-%20Government/USA%20-%20NASA/2010 11 02 - NASA - Mission Control Practices Launching Discovery_iHIcuYCeosE - transcript (automated).pdf","Transcript Link")</f>
        <v>Transcript Link</v>
      </c>
      <c r="M4574" s="2" t="str">
        <f>HYPERLINK("https://files.afu.se/Downloads/Transcripts/0%20-%20Government/USA%20-%20NASA/2010 11 02 - NASA - Mission Control Practices Launching Discovery_iHIcuYCeosE - transcript (automated).pdf","Transcript Link")</f>
        <v>Transcript Link</v>
      </c>
    </row>
    <row r="4575" ht="165" spans="1:13">
      <c r="A4575" s="1" t="s">
        <v>20399</v>
      </c>
      <c r="B4575" s="1" t="s">
        <v>13</v>
      </c>
      <c r="C4575" s="4" t="s">
        <v>20408</v>
      </c>
      <c r="D4575" s="1" t="s">
        <v>20409</v>
      </c>
      <c r="E4575" s="1" t="s">
        <v>20410</v>
      </c>
      <c r="F4575" s="4" t="s">
        <v>17</v>
      </c>
      <c r="G4575" s="1" t="s">
        <v>18</v>
      </c>
      <c r="H4575" s="1" t="s">
        <v>19</v>
      </c>
      <c r="I4575" s="1" t="s">
        <v>20</v>
      </c>
      <c r="J4575" s="1" t="s">
        <v>20411</v>
      </c>
      <c r="K4575" s="1" t="s">
        <v>22</v>
      </c>
      <c r="L4575" s="1" t="str">
        <f>HYPERLINK("https://files.afu.se/Downloads/Transcripts/0%20-%20Government/USA%20-%20NASA/2010 11 02 - NASA - Countdown Status Briefing One Day Before Discovery Launch_qCkwNvKzom8 - transcript (automated).pdf","Transcript Link")</f>
        <v>Transcript Link</v>
      </c>
      <c r="M4575" s="2" t="str">
        <f>HYPERLINK("https://files.afu.se/Downloads/Transcripts/0%20-%20Government/USA%20-%20NASA/2010 11 02 - NASA - Countdown Status Briefing One Day Before Discovery Launch_qCkwNvKzom8 - transcript (automated).pdf","Transcript Link")</f>
        <v>Transcript Link</v>
      </c>
    </row>
    <row r="4576" ht="165" spans="1:13">
      <c r="A4576" s="1" t="s">
        <v>20399</v>
      </c>
      <c r="B4576" s="1" t="s">
        <v>13</v>
      </c>
      <c r="C4576" s="4" t="s">
        <v>20412</v>
      </c>
      <c r="D4576" s="1" t="s">
        <v>20413</v>
      </c>
      <c r="E4576" s="1" t="s">
        <v>20414</v>
      </c>
      <c r="F4576" s="4" t="s">
        <v>17</v>
      </c>
      <c r="G4576" s="1" t="s">
        <v>18</v>
      </c>
      <c r="H4576" s="1" t="s">
        <v>19</v>
      </c>
      <c r="I4576" s="1" t="s">
        <v>20</v>
      </c>
      <c r="J4576" s="1" t="s">
        <v>20415</v>
      </c>
      <c r="K4576" s="1" t="s">
        <v>22</v>
      </c>
      <c r="L4576" s="1" t="str">
        <f>HYPERLINK("https://files.afu.se/Downloads/Transcripts/0%20-%20Government/USA%20-%20NASA/2010 11 02 - NASA - ISS Crew Answers Questions From Reporters on the 10th Anniversary of Human Presence on ISS_TtWCT8qCyXs - transcript (automated).pdf","Transcript Link")</f>
        <v>Transcript Link</v>
      </c>
      <c r="M4576" s="2" t="str">
        <f>HYPERLINK("https://files.afu.se/Downloads/Transcripts/0%20-%20Government/USA%20-%20NASA/2010 11 02 - NASA - ISS Crew Answers Questions From Reporters on the 10th Anniversary of Human Presence on ISS_TtWCT8qCyXs - transcript (automated).pdf","Transcript Link")</f>
        <v>Transcript Link</v>
      </c>
    </row>
    <row r="4577" ht="165" spans="1:13">
      <c r="A4577" s="1" t="s">
        <v>20399</v>
      </c>
      <c r="B4577" s="1" t="s">
        <v>13</v>
      </c>
      <c r="C4577" s="4" t="s">
        <v>20416</v>
      </c>
      <c r="D4577" s="1" t="s">
        <v>20417</v>
      </c>
      <c r="E4577" s="1" t="s">
        <v>20418</v>
      </c>
      <c r="F4577" s="4" t="s">
        <v>17</v>
      </c>
      <c r="G4577" s="1" t="s">
        <v>18</v>
      </c>
      <c r="H4577" s="1" t="s">
        <v>19</v>
      </c>
      <c r="I4577" s="1" t="s">
        <v>20</v>
      </c>
      <c r="J4577" s="1" t="s">
        <v>20419</v>
      </c>
      <c r="K4577" s="1" t="s">
        <v>22</v>
      </c>
      <c r="L4577" s="1" t="str">
        <f>HYPERLINK("https://files.afu.se/Downloads/Transcripts/0%20-%20Government/USA%20-%20NASA/2010 11 02 - NASA - NASA Administrator Commemorates 10th Anniversary of Space Station with Call to Expedition 25 Crew_P_NL8lHCszo - transcript (automated).pdf","Transcript Link")</f>
        <v>Transcript Link</v>
      </c>
      <c r="M4577" s="2" t="str">
        <f>HYPERLINK("https://files.afu.se/Downloads/Transcripts/0%20-%20Government/USA%20-%20NASA/2010 11 02 - NASA - NASA Administrator Commemorates 10th Anniversary of Space Station with Call to Expedition 25 Crew_P_NL8lHCszo - transcript (automated).pdf","Transcript Link")</f>
        <v>Transcript Link</v>
      </c>
    </row>
    <row r="4578" ht="165" spans="1:13">
      <c r="A4578" s="1" t="s">
        <v>20420</v>
      </c>
      <c r="B4578" s="1" t="s">
        <v>13</v>
      </c>
      <c r="C4578" s="4" t="s">
        <v>20421</v>
      </c>
      <c r="D4578" s="1" t="s">
        <v>20422</v>
      </c>
      <c r="E4578" s="1" t="s">
        <v>20423</v>
      </c>
      <c r="F4578" s="4" t="s">
        <v>17</v>
      </c>
      <c r="G4578" s="1" t="s">
        <v>18</v>
      </c>
      <c r="H4578" s="1" t="s">
        <v>19</v>
      </c>
      <c r="I4578" s="1" t="s">
        <v>20</v>
      </c>
      <c r="J4578" s="1" t="s">
        <v>20424</v>
      </c>
      <c r="K4578" s="1" t="s">
        <v>22</v>
      </c>
      <c r="L4578" s="1" t="str">
        <f>HYPERLINK("https://files.afu.se/Downloads/Transcripts/0%20-%20Government/USA%20-%20NASA/2010 11 01 - NASA - Discovery on Target for Launch Wednesday_EN2r9EqdKp0 - transcript (automated).pdf","Transcript Link")</f>
        <v>Transcript Link</v>
      </c>
      <c r="M4578" s="2" t="str">
        <f>HYPERLINK("https://files.afu.se/Downloads/Transcripts/0%20-%20Government/USA%20-%20NASA/2010 11 01 - NASA - Discovery on Target for Launch Wednesday_EN2r9EqdKp0 - transcript (automated).pdf","Transcript Link")</f>
        <v>Transcript Link</v>
      </c>
    </row>
    <row r="4579" ht="165" spans="1:13">
      <c r="A4579" s="1" t="s">
        <v>20425</v>
      </c>
      <c r="B4579" s="1" t="s">
        <v>13</v>
      </c>
      <c r="C4579" s="4" t="s">
        <v>20426</v>
      </c>
      <c r="D4579" s="1" t="s">
        <v>20427</v>
      </c>
      <c r="E4579" s="1" t="s">
        <v>20428</v>
      </c>
      <c r="F4579" s="4" t="s">
        <v>17</v>
      </c>
      <c r="G4579" s="1" t="s">
        <v>18</v>
      </c>
      <c r="H4579" s="1" t="s">
        <v>19</v>
      </c>
      <c r="I4579" s="1" t="s">
        <v>20</v>
      </c>
      <c r="J4579" s="1" t="s">
        <v>20429</v>
      </c>
      <c r="K4579" s="1" t="s">
        <v>22</v>
      </c>
      <c r="L4579" s="1" t="str">
        <f>HYPERLINK("https://files.afu.se/Downloads/Transcripts/0%20-%20Government/USA%20-%20NASA/2010 10 31 - NASA - STS-133 Countdown to Start Today for a Targeted Wednesday Launch_Jbo_E2i0bQI - transcript (automated).pdf","Transcript Link")</f>
        <v>Transcript Link</v>
      </c>
      <c r="M4579" s="2" t="str">
        <f>HYPERLINK("https://files.afu.se/Downloads/Transcripts/0%20-%20Government/USA%20-%20NASA/2010 10 31 - NASA - STS-133 Countdown to Start Today for a Targeted Wednesday Launch_Jbo_E2i0bQI - transcript (automated).pdf","Transcript Link")</f>
        <v>Transcript Link</v>
      </c>
    </row>
    <row r="4580" ht="165" spans="1:13">
      <c r="A4580" s="1" t="s">
        <v>20430</v>
      </c>
      <c r="B4580" s="1" t="s">
        <v>13</v>
      </c>
      <c r="C4580" s="4" t="s">
        <v>20431</v>
      </c>
      <c r="D4580" s="1" t="s">
        <v>20432</v>
      </c>
      <c r="E4580" s="1" t="s">
        <v>20433</v>
      </c>
      <c r="F4580" s="4" t="s">
        <v>17</v>
      </c>
      <c r="G4580" s="1" t="s">
        <v>18</v>
      </c>
      <c r="H4580" s="1" t="s">
        <v>19</v>
      </c>
      <c r="I4580" s="1" t="s">
        <v>20</v>
      </c>
      <c r="J4580" s="1" t="s">
        <v>20434</v>
      </c>
      <c r="K4580" s="1" t="s">
        <v>22</v>
      </c>
      <c r="L4580" s="1" t="str">
        <f>HYPERLINK("https://files.afu.se/Downloads/Transcripts/0%20-%20Government/USA%20-%20NASA/2010 10 30 - NASA - Station Crew Welcomes New Supply Ship_3ykdyxzIvrs - transcript (automated).pdf","Transcript Link")</f>
        <v>Transcript Link</v>
      </c>
      <c r="M4580" s="2" t="str">
        <f>HYPERLINK("https://files.afu.se/Downloads/Transcripts/0%20-%20Government/USA%20-%20NASA/2010 10 30 - NASA - Station Crew Welcomes New Supply Ship_3ykdyxzIvrs - transcript (automated).pdf","Transcript Link")</f>
        <v>Transcript Link</v>
      </c>
    </row>
    <row r="4581" ht="165" spans="1:13">
      <c r="A4581" s="1" t="s">
        <v>20430</v>
      </c>
      <c r="B4581" s="1" t="s">
        <v>13</v>
      </c>
      <c r="C4581" s="4" t="s">
        <v>20435</v>
      </c>
      <c r="D4581" s="1" t="s">
        <v>20436</v>
      </c>
      <c r="E4581" s="1" t="s">
        <v>20437</v>
      </c>
      <c r="F4581" s="4" t="s">
        <v>17</v>
      </c>
      <c r="G4581" s="1" t="s">
        <v>18</v>
      </c>
      <c r="H4581" s="1" t="s">
        <v>19</v>
      </c>
      <c r="I4581" s="1" t="s">
        <v>20</v>
      </c>
      <c r="J4581" s="1" t="s">
        <v>20438</v>
      </c>
      <c r="K4581" s="1" t="s">
        <v>22</v>
      </c>
      <c r="L4581" s="1" t="str">
        <f>HYPERLINK("https://files.afu.se/Downloads/Transcripts/0%20-%20Government/USA%20-%20NASA/2010 10 30 - NASA - Discovery Launch on STS-133 Mission Now Targeted for Wednesday_bOEkJIIFRsY - transcript (automated).pdf","Transcript Link")</f>
        <v>Transcript Link</v>
      </c>
      <c r="M4581" s="2" t="str">
        <f>HYPERLINK("https://files.afu.se/Downloads/Transcripts/0%20-%20Government/USA%20-%20NASA/2010 10 30 - NASA - Discovery Launch on STS-133 Mission Now Targeted for Wednesday_bOEkJIIFRsY - transcript (automated).pdf","Transcript Link")</f>
        <v>Transcript Link</v>
      </c>
    </row>
    <row r="4582" ht="165" spans="1:13">
      <c r="A4582" s="1" t="s">
        <v>20439</v>
      </c>
      <c r="B4582" s="1" t="s">
        <v>13</v>
      </c>
      <c r="C4582" s="4" t="s">
        <v>20440</v>
      </c>
      <c r="D4582" s="1" t="s">
        <v>20441</v>
      </c>
      <c r="E4582" s="1" t="s">
        <v>20442</v>
      </c>
      <c r="F4582" s="4" t="s">
        <v>17</v>
      </c>
      <c r="G4582" s="1" t="s">
        <v>18</v>
      </c>
      <c r="H4582" s="1" t="s">
        <v>19</v>
      </c>
      <c r="I4582" s="1" t="s">
        <v>20</v>
      </c>
      <c r="J4582" s="1" t="s">
        <v>20443</v>
      </c>
      <c r="K4582" s="1" t="s">
        <v>22</v>
      </c>
      <c r="L4582" s="1" t="str">
        <f>HYPERLINK("https://files.afu.se/Downloads/Transcripts/0%20-%20Government/USA%20-%20NASA/2010 10 29 - NASA - Shuttle Discovery Crew Arrives at Kennedy SC for STS-133 Launch_i3WYViq7CjI - transcript (automated).pdf","Transcript Link")</f>
        <v>Transcript Link</v>
      </c>
      <c r="M4582" s="2" t="str">
        <f>HYPERLINK("https://files.afu.se/Downloads/Transcripts/0%20-%20Government/USA%20-%20NASA/2010 10 29 - NASA - Shuttle Discovery Crew Arrives at Kennedy SC for STS-133 Launch_i3WYViq7CjI - transcript (automated).pdf","Transcript Link")</f>
        <v>Transcript Link</v>
      </c>
    </row>
    <row r="4583" ht="165" spans="1:13">
      <c r="A4583" s="1" t="s">
        <v>20439</v>
      </c>
      <c r="B4583" s="1" t="s">
        <v>13</v>
      </c>
      <c r="C4583" s="4" t="s">
        <v>20444</v>
      </c>
      <c r="D4583" s="1" t="s">
        <v>20445</v>
      </c>
      <c r="E4583" s="1" t="s">
        <v>20446</v>
      </c>
      <c r="F4583" s="4" t="s">
        <v>17</v>
      </c>
      <c r="G4583" s="1" t="s">
        <v>18</v>
      </c>
      <c r="H4583" s="1" t="s">
        <v>19</v>
      </c>
      <c r="I4583" s="1" t="s">
        <v>20</v>
      </c>
      <c r="J4583" s="1" t="s">
        <v>20447</v>
      </c>
      <c r="K4583" s="1" t="s">
        <v>22</v>
      </c>
      <c r="L4583" s="1" t="str">
        <f>HYPERLINK("https://files.afu.se/Downloads/Transcripts/0%20-%20Government/USA%20-%20NASA/2010 10 29 - NASA - Discovery Launch Delayed_R_zW1iCNEWo - transcript (automated).pdf","Transcript Link")</f>
        <v>Transcript Link</v>
      </c>
      <c r="M4583" s="2" t="str">
        <f>HYPERLINK("https://files.afu.se/Downloads/Transcripts/0%20-%20Government/USA%20-%20NASA/2010 10 29 - NASA - Discovery Launch Delayed_R_zW1iCNEWo - transcript (automated).pdf","Transcript Link")</f>
        <v>Transcript Link</v>
      </c>
    </row>
    <row r="4584" ht="165" spans="1:13">
      <c r="A4584" s="1" t="s">
        <v>20439</v>
      </c>
      <c r="B4584" s="1" t="s">
        <v>13</v>
      </c>
      <c r="C4584" s="4" t="s">
        <v>20448</v>
      </c>
      <c r="D4584" s="1" t="s">
        <v>20449</v>
      </c>
      <c r="E4584" s="1" t="s">
        <v>20450</v>
      </c>
      <c r="F4584" s="4" t="s">
        <v>17</v>
      </c>
      <c r="G4584" s="1" t="s">
        <v>18</v>
      </c>
      <c r="H4584" s="1" t="s">
        <v>19</v>
      </c>
      <c r="I4584" s="1" t="s">
        <v>20</v>
      </c>
      <c r="J4584" s="1" t="s">
        <v>20451</v>
      </c>
      <c r="K4584" s="1" t="s">
        <v>22</v>
      </c>
      <c r="L4584" s="1" t="str">
        <f>HYPERLINK("https://files.afu.se/Downloads/Transcripts/0%20-%20Government/USA%20-%20NASA/2010 10 29 - NASA - White House Praises NASA Team for Helping Chilean Miners' Rescue_jwkbj8okWxY - transcript (automated).pdf","Transcript Link")</f>
        <v>Transcript Link</v>
      </c>
      <c r="M4584" s="2" t="str">
        <f>HYPERLINK("https://files.afu.se/Downloads/Transcripts/0%20-%20Government/USA%20-%20NASA/2010 10 29 - NASA - White House Praises NASA Team for Helping Chilean Miners' Rescue_jwkbj8okWxY - transcript (automated).pdf","Transcript Link")</f>
        <v>Transcript Link</v>
      </c>
    </row>
    <row r="4585" ht="165" spans="1:13">
      <c r="A4585" s="1" t="s">
        <v>20452</v>
      </c>
      <c r="B4585" s="1" t="s">
        <v>13</v>
      </c>
      <c r="C4585" s="4" t="s">
        <v>20453</v>
      </c>
      <c r="D4585" s="1" t="s">
        <v>20454</v>
      </c>
      <c r="E4585" s="1" t="s">
        <v>20455</v>
      </c>
      <c r="F4585" s="4" t="s">
        <v>17</v>
      </c>
      <c r="G4585" s="1" t="s">
        <v>18</v>
      </c>
      <c r="H4585" s="1" t="s">
        <v>19</v>
      </c>
      <c r="I4585" s="1" t="s">
        <v>20</v>
      </c>
      <c r="J4585" s="1" t="s">
        <v>20456</v>
      </c>
      <c r="K4585" s="1" t="s">
        <v>22</v>
      </c>
      <c r="L4585" s="1" t="str">
        <f>HYPERLINK("https://files.afu.se/Downloads/Transcripts/0%20-%20Government/USA%20-%20NASA/2010 10 28 - NASA - Station Crew Hears from Voice of America_HFnc_Q5ftfo - transcript (automated).pdf","Transcript Link")</f>
        <v>Transcript Link</v>
      </c>
      <c r="M4585" s="2" t="str">
        <f>HYPERLINK("https://files.afu.se/Downloads/Transcripts/0%20-%20Government/USA%20-%20NASA/2010 10 28 - NASA - Station Crew Hears from Voice of America_HFnc_Q5ftfo - transcript (automated).pdf","Transcript Link")</f>
        <v>Transcript Link</v>
      </c>
    </row>
    <row r="4586" ht="210" spans="1:13">
      <c r="A4586" s="1" t="s">
        <v>20452</v>
      </c>
      <c r="B4586" s="1" t="s">
        <v>13</v>
      </c>
      <c r="C4586" s="4" t="s">
        <v>20457</v>
      </c>
      <c r="D4586" s="1" t="s">
        <v>20458</v>
      </c>
      <c r="E4586" s="1" t="s">
        <v>20459</v>
      </c>
      <c r="F4586" s="4" t="s">
        <v>17</v>
      </c>
      <c r="G4586" s="1" t="s">
        <v>18</v>
      </c>
      <c r="H4586" s="1" t="s">
        <v>19</v>
      </c>
      <c r="I4586" s="1" t="s">
        <v>20</v>
      </c>
      <c r="J4586" s="1" t="s">
        <v>20460</v>
      </c>
      <c r="K4586" s="1" t="s">
        <v>22</v>
      </c>
      <c r="L4586" s="1" t="str">
        <f>HYPERLINK("https://files.afu.se/Downloads/Transcripts/0%20-%20Government/USA%20-%20NASA/2010 10 28 - NASA - ISS 10th Anniversary Discussed at Johnson Space Center Roundtable_hpe9T9teuQ4 - transcript (automated).pdf","Transcript Link")</f>
        <v>Transcript Link</v>
      </c>
      <c r="M4586" s="2" t="str">
        <f>HYPERLINK("https://files.afu.se/Downloads/Transcripts/0%20-%20Government/USA%20-%20NASA/2010 10 28 - NASA - ISS 10th Anniversary Discussed at Johnson Space Center Roundtable_hpe9T9teuQ4 - transcript (automated).pdf","Transcript Link")</f>
        <v>Transcript Link</v>
      </c>
    </row>
    <row r="4587" ht="165" spans="1:13">
      <c r="A4587" s="1" t="s">
        <v>20461</v>
      </c>
      <c r="B4587" s="1" t="s">
        <v>13</v>
      </c>
      <c r="C4587" s="4" t="s">
        <v>20462</v>
      </c>
      <c r="D4587" s="1" t="s">
        <v>20463</v>
      </c>
      <c r="E4587" s="1" t="s">
        <v>20464</v>
      </c>
      <c r="F4587" s="4" t="s">
        <v>17</v>
      </c>
      <c r="G4587" s="1" t="s">
        <v>18</v>
      </c>
      <c r="H4587" s="1" t="s">
        <v>19</v>
      </c>
      <c r="I4587" s="1" t="s">
        <v>20</v>
      </c>
      <c r="J4587" s="1" t="s">
        <v>20465</v>
      </c>
      <c r="K4587" s="1" t="s">
        <v>22</v>
      </c>
      <c r="L4587" s="1" t="str">
        <f>HYPERLINK("https://files.afu.se/Downloads/Transcripts/0%20-%20Government/USA%20-%20NASA/2010 10 27 - NASA - First ISS Commander Reflects on Station's 10th Anniversary_Rg-eVs1A_p8 - transcript (automated).pdf","Transcript Link")</f>
        <v>Transcript Link</v>
      </c>
      <c r="M4587" s="2" t="str">
        <f>HYPERLINK("https://files.afu.se/Downloads/Transcripts/0%20-%20Government/USA%20-%20NASA/2010 10 27 - NASA - First ISS Commander Reflects on Station's 10th Anniversary_Rg-eVs1A_p8 - transcript (automated).pdf","Transcript Link")</f>
        <v>Transcript Link</v>
      </c>
    </row>
    <row r="4588" ht="165" spans="1:13">
      <c r="A4588" s="1" t="s">
        <v>20461</v>
      </c>
      <c r="B4588" s="1" t="s">
        <v>13</v>
      </c>
      <c r="C4588" s="4" t="s">
        <v>20466</v>
      </c>
      <c r="D4588" s="1" t="s">
        <v>20467</v>
      </c>
      <c r="E4588" s="1" t="s">
        <v>20468</v>
      </c>
      <c r="F4588" s="4" t="s">
        <v>17</v>
      </c>
      <c r="G4588" s="1" t="s">
        <v>18</v>
      </c>
      <c r="H4588" s="1" t="s">
        <v>19</v>
      </c>
      <c r="I4588" s="1" t="s">
        <v>20</v>
      </c>
      <c r="J4588" s="1" t="s">
        <v>20469</v>
      </c>
      <c r="K4588" s="1" t="s">
        <v>22</v>
      </c>
      <c r="L4588" s="1" t="str">
        <f>HYPERLINK("https://files.afu.se/Downloads/Transcripts/0%20-%20Government/USA%20-%20NASA/2010 10 27 - NASA - NASA Headquarters Hosts ISS 10th Anniversary Roundtable_kYWVG7qftaM - transcript (automated).pdf","Transcript Link")</f>
        <v>Transcript Link</v>
      </c>
      <c r="M4588" s="2" t="str">
        <f>HYPERLINK("https://files.afu.se/Downloads/Transcripts/0%20-%20Government/USA%20-%20NASA/2010 10 27 - NASA - NASA Headquarters Hosts ISS 10th Anniversary Roundtable_kYWVG7qftaM - transcript (automated).pdf","Transcript Link")</f>
        <v>Transcript Link</v>
      </c>
    </row>
    <row r="4589" ht="165" spans="1:13">
      <c r="A4589" s="1" t="s">
        <v>20461</v>
      </c>
      <c r="B4589" s="1" t="s">
        <v>13</v>
      </c>
      <c r="C4589" s="4" t="s">
        <v>20470</v>
      </c>
      <c r="D4589" s="1" t="s">
        <v>20471</v>
      </c>
      <c r="E4589" s="1" t="s">
        <v>20472</v>
      </c>
      <c r="F4589" s="4" t="s">
        <v>17</v>
      </c>
      <c r="G4589" s="1" t="s">
        <v>18</v>
      </c>
      <c r="H4589" s="1" t="s">
        <v>19</v>
      </c>
      <c r="I4589" s="1" t="s">
        <v>20</v>
      </c>
      <c r="J4589" s="1" t="s">
        <v>20473</v>
      </c>
      <c r="K4589" s="1" t="s">
        <v>22</v>
      </c>
      <c r="L4589" s="1" t="str">
        <f>HYPERLINK("https://files.afu.se/Downloads/Transcripts/0%20-%20Government/USA%20-%20NASA/2010 10 27 - NASA - Expedition 1 Cosmonaut Remembers Stay on ISS_wDO4q9EaUg4 - transcript (automated).pdf","Transcript Link")</f>
        <v>Transcript Link</v>
      </c>
      <c r="M4589" s="2" t="str">
        <f>HYPERLINK("https://files.afu.se/Downloads/Transcripts/0%20-%20Government/USA%20-%20NASA/2010 10 27 - NASA - Expedition 1 Cosmonaut Remembers Stay on ISS_wDO4q9EaUg4 - transcript (automated).pdf","Transcript Link")</f>
        <v>Transcript Link</v>
      </c>
    </row>
    <row r="4590" ht="165" spans="1:13">
      <c r="A4590" s="1" t="s">
        <v>20461</v>
      </c>
      <c r="B4590" s="1" t="s">
        <v>13</v>
      </c>
      <c r="C4590" s="4" t="s">
        <v>20474</v>
      </c>
      <c r="D4590" s="1" t="s">
        <v>20475</v>
      </c>
      <c r="E4590" s="1" t="s">
        <v>20476</v>
      </c>
      <c r="F4590" s="4" t="s">
        <v>17</v>
      </c>
      <c r="G4590" s="1" t="s">
        <v>18</v>
      </c>
      <c r="H4590" s="1" t="s">
        <v>19</v>
      </c>
      <c r="I4590" s="1" t="s">
        <v>20</v>
      </c>
      <c r="J4590" s="1" t="s">
        <v>20477</v>
      </c>
      <c r="K4590" s="1" t="s">
        <v>22</v>
      </c>
      <c r="L4590" s="1" t="str">
        <f>HYPERLINK("https://files.afu.se/Downloads/Transcripts/0%20-%20Government/USA%20-%20NASA/2010 10 27 - NASA - ISS Life Support Among Topics at Marshall Roundtable_vkHyRpRypwo - transcript (automated).pdf","Transcript Link")</f>
        <v>Transcript Link</v>
      </c>
      <c r="M4590" s="2" t="str">
        <f>HYPERLINK("https://files.afu.se/Downloads/Transcripts/0%20-%20Government/USA%20-%20NASA/2010 10 27 - NASA - ISS Life Support Among Topics at Marshall Roundtable_vkHyRpRypwo - transcript (automated).pdf","Transcript Link")</f>
        <v>Transcript Link</v>
      </c>
    </row>
    <row r="4591" ht="165" spans="1:13">
      <c r="A4591" s="1" t="s">
        <v>20461</v>
      </c>
      <c r="B4591" s="1" t="s">
        <v>13</v>
      </c>
      <c r="C4591" s="4" t="s">
        <v>20478</v>
      </c>
      <c r="D4591" s="1" t="s">
        <v>20479</v>
      </c>
      <c r="E4591" s="1" t="s">
        <v>20480</v>
      </c>
      <c r="F4591" s="4" t="s">
        <v>17</v>
      </c>
      <c r="G4591" s="1" t="s">
        <v>18</v>
      </c>
      <c r="H4591" s="1" t="s">
        <v>19</v>
      </c>
      <c r="I4591" s="1" t="s">
        <v>20</v>
      </c>
      <c r="J4591" s="1" t="s">
        <v>20481</v>
      </c>
      <c r="K4591" s="1" t="s">
        <v>22</v>
      </c>
      <c r="L4591" s="1" t="str">
        <f>HYPERLINK("https://files.afu.se/Downloads/Transcripts/0%20-%20Government/USA%20-%20NASA/2010 10 27 - NASA - Kennedy Space Center Roundtable Helps NASA Mark ISS 10th Anniversary_NzMIsRmmQV8 - transcript (automated).pdf","Transcript Link")</f>
        <v>Transcript Link</v>
      </c>
      <c r="M4591" s="2" t="str">
        <f>HYPERLINK("https://files.afu.se/Downloads/Transcripts/0%20-%20Government/USA%20-%20NASA/2010 10 27 - NASA - Kennedy Space Center Roundtable Helps NASA Mark ISS 10th Anniversary_NzMIsRmmQV8 - transcript (automated).pdf","Transcript Link")</f>
        <v>Transcript Link</v>
      </c>
    </row>
    <row r="4592" ht="165" spans="1:13">
      <c r="A4592" s="1" t="s">
        <v>20461</v>
      </c>
      <c r="B4592" s="1" t="s">
        <v>13</v>
      </c>
      <c r="C4592" s="4" t="s">
        <v>20482</v>
      </c>
      <c r="D4592" s="1" t="s">
        <v>20483</v>
      </c>
      <c r="E4592" s="1" t="s">
        <v>20484</v>
      </c>
      <c r="F4592" s="4" t="s">
        <v>17</v>
      </c>
      <c r="G4592" s="1" t="s">
        <v>18</v>
      </c>
      <c r="H4592" s="1" t="s">
        <v>19</v>
      </c>
      <c r="I4592" s="1" t="s">
        <v>20</v>
      </c>
      <c r="J4592" s="1" t="s">
        <v>20485</v>
      </c>
      <c r="K4592" s="1" t="s">
        <v>22</v>
      </c>
      <c r="L4592" s="1" t="str">
        <f>HYPERLINK("https://files.afu.se/Downloads/Transcripts/0%20-%20Government/USA%20-%20NASA/2010 10 27 - NASA - Progress Resupply Ship Blasts Off to ISS_VCjZLOS_i1o - transcript (automated).pdf","Transcript Link")</f>
        <v>Transcript Link</v>
      </c>
      <c r="M4592" s="2" t="str">
        <f>HYPERLINK("https://files.afu.se/Downloads/Transcripts/0%20-%20Government/USA%20-%20NASA/2010 10 27 - NASA - Progress Resupply Ship Blasts Off to ISS_VCjZLOS_i1o - transcript (automated).pdf","Transcript Link")</f>
        <v>Transcript Link</v>
      </c>
    </row>
    <row r="4593" ht="165" spans="1:13">
      <c r="A4593" s="1" t="s">
        <v>20461</v>
      </c>
      <c r="B4593" s="1" t="s">
        <v>13</v>
      </c>
      <c r="C4593" s="4" t="s">
        <v>20486</v>
      </c>
      <c r="D4593" s="1" t="s">
        <v>20487</v>
      </c>
      <c r="E4593" s="1" t="s">
        <v>20488</v>
      </c>
      <c r="F4593" s="4" t="s">
        <v>17</v>
      </c>
      <c r="G4593" s="1" t="s">
        <v>18</v>
      </c>
      <c r="H4593" s="1" t="s">
        <v>19</v>
      </c>
      <c r="I4593" s="1" t="s">
        <v>20</v>
      </c>
      <c r="J4593" s="1" t="s">
        <v>20489</v>
      </c>
      <c r="K4593" s="1" t="s">
        <v>22</v>
      </c>
      <c r="L4593" s="1" t="str">
        <f>HYPERLINK("https://files.afu.se/Downloads/Transcripts/0%20-%20Government/USA%20-%20NASA/2010 10 27 - NASA - NASA Administrator Marks ISS Tenth Anniversary_c9PYpIvE7zE - transcript (automated).pdf","Transcript Link")</f>
        <v>Transcript Link</v>
      </c>
      <c r="M4593" s="2" t="str">
        <f>HYPERLINK("https://files.afu.se/Downloads/Transcripts/0%20-%20Government/USA%20-%20NASA/2010 10 27 - NASA - NASA Administrator Marks ISS Tenth Anniversary_c9PYpIvE7zE - transcript (automated).pdf","Transcript Link")</f>
        <v>Transcript Link</v>
      </c>
    </row>
    <row r="4594" ht="165" spans="1:13">
      <c r="A4594" s="1" t="s">
        <v>20461</v>
      </c>
      <c r="B4594" s="1" t="s">
        <v>13</v>
      </c>
      <c r="C4594" s="4" t="s">
        <v>20490</v>
      </c>
      <c r="D4594" s="1" t="s">
        <v>20491</v>
      </c>
      <c r="E4594" s="1" t="s">
        <v>20492</v>
      </c>
      <c r="F4594" s="4" t="s">
        <v>17</v>
      </c>
      <c r="G4594" s="1" t="s">
        <v>18</v>
      </c>
      <c r="H4594" s="1" t="s">
        <v>19</v>
      </c>
      <c r="I4594" s="1" t="s">
        <v>20</v>
      </c>
      <c r="J4594" s="1" t="s">
        <v>20493</v>
      </c>
      <c r="K4594" s="1" t="s">
        <v>22</v>
      </c>
      <c r="L4594" s="1" t="str">
        <f>HYPERLINK("https://files.afu.se/Downloads/Transcripts/0%20-%20Government/USA%20-%20NASA/2010 10 27 - NASA - The International Space Station  Together is the Future_NtrVwX1ncqk - transcript (automated).pdf","Transcript Link")</f>
        <v>Transcript Link</v>
      </c>
      <c r="M4594" s="2" t="str">
        <f>HYPERLINK("https://files.afu.se/Downloads/Transcripts/0%20-%20Government/USA%20-%20NASA/2010 10 27 - NASA - The International Space Station  Together is the Future_NtrVwX1ncqk - transcript (automated).pdf","Transcript Link")</f>
        <v>Transcript Link</v>
      </c>
    </row>
    <row r="4595" ht="165" spans="1:13">
      <c r="A4595" s="1" t="s">
        <v>20494</v>
      </c>
      <c r="B4595" s="1" t="s">
        <v>13</v>
      </c>
      <c r="C4595" s="4" t="s">
        <v>20495</v>
      </c>
      <c r="D4595" s="1" t="s">
        <v>20496</v>
      </c>
      <c r="E4595" s="1" t="s">
        <v>20497</v>
      </c>
      <c r="F4595" s="4" t="s">
        <v>17</v>
      </c>
      <c r="G4595" s="1" t="s">
        <v>18</v>
      </c>
      <c r="H4595" s="1" t="s">
        <v>19</v>
      </c>
      <c r="I4595" s="1" t="s">
        <v>20</v>
      </c>
      <c r="J4595" s="1" t="s">
        <v>20498</v>
      </c>
      <c r="K4595" s="1" t="s">
        <v>22</v>
      </c>
      <c r="L4595" s="1" t="str">
        <f>HYPERLINK("https://files.afu.se/Downloads/Transcripts/0%20-%20Government/USA%20-%20NASA/2010 10 26 - NASA - Spacelab Mission Remembered as Milestone_S7xj41iXCnE - transcript (automated).pdf","Transcript Link")</f>
        <v>Transcript Link</v>
      </c>
      <c r="M4595" s="2" t="str">
        <f>HYPERLINK("https://files.afu.se/Downloads/Transcripts/0%20-%20Government/USA%20-%20NASA/2010 10 26 - NASA - Spacelab Mission Remembered as Milestone_S7xj41iXCnE - transcript (automated).pdf","Transcript Link")</f>
        <v>Transcript Link</v>
      </c>
    </row>
    <row r="4596" ht="165" spans="1:13">
      <c r="A4596" s="1" t="s">
        <v>20494</v>
      </c>
      <c r="B4596" s="1" t="s">
        <v>13</v>
      </c>
      <c r="C4596" s="4" t="s">
        <v>20499</v>
      </c>
      <c r="D4596" s="1" t="s">
        <v>20500</v>
      </c>
      <c r="E4596" s="1" t="s">
        <v>20501</v>
      </c>
      <c r="F4596" s="4" t="s">
        <v>17</v>
      </c>
      <c r="G4596" s="1" t="s">
        <v>18</v>
      </c>
      <c r="H4596" s="1" t="s">
        <v>19</v>
      </c>
      <c r="I4596" s="1" t="s">
        <v>20</v>
      </c>
      <c r="J4596" s="1" t="s">
        <v>20502</v>
      </c>
      <c r="K4596" s="1" t="s">
        <v>22</v>
      </c>
      <c r="L4596" s="1" t="str">
        <f>HYPERLINK("https://files.afu.se/Downloads/Transcripts/0%20-%20Government/USA%20-%20NASA/2010 10 26 - NASA - Shuttle Discovery Crew Practices Landing_cLiVrFx9SWQ - transcript (automated).pdf","Transcript Link")</f>
        <v>Transcript Link</v>
      </c>
      <c r="M4596" s="2" t="str">
        <f>HYPERLINK("https://files.afu.se/Downloads/Transcripts/0%20-%20Government/USA%20-%20NASA/2010 10 26 - NASA - Shuttle Discovery Crew Practices Landing_cLiVrFx9SWQ - transcript (automated).pdf","Transcript Link")</f>
        <v>Transcript Link</v>
      </c>
    </row>
    <row r="4597" ht="165" spans="1:13">
      <c r="A4597" s="1" t="s">
        <v>20494</v>
      </c>
      <c r="B4597" s="1" t="s">
        <v>13</v>
      </c>
      <c r="C4597" s="4" t="s">
        <v>20503</v>
      </c>
      <c r="D4597" s="1" t="s">
        <v>20504</v>
      </c>
      <c r="E4597" s="1" t="s">
        <v>20505</v>
      </c>
      <c r="F4597" s="4" t="s">
        <v>17</v>
      </c>
      <c r="G4597" s="1" t="s">
        <v>18</v>
      </c>
      <c r="H4597" s="1" t="s">
        <v>19</v>
      </c>
      <c r="I4597" s="1" t="s">
        <v>20</v>
      </c>
      <c r="J4597" s="1" t="s">
        <v>20506</v>
      </c>
      <c r="K4597" s="1" t="s">
        <v>22</v>
      </c>
      <c r="L4597" s="1" t="str">
        <f>HYPERLINK("https://files.afu.se/Downloads/Transcripts/0%20-%20Government/USA%20-%20NASA/2010 10 26 - NASA - Michoud Builder of Shuttle's External Tank_4aWlh8wxByk - transcript (automated).pdf","Transcript Link")</f>
        <v>Transcript Link</v>
      </c>
      <c r="M4597" s="2" t="str">
        <f>HYPERLINK("https://files.afu.se/Downloads/Transcripts/0%20-%20Government/USA%20-%20NASA/2010 10 26 - NASA - Michoud Builder of Shuttle's External Tank_4aWlh8wxByk - transcript (automated).pdf","Transcript Link")</f>
        <v>Transcript Link</v>
      </c>
    </row>
    <row r="4598" ht="165" spans="1:13">
      <c r="A4598" s="1" t="s">
        <v>20494</v>
      </c>
      <c r="B4598" s="1" t="s">
        <v>13</v>
      </c>
      <c r="C4598" s="4" t="s">
        <v>20507</v>
      </c>
      <c r="D4598" s="1" t="s">
        <v>20508</v>
      </c>
      <c r="E4598" s="1" t="s">
        <v>20509</v>
      </c>
      <c r="F4598" s="4" t="s">
        <v>17</v>
      </c>
      <c r="G4598" s="1" t="s">
        <v>18</v>
      </c>
      <c r="H4598" s="1" t="s">
        <v>19</v>
      </c>
      <c r="I4598" s="1" t="s">
        <v>20</v>
      </c>
      <c r="J4598" s="1" t="s">
        <v>20510</v>
      </c>
      <c r="K4598" s="1" t="s">
        <v>22</v>
      </c>
      <c r="L4598" s="1" t="str">
        <f>HYPERLINK("https://files.afu.se/Downloads/Transcripts/0%20-%20Government/USA%20-%20NASA/2010 10 26 - NASA - Teen Sailor Thanks NASA Team for Rescue_B5u3tQQOvXQ - transcript (automated).pdf","Transcript Link")</f>
        <v>Transcript Link</v>
      </c>
      <c r="M4598" s="2" t="str">
        <f>HYPERLINK("https://files.afu.se/Downloads/Transcripts/0%20-%20Government/USA%20-%20NASA/2010 10 26 - NASA - Teen Sailor Thanks NASA Team for Rescue_B5u3tQQOvXQ - transcript (automated).pdf","Transcript Link")</f>
        <v>Transcript Link</v>
      </c>
    </row>
    <row r="4599" ht="165" spans="1:13">
      <c r="A4599" s="1" t="s">
        <v>20511</v>
      </c>
      <c r="B4599" s="1" t="s">
        <v>13</v>
      </c>
      <c r="C4599" s="4" t="s">
        <v>20512</v>
      </c>
      <c r="D4599" s="1" t="s">
        <v>20513</v>
      </c>
      <c r="E4599" s="1" t="s">
        <v>20514</v>
      </c>
      <c r="F4599" s="4" t="s">
        <v>17</v>
      </c>
      <c r="G4599" s="1" t="s">
        <v>18</v>
      </c>
      <c r="H4599" s="1" t="s">
        <v>19</v>
      </c>
      <c r="I4599" s="1" t="s">
        <v>20</v>
      </c>
      <c r="J4599" s="1" t="s">
        <v>20515</v>
      </c>
      <c r="K4599" s="1" t="s">
        <v>22</v>
      </c>
      <c r="L4599" s="1" t="str">
        <f>HYPERLINK("https://files.afu.se/Downloads/Transcripts/0%20-%20Government/USA%20-%20NASA/2010 10 25 - NASA - Shuttle Launch Date Set and Buried Treasures on This Week @ NASA_Sl4JQynsBgc - transcript (automated).pdf","Transcript Link")</f>
        <v>Transcript Link</v>
      </c>
      <c r="M4599" s="2" t="str">
        <f>HYPERLINK("https://files.afu.se/Downloads/Transcripts/0%20-%20Government/USA%20-%20NASA/2010 10 25 - NASA - Shuttle Launch Date Set and Buried Treasures on This Week @ NASA_Sl4JQynsBgc - transcript (automated).pdf","Transcript Link")</f>
        <v>Transcript Link</v>
      </c>
    </row>
    <row r="4600" ht="165" spans="1:13">
      <c r="A4600" s="1" t="s">
        <v>20511</v>
      </c>
      <c r="B4600" s="1" t="s">
        <v>13</v>
      </c>
      <c r="C4600" s="4" t="s">
        <v>20516</v>
      </c>
      <c r="D4600" s="1" t="s">
        <v>20517</v>
      </c>
      <c r="E4600" s="1" t="s">
        <v>20518</v>
      </c>
      <c r="F4600" s="4" t="s">
        <v>17</v>
      </c>
      <c r="G4600" s="1" t="s">
        <v>18</v>
      </c>
      <c r="H4600" s="1" t="s">
        <v>19</v>
      </c>
      <c r="I4600" s="1" t="s">
        <v>20</v>
      </c>
      <c r="J4600" s="1" t="s">
        <v>20519</v>
      </c>
      <c r="K4600" s="1" t="s">
        <v>22</v>
      </c>
      <c r="L4600" s="1" t="str">
        <f>HYPERLINK("https://files.afu.se/Downloads/Transcripts/0%20-%20Government/USA%20-%20NASA/2010 10 25 - NASA - NASA Sets Official Launch Date for Shuttle Discovery_LLyKcAG7DOE - transcript (automated).pdf","Transcript Link")</f>
        <v>Transcript Link</v>
      </c>
      <c r="M4600" s="2" t="str">
        <f>HYPERLINK("https://files.afu.se/Downloads/Transcripts/0%20-%20Government/USA%20-%20NASA/2010 10 25 - NASA - NASA Sets Official Launch Date for Shuttle Discovery_LLyKcAG7DOE - transcript (automated).pdf","Transcript Link")</f>
        <v>Transcript Link</v>
      </c>
    </row>
    <row r="4601" ht="165" spans="1:13">
      <c r="A4601" s="1" t="s">
        <v>20511</v>
      </c>
      <c r="B4601" s="1" t="s">
        <v>13</v>
      </c>
      <c r="C4601" s="4" t="s">
        <v>20520</v>
      </c>
      <c r="D4601" s="1" t="s">
        <v>20521</v>
      </c>
      <c r="E4601" s="1" t="s">
        <v>20522</v>
      </c>
      <c r="F4601" s="4" t="s">
        <v>17</v>
      </c>
      <c r="G4601" s="1" t="s">
        <v>18</v>
      </c>
      <c r="H4601" s="1" t="s">
        <v>19</v>
      </c>
      <c r="I4601" s="1" t="s">
        <v>20</v>
      </c>
      <c r="J4601" s="1" t="s">
        <v>20523</v>
      </c>
      <c r="K4601" s="1" t="s">
        <v>22</v>
      </c>
      <c r="L4601" s="1" t="str">
        <f>HYPERLINK("https://files.afu.se/Downloads/Transcripts/0%20-%20Government/USA%20-%20NASA/2010 10 25 - NASA - NASA TV 2nd LOOK Open_JN1w-T7SMV4 - transcript (automated).pdf","Transcript Link")</f>
        <v>Transcript Link</v>
      </c>
      <c r="M4601" s="2" t="str">
        <f>HYPERLINK("https://files.afu.se/Downloads/Transcripts/0%20-%20Government/USA%20-%20NASA/2010 10 25 - NASA - NASA TV 2nd LOOK Open_JN1w-T7SMV4 - transcript (automated).pdf","Transcript Link")</f>
        <v>Transcript Link</v>
      </c>
    </row>
    <row r="4602" ht="165" spans="1:13">
      <c r="A4602" s="1" t="s">
        <v>20524</v>
      </c>
      <c r="B4602" s="1" t="s">
        <v>13</v>
      </c>
      <c r="C4602" s="4" t="s">
        <v>20525</v>
      </c>
      <c r="D4602" s="1" t="s">
        <v>20526</v>
      </c>
      <c r="E4602" s="1" t="s">
        <v>20527</v>
      </c>
      <c r="F4602" s="4" t="s">
        <v>17</v>
      </c>
      <c r="G4602" s="1" t="s">
        <v>18</v>
      </c>
      <c r="H4602" s="1" t="s">
        <v>19</v>
      </c>
      <c r="I4602" s="1" t="s">
        <v>20</v>
      </c>
      <c r="J4602" s="1" t="s">
        <v>20528</v>
      </c>
      <c r="K4602" s="1" t="s">
        <v>22</v>
      </c>
      <c r="L4602" s="1" t="str">
        <f>HYPERLINK("https://files.afu.se/Downloads/Transcripts/0%20-%20Government/USA%20-%20NASA/2010 10 22 - NASA - Wheels 'Checks In,' Kicks Off NASA Partnership with Foursquare_zgHhyhB6yUE - transcript (automated).pdf","Transcript Link")</f>
        <v>Transcript Link</v>
      </c>
      <c r="M4602" s="2" t="str">
        <f>HYPERLINK("https://files.afu.se/Downloads/Transcripts/0%20-%20Government/USA%20-%20NASA/2010 10 22 - NASA - Wheels 'Checks In,' Kicks Off NASA Partnership with Foursquare_zgHhyhB6yUE - transcript (automated).pdf","Transcript Link")</f>
        <v>Transcript Link</v>
      </c>
    </row>
    <row r="4603" ht="165" spans="1:13">
      <c r="A4603" s="1" t="s">
        <v>20524</v>
      </c>
      <c r="B4603" s="1" t="s">
        <v>13</v>
      </c>
      <c r="C4603" s="4" t="s">
        <v>20529</v>
      </c>
      <c r="D4603" s="1" t="s">
        <v>20530</v>
      </c>
      <c r="E4603" s="1" t="s">
        <v>20531</v>
      </c>
      <c r="F4603" s="4" t="s">
        <v>17</v>
      </c>
      <c r="G4603" s="1" t="s">
        <v>18</v>
      </c>
      <c r="H4603" s="1" t="s">
        <v>19</v>
      </c>
      <c r="I4603" s="1" t="s">
        <v>20</v>
      </c>
      <c r="J4603" s="1" t="s">
        <v>20532</v>
      </c>
      <c r="K4603" s="1" t="s">
        <v>22</v>
      </c>
      <c r="L4603" s="1" t="str">
        <f>HYPERLINK("https://files.afu.se/Downloads/Transcripts/0%20-%20Government/USA%20-%20NASA/2010 10 22 - NASA - Discovery Crew Looks Ahead to Mission_DzFFs3D9Tao - transcript (automated).pdf","Transcript Link")</f>
        <v>Transcript Link</v>
      </c>
      <c r="M4603" s="2" t="str">
        <f>HYPERLINK("https://files.afu.se/Downloads/Transcripts/0%20-%20Government/USA%20-%20NASA/2010 10 22 - NASA - Discovery Crew Looks Ahead to Mission_DzFFs3D9Tao - transcript (automated).pdf","Transcript Link")</f>
        <v>Transcript Link</v>
      </c>
    </row>
    <row r="4604" ht="165" spans="1:13">
      <c r="A4604" s="1" t="s">
        <v>20533</v>
      </c>
      <c r="B4604" s="1" t="s">
        <v>13</v>
      </c>
      <c r="C4604" s="4" t="s">
        <v>20534</v>
      </c>
      <c r="D4604" s="1" t="s">
        <v>20535</v>
      </c>
      <c r="E4604" s="1" t="s">
        <v>20536</v>
      </c>
      <c r="F4604" s="4" t="s">
        <v>17</v>
      </c>
      <c r="G4604" s="1" t="s">
        <v>18</v>
      </c>
      <c r="H4604" s="1" t="s">
        <v>19</v>
      </c>
      <c r="I4604" s="1" t="s">
        <v>20</v>
      </c>
      <c r="J4604" s="1" t="s">
        <v>20537</v>
      </c>
      <c r="K4604" s="1" t="s">
        <v>22</v>
      </c>
      <c r="L4604" s="1" t="str">
        <f>HYPERLINK("https://files.afu.se/Downloads/Transcripts/0%20-%20Government/USA%20-%20NASA/2010 10 21 - NASA - First Humanoid Robot to Join ISS Residents_c94TgAJuUEE - transcript (automated).pdf","Transcript Link")</f>
        <v>Transcript Link</v>
      </c>
      <c r="M4604" s="2" t="str">
        <f>HYPERLINK("https://files.afu.se/Downloads/Transcripts/0%20-%20Government/USA%20-%20NASA/2010 10 21 - NASA - First Humanoid Robot to Join ISS Residents_c94TgAJuUEE - transcript (automated).pdf","Transcript Link")</f>
        <v>Transcript Link</v>
      </c>
    </row>
    <row r="4605" ht="165" spans="1:13">
      <c r="A4605" s="1" t="s">
        <v>20533</v>
      </c>
      <c r="B4605" s="1" t="s">
        <v>13</v>
      </c>
      <c r="C4605" s="4" t="s">
        <v>20538</v>
      </c>
      <c r="D4605" s="1" t="s">
        <v>20539</v>
      </c>
      <c r="E4605" s="1" t="s">
        <v>20540</v>
      </c>
      <c r="F4605" s="4" t="s">
        <v>17</v>
      </c>
      <c r="G4605" s="1" t="s">
        <v>18</v>
      </c>
      <c r="H4605" s="1" t="s">
        <v>19</v>
      </c>
      <c r="I4605" s="1" t="s">
        <v>20</v>
      </c>
      <c r="J4605" s="1" t="s">
        <v>20541</v>
      </c>
      <c r="K4605" s="1" t="s">
        <v>22</v>
      </c>
      <c r="L4605" s="1" t="str">
        <f>HYPERLINK("https://files.afu.se/Downloads/Transcripts/0%20-%20Government/USA%20-%20NASA/2010 10 21 - NASA - STS-133 to Supply Station with Equipment, New  Crew Member _PWaTzPt3M6w - transcript (automated).pdf","Transcript Link")</f>
        <v>Transcript Link</v>
      </c>
      <c r="M4605" s="2" t="str">
        <f>HYPERLINK("https://files.afu.se/Downloads/Transcripts/0%20-%20Government/USA%20-%20NASA/2010 10 21 - NASA - STS-133 to Supply Station with Equipment, New  Crew Member _PWaTzPt3M6w - transcript (automated).pdf","Transcript Link")</f>
        <v>Transcript Link</v>
      </c>
    </row>
    <row r="4606" ht="165" spans="1:13">
      <c r="A4606" s="1" t="s">
        <v>20533</v>
      </c>
      <c r="B4606" s="1" t="s">
        <v>13</v>
      </c>
      <c r="C4606" s="4" t="s">
        <v>20542</v>
      </c>
      <c r="D4606" s="1" t="s">
        <v>20543</v>
      </c>
      <c r="E4606" s="1" t="s">
        <v>20544</v>
      </c>
      <c r="F4606" s="4" t="s">
        <v>17</v>
      </c>
      <c r="G4606" s="1" t="s">
        <v>18</v>
      </c>
      <c r="H4606" s="1" t="s">
        <v>19</v>
      </c>
      <c r="I4606" s="1" t="s">
        <v>20</v>
      </c>
      <c r="J4606" s="1" t="s">
        <v>20545</v>
      </c>
      <c r="K4606" s="1" t="s">
        <v>22</v>
      </c>
      <c r="L4606" s="1" t="str">
        <f>HYPERLINK("https://files.afu.se/Downloads/Transcripts/0%20-%20Government/USA%20-%20NASA/2010 10 21 - NASA - Next Shuttle Mission Features Two Spacewalks_dSpSushTDVw - transcript (automated).pdf","Transcript Link")</f>
        <v>Transcript Link</v>
      </c>
      <c r="M4606" s="2" t="str">
        <f>HYPERLINK("https://files.afu.se/Downloads/Transcripts/0%20-%20Government/USA%20-%20NASA/2010 10 21 - NASA - Next Shuttle Mission Features Two Spacewalks_dSpSushTDVw - transcript (automated).pdf","Transcript Link")</f>
        <v>Transcript Link</v>
      </c>
    </row>
    <row r="4607" ht="165" spans="1:13">
      <c r="A4607" s="1" t="s">
        <v>20533</v>
      </c>
      <c r="B4607" s="1" t="s">
        <v>13</v>
      </c>
      <c r="C4607" s="4" t="s">
        <v>20546</v>
      </c>
      <c r="D4607" s="1" t="s">
        <v>20547</v>
      </c>
      <c r="E4607" s="1" t="s">
        <v>20548</v>
      </c>
      <c r="F4607" s="4" t="s">
        <v>17</v>
      </c>
      <c r="G4607" s="1" t="s">
        <v>18</v>
      </c>
      <c r="H4607" s="1" t="s">
        <v>19</v>
      </c>
      <c r="I4607" s="1" t="s">
        <v>20</v>
      </c>
      <c r="J4607" s="1" t="s">
        <v>20549</v>
      </c>
      <c r="K4607" s="1" t="s">
        <v>22</v>
      </c>
      <c r="L4607" s="1" t="str">
        <f>HYPERLINK("https://files.afu.se/Downloads/Transcripts/0%20-%20Government/USA%20-%20NASA/2010 10 21 - NASA - Managers Update Status of Space Shuttle Program_ZU6lE7pAXIo - transcript (automated).pdf","Transcript Link")</f>
        <v>Transcript Link</v>
      </c>
      <c r="M4607" s="2" t="str">
        <f>HYPERLINK("https://files.afu.se/Downloads/Transcripts/0%20-%20Government/USA%20-%20NASA/2010 10 21 - NASA - Managers Update Status of Space Shuttle Program_ZU6lE7pAXIo - transcript (automated).pdf","Transcript Link")</f>
        <v>Transcript Link</v>
      </c>
    </row>
    <row r="4608" ht="165" spans="1:13">
      <c r="A4608" s="1" t="s">
        <v>20550</v>
      </c>
      <c r="B4608" s="1" t="s">
        <v>13</v>
      </c>
      <c r="C4608" s="4" t="s">
        <v>20551</v>
      </c>
      <c r="D4608" s="1" t="s">
        <v>20552</v>
      </c>
      <c r="E4608" s="1" t="s">
        <v>20553</v>
      </c>
      <c r="F4608" s="4" t="s">
        <v>17</v>
      </c>
      <c r="G4608" s="1" t="s">
        <v>18</v>
      </c>
      <c r="H4608" s="1" t="s">
        <v>19</v>
      </c>
      <c r="I4608" s="1" t="s">
        <v>20</v>
      </c>
      <c r="J4608" s="1" t="s">
        <v>20554</v>
      </c>
      <c r="K4608" s="1" t="s">
        <v>22</v>
      </c>
      <c r="L4608" s="1" t="str">
        <f>HYPERLINK("https://files.afu.se/Downloads/Transcripts/0%20-%20Government/USA%20-%20NASA/2010 10 19 - NASA - Veteran Crew to Fly Next Shuttle Mission_so5i_t3bGIs - transcript (automated).pdf","Transcript Link")</f>
        <v>Transcript Link</v>
      </c>
      <c r="M4608" s="2" t="str">
        <f>HYPERLINK("https://files.afu.se/Downloads/Transcripts/0%20-%20Government/USA%20-%20NASA/2010 10 19 - NASA - Veteran Crew to Fly Next Shuttle Mission_so5i_t3bGIs - transcript (automated).pdf","Transcript Link")</f>
        <v>Transcript Link</v>
      </c>
    </row>
    <row r="4609" ht="165" spans="1:13">
      <c r="A4609" s="1" t="s">
        <v>20555</v>
      </c>
      <c r="B4609" s="1" t="s">
        <v>13</v>
      </c>
      <c r="C4609" s="4" t="s">
        <v>20556</v>
      </c>
      <c r="D4609" s="1" t="s">
        <v>20557</v>
      </c>
      <c r="E4609" s="1" t="s">
        <v>20558</v>
      </c>
      <c r="F4609" s="4" t="s">
        <v>17</v>
      </c>
      <c r="G4609" s="1" t="s">
        <v>18</v>
      </c>
      <c r="H4609" s="1" t="s">
        <v>19</v>
      </c>
      <c r="I4609" s="1" t="s">
        <v>20</v>
      </c>
      <c r="J4609" s="1" t="s">
        <v>20559</v>
      </c>
      <c r="K4609" s="1" t="s">
        <v>22</v>
      </c>
      <c r="L4609" s="1" t="str">
        <f>HYPERLINK("https://files.afu.se/Downloads/Transcripts/0%20-%20Government/USA%20-%20NASA/2010 10 18 - NASA -  Slow and Steady  Shuttle Crawls to Launch Pad_rvKUMQ4emVk - transcript (automated).pdf","Transcript Link")</f>
        <v>Transcript Link</v>
      </c>
      <c r="M4609" s="2" t="str">
        <f>HYPERLINK("https://files.afu.se/Downloads/Transcripts/0%20-%20Government/USA%20-%20NASA/2010 10 18 - NASA -  Slow and Steady  Shuttle Crawls to Launch Pad_rvKUMQ4emVk - transcript (automated).pdf","Transcript Link")</f>
        <v>Transcript Link</v>
      </c>
    </row>
    <row r="4610" ht="165" spans="1:13">
      <c r="A4610" s="1" t="s">
        <v>20555</v>
      </c>
      <c r="B4610" s="1" t="s">
        <v>13</v>
      </c>
      <c r="C4610" s="4" t="s">
        <v>20560</v>
      </c>
      <c r="D4610" s="1" t="s">
        <v>20561</v>
      </c>
      <c r="E4610" s="1" t="s">
        <v>20562</v>
      </c>
      <c r="F4610" s="4" t="s">
        <v>17</v>
      </c>
      <c r="G4610" s="1" t="s">
        <v>18</v>
      </c>
      <c r="H4610" s="1" t="s">
        <v>19</v>
      </c>
      <c r="I4610" s="1" t="s">
        <v>20</v>
      </c>
      <c r="J4610" s="1" t="s">
        <v>20563</v>
      </c>
      <c r="K4610" s="1" t="s">
        <v>22</v>
      </c>
      <c r="L4610" s="1" t="str">
        <f>HYPERLINK("https://files.afu.se/Downloads/Transcripts/0%20-%20Government/USA%20-%20NASA/2010 10 18 - NASA - Six STS-133 Astronauts Ready for Final Flight of Discovery_i9OMpqSN1jM - transcript (automated).pdf","Transcript Link")</f>
        <v>Transcript Link</v>
      </c>
      <c r="M4610" s="2" t="str">
        <f>HYPERLINK("https://files.afu.se/Downloads/Transcripts/0%20-%20Government/USA%20-%20NASA/2010 10 18 - NASA - Six STS-133 Astronauts Ready for Final Flight of Discovery_i9OMpqSN1jM - transcript (automated).pdf","Transcript Link")</f>
        <v>Transcript Link</v>
      </c>
    </row>
    <row r="4611" ht="165" spans="1:13">
      <c r="A4611" s="1" t="s">
        <v>20564</v>
      </c>
      <c r="B4611" s="1" t="s">
        <v>13</v>
      </c>
      <c r="C4611" s="4" t="s">
        <v>20565</v>
      </c>
      <c r="D4611" s="1" t="s">
        <v>20566</v>
      </c>
      <c r="E4611" s="1" t="s">
        <v>20567</v>
      </c>
      <c r="F4611" s="4" t="s">
        <v>17</v>
      </c>
      <c r="G4611" s="1" t="s">
        <v>18</v>
      </c>
      <c r="H4611" s="1" t="s">
        <v>19</v>
      </c>
      <c r="I4611" s="1" t="s">
        <v>20</v>
      </c>
      <c r="J4611" s="1" t="s">
        <v>20568</v>
      </c>
      <c r="K4611" s="1" t="s">
        <v>22</v>
      </c>
      <c r="L4611" s="1" t="str">
        <f>HYPERLINK("https://files.afu.se/Downloads/Transcripts/0%20-%20Government/USA%20-%20NASA/2010 10 15 - NASA -  NASA Helps Chilean Miners  Tops This Week at NASA_JPkN8blaDMs - transcript (automated).pdf","Transcript Link")</f>
        <v>Transcript Link</v>
      </c>
      <c r="M4611" s="2" t="str">
        <f>HYPERLINK("https://files.afu.se/Downloads/Transcripts/0%20-%20Government/USA%20-%20NASA/2010 10 15 - NASA -  NASA Helps Chilean Miners  Tops This Week at NASA_JPkN8blaDMs - transcript (automated).pdf","Transcript Link")</f>
        <v>Transcript Link</v>
      </c>
    </row>
    <row r="4612" ht="165" spans="1:13">
      <c r="A4612" s="1" t="s">
        <v>20564</v>
      </c>
      <c r="B4612" s="1" t="s">
        <v>13</v>
      </c>
      <c r="C4612" s="4" t="s">
        <v>20569</v>
      </c>
      <c r="D4612" s="1" t="s">
        <v>20570</v>
      </c>
      <c r="E4612" s="1" t="s">
        <v>20571</v>
      </c>
      <c r="F4612" s="4" t="s">
        <v>17</v>
      </c>
      <c r="G4612" s="1" t="s">
        <v>18</v>
      </c>
      <c r="H4612" s="1" t="s">
        <v>19</v>
      </c>
      <c r="I4612" s="1" t="s">
        <v>20</v>
      </c>
      <c r="J4612" s="1" t="s">
        <v>20572</v>
      </c>
      <c r="K4612" s="1" t="s">
        <v>22</v>
      </c>
      <c r="L4612" s="1" t="str">
        <f>HYPERLINK("https://files.afu.se/Downloads/Transcripts/0%20-%20Government/USA%20-%20NASA/2010 10 15 - NASA - NASA's Sarafin Goes from Farm to Flight Director_7jEw9LoFCeM - transcript (automated).pdf","Transcript Link")</f>
        <v>Transcript Link</v>
      </c>
      <c r="M4612" s="2" t="str">
        <f>HYPERLINK("https://files.afu.se/Downloads/Transcripts/0%20-%20Government/USA%20-%20NASA/2010 10 15 - NASA - NASA's Sarafin Goes from Farm to Flight Director_7jEw9LoFCeM - transcript (automated).pdf","Transcript Link")</f>
        <v>Transcript Link</v>
      </c>
    </row>
    <row r="4613" ht="165" spans="1:13">
      <c r="A4613" s="1" t="s">
        <v>20564</v>
      </c>
      <c r="B4613" s="1" t="s">
        <v>13</v>
      </c>
      <c r="C4613" s="4" t="s">
        <v>20573</v>
      </c>
      <c r="D4613" s="1" t="s">
        <v>20574</v>
      </c>
      <c r="E4613" s="1" t="s">
        <v>20575</v>
      </c>
      <c r="F4613" s="4" t="s">
        <v>17</v>
      </c>
      <c r="G4613" s="1" t="s">
        <v>18</v>
      </c>
      <c r="H4613" s="1" t="s">
        <v>19</v>
      </c>
      <c r="I4613" s="1" t="s">
        <v>20</v>
      </c>
      <c r="J4613" s="1" t="s">
        <v>20576</v>
      </c>
      <c r="K4613" s="1" t="s">
        <v>22</v>
      </c>
      <c r="L4613" s="1" t="str">
        <f>HYPERLINK("https://files.afu.se/Downloads/Transcripts/0%20-%20Government/USA%20-%20NASA/2010 10 15 - NASA - Rolling Room Greets Returning Astronauts_YZIrX1KWKXk - transcript (automated).pdf","Transcript Link")</f>
        <v>Transcript Link</v>
      </c>
      <c r="M4613" s="2" t="str">
        <f>HYPERLINK("https://files.afu.se/Downloads/Transcripts/0%20-%20Government/USA%20-%20NASA/2010 10 15 - NASA - Rolling Room Greets Returning Astronauts_YZIrX1KWKXk - transcript (automated).pdf","Transcript Link")</f>
        <v>Transcript Link</v>
      </c>
    </row>
    <row r="4614" ht="165" spans="1:13">
      <c r="A4614" s="1" t="s">
        <v>20564</v>
      </c>
      <c r="B4614" s="1" t="s">
        <v>13</v>
      </c>
      <c r="C4614" s="4" t="s">
        <v>20577</v>
      </c>
      <c r="D4614" s="1" t="s">
        <v>20578</v>
      </c>
      <c r="E4614" s="1" t="s">
        <v>20579</v>
      </c>
      <c r="F4614" s="4" t="s">
        <v>17</v>
      </c>
      <c r="G4614" s="1" t="s">
        <v>18</v>
      </c>
      <c r="H4614" s="1" t="s">
        <v>19</v>
      </c>
      <c r="I4614" s="1" t="s">
        <v>20</v>
      </c>
      <c r="J4614" s="1" t="s">
        <v>20580</v>
      </c>
      <c r="K4614" s="1" t="s">
        <v>22</v>
      </c>
      <c r="L4614" s="1" t="str">
        <f>HYPERLINK("https://files.afu.se/Downloads/Transcripts/0%20-%20Government/USA%20-%20NASA/2010 10 15 - NASA - Astronauts Keep Trainers in BBQ Bliss_jpn2vUasQdI - transcript (automated).pdf","Transcript Link")</f>
        <v>Transcript Link</v>
      </c>
      <c r="M4614" s="2" t="str">
        <f>HYPERLINK("https://files.afu.se/Downloads/Transcripts/0%20-%20Government/USA%20-%20NASA/2010 10 15 - NASA - Astronauts Keep Trainers in BBQ Bliss_jpn2vUasQdI - transcript (automated).pdf","Transcript Link")</f>
        <v>Transcript Link</v>
      </c>
    </row>
    <row r="4615" ht="165" spans="1:13">
      <c r="A4615" s="1" t="s">
        <v>20564</v>
      </c>
      <c r="B4615" s="1" t="s">
        <v>13</v>
      </c>
      <c r="C4615" s="4" t="s">
        <v>20581</v>
      </c>
      <c r="D4615" s="1" t="s">
        <v>20582</v>
      </c>
      <c r="E4615" s="1" t="s">
        <v>20583</v>
      </c>
      <c r="F4615" s="4" t="s">
        <v>17</v>
      </c>
      <c r="G4615" s="1" t="s">
        <v>18</v>
      </c>
      <c r="H4615" s="1" t="s">
        <v>19</v>
      </c>
      <c r="I4615" s="1" t="s">
        <v>20</v>
      </c>
      <c r="J4615" s="1" t="s">
        <v>20584</v>
      </c>
      <c r="K4615" s="1" t="s">
        <v>22</v>
      </c>
      <c r="L4615" s="1" t="str">
        <f>HYPERLINK("https://files.afu.se/Downloads/Transcripts/0%20-%20Government/USA%20-%20NASA/2010 10 15 - NASA - Nickelback Chats with Wheels, Kelly on ISS_vPoE8icyE7c - transcript (automated).pdf","Transcript Link")</f>
        <v>Transcript Link</v>
      </c>
      <c r="M4615" s="2" t="str">
        <f>HYPERLINK("https://files.afu.se/Downloads/Transcripts/0%20-%20Government/USA%20-%20NASA/2010 10 15 - NASA - Nickelback Chats with Wheels, Kelly on ISS_vPoE8icyE7c - transcript (automated).pdf","Transcript Link")</f>
        <v>Transcript Link</v>
      </c>
    </row>
    <row r="4616" ht="165" spans="1:13">
      <c r="A4616" s="1" t="s">
        <v>20585</v>
      </c>
      <c r="B4616" s="1" t="s">
        <v>13</v>
      </c>
      <c r="C4616" s="4" t="s">
        <v>20586</v>
      </c>
      <c r="D4616" s="1" t="s">
        <v>20587</v>
      </c>
      <c r="E4616" s="1" t="s">
        <v>20588</v>
      </c>
      <c r="F4616" s="4" t="s">
        <v>17</v>
      </c>
      <c r="G4616" s="1" t="s">
        <v>18</v>
      </c>
      <c r="H4616" s="1" t="s">
        <v>19</v>
      </c>
      <c r="I4616" s="1" t="s">
        <v>20</v>
      </c>
      <c r="J4616" s="1" t="s">
        <v>20589</v>
      </c>
      <c r="K4616" s="1" t="s">
        <v>22</v>
      </c>
      <c r="L4616" s="1" t="str">
        <f>HYPERLINK("https://files.afu.se/Downloads/Transcripts/0%20-%20Government/USA%20-%20NASA/2010 10 14 - NASA - Astronauts Chat with  The Beeb _6DQN1Ace8Eo - transcript (automated).pdf","Transcript Link")</f>
        <v>Transcript Link</v>
      </c>
      <c r="M4616" s="2" t="str">
        <f>HYPERLINK("https://files.afu.se/Downloads/Transcripts/0%20-%20Government/USA%20-%20NASA/2010 10 14 - NASA - Astronauts Chat with  The Beeb _6DQN1Ace8Eo - transcript (automated).pdf","Transcript Link")</f>
        <v>Transcript Link</v>
      </c>
    </row>
    <row r="4617" ht="255" spans="1:13">
      <c r="A4617" s="1" t="s">
        <v>20585</v>
      </c>
      <c r="B4617" s="1" t="s">
        <v>13</v>
      </c>
      <c r="C4617" s="4" t="s">
        <v>20590</v>
      </c>
      <c r="D4617" s="1" t="s">
        <v>20591</v>
      </c>
      <c r="E4617" s="1" t="s">
        <v>20592</v>
      </c>
      <c r="F4617" s="4" t="s">
        <v>17</v>
      </c>
      <c r="G4617" s="1" t="s">
        <v>18</v>
      </c>
      <c r="H4617" s="1" t="s">
        <v>19</v>
      </c>
      <c r="I4617" s="1" t="s">
        <v>20</v>
      </c>
      <c r="J4617" s="1" t="s">
        <v>20593</v>
      </c>
      <c r="K4617" s="1" t="s">
        <v>22</v>
      </c>
      <c r="L4617" s="1" t="str">
        <f>HYPERLINK("https://files.afu.se/Downloads/Transcripts/0%20-%20Government/USA%20-%20NASA/2010 10 14 - NASA - Shuttle Discovery Crew, Media Meet at Launch Pad_pIhAmMyn1Ho - transcript (automated).pdf","Transcript Link")</f>
        <v>Transcript Link</v>
      </c>
      <c r="M4617" s="2" t="str">
        <f>HYPERLINK("https://files.afu.se/Downloads/Transcripts/0%20-%20Government/USA%20-%20NASA/2010 10 14 - NASA - Shuttle Discovery Crew, Media Meet at Launch Pad_pIhAmMyn1Ho - transcript (automated).pdf","Transcript Link")</f>
        <v>Transcript Link</v>
      </c>
    </row>
    <row r="4618" ht="165" spans="1:13">
      <c r="A4618" s="1" t="s">
        <v>20594</v>
      </c>
      <c r="B4618" s="1" t="s">
        <v>13</v>
      </c>
      <c r="C4618" s="4" t="s">
        <v>20595</v>
      </c>
      <c r="D4618" s="1" t="s">
        <v>20596</v>
      </c>
      <c r="E4618" s="1" t="s">
        <v>20597</v>
      </c>
      <c r="F4618" s="4" t="s">
        <v>17</v>
      </c>
      <c r="G4618" s="1" t="s">
        <v>18</v>
      </c>
      <c r="H4618" s="1" t="s">
        <v>19</v>
      </c>
      <c r="I4618" s="1" t="s">
        <v>20</v>
      </c>
      <c r="J4618" s="1" t="s">
        <v>20598</v>
      </c>
      <c r="K4618" s="1" t="s">
        <v>22</v>
      </c>
      <c r="L4618" s="1" t="str">
        <f>HYPERLINK("https://files.afu.se/Downloads/Transcripts/0%20-%20Government/USA%20-%20NASA/2010 10 13 - NASA - NASA Experts Assist in Chilean Miners' Survival and Rescue_pKtof0Ykccc - transcript (automated).pdf","Transcript Link")</f>
        <v>Transcript Link</v>
      </c>
      <c r="M4618" s="2" t="str">
        <f>HYPERLINK("https://files.afu.se/Downloads/Transcripts/0%20-%20Government/USA%20-%20NASA/2010 10 13 - NASA - NASA Experts Assist in Chilean Miners' Survival and Rescue_pKtof0Ykccc - transcript (automated).pdf","Transcript Link")</f>
        <v>Transcript Link</v>
      </c>
    </row>
    <row r="4619" ht="165" spans="1:13">
      <c r="A4619" s="1" t="s">
        <v>20594</v>
      </c>
      <c r="B4619" s="1" t="s">
        <v>13</v>
      </c>
      <c r="C4619" s="4" t="s">
        <v>20599</v>
      </c>
      <c r="D4619" s="1" t="s">
        <v>20600</v>
      </c>
      <c r="E4619" s="1" t="s">
        <v>20601</v>
      </c>
      <c r="F4619" s="4" t="s">
        <v>17</v>
      </c>
      <c r="G4619" s="1" t="s">
        <v>18</v>
      </c>
      <c r="H4619" s="1" t="s">
        <v>19</v>
      </c>
      <c r="I4619" s="1" t="s">
        <v>20</v>
      </c>
      <c r="J4619" s="1" t="s">
        <v>20602</v>
      </c>
      <c r="K4619" s="1" t="s">
        <v>22</v>
      </c>
      <c r="L4619" s="1" t="str">
        <f>HYPERLINK("https://files.afu.se/Downloads/Transcripts/0%20-%20Government/USA%20-%20NASA/2010 10 13 - NASA - ISS Offers Congratulations on Rescue of Chilean Miners_tkhdhaNyYqU - transcript (automated).pdf","Transcript Link")</f>
        <v>Transcript Link</v>
      </c>
      <c r="M4619" s="2" t="str">
        <f>HYPERLINK("https://files.afu.se/Downloads/Transcripts/0%20-%20Government/USA%20-%20NASA/2010 10 13 - NASA - ISS Offers Congratulations on Rescue of Chilean Miners_tkhdhaNyYqU - transcript (automated).pdf","Transcript Link")</f>
        <v>Transcript Link</v>
      </c>
    </row>
    <row r="4620" ht="165" spans="1:13">
      <c r="A4620" s="1" t="s">
        <v>20594</v>
      </c>
      <c r="B4620" s="1" t="s">
        <v>13</v>
      </c>
      <c r="C4620" s="4" t="s">
        <v>20603</v>
      </c>
      <c r="D4620" s="1" t="s">
        <v>20604</v>
      </c>
      <c r="E4620" s="1" t="s">
        <v>20605</v>
      </c>
      <c r="F4620" s="4" t="s">
        <v>17</v>
      </c>
      <c r="G4620" s="1" t="s">
        <v>18</v>
      </c>
      <c r="H4620" s="1" t="s">
        <v>19</v>
      </c>
      <c r="I4620" s="1" t="s">
        <v>20</v>
      </c>
      <c r="J4620" s="1" t="s">
        <v>20606</v>
      </c>
      <c r="K4620" s="1" t="s">
        <v>22</v>
      </c>
      <c r="L4620" s="1" t="str">
        <f>HYPERLINK("https://files.afu.se/Downloads/Transcripts/0%20-%20Government/USA%20-%20NASA/2010 10 13 - NASA - ISS Cmdr. Wheelock Talks with Military Media_bGnQMyw3oFk - transcript (automated).pdf","Transcript Link")</f>
        <v>Transcript Link</v>
      </c>
      <c r="M4620" s="2" t="str">
        <f>HYPERLINK("https://files.afu.se/Downloads/Transcripts/0%20-%20Government/USA%20-%20NASA/2010 10 13 - NASA - ISS Cmdr. Wheelock Talks with Military Media_bGnQMyw3oFk - transcript (automated).pdf","Transcript Link")</f>
        <v>Transcript Link</v>
      </c>
    </row>
    <row r="4621" ht="285" spans="1:13">
      <c r="A4621" s="1" t="s">
        <v>20607</v>
      </c>
      <c r="B4621" s="1" t="s">
        <v>13</v>
      </c>
      <c r="C4621" s="4" t="s">
        <v>20608</v>
      </c>
      <c r="D4621" s="1" t="s">
        <v>20609</v>
      </c>
      <c r="E4621" s="1" t="s">
        <v>20610</v>
      </c>
      <c r="F4621" s="4" t="s">
        <v>17</v>
      </c>
      <c r="G4621" s="1" t="s">
        <v>18</v>
      </c>
      <c r="H4621" s="1" t="s">
        <v>19</v>
      </c>
      <c r="I4621" s="1" t="s">
        <v>20</v>
      </c>
      <c r="J4621" s="1" t="s">
        <v>20611</v>
      </c>
      <c r="K4621" s="1" t="s">
        <v>22</v>
      </c>
      <c r="L4621" s="1" t="str">
        <f>HYPERLINK("https://files.afu.se/Downloads/Transcripts/0%20-%20Government/USA%20-%20NASA/2010 10 12 - NASA - Melvin to Head NASA Education__auAhph-PF4 - transcript (automated).pdf","Transcript Link")</f>
        <v>Transcript Link</v>
      </c>
      <c r="M4621" s="2" t="str">
        <f>HYPERLINK("https://files.afu.se/Downloads/Transcripts/0%20-%20Government/USA%20-%20NASA/2010 10 12 - NASA - Melvin to Head NASA Education__auAhph-PF4 - transcript (automated).pdf","Transcript Link")</f>
        <v>Transcript Link</v>
      </c>
    </row>
    <row r="4622" ht="180" spans="1:13">
      <c r="A4622" s="1" t="s">
        <v>20607</v>
      </c>
      <c r="B4622" s="1" t="s">
        <v>13</v>
      </c>
      <c r="C4622" s="4" t="s">
        <v>20612</v>
      </c>
      <c r="D4622" s="1" t="s">
        <v>20613</v>
      </c>
      <c r="E4622" s="1" t="s">
        <v>20614</v>
      </c>
      <c r="F4622" s="4" t="s">
        <v>17</v>
      </c>
      <c r="G4622" s="1" t="s">
        <v>18</v>
      </c>
      <c r="H4622" s="1" t="s">
        <v>19</v>
      </c>
      <c r="I4622" s="1" t="s">
        <v>20</v>
      </c>
      <c r="J4622" s="1" t="s">
        <v>20615</v>
      </c>
      <c r="K4622" s="1" t="s">
        <v>22</v>
      </c>
      <c r="L4622" s="1" t="str">
        <f>HYPERLINK("https://files.afu.se/Downloads/Transcripts/0%20-%20Government/USA%20-%20NASA/2010 10 12 - NASA - Shuttle Crew Arrives in Florida for Prelaunch Test_mhyIg2Jszfs - transcript (automated).pdf","Transcript Link")</f>
        <v>Transcript Link</v>
      </c>
      <c r="M4622" s="2" t="str">
        <f>HYPERLINK("https://files.afu.se/Downloads/Transcripts/0%20-%20Government/USA%20-%20NASA/2010 10 12 - NASA - Shuttle Crew Arrives in Florida for Prelaunch Test_mhyIg2Jszfs - transcript (automated).pdf","Transcript Link")</f>
        <v>Transcript Link</v>
      </c>
    </row>
    <row r="4623" ht="165" spans="1:13">
      <c r="A4623" s="1" t="s">
        <v>20616</v>
      </c>
      <c r="B4623" s="1" t="s">
        <v>13</v>
      </c>
      <c r="C4623" s="4" t="s">
        <v>20617</v>
      </c>
      <c r="D4623" s="1" t="s">
        <v>20618</v>
      </c>
      <c r="E4623" s="1" t="s">
        <v>20619</v>
      </c>
      <c r="F4623" s="4" t="s">
        <v>17</v>
      </c>
      <c r="G4623" s="1" t="s">
        <v>18</v>
      </c>
      <c r="H4623" s="1" t="s">
        <v>19</v>
      </c>
      <c r="I4623" s="1" t="s">
        <v>20</v>
      </c>
      <c r="J4623" s="1" t="s">
        <v>20620</v>
      </c>
      <c r="K4623" s="1" t="s">
        <v>22</v>
      </c>
      <c r="L4623" s="1" t="str">
        <f>HYPERLINK("https://files.afu.se/Downloads/Transcripts/0%20-%20Government/USA%20-%20NASA/2010 10 10 - NASA - Expedition 25 Crew Unites Aboard ISS_J14do2LamhE - transcript (automated).pdf","Transcript Link")</f>
        <v>Transcript Link</v>
      </c>
      <c r="M4623" s="2" t="str">
        <f>HYPERLINK("https://files.afu.se/Downloads/Transcripts/0%20-%20Government/USA%20-%20NASA/2010 10 10 - NASA - Expedition 25 Crew Unites Aboard ISS_J14do2LamhE - transcript (automated).pdf","Transcript Link")</f>
        <v>Transcript Link</v>
      </c>
    </row>
    <row r="4624" ht="165" spans="1:13">
      <c r="A4624" s="1" t="s">
        <v>20621</v>
      </c>
      <c r="B4624" s="1" t="s">
        <v>13</v>
      </c>
      <c r="C4624" s="4" t="s">
        <v>20622</v>
      </c>
      <c r="D4624" s="1" t="s">
        <v>20623</v>
      </c>
      <c r="E4624" s="1" t="s">
        <v>20624</v>
      </c>
      <c r="F4624" s="4" t="s">
        <v>17</v>
      </c>
      <c r="G4624" s="1" t="s">
        <v>18</v>
      </c>
      <c r="H4624" s="1" t="s">
        <v>19</v>
      </c>
      <c r="I4624" s="1" t="s">
        <v>20</v>
      </c>
      <c r="J4624" s="1" t="s">
        <v>20625</v>
      </c>
      <c r="K4624" s="1" t="s">
        <v>22</v>
      </c>
      <c r="L4624" s="1" t="str">
        <f>HYPERLINK("https://files.afu.se/Downloads/Transcripts/0%20-%20Government/USA%20-%20NASA/2010 10 08 - NASA - Transformer 3' 'Stars' Pose for NASA Employees_EqLqOc6rK1Q - transcript (automated).pdf","Transcript Link")</f>
        <v>Transcript Link</v>
      </c>
      <c r="M4624" s="2" t="str">
        <f>HYPERLINK("https://files.afu.se/Downloads/Transcripts/0%20-%20Government/USA%20-%20NASA/2010 10 08 - NASA - Transformer 3' 'Stars' Pose for NASA Employees_EqLqOc6rK1Q - transcript (automated).pdf","Transcript Link")</f>
        <v>Transcript Link</v>
      </c>
    </row>
    <row r="4625" ht="165" spans="1:13">
      <c r="A4625" s="1" t="s">
        <v>20621</v>
      </c>
      <c r="B4625" s="1" t="s">
        <v>13</v>
      </c>
      <c r="C4625" s="4" t="s">
        <v>20626</v>
      </c>
      <c r="D4625" s="1" t="s">
        <v>20627</v>
      </c>
      <c r="E4625" s="1" t="s">
        <v>20628</v>
      </c>
      <c r="F4625" s="4" t="s">
        <v>17</v>
      </c>
      <c r="G4625" s="1" t="s">
        <v>18</v>
      </c>
      <c r="H4625" s="1" t="s">
        <v>19</v>
      </c>
      <c r="I4625" s="1" t="s">
        <v>20</v>
      </c>
      <c r="J4625" s="1" t="s">
        <v>20629</v>
      </c>
      <c r="K4625" s="1" t="s">
        <v>22</v>
      </c>
      <c r="L4625" s="1" t="str">
        <f>HYPERLINK("https://files.afu.se/Downloads/Transcripts/0%20-%20Government/USA%20-%20NASA/2010 10 08 - NASA - Successful Launch, Congressional Support Top 'This Week @ NASA'_dVfg7Y5XF3c - transcript (automated).pdf","Transcript Link")</f>
        <v>Transcript Link</v>
      </c>
      <c r="M4625" s="2" t="str">
        <f>HYPERLINK("https://files.afu.se/Downloads/Transcripts/0%20-%20Government/USA%20-%20NASA/2010 10 08 - NASA - Successful Launch, Congressional Support Top 'This Week @ NASA'_dVfg7Y5XF3c - transcript (automated).pdf","Transcript Link")</f>
        <v>Transcript Link</v>
      </c>
    </row>
    <row r="4626" ht="165" spans="1:13">
      <c r="A4626" s="1" t="s">
        <v>20621</v>
      </c>
      <c r="B4626" s="1" t="s">
        <v>13</v>
      </c>
      <c r="C4626" s="4" t="s">
        <v>20630</v>
      </c>
      <c r="D4626" s="1" t="s">
        <v>20631</v>
      </c>
      <c r="E4626" s="1" t="s">
        <v>20632</v>
      </c>
      <c r="F4626" s="4" t="s">
        <v>17</v>
      </c>
      <c r="G4626" s="1" t="s">
        <v>18</v>
      </c>
      <c r="H4626" s="1" t="s">
        <v>19</v>
      </c>
      <c r="I4626" s="1" t="s">
        <v>20</v>
      </c>
      <c r="J4626" s="1" t="s">
        <v>20633</v>
      </c>
      <c r="K4626" s="1" t="s">
        <v>22</v>
      </c>
      <c r="L4626" s="1" t="str">
        <f>HYPERLINK("https://files.afu.se/Downloads/Transcripts/0%20-%20Government/USA%20-%20NASA/2010 10 08 - NASA - STS-133 Crew Interview  Eric Boe, Pilot_IhtqJKHC5Ig - transcript (automated).pdf","Transcript Link")</f>
        <v>Transcript Link</v>
      </c>
      <c r="M4626" s="2" t="str">
        <f>HYPERLINK("https://files.afu.se/Downloads/Transcripts/0%20-%20Government/USA%20-%20NASA/2010 10 08 - NASA - STS-133 Crew Interview  Eric Boe, Pilot_IhtqJKHC5Ig - transcript (automated).pdf","Transcript Link")</f>
        <v>Transcript Link</v>
      </c>
    </row>
    <row r="4627" ht="165" spans="1:13">
      <c r="A4627" s="1" t="s">
        <v>20621</v>
      </c>
      <c r="B4627" s="1" t="s">
        <v>13</v>
      </c>
      <c r="C4627" s="4" t="s">
        <v>20634</v>
      </c>
      <c r="D4627" s="1" t="s">
        <v>20635</v>
      </c>
      <c r="E4627" s="1" t="s">
        <v>20636</v>
      </c>
      <c r="F4627" s="4" t="s">
        <v>17</v>
      </c>
      <c r="G4627" s="1" t="s">
        <v>18</v>
      </c>
      <c r="H4627" s="1" t="s">
        <v>19</v>
      </c>
      <c r="I4627" s="1" t="s">
        <v>20</v>
      </c>
      <c r="J4627" s="1" t="s">
        <v>20637</v>
      </c>
      <c r="K4627" s="1" t="s">
        <v>22</v>
      </c>
      <c r="L4627" s="1" t="str">
        <f>HYPERLINK("https://files.afu.se/Downloads/Transcripts/0%20-%20Government/USA%20-%20NASA/2010 10 08 - NASA - STS-133 Crew Interview  Steve Lindsey, Commander__aUxShY0Tiw - transcript (automated).pdf","Transcript Link")</f>
        <v>Transcript Link</v>
      </c>
      <c r="M4627" s="2" t="str">
        <f>HYPERLINK("https://files.afu.se/Downloads/Transcripts/0%20-%20Government/USA%20-%20NASA/2010 10 08 - NASA - STS-133 Crew Interview  Steve Lindsey, Commander__aUxShY0Tiw - transcript (automated).pdf","Transcript Link")</f>
        <v>Transcript Link</v>
      </c>
    </row>
    <row r="4628" ht="165" spans="1:13">
      <c r="A4628" s="1" t="s">
        <v>20621</v>
      </c>
      <c r="B4628" s="1" t="s">
        <v>13</v>
      </c>
      <c r="C4628" s="4" t="s">
        <v>20638</v>
      </c>
      <c r="D4628" s="1" t="s">
        <v>20639</v>
      </c>
      <c r="E4628" s="1" t="s">
        <v>20640</v>
      </c>
      <c r="F4628" s="4" t="s">
        <v>17</v>
      </c>
      <c r="G4628" s="1" t="s">
        <v>18</v>
      </c>
      <c r="H4628" s="1" t="s">
        <v>19</v>
      </c>
      <c r="I4628" s="1" t="s">
        <v>20</v>
      </c>
      <c r="J4628" s="1" t="s">
        <v>20641</v>
      </c>
      <c r="K4628" s="1" t="s">
        <v>22</v>
      </c>
      <c r="L4628" s="1" t="str">
        <f>HYPERLINK("https://files.afu.se/Downloads/Transcripts/0%20-%20Government/USA%20-%20NASA/2010 10 08 - NASA - STS-133 Crew Interview  Nicole Stott, Mission Specialist_gZNXXOGRk0s - transcript (automated).pdf","Transcript Link")</f>
        <v>Transcript Link</v>
      </c>
      <c r="M4628" s="2" t="str">
        <f>HYPERLINK("https://files.afu.se/Downloads/Transcripts/0%20-%20Government/USA%20-%20NASA/2010 10 08 - NASA - STS-133 Crew Interview  Nicole Stott, Mission Specialist_gZNXXOGRk0s - transcript (automated).pdf","Transcript Link")</f>
        <v>Transcript Link</v>
      </c>
    </row>
    <row r="4629" ht="165" spans="1:13">
      <c r="A4629" s="1" t="s">
        <v>20621</v>
      </c>
      <c r="B4629" s="1" t="s">
        <v>13</v>
      </c>
      <c r="C4629" s="4" t="s">
        <v>20642</v>
      </c>
      <c r="D4629" s="1" t="s">
        <v>20643</v>
      </c>
      <c r="E4629" s="1" t="s">
        <v>20644</v>
      </c>
      <c r="F4629" s="4" t="s">
        <v>17</v>
      </c>
      <c r="G4629" s="1" t="s">
        <v>18</v>
      </c>
      <c r="H4629" s="1" t="s">
        <v>19</v>
      </c>
      <c r="I4629" s="1" t="s">
        <v>20</v>
      </c>
      <c r="J4629" s="1" t="s">
        <v>20645</v>
      </c>
      <c r="K4629" s="1" t="s">
        <v>22</v>
      </c>
      <c r="L4629" s="1" t="str">
        <f>HYPERLINK("https://files.afu.se/Downloads/Transcripts/0%20-%20Government/USA%20-%20NASA/2010 10 08 - NASA - STS-133 Crew Interview  Alvin Drew, Mission Specialist_V080m972yFE - transcript (automated).pdf","Transcript Link")</f>
        <v>Transcript Link</v>
      </c>
      <c r="M4629" s="2" t="str">
        <f>HYPERLINK("https://files.afu.se/Downloads/Transcripts/0%20-%20Government/USA%20-%20NASA/2010 10 08 - NASA - STS-133 Crew Interview  Alvin Drew, Mission Specialist_V080m972yFE - transcript (automated).pdf","Transcript Link")</f>
        <v>Transcript Link</v>
      </c>
    </row>
    <row r="4630" ht="165" spans="1:13">
      <c r="A4630" s="1" t="s">
        <v>20621</v>
      </c>
      <c r="B4630" s="1" t="s">
        <v>13</v>
      </c>
      <c r="C4630" s="4" t="s">
        <v>20646</v>
      </c>
      <c r="D4630" s="1" t="s">
        <v>20647</v>
      </c>
      <c r="E4630" s="1" t="s">
        <v>20648</v>
      </c>
      <c r="F4630" s="4" t="s">
        <v>17</v>
      </c>
      <c r="G4630" s="1" t="s">
        <v>18</v>
      </c>
      <c r="H4630" s="1" t="s">
        <v>19</v>
      </c>
      <c r="I4630" s="1" t="s">
        <v>20</v>
      </c>
      <c r="J4630" s="1" t="s">
        <v>20649</v>
      </c>
      <c r="K4630" s="1" t="s">
        <v>22</v>
      </c>
      <c r="L4630" s="1" t="str">
        <f>HYPERLINK("https://files.afu.se/Downloads/Transcripts/0%20-%20Government/USA%20-%20NASA/2010 10 08 - NASA - STS-133 Crew Interview  Tim Kopra, Mission Specialist_vNHouLrFx-k - transcript (automated).pdf","Transcript Link")</f>
        <v>Transcript Link</v>
      </c>
      <c r="M4630" s="2" t="str">
        <f>HYPERLINK("https://files.afu.se/Downloads/Transcripts/0%20-%20Government/USA%20-%20NASA/2010 10 08 - NASA - STS-133 Crew Interview  Tim Kopra, Mission Specialist_vNHouLrFx-k - transcript (automated).pdf","Transcript Link")</f>
        <v>Transcript Link</v>
      </c>
    </row>
    <row r="4631" ht="165" spans="1:13">
      <c r="A4631" s="1" t="s">
        <v>20621</v>
      </c>
      <c r="B4631" s="1" t="s">
        <v>13</v>
      </c>
      <c r="C4631" s="4" t="s">
        <v>20650</v>
      </c>
      <c r="D4631" s="1" t="s">
        <v>20651</v>
      </c>
      <c r="E4631" s="1" t="s">
        <v>20652</v>
      </c>
      <c r="F4631" s="4" t="s">
        <v>17</v>
      </c>
      <c r="G4631" s="1" t="s">
        <v>18</v>
      </c>
      <c r="H4631" s="1" t="s">
        <v>19</v>
      </c>
      <c r="I4631" s="1" t="s">
        <v>20</v>
      </c>
      <c r="J4631" s="1" t="s">
        <v>20653</v>
      </c>
      <c r="K4631" s="1" t="s">
        <v>22</v>
      </c>
      <c r="L4631" s="1" t="str">
        <f>HYPERLINK("https://files.afu.se/Downloads/Transcripts/0%20-%20Government/USA%20-%20NASA/2010 10 08 - NASA - STS-133 Crew Interview  Mike Barratt, Mission Specialist_84NJXctzzIU - transcript (automated).pdf","Transcript Link")</f>
        <v>Transcript Link</v>
      </c>
      <c r="M4631" s="2" t="str">
        <f>HYPERLINK("https://files.afu.se/Downloads/Transcripts/0%20-%20Government/USA%20-%20NASA/2010 10 08 - NASA - STS-133 Crew Interview  Mike Barratt, Mission Specialist_84NJXctzzIU - transcript (automated).pdf","Transcript Link")</f>
        <v>Transcript Link</v>
      </c>
    </row>
    <row r="4632" ht="180" spans="1:13">
      <c r="A4632" s="1" t="s">
        <v>20654</v>
      </c>
      <c r="B4632" s="1" t="s">
        <v>13</v>
      </c>
      <c r="C4632" s="4" t="s">
        <v>20655</v>
      </c>
      <c r="D4632" s="1" t="s">
        <v>20656</v>
      </c>
      <c r="E4632" s="1" t="s">
        <v>20657</v>
      </c>
      <c r="F4632" s="4" t="s">
        <v>17</v>
      </c>
      <c r="G4632" s="1" t="s">
        <v>18</v>
      </c>
      <c r="H4632" s="1" t="s">
        <v>19</v>
      </c>
      <c r="I4632" s="1" t="s">
        <v>20</v>
      </c>
      <c r="J4632" s="1" t="s">
        <v>20658</v>
      </c>
      <c r="K4632" s="1" t="s">
        <v>22</v>
      </c>
      <c r="L4632" s="1" t="str">
        <f>HYPERLINK("https://files.afu.se/Downloads/Transcripts/0%20-%20Government/USA%20-%20NASA/2010 10 07 - NASA - Expedition 25 Launches to International Space Station_WgIMIXahv9s - transcript (automated).pdf","Transcript Link")</f>
        <v>Transcript Link</v>
      </c>
      <c r="M4632" s="2" t="str">
        <f>HYPERLINK("https://files.afu.se/Downloads/Transcripts/0%20-%20Government/USA%20-%20NASA/2010 10 07 - NASA - Expedition 25 Launches to International Space Station_WgIMIXahv9s - transcript (automated).pdf","Transcript Link")</f>
        <v>Transcript Link</v>
      </c>
    </row>
    <row r="4633" ht="165" spans="1:13">
      <c r="A4633" s="1" t="s">
        <v>20654</v>
      </c>
      <c r="B4633" s="1" t="s">
        <v>13</v>
      </c>
      <c r="C4633" s="4" t="s">
        <v>20659</v>
      </c>
      <c r="D4633" s="1" t="s">
        <v>20660</v>
      </c>
      <c r="F4633" s="4" t="s">
        <v>17</v>
      </c>
      <c r="G4633" s="1" t="s">
        <v>18</v>
      </c>
      <c r="H4633" s="1" t="s">
        <v>19</v>
      </c>
      <c r="I4633" s="1" t="s">
        <v>20</v>
      </c>
      <c r="J4633" s="1" t="s">
        <v>20661</v>
      </c>
      <c r="K4633" s="1" t="s">
        <v>22</v>
      </c>
      <c r="L4633" s="1" t="str">
        <f>HYPERLINK("https://files.afu.se/Downloads/Transcripts/0%20-%20Government/USA%20-%20NASA/2010 10 07 - NASA - Exp 25 State Commission Meeting_0qUr2hv4K8I - transcript (automated).pdf","Transcript Link")</f>
        <v>Transcript Link</v>
      </c>
      <c r="M4633" s="2" t="str">
        <f>HYPERLINK("https://files.afu.se/Downloads/Transcripts/0%20-%20Government/USA%20-%20NASA/2010 10 07 - NASA - Exp 25 State Commission Meeting_0qUr2hv4K8I - transcript (automated).pdf","Transcript Link")</f>
        <v>Transcript Link</v>
      </c>
    </row>
    <row r="4634" ht="165" spans="1:13">
      <c r="A4634" s="1" t="s">
        <v>20662</v>
      </c>
      <c r="B4634" s="1" t="s">
        <v>13</v>
      </c>
      <c r="C4634" s="4" t="s">
        <v>20663</v>
      </c>
      <c r="D4634" s="1" t="s">
        <v>20664</v>
      </c>
      <c r="E4634" s="1" t="s">
        <v>20665</v>
      </c>
      <c r="F4634" s="4" t="s">
        <v>17</v>
      </c>
      <c r="G4634" s="1" t="s">
        <v>18</v>
      </c>
      <c r="H4634" s="1" t="s">
        <v>19</v>
      </c>
      <c r="I4634" s="1" t="s">
        <v>20</v>
      </c>
      <c r="J4634" s="1" t="s">
        <v>20666</v>
      </c>
      <c r="K4634" s="1" t="s">
        <v>22</v>
      </c>
      <c r="L4634" s="1" t="str">
        <f>HYPERLINK("https://files.afu.se/Downloads/Transcripts/0%20-%20Government/USA%20-%20NASA/2010 10 05 - NASA - Expedition 25's Kaleri Spaceflight Veteran_GE3jZLGaLPs - transcript (automated).pdf","Transcript Link")</f>
        <v>Transcript Link</v>
      </c>
      <c r="M4634" s="2" t="str">
        <f>HYPERLINK("https://files.afu.se/Downloads/Transcripts/0%20-%20Government/USA%20-%20NASA/2010 10 05 - NASA - Expedition 25's Kaleri Spaceflight Veteran_GE3jZLGaLPs - transcript (automated).pdf","Transcript Link")</f>
        <v>Transcript Link</v>
      </c>
    </row>
    <row r="4635" ht="165" spans="1:13">
      <c r="A4635" s="1" t="s">
        <v>20662</v>
      </c>
      <c r="B4635" s="1" t="s">
        <v>13</v>
      </c>
      <c r="C4635" s="4" t="s">
        <v>20667</v>
      </c>
      <c r="D4635" s="1" t="s">
        <v>20668</v>
      </c>
      <c r="E4635" s="1" t="s">
        <v>20669</v>
      </c>
      <c r="F4635" s="4" t="s">
        <v>17</v>
      </c>
      <c r="G4635" s="1" t="s">
        <v>18</v>
      </c>
      <c r="H4635" s="1" t="s">
        <v>19</v>
      </c>
      <c r="I4635" s="1" t="s">
        <v>20</v>
      </c>
      <c r="J4635" s="1" t="s">
        <v>20670</v>
      </c>
      <c r="K4635" s="1" t="s">
        <v>22</v>
      </c>
      <c r="L4635" s="1" t="str">
        <f>HYPERLINK("https://files.afu.se/Downloads/Transcripts/0%20-%20Government/USA%20-%20NASA/2010 10 05 - NASA - Expedition 25 Kelly's Second Spaceflight_jxapK63HUII - transcript (automated).pdf","Transcript Link")</f>
        <v>Transcript Link</v>
      </c>
      <c r="M4635" s="2" t="str">
        <f>HYPERLINK("https://files.afu.se/Downloads/Transcripts/0%20-%20Government/USA%20-%20NASA/2010 10 05 - NASA - Expedition 25 Kelly's Second Spaceflight_jxapK63HUII - transcript (automated).pdf","Transcript Link")</f>
        <v>Transcript Link</v>
      </c>
    </row>
    <row r="4636" ht="165" spans="1:13">
      <c r="A4636" s="1" t="s">
        <v>20662</v>
      </c>
      <c r="B4636" s="1" t="s">
        <v>13</v>
      </c>
      <c r="C4636" s="4" t="s">
        <v>20671</v>
      </c>
      <c r="D4636" s="1" t="s">
        <v>20672</v>
      </c>
      <c r="E4636" s="1" t="s">
        <v>20673</v>
      </c>
      <c r="F4636" s="4" t="s">
        <v>17</v>
      </c>
      <c r="G4636" s="1" t="s">
        <v>18</v>
      </c>
      <c r="H4636" s="1" t="s">
        <v>19</v>
      </c>
      <c r="I4636" s="1" t="s">
        <v>20</v>
      </c>
      <c r="J4636" s="1" t="s">
        <v>20674</v>
      </c>
      <c r="K4636" s="1" t="s">
        <v>22</v>
      </c>
      <c r="L4636" s="1" t="str">
        <f>HYPERLINK("https://files.afu.se/Downloads/Transcripts/0%20-%20Government/USA%20-%20NASA/2010 10 05 - NASA - Russian Flight Engineer Makes First Foray into Space__0cXTjnyFCk - transcript (automated).pdf","Transcript Link")</f>
        <v>Transcript Link</v>
      </c>
      <c r="M4636" s="2" t="str">
        <f>HYPERLINK("https://files.afu.se/Downloads/Transcripts/0%20-%20Government/USA%20-%20NASA/2010 10 05 - NASA - Russian Flight Engineer Makes First Foray into Space__0cXTjnyFCk - transcript (automated).pdf","Transcript Link")</f>
        <v>Transcript Link</v>
      </c>
    </row>
    <row r="4637" ht="165" spans="1:13">
      <c r="A4637" s="1" t="s">
        <v>20662</v>
      </c>
      <c r="B4637" s="1" t="s">
        <v>13</v>
      </c>
      <c r="C4637" s="4" t="s">
        <v>20675</v>
      </c>
      <c r="D4637" s="1" t="s">
        <v>20676</v>
      </c>
      <c r="E4637" s="1" t="s">
        <v>20677</v>
      </c>
      <c r="F4637" s="4" t="s">
        <v>17</v>
      </c>
      <c r="G4637" s="1" t="s">
        <v>18</v>
      </c>
      <c r="H4637" s="1" t="s">
        <v>19</v>
      </c>
      <c r="I4637" s="1" t="s">
        <v>20</v>
      </c>
      <c r="J4637" s="1" t="s">
        <v>20678</v>
      </c>
      <c r="K4637" s="1" t="s">
        <v>22</v>
      </c>
      <c r="L4637" s="1" t="str">
        <f>HYPERLINK("https://files.afu.se/Downloads/Transcripts/0%20-%20Government/USA%20-%20NASA/2010 10 05 - NASA - Expedition 25 Crew Readies as Rocket Rolls Out To  Launch Pad_vtLlnrNrbys - transcript (automated).pdf","Transcript Link")</f>
        <v>Transcript Link</v>
      </c>
      <c r="M4637" s="2" t="str">
        <f>HYPERLINK("https://files.afu.se/Downloads/Transcripts/0%20-%20Government/USA%20-%20NASA/2010 10 05 - NASA - Expedition 25 Crew Readies as Rocket Rolls Out To  Launch Pad_vtLlnrNrbys - transcript (automated).pdf","Transcript Link")</f>
        <v>Transcript Link</v>
      </c>
    </row>
    <row r="4638" ht="165" spans="1:13">
      <c r="A4638" s="1" t="s">
        <v>20662</v>
      </c>
      <c r="B4638" s="1" t="s">
        <v>13</v>
      </c>
      <c r="C4638" s="4" t="s">
        <v>20679</v>
      </c>
      <c r="D4638" s="1" t="s">
        <v>20680</v>
      </c>
      <c r="E4638" s="1" t="s">
        <v>20681</v>
      </c>
      <c r="F4638" s="4" t="s">
        <v>17</v>
      </c>
      <c r="G4638" s="1" t="s">
        <v>18</v>
      </c>
      <c r="H4638" s="1" t="s">
        <v>19</v>
      </c>
      <c r="I4638" s="1" t="s">
        <v>20</v>
      </c>
      <c r="J4638" s="1" t="s">
        <v>20682</v>
      </c>
      <c r="K4638" s="1" t="s">
        <v>22</v>
      </c>
      <c r="L4638" s="1" t="str">
        <f>HYPERLINK("https://files.afu.se/Downloads/Transcripts/0%20-%20Government/USA%20-%20NASA/2010 10 05 - NASA - Expedition 25 Members Latest Stewards of ISS_cmJgAhwETy4 - transcript (automated).pdf","Transcript Link")</f>
        <v>Transcript Link</v>
      </c>
      <c r="M4638" s="2" t="str">
        <f>HYPERLINK("https://files.afu.se/Downloads/Transcripts/0%20-%20Government/USA%20-%20NASA/2010 10 05 - NASA - Expedition 25 Members Latest Stewards of ISS_cmJgAhwETy4 - transcript (automated).pdf","Transcript Link")</f>
        <v>Transcript Link</v>
      </c>
    </row>
    <row r="4639" ht="165" spans="1:13">
      <c r="A4639" s="1" t="s">
        <v>20662</v>
      </c>
      <c r="B4639" s="1" t="s">
        <v>13</v>
      </c>
      <c r="C4639" s="4" t="s">
        <v>20683</v>
      </c>
      <c r="D4639" s="1" t="s">
        <v>20684</v>
      </c>
      <c r="E4639" s="1" t="s">
        <v>20685</v>
      </c>
      <c r="F4639" s="4" t="s">
        <v>17</v>
      </c>
      <c r="G4639" s="1" t="s">
        <v>18</v>
      </c>
      <c r="H4639" s="1" t="s">
        <v>19</v>
      </c>
      <c r="I4639" s="1" t="s">
        <v>20</v>
      </c>
      <c r="J4639" s="1" t="s">
        <v>20686</v>
      </c>
      <c r="K4639" s="1" t="s">
        <v>22</v>
      </c>
      <c r="L4639" s="1" t="str">
        <f>HYPERLINK("https://files.afu.se/Downloads/Transcripts/0%20-%20Government/USA%20-%20NASA/2010 10 05 - NASA - Latest Inhabitants Continue Research Aboard Station_llix751qov0 - transcript (automated).pdf","Transcript Link")</f>
        <v>Transcript Link</v>
      </c>
      <c r="M4639" s="2" t="str">
        <f>HYPERLINK("https://files.afu.se/Downloads/Transcripts/0%20-%20Government/USA%20-%20NASA/2010 10 05 - NASA - Latest Inhabitants Continue Research Aboard Station_llix751qov0 - transcript (automated).pdf","Transcript Link")</f>
        <v>Transcript Link</v>
      </c>
    </row>
    <row r="4640" ht="180" spans="1:13">
      <c r="A4640" s="1" t="s">
        <v>20662</v>
      </c>
      <c r="B4640" s="1" t="s">
        <v>13</v>
      </c>
      <c r="C4640" s="4" t="s">
        <v>20687</v>
      </c>
      <c r="D4640" s="1" t="s">
        <v>20688</v>
      </c>
      <c r="E4640" s="1" t="s">
        <v>20689</v>
      </c>
      <c r="F4640" s="4" t="s">
        <v>17</v>
      </c>
      <c r="G4640" s="1" t="s">
        <v>18</v>
      </c>
      <c r="H4640" s="1" t="s">
        <v>19</v>
      </c>
      <c r="I4640" s="1" t="s">
        <v>20</v>
      </c>
      <c r="J4640" s="1" t="s">
        <v>20690</v>
      </c>
      <c r="K4640" s="1" t="s">
        <v>22</v>
      </c>
      <c r="L4640" s="1" t="str">
        <f>HYPERLINK("https://files.afu.se/Downloads/Transcripts/0%20-%20Government/USA%20-%20NASA/2010 10 05 - NASA - WISE  Warms Up  for Post-Cryogenic Mission_vaChod1zEAQ - transcript (automated).pdf","Transcript Link")</f>
        <v>Transcript Link</v>
      </c>
      <c r="M4640" s="2" t="str">
        <f>HYPERLINK("https://files.afu.se/Downloads/Transcripts/0%20-%20Government/USA%20-%20NASA/2010 10 05 - NASA - WISE  Warms Up  for Post-Cryogenic Mission_vaChod1zEAQ - transcript (automated).pdf","Transcript Link")</f>
        <v>Transcript Link</v>
      </c>
    </row>
    <row r="4641" ht="165" spans="1:13">
      <c r="A4641" s="1" t="s">
        <v>20691</v>
      </c>
      <c r="B4641" s="1" t="s">
        <v>13</v>
      </c>
      <c r="C4641" s="4" t="s">
        <v>20692</v>
      </c>
      <c r="D4641" s="1" t="s">
        <v>20693</v>
      </c>
      <c r="E4641" s="1" t="s">
        <v>20694</v>
      </c>
      <c r="F4641" s="4" t="s">
        <v>17</v>
      </c>
      <c r="G4641" s="1" t="s">
        <v>18</v>
      </c>
      <c r="H4641" s="1" t="s">
        <v>19</v>
      </c>
      <c r="I4641" s="1" t="s">
        <v>20</v>
      </c>
      <c r="J4641" s="1" t="s">
        <v>20695</v>
      </c>
      <c r="K4641" s="1" t="s">
        <v>22</v>
      </c>
      <c r="L4641" s="1" t="str">
        <f>HYPERLINK("https://files.afu.se/Downloads/Transcripts/0%20-%20Government/USA%20-%20NASA/2010 10 01 - NASA - Last Mission Update, The Art of Space, and Hispanic Heritage on This Week@NASA!_ug3Dr6IqZiQ - transcript (automated).pdf","Transcript Link")</f>
        <v>Transcript Link</v>
      </c>
      <c r="M4641" s="2" t="str">
        <f>HYPERLINK("https://files.afu.se/Downloads/Transcripts/0%20-%20Government/USA%20-%20NASA/2010 10 01 - NASA - Last Mission Update, The Art of Space, and Hispanic Heritage on This Week@NASA!_ug3Dr6IqZiQ - transcript (automated).pdf","Transcript Link")</f>
        <v>Transcript Link</v>
      </c>
    </row>
    <row r="4642" ht="165" spans="1:13">
      <c r="A4642" s="1" t="s">
        <v>20691</v>
      </c>
      <c r="B4642" s="1" t="s">
        <v>13</v>
      </c>
      <c r="C4642" s="4" t="s">
        <v>20696</v>
      </c>
      <c r="D4642" s="1" t="s">
        <v>20697</v>
      </c>
      <c r="E4642" s="1" t="s">
        <v>20698</v>
      </c>
      <c r="F4642" s="4" t="s">
        <v>17</v>
      </c>
      <c r="G4642" s="1" t="s">
        <v>18</v>
      </c>
      <c r="H4642" s="1" t="s">
        <v>19</v>
      </c>
      <c r="I4642" s="1" t="s">
        <v>20</v>
      </c>
      <c r="J4642" s="1" t="s">
        <v>20699</v>
      </c>
      <c r="K4642" s="1" t="s">
        <v>22</v>
      </c>
      <c r="L4642" s="1" t="str">
        <f>HYPERLINK("https://files.afu.se/Downloads/Transcripts/0%20-%20Government/USA%20-%20NASA/2010 10 01 - NASA - Mass Shares Shuttle's  Close-Up _qAEjsS0i06k - transcript (automated).pdf","Transcript Link")</f>
        <v>Transcript Link</v>
      </c>
      <c r="M4642" s="2" t="str">
        <f>HYPERLINK("https://files.afu.se/Downloads/Transcripts/0%20-%20Government/USA%20-%20NASA/2010 10 01 - NASA - Mass Shares Shuttle's  Close-Up _qAEjsS0i06k - transcript (automated).pdf","Transcript Link")</f>
        <v>Transcript Link</v>
      </c>
    </row>
    <row r="4643" ht="165" spans="1:13">
      <c r="A4643" s="1" t="s">
        <v>20691</v>
      </c>
      <c r="B4643" s="1" t="s">
        <v>13</v>
      </c>
      <c r="C4643" s="4" t="s">
        <v>20700</v>
      </c>
      <c r="D4643" s="1" t="s">
        <v>20701</v>
      </c>
      <c r="E4643" s="1" t="s">
        <v>20702</v>
      </c>
      <c r="F4643" s="4" t="s">
        <v>17</v>
      </c>
      <c r="G4643" s="1" t="s">
        <v>18</v>
      </c>
      <c r="H4643" s="1" t="s">
        <v>19</v>
      </c>
      <c r="I4643" s="1" t="s">
        <v>20</v>
      </c>
      <c r="J4643" s="1" t="s">
        <v>20703</v>
      </c>
      <c r="K4643" s="1" t="s">
        <v>22</v>
      </c>
      <c r="L4643" s="1" t="str">
        <f>HYPERLINK("https://files.afu.se/Downloads/Transcripts/0%20-%20Government/USA%20-%20NASA/2010 10 01 - NASA - Astros' Pockets Deep in Mystery_3zuIcj2PcH4 - transcript (automated).pdf","Transcript Link")</f>
        <v>Transcript Link</v>
      </c>
      <c r="M4643" s="2" t="str">
        <f>HYPERLINK("https://files.afu.se/Downloads/Transcripts/0%20-%20Government/USA%20-%20NASA/2010 10 01 - NASA - Astros' Pockets Deep in Mystery_3zuIcj2PcH4 - transcript (automated).pdf","Transcript Link")</f>
        <v>Transcript Link</v>
      </c>
    </row>
    <row r="4644" ht="180" spans="1:13">
      <c r="A4644" s="1" t="s">
        <v>20704</v>
      </c>
      <c r="B4644" s="1" t="s">
        <v>13</v>
      </c>
      <c r="C4644" s="4" t="s">
        <v>20705</v>
      </c>
      <c r="D4644" s="1" t="s">
        <v>20706</v>
      </c>
      <c r="E4644" s="1" t="s">
        <v>20707</v>
      </c>
      <c r="F4644" s="4" t="s">
        <v>17</v>
      </c>
      <c r="G4644" s="1" t="s">
        <v>18</v>
      </c>
      <c r="H4644" s="1" t="s">
        <v>19</v>
      </c>
      <c r="I4644" s="1" t="s">
        <v>20</v>
      </c>
      <c r="J4644" s="1" t="s">
        <v>20708</v>
      </c>
      <c r="K4644" s="1" t="s">
        <v>22</v>
      </c>
      <c r="L4644" s="1" t="str">
        <f>HYPERLINK("https://files.afu.se/Downloads/Transcripts/0%20-%20Government/USA%20-%20NASA/2010 09 30 - NASA - External Tank Gets Lift for  Checkout _MlIQTEwiKzQ - transcript (automated).pdf","Transcript Link")</f>
        <v>Transcript Link</v>
      </c>
      <c r="M4644" s="2" t="str">
        <f>HYPERLINK("https://files.afu.se/Downloads/Transcripts/0%20-%20Government/USA%20-%20NASA/2010 09 30 - NASA - External Tank Gets Lift for  Checkout _MlIQTEwiKzQ - transcript (automated).pdf","Transcript Link")</f>
        <v>Transcript Link</v>
      </c>
    </row>
    <row r="4645" ht="165" spans="1:13">
      <c r="A4645" s="1" t="s">
        <v>20704</v>
      </c>
      <c r="B4645" s="1" t="s">
        <v>13</v>
      </c>
      <c r="C4645" s="4" t="s">
        <v>20709</v>
      </c>
      <c r="D4645" s="1" t="s">
        <v>20710</v>
      </c>
      <c r="E4645" s="1" t="s">
        <v>20711</v>
      </c>
      <c r="F4645" s="4" t="s">
        <v>17</v>
      </c>
      <c r="G4645" s="1" t="s">
        <v>18</v>
      </c>
      <c r="H4645" s="1" t="s">
        <v>19</v>
      </c>
      <c r="I4645" s="1" t="s">
        <v>20</v>
      </c>
      <c r="J4645" s="1" t="s">
        <v>20712</v>
      </c>
      <c r="K4645" s="1" t="s">
        <v>22</v>
      </c>
      <c r="L4645" s="1" t="str">
        <f>HYPERLINK("https://files.afu.se/Downloads/Transcripts/0%20-%20Government/USA%20-%20NASA/2010 09 30 - NASA - NASA Spacecraft Reveals Changes at Solar System's Edge_HtpR8TmZGW4 - transcript (automated).pdf","Transcript Link")</f>
        <v>Transcript Link</v>
      </c>
      <c r="M4645" s="2" t="str">
        <f>HYPERLINK("https://files.afu.se/Downloads/Transcripts/0%20-%20Government/USA%20-%20NASA/2010 09 30 - NASA - NASA Spacecraft Reveals Changes at Solar System's Edge_HtpR8TmZGW4 - transcript (automated).pdf","Transcript Link")</f>
        <v>Transcript Link</v>
      </c>
    </row>
    <row r="4646" ht="165" spans="1:13">
      <c r="A4646" s="1" t="s">
        <v>20713</v>
      </c>
      <c r="B4646" s="1" t="s">
        <v>13</v>
      </c>
      <c r="C4646" s="4" t="s">
        <v>20714</v>
      </c>
      <c r="D4646" s="1" t="s">
        <v>20715</v>
      </c>
      <c r="E4646" s="1" t="s">
        <v>20716</v>
      </c>
      <c r="F4646" s="4" t="s">
        <v>17</v>
      </c>
      <c r="G4646" s="1" t="s">
        <v>18</v>
      </c>
      <c r="H4646" s="1" t="s">
        <v>19</v>
      </c>
      <c r="I4646" s="1" t="s">
        <v>20</v>
      </c>
      <c r="J4646" s="1" t="s">
        <v>20717</v>
      </c>
      <c r="K4646" s="1" t="s">
        <v>22</v>
      </c>
      <c r="L4646" s="1" t="str">
        <f>HYPERLINK("https://files.afu.se/Downloads/Transcripts/0%20-%20Government/USA%20-%20NASA/2010 09 29 - NASA - Alumna Walker Quizzed by Houston School's Students__HoxR1W6uVg - transcript (automated).pdf","Transcript Link")</f>
        <v>Transcript Link</v>
      </c>
      <c r="M4646" s="2" t="str">
        <f>HYPERLINK("https://files.afu.se/Downloads/Transcripts/0%20-%20Government/USA%20-%20NASA/2010 09 29 - NASA - Alumna Walker Quizzed by Houston School's Students__HoxR1W6uVg - transcript (automated).pdf","Transcript Link")</f>
        <v>Transcript Link</v>
      </c>
    </row>
    <row r="4647" ht="165" spans="1:13">
      <c r="A4647" s="1" t="s">
        <v>20713</v>
      </c>
      <c r="B4647" s="1" t="s">
        <v>13</v>
      </c>
      <c r="C4647" s="4" t="s">
        <v>20718</v>
      </c>
      <c r="D4647" s="1" t="s">
        <v>20719</v>
      </c>
      <c r="E4647" s="1" t="s">
        <v>20720</v>
      </c>
      <c r="F4647" s="4" t="s">
        <v>17</v>
      </c>
      <c r="G4647" s="1" t="s">
        <v>18</v>
      </c>
      <c r="H4647" s="1" t="s">
        <v>19</v>
      </c>
      <c r="I4647" s="1" t="s">
        <v>20</v>
      </c>
      <c r="J4647" s="1" t="s">
        <v>20721</v>
      </c>
      <c r="K4647" s="1" t="s">
        <v>22</v>
      </c>
      <c r="L4647" s="1" t="str">
        <f>HYPERLINK("https://files.afu.se/Downloads/Transcripts/0%20-%20Government/USA%20-%20NASA/2010 09 29 - NASA - First  Goldilocks  Exoplanet Discovered by NASA-funded Researchers_UqhkfIrJ_Ic - transcript (automated).pdf","Transcript Link")</f>
        <v>Transcript Link</v>
      </c>
      <c r="M4647" s="2" t="str">
        <f>HYPERLINK("https://files.afu.se/Downloads/Transcripts/0%20-%20Government/USA%20-%20NASA/2010 09 29 - NASA - First  Goldilocks  Exoplanet Discovered by NASA-funded Researchers_UqhkfIrJ_Ic - transcript (automated).pdf","Transcript Link")</f>
        <v>Transcript Link</v>
      </c>
    </row>
    <row r="4648" ht="165" spans="1:13">
      <c r="A4648" s="1" t="s">
        <v>20713</v>
      </c>
      <c r="B4648" s="1" t="s">
        <v>13</v>
      </c>
      <c r="C4648" s="4" t="s">
        <v>20722</v>
      </c>
      <c r="D4648" s="1" t="s">
        <v>20723</v>
      </c>
      <c r="E4648" s="1" t="s">
        <v>20724</v>
      </c>
      <c r="F4648" s="4" t="s">
        <v>17</v>
      </c>
      <c r="G4648" s="1" t="s">
        <v>18</v>
      </c>
      <c r="H4648" s="1" t="s">
        <v>19</v>
      </c>
      <c r="I4648" s="1" t="s">
        <v>20</v>
      </c>
      <c r="J4648" s="1" t="s">
        <v>20725</v>
      </c>
      <c r="K4648" s="1" t="s">
        <v>22</v>
      </c>
      <c r="L4648" s="1" t="str">
        <f>HYPERLINK("https://files.afu.se/Downloads/Transcripts/0%20-%20Government/USA%20-%20NASA/2010 09 29 - NASA - Hispanic American Month Profile   Dr. Ellen Ochoa_G40G1q1I7u8 - transcript (automated).pdf","Transcript Link")</f>
        <v>Transcript Link</v>
      </c>
      <c r="M4648" s="2" t="str">
        <f>HYPERLINK("https://files.afu.se/Downloads/Transcripts/0%20-%20Government/USA%20-%20NASA/2010 09 29 - NASA - Hispanic American Month Profile   Dr. Ellen Ochoa_G40G1q1I7u8 - transcript (automated).pdf","Transcript Link")</f>
        <v>Transcript Link</v>
      </c>
    </row>
    <row r="4649" ht="165" spans="1:13">
      <c r="A4649" s="1" t="s">
        <v>20726</v>
      </c>
      <c r="B4649" s="1" t="s">
        <v>13</v>
      </c>
      <c r="C4649" s="4" t="s">
        <v>20727</v>
      </c>
      <c r="D4649" s="1" t="s">
        <v>20728</v>
      </c>
      <c r="E4649" s="1" t="s">
        <v>20729</v>
      </c>
      <c r="F4649" s="4" t="s">
        <v>17</v>
      </c>
      <c r="G4649" s="1" t="s">
        <v>18</v>
      </c>
      <c r="H4649" s="1" t="s">
        <v>19</v>
      </c>
      <c r="I4649" s="1" t="s">
        <v>20</v>
      </c>
      <c r="J4649" s="1" t="s">
        <v>20730</v>
      </c>
      <c r="K4649" s="1" t="s">
        <v>22</v>
      </c>
      <c r="L4649" s="1" t="str">
        <f>HYPERLINK("https://files.afu.se/Downloads/Transcripts/0%20-%20Government/USA%20-%20NASA/2010 09 28 - NASA - External Fuel Tank for Last Shuttle Mission Moves to VAB__NJSRankJhE - transcript (automated).pdf","Transcript Link")</f>
        <v>Transcript Link</v>
      </c>
      <c r="M4649" s="2" t="str">
        <f>HYPERLINK("https://files.afu.se/Downloads/Transcripts/0%20-%20Government/USA%20-%20NASA/2010 09 28 - NASA - External Fuel Tank for Last Shuttle Mission Moves to VAB__NJSRankJhE - transcript (automated).pdf","Transcript Link")</f>
        <v>Transcript Link</v>
      </c>
    </row>
    <row r="4650" ht="165" spans="1:13">
      <c r="A4650" s="1" t="s">
        <v>20726</v>
      </c>
      <c r="B4650" s="1" t="s">
        <v>13</v>
      </c>
      <c r="C4650" s="4" t="s">
        <v>20731</v>
      </c>
      <c r="D4650" s="1" t="s">
        <v>20732</v>
      </c>
      <c r="E4650" s="1" t="s">
        <v>20733</v>
      </c>
      <c r="F4650" s="4" t="s">
        <v>17</v>
      </c>
      <c r="G4650" s="1" t="s">
        <v>18</v>
      </c>
      <c r="H4650" s="1" t="s">
        <v>19</v>
      </c>
      <c r="I4650" s="1" t="s">
        <v>20</v>
      </c>
      <c r="J4650" s="1" t="s">
        <v>20734</v>
      </c>
      <c r="K4650" s="1" t="s">
        <v>22</v>
      </c>
      <c r="L4650" s="1" t="str">
        <f>HYPERLINK("https://files.afu.se/Downloads/Transcripts/0%20-%20Government/USA%20-%20NASA/2010 09 28 - NASA -  Road to the Red Planet _a7DBqWj62Rc - transcript (automated).pdf","Transcript Link")</f>
        <v>Transcript Link</v>
      </c>
      <c r="M4650" s="2" t="str">
        <f>HYPERLINK("https://files.afu.se/Downloads/Transcripts/0%20-%20Government/USA%20-%20NASA/2010 09 28 - NASA -  Road to the Red Planet _a7DBqWj62Rc - transcript (automated).pdf","Transcript Link")</f>
        <v>Transcript Link</v>
      </c>
    </row>
    <row r="4651" ht="165" spans="1:13">
      <c r="A4651" s="1" t="s">
        <v>20726</v>
      </c>
      <c r="B4651" s="1" t="s">
        <v>13</v>
      </c>
      <c r="C4651" s="4" t="s">
        <v>20735</v>
      </c>
      <c r="D4651" s="1" t="s">
        <v>20736</v>
      </c>
      <c r="E4651" s="1" t="s">
        <v>20737</v>
      </c>
      <c r="F4651" s="4" t="s">
        <v>17</v>
      </c>
      <c r="G4651" s="1" t="s">
        <v>18</v>
      </c>
      <c r="H4651" s="1" t="s">
        <v>19</v>
      </c>
      <c r="I4651" s="1" t="s">
        <v>20</v>
      </c>
      <c r="J4651" s="1" t="s">
        <v>20738</v>
      </c>
      <c r="K4651" s="1" t="s">
        <v>22</v>
      </c>
      <c r="L4651" s="1" t="str">
        <f>HYPERLINK("https://files.afu.se/Downloads/Transcripts/0%20-%20Government/USA%20-%20NASA/2010 09 28 - NASA -  Conquering the Gas Giant _wcd2ht79HKA - transcript (automated).pdf","Transcript Link")</f>
        <v>Transcript Link</v>
      </c>
      <c r="M4651" s="2" t="str">
        <f>HYPERLINK("https://files.afu.se/Downloads/Transcripts/0%20-%20Government/USA%20-%20NASA/2010 09 28 - NASA -  Conquering the Gas Giant _wcd2ht79HKA - transcript (automated).pdf","Transcript Link")</f>
        <v>Transcript Link</v>
      </c>
    </row>
    <row r="4652" ht="165" spans="1:13">
      <c r="A4652" s="1" t="s">
        <v>20726</v>
      </c>
      <c r="B4652" s="1" t="s">
        <v>13</v>
      </c>
      <c r="C4652" s="4" t="s">
        <v>20739</v>
      </c>
      <c r="D4652" s="1" t="s">
        <v>20740</v>
      </c>
      <c r="E4652" s="1" t="s">
        <v>20741</v>
      </c>
      <c r="F4652" s="4" t="s">
        <v>17</v>
      </c>
      <c r="G4652" s="1" t="s">
        <v>18</v>
      </c>
      <c r="H4652" s="1" t="s">
        <v>19</v>
      </c>
      <c r="I4652" s="1" t="s">
        <v>20</v>
      </c>
      <c r="J4652" s="1" t="s">
        <v>20742</v>
      </c>
      <c r="K4652" s="1" t="s">
        <v>22</v>
      </c>
      <c r="L4652" s="1" t="str">
        <f>HYPERLINK("https://files.afu.se/Downloads/Transcripts/0%20-%20Government/USA%20-%20NASA/2010 09 28 - NASA -  Romancing the Green _9nRgVzwgUqk - transcript (automated).pdf","Transcript Link")</f>
        <v>Transcript Link</v>
      </c>
      <c r="M4652" s="2" t="str">
        <f>HYPERLINK("https://files.afu.se/Downloads/Transcripts/0%20-%20Government/USA%20-%20NASA/2010 09 28 - NASA -  Romancing the Green _9nRgVzwgUqk - transcript (automated).pdf","Transcript Link")</f>
        <v>Transcript Link</v>
      </c>
    </row>
    <row r="4653" ht="165" spans="1:13">
      <c r="A4653" s="1" t="s">
        <v>20726</v>
      </c>
      <c r="B4653" s="1" t="s">
        <v>13</v>
      </c>
      <c r="C4653" s="4" t="s">
        <v>20743</v>
      </c>
      <c r="D4653" s="1" t="s">
        <v>20744</v>
      </c>
      <c r="E4653" s="1" t="s">
        <v>20745</v>
      </c>
      <c r="F4653" s="4" t="s">
        <v>17</v>
      </c>
      <c r="G4653" s="1" t="s">
        <v>18</v>
      </c>
      <c r="H4653" s="1" t="s">
        <v>19</v>
      </c>
      <c r="I4653" s="1" t="s">
        <v>20</v>
      </c>
      <c r="J4653" s="1" t="s">
        <v>20746</v>
      </c>
      <c r="K4653" s="1" t="s">
        <v>22</v>
      </c>
      <c r="L4653" s="1" t="str">
        <f>HYPERLINK("https://files.afu.se/Downloads/Transcripts/0%20-%20Government/USA%20-%20NASA/2010 09 28 - NASA -  Robonaut 2 _mtl48NOtyg0 - transcript (automated).pdf","Transcript Link")</f>
        <v>Transcript Link</v>
      </c>
      <c r="M4653" s="2" t="str">
        <f>HYPERLINK("https://files.afu.se/Downloads/Transcripts/0%20-%20Government/USA%20-%20NASA/2010 09 28 - NASA -  Robonaut 2 _mtl48NOtyg0 - transcript (automated).pdf","Transcript Link")</f>
        <v>Transcript Link</v>
      </c>
    </row>
    <row r="4654" ht="165" spans="1:13">
      <c r="A4654" s="1" t="s">
        <v>20726</v>
      </c>
      <c r="B4654" s="1" t="s">
        <v>13</v>
      </c>
      <c r="C4654" s="4" t="s">
        <v>20747</v>
      </c>
      <c r="D4654" s="1" t="s">
        <v>20748</v>
      </c>
      <c r="E4654" s="1" t="s">
        <v>20749</v>
      </c>
      <c r="F4654" s="4" t="s">
        <v>17</v>
      </c>
      <c r="G4654" s="1" t="s">
        <v>18</v>
      </c>
      <c r="H4654" s="1" t="s">
        <v>19</v>
      </c>
      <c r="I4654" s="1" t="s">
        <v>20</v>
      </c>
      <c r="J4654" s="1" t="s">
        <v>20750</v>
      </c>
      <c r="K4654" s="1" t="s">
        <v>22</v>
      </c>
      <c r="L4654" s="1" t="str">
        <f>HYPERLINK("https://files.afu.se/Downloads/Transcripts/0%20-%20Government/USA%20-%20NASA/2010 09 28 - NASA -  Glory and the Curse of the Black Carbon _K7ssZ-Lnaeg - transcript (automated).pdf","Transcript Link")</f>
        <v>Transcript Link</v>
      </c>
      <c r="M4654" s="2" t="str">
        <f>HYPERLINK("https://files.afu.se/Downloads/Transcripts/0%20-%20Government/USA%20-%20NASA/2010 09 28 - NASA -  Glory and the Curse of the Black Carbon _K7ssZ-Lnaeg - transcript (automated).pdf","Transcript Link")</f>
        <v>Transcript Link</v>
      </c>
    </row>
    <row r="4655" ht="240" spans="1:13">
      <c r="A4655" s="1" t="s">
        <v>20751</v>
      </c>
      <c r="B4655" s="1" t="s">
        <v>13</v>
      </c>
      <c r="C4655" s="4" t="s">
        <v>20752</v>
      </c>
      <c r="D4655" s="1" t="s">
        <v>20753</v>
      </c>
      <c r="E4655" s="1" t="s">
        <v>20754</v>
      </c>
      <c r="F4655" s="4" t="s">
        <v>17</v>
      </c>
      <c r="G4655" s="1" t="s">
        <v>18</v>
      </c>
      <c r="H4655" s="1" t="s">
        <v>19</v>
      </c>
      <c r="I4655" s="1" t="s">
        <v>20</v>
      </c>
      <c r="J4655" s="1" t="s">
        <v>20755</v>
      </c>
      <c r="K4655" s="1" t="s">
        <v>22</v>
      </c>
      <c r="L4655" s="1" t="str">
        <f>HYPERLINK("https://files.afu.se/Downloads/Transcripts/0%20-%20Government/USA%20-%20NASA/2010 09 27 - NASA - Shuttle's Final Fuel Tank Arrives at Kennedy_FAp6l_lwp5g - transcript (automated).pdf","Transcript Link")</f>
        <v>Transcript Link</v>
      </c>
      <c r="M4655" s="2" t="str">
        <f>HYPERLINK("https://files.afu.se/Downloads/Transcripts/0%20-%20Government/USA%20-%20NASA/2010 09 27 - NASA - Shuttle's Final Fuel Tank Arrives at Kennedy_FAp6l_lwp5g - transcript (automated).pdf","Transcript Link")</f>
        <v>Transcript Link</v>
      </c>
    </row>
    <row r="4656" ht="165" spans="1:13">
      <c r="A4656" s="1" t="s">
        <v>20751</v>
      </c>
      <c r="B4656" s="1" t="s">
        <v>13</v>
      </c>
      <c r="C4656" s="4" t="s">
        <v>20756</v>
      </c>
      <c r="D4656" s="1" t="s">
        <v>20757</v>
      </c>
      <c r="E4656" s="1" t="s">
        <v>20758</v>
      </c>
      <c r="F4656" s="4" t="s">
        <v>17</v>
      </c>
      <c r="G4656" s="1" t="s">
        <v>18</v>
      </c>
      <c r="H4656" s="1" t="s">
        <v>19</v>
      </c>
      <c r="I4656" s="1" t="s">
        <v>20</v>
      </c>
      <c r="J4656" s="1" t="s">
        <v>20759</v>
      </c>
      <c r="K4656" s="1" t="s">
        <v>22</v>
      </c>
      <c r="L4656" s="1" t="str">
        <f>HYPERLINK("https://files.afu.se/Downloads/Transcripts/0%20-%20Government/USA%20-%20NASA/2010 09 27 - NASA - Astronauts Get  Float  Training for Spacewalks_Cp3Ann1pebk - transcript (automated).pdf","Transcript Link")</f>
        <v>Transcript Link</v>
      </c>
      <c r="M4656" s="2" t="str">
        <f>HYPERLINK("https://files.afu.se/Downloads/Transcripts/0%20-%20Government/USA%20-%20NASA/2010 09 27 - NASA - Astronauts Get  Float  Training for Spacewalks_Cp3Ann1pebk - transcript (automated).pdf","Transcript Link")</f>
        <v>Transcript Link</v>
      </c>
    </row>
    <row r="4657" ht="165" spans="1:13">
      <c r="A4657" s="1" t="s">
        <v>20751</v>
      </c>
      <c r="B4657" s="1" t="s">
        <v>13</v>
      </c>
      <c r="C4657" s="4" t="s">
        <v>20760</v>
      </c>
      <c r="D4657" s="1" t="s">
        <v>20761</v>
      </c>
      <c r="E4657" s="1" t="s">
        <v>20762</v>
      </c>
      <c r="F4657" s="4" t="s">
        <v>17</v>
      </c>
      <c r="G4657" s="1" t="s">
        <v>18</v>
      </c>
      <c r="H4657" s="1" t="s">
        <v>19</v>
      </c>
      <c r="I4657" s="1" t="s">
        <v>20</v>
      </c>
      <c r="J4657" s="1" t="s">
        <v>20763</v>
      </c>
      <c r="K4657" s="1" t="s">
        <v>22</v>
      </c>
      <c r="L4657" s="1" t="str">
        <f>HYPERLINK("https://files.afu.se/Downloads/Transcripts/0%20-%20Government/USA%20-%20NASA/2010 09 27 - NASA - Glenn's Flight Training Gets Second Look_xRihDyoSDNo - transcript (automated).pdf","Transcript Link")</f>
        <v>Transcript Link</v>
      </c>
      <c r="M4657" s="2" t="str">
        <f>HYPERLINK("https://files.afu.se/Downloads/Transcripts/0%20-%20Government/USA%20-%20NASA/2010 09 27 - NASA - Glenn's Flight Training Gets Second Look_xRihDyoSDNo - transcript (automated).pdf","Transcript Link")</f>
        <v>Transcript Link</v>
      </c>
    </row>
    <row r="4658" ht="165" spans="1:13">
      <c r="A4658" s="1" t="s">
        <v>20764</v>
      </c>
      <c r="B4658" s="1" t="s">
        <v>13</v>
      </c>
      <c r="C4658" s="4" t="s">
        <v>20765</v>
      </c>
      <c r="D4658" s="1" t="s">
        <v>20766</v>
      </c>
      <c r="E4658" s="1" t="s">
        <v>20767</v>
      </c>
      <c r="F4658" s="4" t="s">
        <v>17</v>
      </c>
      <c r="G4658" s="1" t="s">
        <v>18</v>
      </c>
      <c r="H4658" s="1" t="s">
        <v>19</v>
      </c>
      <c r="I4658" s="1" t="s">
        <v>20</v>
      </c>
      <c r="J4658" s="1" t="s">
        <v>20768</v>
      </c>
      <c r="K4658" s="1" t="s">
        <v>22</v>
      </c>
      <c r="L4658" s="1" t="str">
        <f>HYPERLINK("https://files.afu.se/Downloads/Transcripts/0%20-%20Government/USA%20-%20NASA/2010 09 25 - NASA - Traditional Style Homecoming for Expedition 24 Crew_BcLF0tZC1NM - transcript (automated).pdf","Transcript Link")</f>
        <v>Transcript Link</v>
      </c>
      <c r="M4658" s="2" t="str">
        <f>HYPERLINK("https://files.afu.se/Downloads/Transcripts/0%20-%20Government/USA%20-%20NASA/2010 09 25 - NASA - Traditional Style Homecoming for Expedition 24 Crew_BcLF0tZC1NM - transcript (automated).pdf","Transcript Link")</f>
        <v>Transcript Link</v>
      </c>
    </row>
    <row r="4659" ht="165" spans="1:13">
      <c r="A4659" s="1" t="s">
        <v>20764</v>
      </c>
      <c r="B4659" s="1" t="s">
        <v>13</v>
      </c>
      <c r="C4659" s="4" t="s">
        <v>20769</v>
      </c>
      <c r="D4659" s="1" t="s">
        <v>20770</v>
      </c>
      <c r="E4659" s="1" t="s">
        <v>20771</v>
      </c>
      <c r="F4659" s="4" t="s">
        <v>17</v>
      </c>
      <c r="G4659" s="1" t="s">
        <v>18</v>
      </c>
      <c r="H4659" s="1" t="s">
        <v>19</v>
      </c>
      <c r="I4659" s="1" t="s">
        <v>20</v>
      </c>
      <c r="J4659" s="1" t="s">
        <v>20772</v>
      </c>
      <c r="K4659" s="1" t="s">
        <v>22</v>
      </c>
      <c r="L4659" s="1" t="str">
        <f>HYPERLINK("https://files.afu.se/Downloads/Transcripts/0%20-%20Government/USA%20-%20NASA/2010 09 25 - NASA - Expedition 24 Crew Lands Safely on the Steppe of Kazakhstan_WKM8j0qFLy4 - transcript (automated).pdf","Transcript Link")</f>
        <v>Transcript Link</v>
      </c>
      <c r="M4659" s="2" t="str">
        <f>HYPERLINK("https://files.afu.se/Downloads/Transcripts/0%20-%20Government/USA%20-%20NASA/2010 09 25 - NASA - Expedition 24 Crew Lands Safely on the Steppe of Kazakhstan_WKM8j0qFLy4 - transcript (automated).pdf","Transcript Link")</f>
        <v>Transcript Link</v>
      </c>
    </row>
    <row r="4660" ht="165" spans="1:13">
      <c r="A4660" s="1" t="s">
        <v>20764</v>
      </c>
      <c r="B4660" s="1" t="s">
        <v>13</v>
      </c>
      <c r="C4660" s="4" t="s">
        <v>20773</v>
      </c>
      <c r="D4660" s="1" t="s">
        <v>20774</v>
      </c>
      <c r="E4660" s="1" t="s">
        <v>20775</v>
      </c>
      <c r="F4660" s="4" t="s">
        <v>17</v>
      </c>
      <c r="G4660" s="1" t="s">
        <v>18</v>
      </c>
      <c r="H4660" s="1" t="s">
        <v>19</v>
      </c>
      <c r="I4660" s="1" t="s">
        <v>20</v>
      </c>
      <c r="J4660" s="1" t="s">
        <v>20776</v>
      </c>
      <c r="K4660" s="1" t="s">
        <v>22</v>
      </c>
      <c r="L4660" s="1" t="str">
        <f>HYPERLINK("https://files.afu.se/Downloads/Transcripts/0%20-%20Government/USA%20-%20NASA/2010 09 25 - NASA - Return of Space Travelers Explored on This Week @ NASA_xIYLhtYLA-g - transcript (automated).pdf","Transcript Link")</f>
        <v>Transcript Link</v>
      </c>
      <c r="M4660" s="2" t="str">
        <f>HYPERLINK("https://files.afu.se/Downloads/Transcripts/0%20-%20Government/USA%20-%20NASA/2010 09 25 - NASA - Return of Space Travelers Explored on This Week @ NASA_xIYLhtYLA-g - transcript (automated).pdf","Transcript Link")</f>
        <v>Transcript Link</v>
      </c>
    </row>
    <row r="4661" ht="165" spans="1:13">
      <c r="A4661" s="1" t="s">
        <v>20764</v>
      </c>
      <c r="B4661" s="1" t="s">
        <v>13</v>
      </c>
      <c r="C4661" s="4" t="s">
        <v>20777</v>
      </c>
      <c r="D4661" s="1" t="s">
        <v>20778</v>
      </c>
      <c r="E4661" s="1" t="s">
        <v>20779</v>
      </c>
      <c r="F4661" s="4" t="s">
        <v>17</v>
      </c>
      <c r="G4661" s="1" t="s">
        <v>18</v>
      </c>
      <c r="H4661" s="1" t="s">
        <v>19</v>
      </c>
      <c r="I4661" s="1" t="s">
        <v>20</v>
      </c>
      <c r="J4661" s="1" t="s">
        <v>20780</v>
      </c>
      <c r="K4661" s="1" t="s">
        <v>22</v>
      </c>
      <c r="L4661" s="1" t="str">
        <f>HYPERLINK("https://files.afu.se/Downloads/Transcripts/0%20-%20Government/USA%20-%20NASA/2010 09 25 - NASA - Soyuz Undocks from Space Station_K8T8uuKTips - transcript (automated).pdf","Transcript Link")</f>
        <v>Transcript Link</v>
      </c>
      <c r="M4661" s="2" t="str">
        <f>HYPERLINK("https://files.afu.se/Downloads/Transcripts/0%20-%20Government/USA%20-%20NASA/2010 09 25 - NASA - Soyuz Undocks from Space Station_K8T8uuKTips - transcript (automated).pdf","Transcript Link")</f>
        <v>Transcript Link</v>
      </c>
    </row>
    <row r="4662" ht="165" spans="1:13">
      <c r="A4662" s="1" t="s">
        <v>20764</v>
      </c>
      <c r="B4662" s="1" t="s">
        <v>13</v>
      </c>
      <c r="C4662" s="4" t="s">
        <v>20781</v>
      </c>
      <c r="D4662" s="1" t="s">
        <v>20782</v>
      </c>
      <c r="E4662" s="1" t="s">
        <v>20783</v>
      </c>
      <c r="F4662" s="4" t="s">
        <v>17</v>
      </c>
      <c r="G4662" s="1" t="s">
        <v>18</v>
      </c>
      <c r="H4662" s="1" t="s">
        <v>19</v>
      </c>
      <c r="I4662" s="1" t="s">
        <v>20</v>
      </c>
      <c r="J4662" s="1" t="s">
        <v>20784</v>
      </c>
      <c r="K4662" s="1" t="s">
        <v>22</v>
      </c>
      <c r="L4662" s="1" t="str">
        <f>HYPERLINK("https://files.afu.se/Downloads/Transcripts/0%20-%20Government/USA%20-%20NASA/2010 09 25 - NASA - Earthbound Trio Bids Farewell to ISS Crew_twRXaQMlXfM - transcript (automated).pdf","Transcript Link")</f>
        <v>Transcript Link</v>
      </c>
      <c r="M4662" s="2" t="str">
        <f>HYPERLINK("https://files.afu.se/Downloads/Transcripts/0%20-%20Government/USA%20-%20NASA/2010 09 25 - NASA - Earthbound Trio Bids Farewell to ISS Crew_twRXaQMlXfM - transcript (automated).pdf","Transcript Link")</f>
        <v>Transcript Link</v>
      </c>
    </row>
    <row r="4663" ht="165" spans="1:13">
      <c r="A4663" s="1" t="s">
        <v>20785</v>
      </c>
      <c r="B4663" s="1" t="s">
        <v>13</v>
      </c>
      <c r="C4663" s="4" t="s">
        <v>20786</v>
      </c>
      <c r="D4663" s="1" t="s">
        <v>20787</v>
      </c>
      <c r="E4663" s="1" t="s">
        <v>20788</v>
      </c>
      <c r="F4663" s="4" t="s">
        <v>17</v>
      </c>
      <c r="G4663" s="1" t="s">
        <v>18</v>
      </c>
      <c r="H4663" s="1" t="s">
        <v>19</v>
      </c>
      <c r="I4663" s="1" t="s">
        <v>20</v>
      </c>
      <c r="J4663" s="1" t="s">
        <v>20789</v>
      </c>
      <c r="K4663" s="1" t="s">
        <v>22</v>
      </c>
      <c r="L4663" s="1" t="str">
        <f>HYPERLINK("https://files.afu.se/Downloads/Transcripts/0%20-%20Government/USA%20-%20NASA/2010 09 24 - NASA - New Crew Announcement, Discovery Rolled Out on This Week @ NASA_AlAEJyn5A1w - transcript (automated).pdf","Transcript Link")</f>
        <v>Transcript Link</v>
      </c>
      <c r="M4663" s="2" t="str">
        <f>HYPERLINK("https://files.afu.se/Downloads/Transcripts/0%20-%20Government/USA%20-%20NASA/2010 09 24 - NASA - New Crew Announcement, Discovery Rolled Out on This Week @ NASA_AlAEJyn5A1w - transcript (automated).pdf","Transcript Link")</f>
        <v>Transcript Link</v>
      </c>
    </row>
    <row r="4664" ht="315" spans="1:13">
      <c r="A4664" s="1" t="s">
        <v>20785</v>
      </c>
      <c r="B4664" s="1" t="s">
        <v>13</v>
      </c>
      <c r="C4664" s="4" t="s">
        <v>20790</v>
      </c>
      <c r="D4664" s="1" t="s">
        <v>20791</v>
      </c>
      <c r="E4664" s="1" t="s">
        <v>20792</v>
      </c>
      <c r="F4664" s="4" t="s">
        <v>17</v>
      </c>
      <c r="G4664" s="1" t="s">
        <v>18</v>
      </c>
      <c r="H4664" s="1" t="s">
        <v>19</v>
      </c>
      <c r="I4664" s="1" t="s">
        <v>20</v>
      </c>
      <c r="J4664" s="1" t="s">
        <v>20793</v>
      </c>
      <c r="K4664" s="1" t="s">
        <v>22</v>
      </c>
      <c r="L4664" s="1" t="str">
        <f>HYPERLINK("https://files.afu.se/Downloads/Transcripts/0%20-%20Government/USA%20-%20NASA/2010 09 24 - NASA - Undocking Waived Off for Soyuz Crew_LZ1cT47u75w - transcript (automated).pdf","Transcript Link")</f>
        <v>Transcript Link</v>
      </c>
      <c r="M4664" s="2" t="str">
        <f>HYPERLINK("https://files.afu.se/Downloads/Transcripts/0%20-%20Government/USA%20-%20NASA/2010 09 24 - NASA - Undocking Waived Off for Soyuz Crew_LZ1cT47u75w - transcript (automated).pdf","Transcript Link")</f>
        <v>Transcript Link</v>
      </c>
    </row>
    <row r="4665" ht="165" spans="1:13">
      <c r="A4665" s="1" t="s">
        <v>20785</v>
      </c>
      <c r="B4665" s="1" t="s">
        <v>13</v>
      </c>
      <c r="C4665" s="4" t="s">
        <v>20794</v>
      </c>
      <c r="D4665" s="1" t="s">
        <v>20795</v>
      </c>
      <c r="E4665" s="1" t="s">
        <v>20796</v>
      </c>
      <c r="F4665" s="4" t="s">
        <v>17</v>
      </c>
      <c r="G4665" s="1" t="s">
        <v>18</v>
      </c>
      <c r="H4665" s="1" t="s">
        <v>19</v>
      </c>
      <c r="I4665" s="1" t="s">
        <v>20</v>
      </c>
      <c r="J4665" s="1" t="s">
        <v>20797</v>
      </c>
      <c r="K4665" s="1" t="s">
        <v>22</v>
      </c>
      <c r="L4665" s="1" t="str">
        <f>HYPERLINK("https://files.afu.se/Downloads/Transcripts/0%20-%20Government/USA%20-%20NASA/2010 09 24 - NASA - Trio's Farewell Proves Premature_izR0i-LaUro - transcript (automated).pdf","Transcript Link")</f>
        <v>Transcript Link</v>
      </c>
      <c r="M4665" s="2" t="str">
        <f>HYPERLINK("https://files.afu.se/Downloads/Transcripts/0%20-%20Government/USA%20-%20NASA/2010 09 24 - NASA - Trio's Farewell Proves Premature_izR0i-LaUro - transcript (automated).pdf","Transcript Link")</f>
        <v>Transcript Link</v>
      </c>
    </row>
    <row r="4666" ht="165" spans="1:13">
      <c r="A4666" s="1" t="s">
        <v>20798</v>
      </c>
      <c r="B4666" s="1" t="s">
        <v>13</v>
      </c>
      <c r="C4666" s="4" t="s">
        <v>20799</v>
      </c>
      <c r="D4666" s="1" t="s">
        <v>20800</v>
      </c>
      <c r="E4666" s="1" t="s">
        <v>20801</v>
      </c>
      <c r="F4666" s="4" t="s">
        <v>17</v>
      </c>
      <c r="G4666" s="1" t="s">
        <v>18</v>
      </c>
      <c r="H4666" s="1" t="s">
        <v>19</v>
      </c>
      <c r="I4666" s="1" t="s">
        <v>20</v>
      </c>
      <c r="J4666" s="1" t="s">
        <v>20802</v>
      </c>
      <c r="K4666" s="1" t="s">
        <v>22</v>
      </c>
      <c r="L4666" s="1" t="str">
        <f>HYPERLINK("https://files.afu.se/Downloads/Transcripts/0%20-%20Government/USA%20-%20NASA/2010 09 22 - NASA - Space Station Command Changes Hands_uJLPuftMGOU - transcript (automated).pdf","Transcript Link")</f>
        <v>Transcript Link</v>
      </c>
      <c r="M4666" s="2" t="str">
        <f>HYPERLINK("https://files.afu.se/Downloads/Transcripts/0%20-%20Government/USA%20-%20NASA/2010 09 22 - NASA - Space Station Command Changes Hands_uJLPuftMGOU - transcript (automated).pdf","Transcript Link")</f>
        <v>Transcript Link</v>
      </c>
    </row>
    <row r="4667" ht="165" spans="1:13">
      <c r="A4667" s="1" t="s">
        <v>20803</v>
      </c>
      <c r="B4667" s="1" t="s">
        <v>13</v>
      </c>
      <c r="C4667" s="4" t="s">
        <v>20804</v>
      </c>
      <c r="D4667" s="1" t="s">
        <v>20805</v>
      </c>
      <c r="E4667" s="1" t="s">
        <v>20806</v>
      </c>
      <c r="F4667" s="4" t="s">
        <v>17</v>
      </c>
      <c r="G4667" s="1" t="s">
        <v>18</v>
      </c>
      <c r="H4667" s="1" t="s">
        <v>19</v>
      </c>
      <c r="I4667" s="1" t="s">
        <v>20</v>
      </c>
      <c r="J4667" s="1" t="s">
        <v>20807</v>
      </c>
      <c r="K4667" s="1" t="s">
        <v>22</v>
      </c>
      <c r="L4667" s="1" t="str">
        <f>HYPERLINK("https://files.afu.se/Downloads/Transcripts/0%20-%20Government/USA%20-%20NASA/2010 09 21 - NASA - Shuttle Discovery Rolled Out to Pad for Next Mission_UJu7Y-yCMiw - transcript (automated).pdf","Transcript Link")</f>
        <v>Transcript Link</v>
      </c>
      <c r="M4667" s="2" t="str">
        <f>HYPERLINK("https://files.afu.se/Downloads/Transcripts/0%20-%20Government/USA%20-%20NASA/2010 09 21 - NASA - Shuttle Discovery Rolled Out to Pad for Next Mission_UJu7Y-yCMiw - transcript (automated).pdf","Transcript Link")</f>
        <v>Transcript Link</v>
      </c>
    </row>
    <row r="4668" ht="165" spans="1:13">
      <c r="A4668" s="1" t="s">
        <v>20808</v>
      </c>
      <c r="B4668" s="1" t="s">
        <v>13</v>
      </c>
      <c r="C4668" s="4" t="s">
        <v>20809</v>
      </c>
      <c r="D4668" s="1" t="s">
        <v>20810</v>
      </c>
      <c r="E4668" s="1" t="s">
        <v>20811</v>
      </c>
      <c r="F4668" s="4" t="s">
        <v>17</v>
      </c>
      <c r="G4668" s="1" t="s">
        <v>18</v>
      </c>
      <c r="H4668" s="1" t="s">
        <v>19</v>
      </c>
      <c r="I4668" s="1" t="s">
        <v>20</v>
      </c>
      <c r="J4668" s="1" t="s">
        <v>20812</v>
      </c>
      <c r="K4668" s="1" t="s">
        <v>22</v>
      </c>
      <c r="L4668" s="1" t="str">
        <f>HYPERLINK("https://files.afu.se/Downloads/Transcripts/0%20-%20Government/USA%20-%20NASA/2010 09 17 - NASA - Progress Docking and Desert RATS Top This Week @NASA_PDc3TxWc0vM - transcript (automated).pdf","Transcript Link")</f>
        <v>Transcript Link</v>
      </c>
      <c r="M4668" s="2" t="str">
        <f>HYPERLINK("https://files.afu.se/Downloads/Transcripts/0%20-%20Government/USA%20-%20NASA/2010 09 17 - NASA - Progress Docking and Desert RATS Top This Week @NASA_PDc3TxWc0vM - transcript (automated).pdf","Transcript Link")</f>
        <v>Transcript Link</v>
      </c>
    </row>
    <row r="4669" ht="165" spans="1:13">
      <c r="A4669" s="1" t="s">
        <v>20808</v>
      </c>
      <c r="B4669" s="1" t="s">
        <v>13</v>
      </c>
      <c r="C4669" s="4" t="s">
        <v>20813</v>
      </c>
      <c r="D4669" s="1" t="s">
        <v>20814</v>
      </c>
      <c r="E4669" s="1" t="s">
        <v>20815</v>
      </c>
      <c r="F4669" s="4" t="s">
        <v>17</v>
      </c>
      <c r="G4669" s="1" t="s">
        <v>18</v>
      </c>
      <c r="H4669" s="1" t="s">
        <v>19</v>
      </c>
      <c r="I4669" s="1" t="s">
        <v>20</v>
      </c>
      <c r="J4669" s="1" t="s">
        <v>20816</v>
      </c>
      <c r="K4669" s="1" t="s">
        <v>22</v>
      </c>
      <c r="L4669" s="1" t="str">
        <f>HYPERLINK("https://files.afu.se/Downloads/Transcripts/0%20-%20Government/USA%20-%20NASA/2010 09 17 - NASA - Next ISS Crew Meets Media and Pays Homage at Red Square_g02meEV6hI4 - transcript (automated).pdf","Transcript Link")</f>
        <v>Transcript Link</v>
      </c>
      <c r="M4669" s="2" t="str">
        <f>HYPERLINK("https://files.afu.se/Downloads/Transcripts/0%20-%20Government/USA%20-%20NASA/2010 09 17 - NASA - Next ISS Crew Meets Media and Pays Homage at Red Square_g02meEV6hI4 - transcript (automated).pdf","Transcript Link")</f>
        <v>Transcript Link</v>
      </c>
    </row>
    <row r="4670" ht="180" spans="1:13">
      <c r="A4670" s="1" t="s">
        <v>20808</v>
      </c>
      <c r="B4670" s="1" t="s">
        <v>13</v>
      </c>
      <c r="C4670" s="4" t="s">
        <v>20817</v>
      </c>
      <c r="D4670" s="1" t="s">
        <v>20818</v>
      </c>
      <c r="E4670" s="1" t="s">
        <v>20819</v>
      </c>
      <c r="F4670" s="4" t="s">
        <v>17</v>
      </c>
      <c r="G4670" s="1" t="s">
        <v>18</v>
      </c>
      <c r="H4670" s="1" t="s">
        <v>19</v>
      </c>
      <c r="I4670" s="1" t="s">
        <v>20</v>
      </c>
      <c r="J4670" s="1" t="s">
        <v>20820</v>
      </c>
      <c r="K4670" s="1" t="s">
        <v>22</v>
      </c>
      <c r="L4670" s="1" t="str">
        <f>HYPERLINK("https://files.afu.se/Downloads/Transcripts/0%20-%20Government/USA%20-%20NASA/2010 09 17 - NASA - Station Follows Trio of Hurricanes_65LeVveG-Po - transcript (automated).pdf","Transcript Link")</f>
        <v>Transcript Link</v>
      </c>
      <c r="M4670" s="2" t="str">
        <f>HYPERLINK("https://files.afu.se/Downloads/Transcripts/0%20-%20Government/USA%20-%20NASA/2010 09 17 - NASA - Station Follows Trio of Hurricanes_65LeVveG-Po - transcript (automated).pdf","Transcript Link")</f>
        <v>Transcript Link</v>
      </c>
    </row>
    <row r="4671" ht="165" spans="1:13">
      <c r="A4671" s="1" t="s">
        <v>20821</v>
      </c>
      <c r="B4671" s="1" t="s">
        <v>13</v>
      </c>
      <c r="C4671" s="4" t="s">
        <v>20822</v>
      </c>
      <c r="D4671" s="1" t="s">
        <v>20823</v>
      </c>
      <c r="E4671" s="1" t="s">
        <v>20824</v>
      </c>
      <c r="F4671" s="4" t="s">
        <v>17</v>
      </c>
      <c r="G4671" s="1" t="s">
        <v>18</v>
      </c>
      <c r="H4671" s="1" t="s">
        <v>19</v>
      </c>
      <c r="I4671" s="1" t="s">
        <v>20</v>
      </c>
      <c r="J4671" s="1" t="s">
        <v>20825</v>
      </c>
      <c r="K4671" s="1" t="s">
        <v>22</v>
      </c>
      <c r="L4671" s="1" t="str">
        <f>HYPERLINK("https://files.afu.se/Downloads/Transcripts/0%20-%20Government/USA%20-%20NASA/2010 09 16 - NASA - LRO Spacecraft Exposes Moon's Turbulent Past_SC1PSGugtXA - transcript (automated).pdf","Transcript Link")</f>
        <v>Transcript Link</v>
      </c>
      <c r="M4671" s="2" t="str">
        <f>HYPERLINK("https://files.afu.se/Downloads/Transcripts/0%20-%20Government/USA%20-%20NASA/2010 09 16 - NASA - LRO Spacecraft Exposes Moon's Turbulent Past_SC1PSGugtXA - transcript (automated).pdf","Transcript Link")</f>
        <v>Transcript Link</v>
      </c>
    </row>
    <row r="4672" ht="195" spans="1:13">
      <c r="A4672" s="1" t="s">
        <v>20821</v>
      </c>
      <c r="B4672" s="1" t="s">
        <v>13</v>
      </c>
      <c r="C4672" s="4" t="s">
        <v>20826</v>
      </c>
      <c r="D4672" s="1" t="s">
        <v>20827</v>
      </c>
      <c r="E4672" s="1" t="s">
        <v>20828</v>
      </c>
      <c r="F4672" s="4" t="s">
        <v>17</v>
      </c>
      <c r="G4672" s="1" t="s">
        <v>18</v>
      </c>
      <c r="H4672" s="1" t="s">
        <v>19</v>
      </c>
      <c r="I4672" s="1" t="s">
        <v>20</v>
      </c>
      <c r="J4672" s="1" t="s">
        <v>20829</v>
      </c>
      <c r="K4672" s="1" t="s">
        <v>22</v>
      </c>
      <c r="L4672" s="1" t="str">
        <f>HYPERLINK("https://files.afu.se/Downloads/Transcripts/0%20-%20Government/USA%20-%20NASA/2010 09 16 - NASA - Three Hurricanes Tracked by Station Cameras_gXju8_EXko0 - transcript (automated).pdf","Transcript Link")</f>
        <v>Transcript Link</v>
      </c>
      <c r="M4672" s="2" t="str">
        <f>HYPERLINK("https://files.afu.se/Downloads/Transcripts/0%20-%20Government/USA%20-%20NASA/2010 09 16 - NASA - Three Hurricanes Tracked by Station Cameras_gXju8_EXko0 - transcript (automated).pdf","Transcript Link")</f>
        <v>Transcript Link</v>
      </c>
    </row>
    <row r="4673" ht="165" spans="1:13">
      <c r="A4673" s="1" t="s">
        <v>20830</v>
      </c>
      <c r="B4673" s="1" t="s">
        <v>13</v>
      </c>
      <c r="C4673" s="4" t="s">
        <v>20831</v>
      </c>
      <c r="D4673" s="1" t="s">
        <v>20832</v>
      </c>
      <c r="E4673" s="1" t="s">
        <v>20833</v>
      </c>
      <c r="F4673" s="4" t="s">
        <v>17</v>
      </c>
      <c r="G4673" s="1" t="s">
        <v>18</v>
      </c>
      <c r="H4673" s="1" t="s">
        <v>19</v>
      </c>
      <c r="I4673" s="1" t="s">
        <v>20</v>
      </c>
      <c r="J4673" s="1" t="s">
        <v>20834</v>
      </c>
      <c r="K4673" s="1" t="s">
        <v>22</v>
      </c>
      <c r="L4673" s="1" t="str">
        <f>HYPERLINK("https://files.afu.se/Downloads/Transcripts/0%20-%20Government/USA%20-%20NASA/2010 09 15 - NASA - ISS Crew Gives Perspective on Huricanes to Weather Channel_WsSF-VYY9vs - transcript (automated).pdf","Transcript Link")</f>
        <v>Transcript Link</v>
      </c>
      <c r="M4673" s="2" t="str">
        <f>HYPERLINK("https://files.afu.se/Downloads/Transcripts/0%20-%20Government/USA%20-%20NASA/2010 09 15 - NASA - ISS Crew Gives Perspective on Huricanes to Weather Channel_WsSF-VYY9vs - transcript (automated).pdf","Transcript Link")</f>
        <v>Transcript Link</v>
      </c>
    </row>
    <row r="4674" ht="165" spans="1:13">
      <c r="A4674" s="1" t="s">
        <v>20830</v>
      </c>
      <c r="B4674" s="1" t="s">
        <v>13</v>
      </c>
      <c r="C4674" s="4" t="s">
        <v>20835</v>
      </c>
      <c r="D4674" s="1" t="s">
        <v>20836</v>
      </c>
      <c r="E4674" s="1" t="s">
        <v>20837</v>
      </c>
      <c r="F4674" s="4" t="s">
        <v>17</v>
      </c>
      <c r="G4674" s="1" t="s">
        <v>18</v>
      </c>
      <c r="H4674" s="1" t="s">
        <v>19</v>
      </c>
      <c r="I4674" s="1" t="s">
        <v>20</v>
      </c>
      <c r="J4674" s="1" t="s">
        <v>20838</v>
      </c>
      <c r="K4674" s="1" t="s">
        <v>22</v>
      </c>
      <c r="L4674" s="1" t="str">
        <f>HYPERLINK("https://files.afu.se/Downloads/Transcripts/0%20-%20Government/USA%20-%20NASA/2010 09 15 - NASA - ISS Cameras Eye Hurricanes Julia and Igor_ki-bYvLOZ6s - transcript (automated).pdf","Transcript Link")</f>
        <v>Transcript Link</v>
      </c>
      <c r="M4674" s="2" t="str">
        <f>HYPERLINK("https://files.afu.se/Downloads/Transcripts/0%20-%20Government/USA%20-%20NASA/2010 09 15 - NASA - ISS Cameras Eye Hurricanes Julia and Igor_ki-bYvLOZ6s - transcript (automated).pdf","Transcript Link")</f>
        <v>Transcript Link</v>
      </c>
    </row>
    <row r="4675" ht="165" spans="1:13">
      <c r="A4675" s="1" t="s">
        <v>20839</v>
      </c>
      <c r="B4675" s="1" t="s">
        <v>13</v>
      </c>
      <c r="C4675" s="4" t="s">
        <v>20840</v>
      </c>
      <c r="D4675" s="1" t="s">
        <v>20841</v>
      </c>
      <c r="E4675" s="1" t="s">
        <v>20842</v>
      </c>
      <c r="F4675" s="4" t="s">
        <v>17</v>
      </c>
      <c r="G4675" s="1" t="s">
        <v>18</v>
      </c>
      <c r="H4675" s="1" t="s">
        <v>19</v>
      </c>
      <c r="I4675" s="1" t="s">
        <v>20</v>
      </c>
      <c r="J4675" s="1" t="s">
        <v>20843</v>
      </c>
      <c r="K4675" s="1" t="s">
        <v>22</v>
      </c>
      <c r="L4675" s="1" t="str">
        <f>HYPERLINK("https://files.afu.se/Downloads/Transcripts/0%20-%20Government/USA%20-%20NASA/2010 09 14 - NASA - Dual Hurricanes in the Atlantic_TNwrRY4FvJU - transcript (automated).pdf","Transcript Link")</f>
        <v>Transcript Link</v>
      </c>
      <c r="M4675" s="2" t="str">
        <f>HYPERLINK("https://files.afu.se/Downloads/Transcripts/0%20-%20Government/USA%20-%20NASA/2010 09 14 - NASA - Dual Hurricanes in the Atlantic_TNwrRY4FvJU - transcript (automated).pdf","Transcript Link")</f>
        <v>Transcript Link</v>
      </c>
    </row>
    <row r="4676" ht="165" spans="1:13">
      <c r="A4676" s="1" t="s">
        <v>20839</v>
      </c>
      <c r="B4676" s="1" t="s">
        <v>13</v>
      </c>
      <c r="C4676" s="4" t="s">
        <v>20844</v>
      </c>
      <c r="D4676" s="1" t="s">
        <v>20845</v>
      </c>
      <c r="E4676" s="1" t="s">
        <v>20846</v>
      </c>
      <c r="F4676" s="4" t="s">
        <v>17</v>
      </c>
      <c r="G4676" s="1" t="s">
        <v>18</v>
      </c>
      <c r="H4676" s="1" t="s">
        <v>19</v>
      </c>
      <c r="I4676" s="1" t="s">
        <v>20</v>
      </c>
      <c r="J4676" s="1" t="s">
        <v>20847</v>
      </c>
      <c r="K4676" s="1" t="s">
        <v>22</v>
      </c>
      <c r="L4676" s="1" t="str">
        <f>HYPERLINK("https://files.afu.se/Downloads/Transcripts/0%20-%20Government/USA%20-%20NASA/2010 09 14 - NASA - Expedition 24 Discusses Mission with Media__WySURo4_u0 - transcript (automated).pdf","Transcript Link")</f>
        <v>Transcript Link</v>
      </c>
      <c r="M4676" s="2" t="str">
        <f>HYPERLINK("https://files.afu.se/Downloads/Transcripts/0%20-%20Government/USA%20-%20NASA/2010 09 14 - NASA - Expedition 24 Discusses Mission with Media__WySURo4_u0 - transcript (automated).pdf","Transcript Link")</f>
        <v>Transcript Link</v>
      </c>
    </row>
    <row r="4677" ht="165" spans="1:13">
      <c r="A4677" s="1" t="s">
        <v>20848</v>
      </c>
      <c r="B4677" s="1" t="s">
        <v>13</v>
      </c>
      <c r="C4677" s="4" t="s">
        <v>20849</v>
      </c>
      <c r="D4677" s="1" t="s">
        <v>20850</v>
      </c>
      <c r="E4677" s="1" t="s">
        <v>20851</v>
      </c>
      <c r="F4677" s="4" t="s">
        <v>17</v>
      </c>
      <c r="G4677" s="1" t="s">
        <v>18</v>
      </c>
      <c r="H4677" s="1" t="s">
        <v>19</v>
      </c>
      <c r="I4677" s="1" t="s">
        <v>20</v>
      </c>
      <c r="J4677" s="1" t="s">
        <v>20852</v>
      </c>
      <c r="K4677" s="1" t="s">
        <v>22</v>
      </c>
      <c r="L4677" s="1" t="str">
        <f>HYPERLINK("https://files.afu.se/Downloads/Transcripts/0%20-%20Government/USA%20-%20NASA/2010 09 13 - NASA - Space Station Cameras Capture Igor_Zq8TQHABi2s - transcript (automated).pdf","Transcript Link")</f>
        <v>Transcript Link</v>
      </c>
      <c r="M4677" s="2" t="str">
        <f>HYPERLINK("https://files.afu.se/Downloads/Transcripts/0%20-%20Government/USA%20-%20NASA/2010 09 13 - NASA - Space Station Cameras Capture Igor_Zq8TQHABi2s - transcript (automated).pdf","Transcript Link")</f>
        <v>Transcript Link</v>
      </c>
    </row>
    <row r="4678" ht="165" spans="1:13">
      <c r="A4678" s="1" t="s">
        <v>20848</v>
      </c>
      <c r="B4678" s="1" t="s">
        <v>13</v>
      </c>
      <c r="C4678" s="4" t="s">
        <v>20853</v>
      </c>
      <c r="D4678" s="1" t="s">
        <v>20854</v>
      </c>
      <c r="E4678" s="1" t="s">
        <v>20855</v>
      </c>
      <c r="F4678" s="4" t="s">
        <v>17</v>
      </c>
      <c r="G4678" s="1" t="s">
        <v>18</v>
      </c>
      <c r="H4678" s="1" t="s">
        <v>19</v>
      </c>
      <c r="I4678" s="1" t="s">
        <v>20</v>
      </c>
      <c r="J4678" s="1" t="s">
        <v>20856</v>
      </c>
      <c r="K4678" s="1" t="s">
        <v>22</v>
      </c>
      <c r="L4678" s="1" t="str">
        <f>HYPERLINK("https://files.afu.se/Downloads/Transcripts/0%20-%20Government/USA%20-%20NASA/2010 09 13 - NASA - New Supplies Arrive at International Space Station_4uAms3uSKhg - transcript (automated).pdf","Transcript Link")</f>
        <v>Transcript Link</v>
      </c>
      <c r="M4678" s="2" t="str">
        <f>HYPERLINK("https://files.afu.se/Downloads/Transcripts/0%20-%20Government/USA%20-%20NASA/2010 09 13 - NASA - New Supplies Arrive at International Space Station_4uAms3uSKhg - transcript (automated).pdf","Transcript Link")</f>
        <v>Transcript Link</v>
      </c>
    </row>
    <row r="4679" ht="165" spans="1:13">
      <c r="A4679" s="1" t="s">
        <v>20848</v>
      </c>
      <c r="B4679" s="1" t="s">
        <v>13</v>
      </c>
      <c r="C4679" s="4" t="s">
        <v>20857</v>
      </c>
      <c r="D4679" s="1" t="s">
        <v>20858</v>
      </c>
      <c r="E4679" s="1" t="s">
        <v>20859</v>
      </c>
      <c r="F4679" s="4" t="s">
        <v>17</v>
      </c>
      <c r="G4679" s="1" t="s">
        <v>18</v>
      </c>
      <c r="H4679" s="1" t="s">
        <v>19</v>
      </c>
      <c r="I4679" s="1" t="s">
        <v>20</v>
      </c>
      <c r="J4679" s="1" t="s">
        <v>20860</v>
      </c>
      <c r="K4679" s="1" t="s">
        <v>22</v>
      </c>
      <c r="L4679" s="1" t="str">
        <f>HYPERLINK("https://files.afu.se/Downloads/Transcripts/0%20-%20Government/USA%20-%20NASA/2010 09 13 - NASA - Comet Research Celebrated_YOT-Ij6bv9M - transcript (automated).pdf","Transcript Link")</f>
        <v>Transcript Link</v>
      </c>
      <c r="M4679" s="2" t="str">
        <f>HYPERLINK("https://files.afu.se/Downloads/Transcripts/0%20-%20Government/USA%20-%20NASA/2010 09 13 - NASA - Comet Research Celebrated_YOT-Ij6bv9M - transcript (automated).pdf","Transcript Link")</f>
        <v>Transcript Link</v>
      </c>
    </row>
    <row r="4680" ht="165" spans="1:13">
      <c r="A4680" s="1" t="s">
        <v>20861</v>
      </c>
      <c r="B4680" s="1" t="s">
        <v>13</v>
      </c>
      <c r="C4680" s="4" t="s">
        <v>20862</v>
      </c>
      <c r="D4680" s="1" t="s">
        <v>19044</v>
      </c>
      <c r="E4680" s="1" t="s">
        <v>20863</v>
      </c>
      <c r="F4680" s="4" t="s">
        <v>17</v>
      </c>
      <c r="G4680" s="1" t="s">
        <v>18</v>
      </c>
      <c r="H4680" s="1" t="s">
        <v>19</v>
      </c>
      <c r="I4680" s="1" t="s">
        <v>20</v>
      </c>
      <c r="J4680" s="1" t="s">
        <v>20864</v>
      </c>
      <c r="K4680" s="1" t="s">
        <v>22</v>
      </c>
      <c r="L4680" s="1" t="str">
        <f>HYPERLINK("https://files.afu.se/Downloads/Transcripts/0%20-%20Government/USA%20-%20NASA/2010 09 12 - NASA - Cargo Ship Docks to ISS_YqDPaOEWqo8 - transcript (automated).pdf","Transcript Link")</f>
        <v>Transcript Link</v>
      </c>
      <c r="M4680" s="2" t="str">
        <f>HYPERLINK("https://files.afu.se/Downloads/Transcripts/0%20-%20Government/USA%20-%20NASA/2010 09 12 - NASA - Cargo Ship Docks to ISS_YqDPaOEWqo8 - transcript (automated).pdf","Transcript Link")</f>
        <v>Transcript Link</v>
      </c>
    </row>
    <row r="4681" ht="165" spans="1:13">
      <c r="A4681" s="1" t="s">
        <v>20865</v>
      </c>
      <c r="B4681" s="1" t="s">
        <v>13</v>
      </c>
      <c r="C4681" s="4" t="s">
        <v>20866</v>
      </c>
      <c r="D4681" s="1" t="s">
        <v>20867</v>
      </c>
      <c r="E4681" s="1" t="s">
        <v>20868</v>
      </c>
      <c r="F4681" s="4" t="s">
        <v>17</v>
      </c>
      <c r="G4681" s="1" t="s">
        <v>18</v>
      </c>
      <c r="H4681" s="1" t="s">
        <v>19</v>
      </c>
      <c r="I4681" s="1" t="s">
        <v>20</v>
      </c>
      <c r="J4681" s="1" t="s">
        <v>20869</v>
      </c>
      <c r="K4681" s="1" t="s">
        <v>22</v>
      </c>
      <c r="L4681" s="1" t="str">
        <f>HYPERLINK("https://files.afu.se/Downloads/Transcripts/0%20-%20Government/USA%20-%20NASA/2010 09 10 - NASA - NASA'S Green Summit, Discovery's Rollover, Marshall's 50th and more on This Week at NASA!_tbX3NGDv_wI - transcript (automated).pdf","Transcript Link")</f>
        <v>Transcript Link</v>
      </c>
      <c r="M4681" s="2" t="str">
        <f>HYPERLINK("https://files.afu.se/Downloads/Transcripts/0%20-%20Government/USA%20-%20NASA/2010 09 10 - NASA - NASA'S Green Summit, Discovery's Rollover, Marshall's 50th and more on This Week at NASA!_tbX3NGDv_wI - transcript (automated).pdf","Transcript Link")</f>
        <v>Transcript Link</v>
      </c>
    </row>
    <row r="4682" ht="165" spans="1:13">
      <c r="A4682" s="1" t="s">
        <v>20870</v>
      </c>
      <c r="B4682" s="1" t="s">
        <v>13</v>
      </c>
      <c r="C4682" s="4" t="s">
        <v>20871</v>
      </c>
      <c r="D4682" s="1" t="s">
        <v>20872</v>
      </c>
      <c r="E4682" s="1" t="s">
        <v>20873</v>
      </c>
      <c r="F4682" s="4" t="s">
        <v>17</v>
      </c>
      <c r="G4682" s="1" t="s">
        <v>18</v>
      </c>
      <c r="H4682" s="1" t="s">
        <v>19</v>
      </c>
      <c r="I4682" s="1" t="s">
        <v>20</v>
      </c>
      <c r="J4682" s="1" t="s">
        <v>20874</v>
      </c>
      <c r="K4682" s="1" t="s">
        <v>22</v>
      </c>
      <c r="L4682" s="1" t="str">
        <f>HYPERLINK("https://files.afu.se/Downloads/Transcripts/0%20-%20Government/USA%20-%20NASA/2010 09 09 - NASA - Bolden Delivers Lecture At Purdue University_baRvcLVsNwc - transcript (automated).pdf","Transcript Link")</f>
        <v>Transcript Link</v>
      </c>
      <c r="M4682" s="2" t="str">
        <f>HYPERLINK("https://files.afu.se/Downloads/Transcripts/0%20-%20Government/USA%20-%20NASA/2010 09 09 - NASA - Bolden Delivers Lecture At Purdue University_baRvcLVsNwc - transcript (automated).pdf","Transcript Link")</f>
        <v>Transcript Link</v>
      </c>
    </row>
    <row r="4683" ht="165" spans="1:13">
      <c r="A4683" s="1" t="s">
        <v>20870</v>
      </c>
      <c r="B4683" s="1" t="s">
        <v>13</v>
      </c>
      <c r="C4683" s="4" t="s">
        <v>20875</v>
      </c>
      <c r="D4683" s="1" t="s">
        <v>20876</v>
      </c>
      <c r="E4683" s="1" t="s">
        <v>20877</v>
      </c>
      <c r="F4683" s="4" t="s">
        <v>17</v>
      </c>
      <c r="G4683" s="1" t="s">
        <v>18</v>
      </c>
      <c r="H4683" s="1" t="s">
        <v>19</v>
      </c>
      <c r="I4683" s="1" t="s">
        <v>20</v>
      </c>
      <c r="J4683" s="1" t="s">
        <v>20878</v>
      </c>
      <c r="K4683" s="1" t="s">
        <v>22</v>
      </c>
      <c r="L4683" s="1" t="str">
        <f>HYPERLINK("https://files.afu.se/Downloads/Transcripts/0%20-%20Government/USA%20-%20NASA/2010 09 09 - NASA - NASA Administrator Stresses Environmental Responsibility at Green Aviation Summit_IyIweRep6OY - transcript (automated).pdf","Transcript Link")</f>
        <v>Transcript Link</v>
      </c>
      <c r="M4683" s="2" t="str">
        <f>HYPERLINK("https://files.afu.se/Downloads/Transcripts/0%20-%20Government/USA%20-%20NASA/2010 09 09 - NASA - NASA Administrator Stresses Environmental Responsibility at Green Aviation Summit_IyIweRep6OY - transcript (automated).pdf","Transcript Link")</f>
        <v>Transcript Link</v>
      </c>
    </row>
    <row r="4684" ht="165" spans="1:13">
      <c r="A4684" s="1" t="s">
        <v>20879</v>
      </c>
      <c r="B4684" s="1" t="s">
        <v>13</v>
      </c>
      <c r="C4684" s="4" t="s">
        <v>20880</v>
      </c>
      <c r="D4684" s="1" t="s">
        <v>20881</v>
      </c>
      <c r="E4684" s="1" t="s">
        <v>20882</v>
      </c>
      <c r="F4684" s="4" t="s">
        <v>17</v>
      </c>
      <c r="G4684" s="1" t="s">
        <v>18</v>
      </c>
      <c r="H4684" s="1" t="s">
        <v>19</v>
      </c>
      <c r="I4684" s="1" t="s">
        <v>20</v>
      </c>
      <c r="J4684" s="1" t="s">
        <v>20883</v>
      </c>
      <c r="K4684" s="1" t="s">
        <v>22</v>
      </c>
      <c r="L4684" s="1" t="str">
        <f>HYPERLINK("https://files.afu.se/Downloads/Transcripts/0%20-%20Government/USA%20-%20NASA/2010 09 08 - NASA - Chandra Presents the Rosette Nebula_rQ4n2HjppWo - transcript (automated).pdf","Transcript Link")</f>
        <v>Transcript Link</v>
      </c>
      <c r="M4684" s="2" t="str">
        <f>HYPERLINK("https://files.afu.se/Downloads/Transcripts/0%20-%20Government/USA%20-%20NASA/2010 09 08 - NASA - Chandra Presents the Rosette Nebula_rQ4n2HjppWo - transcript (automated).pdf","Transcript Link")</f>
        <v>Transcript Link</v>
      </c>
    </row>
    <row r="4685" ht="165" spans="1:13">
      <c r="A4685" s="1" t="s">
        <v>20884</v>
      </c>
      <c r="B4685" s="1" t="s">
        <v>13</v>
      </c>
      <c r="C4685" s="4" t="s">
        <v>20885</v>
      </c>
      <c r="D4685" s="1" t="s">
        <v>20886</v>
      </c>
      <c r="E4685" s="1" t="s">
        <v>20887</v>
      </c>
      <c r="F4685" s="4" t="s">
        <v>17</v>
      </c>
      <c r="G4685" s="1" t="s">
        <v>18</v>
      </c>
      <c r="H4685" s="1" t="s">
        <v>19</v>
      </c>
      <c r="I4685" s="1" t="s">
        <v>20</v>
      </c>
      <c r="J4685" s="1" t="s">
        <v>20888</v>
      </c>
      <c r="K4685" s="1" t="s">
        <v>22</v>
      </c>
      <c r="L4685" s="1" t="str">
        <f>HYPERLINK("https://files.afu.se/Downloads/Transcripts/0%20-%20Government/USA%20-%20NASA/2010 09 07 - NASA - Lending a Hand - NASA Talks with Reporters About Supporting Chilean Miners_T-zfZN3ZCzs - transcript (automated).pdf","Transcript Link")</f>
        <v>Transcript Link</v>
      </c>
      <c r="M4685" s="2" t="str">
        <f>HYPERLINK("https://files.afu.se/Downloads/Transcripts/0%20-%20Government/USA%20-%20NASA/2010 09 07 - NASA - Lending a Hand - NASA Talks with Reporters About Supporting Chilean Miners_T-zfZN3ZCzs - transcript (automated).pdf","Transcript Link")</f>
        <v>Transcript Link</v>
      </c>
    </row>
    <row r="4686" ht="165" spans="1:13">
      <c r="A4686" s="1" t="s">
        <v>20889</v>
      </c>
      <c r="B4686" s="1" t="s">
        <v>13</v>
      </c>
      <c r="C4686" s="4" t="s">
        <v>20890</v>
      </c>
      <c r="D4686" s="1" t="s">
        <v>20891</v>
      </c>
      <c r="E4686" s="1" t="s">
        <v>20892</v>
      </c>
      <c r="F4686" s="4" t="s">
        <v>17</v>
      </c>
      <c r="G4686" s="1" t="s">
        <v>18</v>
      </c>
      <c r="H4686" s="1" t="s">
        <v>19</v>
      </c>
      <c r="I4686" s="1" t="s">
        <v>20</v>
      </c>
      <c r="J4686" s="1" t="s">
        <v>20893</v>
      </c>
      <c r="K4686" s="1" t="s">
        <v>22</v>
      </c>
      <c r="L4686" s="1" t="str">
        <f>HYPERLINK("https://files.afu.se/Downloads/Transcripts/0%20-%20Government/USA%20-%20NASA/2010 09 03 - NASA - Closest-Ever Probe of Sun is  New NASA Mission_lLJvG1K1N9M - transcript (automated).pdf","Transcript Link")</f>
        <v>Transcript Link</v>
      </c>
      <c r="M4686" s="2" t="str">
        <f>HYPERLINK("https://files.afu.se/Downloads/Transcripts/0%20-%20Government/USA%20-%20NASA/2010 09 03 - NASA - Closest-Ever Probe of Sun is  New NASA Mission_lLJvG1K1N9M - transcript (automated).pdf","Transcript Link")</f>
        <v>Transcript Link</v>
      </c>
    </row>
    <row r="4687" ht="165" spans="1:13">
      <c r="A4687" s="1" t="s">
        <v>20889</v>
      </c>
      <c r="B4687" s="1" t="s">
        <v>13</v>
      </c>
      <c r="C4687" s="4" t="s">
        <v>20894</v>
      </c>
      <c r="D4687" s="1" t="s">
        <v>20895</v>
      </c>
      <c r="E4687" s="1" t="s">
        <v>20896</v>
      </c>
      <c r="F4687" s="4" t="s">
        <v>17</v>
      </c>
      <c r="G4687" s="1" t="s">
        <v>18</v>
      </c>
      <c r="H4687" s="1" t="s">
        <v>19</v>
      </c>
      <c r="I4687" s="1" t="s">
        <v>20</v>
      </c>
      <c r="J4687" s="1" t="s">
        <v>20897</v>
      </c>
      <c r="K4687" s="1" t="s">
        <v>22</v>
      </c>
      <c r="L4687" s="1" t="str">
        <f>HYPERLINK("https://files.afu.se/Downloads/Transcripts/0%20-%20Government/USA%20-%20NASA/2010 09 03 - NASA - Rocket Motor Test, Tech Chief Tour Tops This Week @ NASA_TJesh8DWBoc - transcript (automated).pdf","Transcript Link")</f>
        <v>Transcript Link</v>
      </c>
      <c r="M4687" s="2" t="str">
        <f>HYPERLINK("https://files.afu.se/Downloads/Transcripts/0%20-%20Government/USA%20-%20NASA/2010 09 03 - NASA - Rocket Motor Test, Tech Chief Tour Tops This Week @ NASA_TJesh8DWBoc - transcript (automated).pdf","Transcript Link")</f>
        <v>Transcript Link</v>
      </c>
    </row>
    <row r="4688" ht="165" spans="1:13">
      <c r="A4688" s="1" t="s">
        <v>20898</v>
      </c>
      <c r="B4688" s="1" t="s">
        <v>13</v>
      </c>
      <c r="C4688" s="4" t="s">
        <v>20899</v>
      </c>
      <c r="D4688" s="1" t="s">
        <v>20900</v>
      </c>
      <c r="E4688" s="1" t="s">
        <v>20901</v>
      </c>
      <c r="F4688" s="4" t="s">
        <v>17</v>
      </c>
      <c r="G4688" s="1" t="s">
        <v>18</v>
      </c>
      <c r="H4688" s="1" t="s">
        <v>19</v>
      </c>
      <c r="I4688" s="1" t="s">
        <v>20</v>
      </c>
      <c r="J4688" s="1" t="s">
        <v>20902</v>
      </c>
      <c r="K4688" s="1" t="s">
        <v>22</v>
      </c>
      <c r="L4688" s="1" t="str">
        <f>HYPERLINK("https://files.afu.se/Downloads/Transcripts/0%20-%20Government/USA%20-%20NASA/2010 09 02 - NASA - Station Cameras Provide New View of Hurricane Earl_UG9d_cP4iZ0 - transcript (automated).pdf","Transcript Link")</f>
        <v>Transcript Link</v>
      </c>
      <c r="M4688" s="2" t="str">
        <f>HYPERLINK("https://files.afu.se/Downloads/Transcripts/0%20-%20Government/USA%20-%20NASA/2010 09 02 - NASA - Station Cameras Provide New View of Hurricane Earl_UG9d_cP4iZ0 - transcript (automated).pdf","Transcript Link")</f>
        <v>Transcript Link</v>
      </c>
    </row>
    <row r="4689" ht="180" spans="1:13">
      <c r="A4689" s="1" t="s">
        <v>20898</v>
      </c>
      <c r="B4689" s="1" t="s">
        <v>13</v>
      </c>
      <c r="C4689" s="4" t="s">
        <v>20903</v>
      </c>
      <c r="D4689" s="1" t="s">
        <v>20904</v>
      </c>
      <c r="E4689" s="1" t="s">
        <v>20905</v>
      </c>
      <c r="F4689" s="4" t="s">
        <v>17</v>
      </c>
      <c r="G4689" s="1" t="s">
        <v>18</v>
      </c>
      <c r="H4689" s="1" t="s">
        <v>19</v>
      </c>
      <c r="I4689" s="1" t="s">
        <v>20</v>
      </c>
      <c r="J4689" s="1" t="s">
        <v>20906</v>
      </c>
      <c r="K4689" s="1" t="s">
        <v>22</v>
      </c>
      <c r="L4689" s="1" t="str">
        <f>HYPERLINK("https://files.afu.se/Downloads/Transcripts/0%20-%20Government/USA%20-%20NASA/2010 09 02 - NASA - Upgrades Completed at Kennedy Test Facility_M1x5JiF1iuk - transcript (automated).pdf","Transcript Link")</f>
        <v>Transcript Link</v>
      </c>
      <c r="M4689" s="2" t="str">
        <f>HYPERLINK("https://files.afu.se/Downloads/Transcripts/0%20-%20Government/USA%20-%20NASA/2010 09 02 - NASA - Upgrades Completed at Kennedy Test Facility_M1x5JiF1iuk - transcript (automated).pdf","Transcript Link")</f>
        <v>Transcript Link</v>
      </c>
    </row>
    <row r="4690" ht="165" spans="1:13">
      <c r="A4690" s="1" t="s">
        <v>20898</v>
      </c>
      <c r="B4690" s="1" t="s">
        <v>13</v>
      </c>
      <c r="C4690" s="4" t="s">
        <v>20907</v>
      </c>
      <c r="D4690" s="1" t="s">
        <v>20908</v>
      </c>
      <c r="E4690" s="1" t="s">
        <v>20909</v>
      </c>
      <c r="F4690" s="4" t="s">
        <v>17</v>
      </c>
      <c r="G4690" s="1" t="s">
        <v>18</v>
      </c>
      <c r="H4690" s="1" t="s">
        <v>19</v>
      </c>
      <c r="I4690" s="1" t="s">
        <v>20</v>
      </c>
      <c r="J4690" s="1" t="s">
        <v>20910</v>
      </c>
      <c r="K4690" s="1" t="s">
        <v>22</v>
      </c>
      <c r="L4690" s="1" t="str">
        <f>HYPERLINK("https://files.afu.se/Downloads/Transcripts/0%20-%20Government/USA%20-%20NASA/2010 09 02 - NASA - Rocket Motor Fired in Utah Test Stand_CM4gaWo--fU - transcript (automated).pdf","Transcript Link")</f>
        <v>Transcript Link</v>
      </c>
      <c r="M4690" s="2" t="str">
        <f>HYPERLINK("https://files.afu.se/Downloads/Transcripts/0%20-%20Government/USA%20-%20NASA/2010 09 02 - NASA - Rocket Motor Fired in Utah Test Stand_CM4gaWo--fU - transcript (automated).pdf","Transcript Link")</f>
        <v>Transcript Link</v>
      </c>
    </row>
    <row r="4691" ht="165" spans="1:13">
      <c r="A4691" s="1" t="s">
        <v>20911</v>
      </c>
      <c r="B4691" s="1" t="s">
        <v>13</v>
      </c>
      <c r="C4691" s="4" t="s">
        <v>20912</v>
      </c>
      <c r="D4691" s="1" t="s">
        <v>20913</v>
      </c>
      <c r="E4691" s="1" t="s">
        <v>20914</v>
      </c>
      <c r="F4691" s="4" t="s">
        <v>17</v>
      </c>
      <c r="G4691" s="1" t="s">
        <v>18</v>
      </c>
      <c r="H4691" s="1" t="s">
        <v>19</v>
      </c>
      <c r="I4691" s="1" t="s">
        <v>20</v>
      </c>
      <c r="J4691" s="1" t="s">
        <v>20915</v>
      </c>
      <c r="K4691" s="1" t="s">
        <v>22</v>
      </c>
      <c r="L4691" s="1" t="str">
        <f>HYPERLINK("https://files.afu.se/Downloads/Transcripts/0%20-%20Government/USA%20-%20NASA/2010 09 01 - NASA - Station Cameras Obtain Birds-Eye View of Earl and Fiona_QAArGSgSQu8 - transcript (automated).pdf","Transcript Link")</f>
        <v>Transcript Link</v>
      </c>
      <c r="M4691" s="2" t="str">
        <f>HYPERLINK("https://files.afu.se/Downloads/Transcripts/0%20-%20Government/USA%20-%20NASA/2010 09 01 - NASA - Station Cameras Obtain Birds-Eye View of Earl and Fiona_QAArGSgSQu8 - transcript (automated).pdf","Transcript Link")</f>
        <v>Transcript Link</v>
      </c>
    </row>
    <row r="4692" ht="165" spans="1:13">
      <c r="A4692" s="1" t="s">
        <v>20911</v>
      </c>
      <c r="B4692" s="1" t="s">
        <v>13</v>
      </c>
      <c r="C4692" s="4" t="s">
        <v>20916</v>
      </c>
      <c r="D4692" s="1" t="s">
        <v>20917</v>
      </c>
      <c r="E4692" s="1" t="s">
        <v>20918</v>
      </c>
      <c r="F4692" s="4" t="s">
        <v>17</v>
      </c>
      <c r="G4692" s="1" t="s">
        <v>18</v>
      </c>
      <c r="H4692" s="1" t="s">
        <v>19</v>
      </c>
      <c r="I4692" s="1" t="s">
        <v>20</v>
      </c>
      <c r="J4692" s="1" t="s">
        <v>20919</v>
      </c>
      <c r="K4692" s="1" t="s">
        <v>22</v>
      </c>
      <c r="L4692" s="1" t="str">
        <f>HYPERLINK("https://files.afu.se/Downloads/Transcripts/0%20-%20Government/USA%20-%20NASA/2010 09 01 - NASA - Earl's Eye Covered By NASA Research Flight_QyiI38FWU74 - transcript (automated).pdf","Transcript Link")</f>
        <v>Transcript Link</v>
      </c>
      <c r="M4692" s="2" t="str">
        <f>HYPERLINK("https://files.afu.se/Downloads/Transcripts/0%20-%20Government/USA%20-%20NASA/2010 09 01 - NASA - Earl's Eye Covered By NASA Research Flight_QyiI38FWU74 - transcript (automated).pdf","Transcript Link")</f>
        <v>Transcript Link</v>
      </c>
    </row>
    <row r="4693" ht="165" spans="1:13">
      <c r="A4693" s="1" t="s">
        <v>20920</v>
      </c>
      <c r="B4693" s="1" t="s">
        <v>13</v>
      </c>
      <c r="C4693" s="4" t="s">
        <v>20921</v>
      </c>
      <c r="D4693" s="1" t="s">
        <v>20922</v>
      </c>
      <c r="E4693" s="1" t="s">
        <v>20923</v>
      </c>
      <c r="F4693" s="4" t="s">
        <v>17</v>
      </c>
      <c r="G4693" s="1" t="s">
        <v>18</v>
      </c>
      <c r="H4693" s="1" t="s">
        <v>19</v>
      </c>
      <c r="I4693" s="1" t="s">
        <v>20</v>
      </c>
      <c r="J4693" s="1" t="s">
        <v>20924</v>
      </c>
      <c r="K4693" s="1" t="s">
        <v>22</v>
      </c>
      <c r="L4693" s="1" t="str">
        <f>HYPERLINK("https://files.afu.se/Downloads/Transcripts/0%20-%20Government/USA%20-%20NASA/2010 08 31 - NASA - Hurricane Earl as Seen from ISS_vUfM17hvEFg - transcript (automated).pdf","Transcript Link")</f>
        <v>Transcript Link</v>
      </c>
      <c r="M4693" s="2" t="str">
        <f>HYPERLINK("https://files.afu.se/Downloads/Transcripts/0%20-%20Government/USA%20-%20NASA/2010 08 31 - NASA - Hurricane Earl as Seen from ISS_vUfM17hvEFg - transcript (automated).pdf","Transcript Link")</f>
        <v>Transcript Link</v>
      </c>
    </row>
    <row r="4694" ht="165" spans="1:13">
      <c r="A4694" s="1" t="s">
        <v>20920</v>
      </c>
      <c r="B4694" s="1" t="s">
        <v>13</v>
      </c>
      <c r="C4694" s="4" t="s">
        <v>20925</v>
      </c>
      <c r="D4694" s="1" t="s">
        <v>20926</v>
      </c>
      <c r="E4694" s="1" t="s">
        <v>20927</v>
      </c>
      <c r="F4694" s="4" t="s">
        <v>17</v>
      </c>
      <c r="G4694" s="1" t="s">
        <v>18</v>
      </c>
      <c r="H4694" s="1" t="s">
        <v>19</v>
      </c>
      <c r="I4694" s="1" t="s">
        <v>20</v>
      </c>
      <c r="J4694" s="1" t="s">
        <v>20928</v>
      </c>
      <c r="K4694" s="1" t="s">
        <v>22</v>
      </c>
      <c r="L4694" s="1" t="str">
        <f>HYPERLINK("https://files.afu.se/Downloads/Transcripts/0%20-%20Government/USA%20-%20NASA/2010 08 31 - NASA - Shuttle Astronaut Bill Lenoir Dies_2xaRotYad1o - transcript (automated).pdf","Transcript Link")</f>
        <v>Transcript Link</v>
      </c>
      <c r="M4694" s="2" t="str">
        <f>HYPERLINK("https://files.afu.se/Downloads/Transcripts/0%20-%20Government/USA%20-%20NASA/2010 08 31 - NASA - Shuttle Astronaut Bill Lenoir Dies_2xaRotYad1o - transcript (automated).pdf","Transcript Link")</f>
        <v>Transcript Link</v>
      </c>
    </row>
    <row r="4695" ht="165" spans="1:13">
      <c r="A4695" s="1" t="s">
        <v>20929</v>
      </c>
      <c r="B4695" s="1" t="s">
        <v>13</v>
      </c>
      <c r="C4695" s="4" t="s">
        <v>20930</v>
      </c>
      <c r="D4695" s="1" t="s">
        <v>20931</v>
      </c>
      <c r="E4695" s="1" t="s">
        <v>20932</v>
      </c>
      <c r="F4695" s="4" t="s">
        <v>17</v>
      </c>
      <c r="G4695" s="1" t="s">
        <v>18</v>
      </c>
      <c r="H4695" s="1" t="s">
        <v>19</v>
      </c>
      <c r="I4695" s="1" t="s">
        <v>20</v>
      </c>
      <c r="J4695" s="1" t="s">
        <v>20933</v>
      </c>
      <c r="K4695" s="1" t="s">
        <v>22</v>
      </c>
      <c r="L4695" s="1" t="str">
        <f>HYPERLINK("https://files.afu.se/Downloads/Transcripts/0%20-%20Government/USA%20-%20NASA/2010 08 30 - NASA - Walker Talks with Hometown TV_nSG2qvDsmvY - transcript (automated).pdf","Transcript Link")</f>
        <v>Transcript Link</v>
      </c>
      <c r="M4695" s="2" t="str">
        <f>HYPERLINK("https://files.afu.se/Downloads/Transcripts/0%20-%20Government/USA%20-%20NASA/2010 08 30 - NASA - Walker Talks with Hometown TV_nSG2qvDsmvY - transcript (automated).pdf","Transcript Link")</f>
        <v>Transcript Link</v>
      </c>
    </row>
    <row r="4696" ht="165" spans="1:13">
      <c r="A4696" s="1" t="s">
        <v>20929</v>
      </c>
      <c r="B4696" s="1" t="s">
        <v>13</v>
      </c>
      <c r="C4696" s="4" t="s">
        <v>20934</v>
      </c>
      <c r="D4696" s="1" t="s">
        <v>20935</v>
      </c>
      <c r="E4696" s="1" t="s">
        <v>20936</v>
      </c>
      <c r="F4696" s="4" t="s">
        <v>17</v>
      </c>
      <c r="G4696" s="1" t="s">
        <v>18</v>
      </c>
      <c r="H4696" s="1" t="s">
        <v>19</v>
      </c>
      <c r="I4696" s="1" t="s">
        <v>20</v>
      </c>
      <c r="J4696" s="1" t="s">
        <v>20937</v>
      </c>
      <c r="K4696" s="1" t="s">
        <v>22</v>
      </c>
      <c r="L4696" s="1" t="str">
        <f>HYPERLINK("https://files.afu.se/Downloads/Transcripts/0%20-%20Government/USA%20-%20NASA/2010 08 30 - NASA - Newly-Discovered Sun-Like System Highlights This Week @ NASA_livOZ-fDQ88 - transcript (automated).pdf","Transcript Link")</f>
        <v>Transcript Link</v>
      </c>
      <c r="M4696" s="2" t="str">
        <f>HYPERLINK("https://files.afu.se/Downloads/Transcripts/0%20-%20Government/USA%20-%20NASA/2010 08 30 - NASA - Newly-Discovered Sun-Like System Highlights This Week @ NASA_livOZ-fDQ88 - transcript (automated).pdf","Transcript Link")</f>
        <v>Transcript Link</v>
      </c>
    </row>
    <row r="4697" ht="165" spans="1:13">
      <c r="A4697" s="1" t="s">
        <v>20938</v>
      </c>
      <c r="B4697" s="1" t="s">
        <v>13</v>
      </c>
      <c r="C4697" s="4" t="s">
        <v>20939</v>
      </c>
      <c r="D4697" s="1" t="s">
        <v>20940</v>
      </c>
      <c r="E4697" s="1" t="s">
        <v>20941</v>
      </c>
      <c r="F4697" s="4" t="s">
        <v>17</v>
      </c>
      <c r="G4697" s="1" t="s">
        <v>18</v>
      </c>
      <c r="H4697" s="1" t="s">
        <v>19</v>
      </c>
      <c r="I4697" s="1" t="s">
        <v>20</v>
      </c>
      <c r="J4697" s="1" t="s">
        <v>20942</v>
      </c>
      <c r="K4697" s="1" t="s">
        <v>22</v>
      </c>
      <c r="L4697" s="1" t="str">
        <f>HYPERLINK("https://files.afu.se/Downloads/Transcripts/0%20-%20Government/USA%20-%20NASA/2010 08 27 - NASA - Expedition 23  From Launch to Landing_Uul7nB7ZUtU - transcript (automated).pdf","Transcript Link")</f>
        <v>Transcript Link</v>
      </c>
      <c r="M4697" s="2" t="str">
        <f>HYPERLINK("https://files.afu.se/Downloads/Transcripts/0%20-%20Government/USA%20-%20NASA/2010 08 27 - NASA - Expedition 23  From Launch to Landing_Uul7nB7ZUtU - transcript (automated).pdf","Transcript Link")</f>
        <v>Transcript Link</v>
      </c>
    </row>
    <row r="4698" ht="165" spans="1:13">
      <c r="A4698" s="1" t="s">
        <v>20938</v>
      </c>
      <c r="B4698" s="1" t="s">
        <v>13</v>
      </c>
      <c r="C4698" s="4" t="s">
        <v>20943</v>
      </c>
      <c r="D4698" s="1" t="s">
        <v>20944</v>
      </c>
      <c r="E4698" s="1" t="s">
        <v>20945</v>
      </c>
      <c r="F4698" s="4" t="s">
        <v>17</v>
      </c>
      <c r="G4698" s="1" t="s">
        <v>18</v>
      </c>
      <c r="H4698" s="1" t="s">
        <v>19</v>
      </c>
      <c r="I4698" s="1" t="s">
        <v>20</v>
      </c>
      <c r="J4698" s="1" t="s">
        <v>20946</v>
      </c>
      <c r="K4698" s="1" t="s">
        <v>22</v>
      </c>
      <c r="L4698" s="1" t="str">
        <f>HYPERLINK("https://files.afu.se/Downloads/Transcripts/0%20-%20Government/USA%20-%20NASA/2010 08 27 - NASA - Interview about NASA assistance to trapped miners in Chile_z3aH4VQ-TDQ - transcript (automated).pdf","Transcript Link")</f>
        <v>Transcript Link</v>
      </c>
      <c r="M4698" s="2" t="str">
        <f>HYPERLINK("https://files.afu.se/Downloads/Transcripts/0%20-%20Government/USA%20-%20NASA/2010 08 27 - NASA - Interview about NASA assistance to trapped miners in Chile_z3aH4VQ-TDQ - transcript (automated).pdf","Transcript Link")</f>
        <v>Transcript Link</v>
      </c>
    </row>
    <row r="4699" ht="210" spans="1:13">
      <c r="A4699" s="1" t="s">
        <v>20938</v>
      </c>
      <c r="B4699" s="1" t="s">
        <v>13</v>
      </c>
      <c r="C4699" s="4" t="s">
        <v>20947</v>
      </c>
      <c r="D4699" s="1" t="s">
        <v>20948</v>
      </c>
      <c r="E4699" s="1" t="s">
        <v>20949</v>
      </c>
      <c r="F4699" s="4" t="s">
        <v>17</v>
      </c>
      <c r="G4699" s="1" t="s">
        <v>18</v>
      </c>
      <c r="H4699" s="1" t="s">
        <v>19</v>
      </c>
      <c r="I4699" s="1" t="s">
        <v>20</v>
      </c>
      <c r="J4699" s="1" t="s">
        <v>20950</v>
      </c>
      <c r="K4699" s="1" t="s">
        <v>22</v>
      </c>
      <c r="L4699" s="1" t="str">
        <f>HYPERLINK("https://files.afu.se/Downloads/Transcripts/0%20-%20Government/USA%20-%20NASA/2010 08 27 - NASA - U2 in Space and On Tour with NASA_ciHVOGCHpNE - transcript (automated).pdf","Transcript Link")</f>
        <v>Transcript Link</v>
      </c>
      <c r="M4699" s="2" t="str">
        <f>HYPERLINK("https://files.afu.se/Downloads/Transcripts/0%20-%20Government/USA%20-%20NASA/2010 08 27 - NASA - U2 in Space and On Tour with NASA_ciHVOGCHpNE - transcript (automated).pdf","Transcript Link")</f>
        <v>Transcript Link</v>
      </c>
    </row>
    <row r="4700" ht="165" spans="1:13">
      <c r="A4700" s="1" t="s">
        <v>20951</v>
      </c>
      <c r="B4700" s="1" t="s">
        <v>13</v>
      </c>
      <c r="C4700" s="4" t="s">
        <v>20952</v>
      </c>
      <c r="D4700" s="1" t="s">
        <v>20953</v>
      </c>
      <c r="E4700" s="1" t="s">
        <v>20954</v>
      </c>
      <c r="F4700" s="4" t="s">
        <v>17</v>
      </c>
      <c r="G4700" s="1" t="s">
        <v>18</v>
      </c>
      <c r="H4700" s="1" t="s">
        <v>19</v>
      </c>
      <c r="I4700" s="1" t="s">
        <v>20</v>
      </c>
      <c r="J4700" s="1" t="s">
        <v>20955</v>
      </c>
      <c r="K4700" s="1" t="s">
        <v>22</v>
      </c>
      <c r="L4700" s="1" t="str">
        <f>HYPERLINK("https://files.afu.se/Downloads/Transcripts/0%20-%20Government/USA%20-%20NASA/2010 08 26 - NASA - NASA Gets  GRIP  on Hurricane Formation_5qMHgAI2z8o - transcript (automated).pdf","Transcript Link")</f>
        <v>Transcript Link</v>
      </c>
      <c r="M4700" s="2" t="str">
        <f>HYPERLINK("https://files.afu.se/Downloads/Transcripts/0%20-%20Government/USA%20-%20NASA/2010 08 26 - NASA - NASA Gets  GRIP  on Hurricane Formation_5qMHgAI2z8o - transcript (automated).pdf","Transcript Link")</f>
        <v>Transcript Link</v>
      </c>
    </row>
    <row r="4701" ht="165" spans="1:13">
      <c r="A4701" s="1" t="s">
        <v>20951</v>
      </c>
      <c r="B4701" s="1" t="s">
        <v>13</v>
      </c>
      <c r="C4701" s="4" t="s">
        <v>20956</v>
      </c>
      <c r="D4701" s="1" t="s">
        <v>20957</v>
      </c>
      <c r="E4701" s="1" t="s">
        <v>20958</v>
      </c>
      <c r="F4701" s="4" t="s">
        <v>17</v>
      </c>
      <c r="G4701" s="1" t="s">
        <v>18</v>
      </c>
      <c r="H4701" s="1" t="s">
        <v>19</v>
      </c>
      <c r="I4701" s="1" t="s">
        <v>20</v>
      </c>
      <c r="J4701" s="1" t="s">
        <v>20959</v>
      </c>
      <c r="K4701" s="1" t="s">
        <v>22</v>
      </c>
      <c r="L4701" s="1" t="str">
        <f>HYPERLINK("https://files.afu.se/Downloads/Transcripts/0%20-%20Government/USA%20-%20NASA/2010 08 26 - NASA - First Multi-Planet System Discovered by Kepler_OxjffeDfpgQ - transcript (automated).pdf","Transcript Link")</f>
        <v>Transcript Link</v>
      </c>
      <c r="M4701" s="2" t="str">
        <f>HYPERLINK("https://files.afu.se/Downloads/Transcripts/0%20-%20Government/USA%20-%20NASA/2010 08 26 - NASA - First Multi-Planet System Discovered by Kepler_OxjffeDfpgQ - transcript (automated).pdf","Transcript Link")</f>
        <v>Transcript Link</v>
      </c>
    </row>
    <row r="4702" ht="165" spans="1:13">
      <c r="A4702" s="1" t="s">
        <v>20960</v>
      </c>
      <c r="B4702" s="1" t="s">
        <v>13</v>
      </c>
      <c r="C4702" s="4" t="s">
        <v>20961</v>
      </c>
      <c r="D4702" s="1" t="s">
        <v>20962</v>
      </c>
      <c r="E4702" s="1" t="s">
        <v>20963</v>
      </c>
      <c r="F4702" s="4" t="s">
        <v>17</v>
      </c>
      <c r="G4702" s="1" t="s">
        <v>18</v>
      </c>
      <c r="H4702" s="1" t="s">
        <v>19</v>
      </c>
      <c r="I4702" s="1" t="s">
        <v>20</v>
      </c>
      <c r="J4702" s="1" t="s">
        <v>20964</v>
      </c>
      <c r="K4702" s="1" t="s">
        <v>22</v>
      </c>
      <c r="L4702" s="1" t="str">
        <f>HYPERLINK("https://files.afu.se/Downloads/Transcripts/0%20-%20Government/USA%20-%20NASA/2010 08 24 - NASA -  Avatar  Director in NASA Earth Science Exploration PSAs_8bn7t2-FCEs - transcript (automated).pdf","Transcript Link")</f>
        <v>Transcript Link</v>
      </c>
      <c r="M4702" s="2" t="str">
        <f>HYPERLINK("https://files.afu.se/Downloads/Transcripts/0%20-%20Government/USA%20-%20NASA/2010 08 24 - NASA -  Avatar  Director in NASA Earth Science Exploration PSAs_8bn7t2-FCEs - transcript (automated).pdf","Transcript Link")</f>
        <v>Transcript Link</v>
      </c>
    </row>
    <row r="4703" ht="165" spans="1:13">
      <c r="A4703" s="1" t="s">
        <v>20960</v>
      </c>
      <c r="B4703" s="1" t="s">
        <v>13</v>
      </c>
      <c r="C4703" s="4" t="s">
        <v>20965</v>
      </c>
      <c r="D4703" s="1" t="s">
        <v>20966</v>
      </c>
      <c r="E4703" s="1" t="s">
        <v>20967</v>
      </c>
      <c r="F4703" s="4" t="s">
        <v>17</v>
      </c>
      <c r="G4703" s="1" t="s">
        <v>18</v>
      </c>
      <c r="H4703" s="1" t="s">
        <v>19</v>
      </c>
      <c r="I4703" s="1" t="s">
        <v>20</v>
      </c>
      <c r="J4703" s="1" t="s">
        <v>20968</v>
      </c>
      <c r="K4703" s="1" t="s">
        <v>22</v>
      </c>
      <c r="L4703" s="1" t="str">
        <f>HYPERLINK("https://files.afu.se/Downloads/Transcripts/0%20-%20Government/USA%20-%20NASA/2010 08 24 - NASA -  A Steady Eye on Home  Features  Avatar  Director_PvrEtSUP7_M - transcript (automated).pdf","Transcript Link")</f>
        <v>Transcript Link</v>
      </c>
      <c r="M4703" s="2" t="str">
        <f>HYPERLINK("https://files.afu.se/Downloads/Transcripts/0%20-%20Government/USA%20-%20NASA/2010 08 24 - NASA -  A Steady Eye on Home  Features  Avatar  Director_PvrEtSUP7_M - transcript (automated).pdf","Transcript Link")</f>
        <v>Transcript Link</v>
      </c>
    </row>
    <row r="4704" ht="210" spans="1:13">
      <c r="A4704" s="1" t="s">
        <v>20960</v>
      </c>
      <c r="B4704" s="1" t="s">
        <v>13</v>
      </c>
      <c r="C4704" s="4" t="s">
        <v>20969</v>
      </c>
      <c r="D4704" s="1" t="s">
        <v>20970</v>
      </c>
      <c r="E4704" s="1" t="s">
        <v>20971</v>
      </c>
      <c r="F4704" s="4" t="s">
        <v>17</v>
      </c>
      <c r="G4704" s="1" t="s">
        <v>18</v>
      </c>
      <c r="H4704" s="1" t="s">
        <v>19</v>
      </c>
      <c r="I4704" s="1" t="s">
        <v>20</v>
      </c>
      <c r="J4704" s="1" t="s">
        <v>20972</v>
      </c>
      <c r="K4704" s="1" t="s">
        <v>22</v>
      </c>
      <c r="L4704" s="1" t="str">
        <f>HYPERLINK("https://files.afu.se/Downloads/Transcripts/0%20-%20Government/USA%20-%20NASA/2010 08 24 - NASA - Galactic Super Volcano Similar to Disruptive, Icelandic Phenomenon_oRm0fnWyklo - transcript (automated).pdf","Transcript Link")</f>
        <v>Transcript Link</v>
      </c>
      <c r="M4704" s="2" t="str">
        <f>HYPERLINK("https://files.afu.se/Downloads/Transcripts/0%20-%20Government/USA%20-%20NASA/2010 08 24 - NASA - Galactic Super Volcano Similar to Disruptive, Icelandic Phenomenon_oRm0fnWyklo - transcript (automated).pdf","Transcript Link")</f>
        <v>Transcript Link</v>
      </c>
    </row>
    <row r="4705" ht="165" spans="1:13">
      <c r="A4705" s="1" t="s">
        <v>20960</v>
      </c>
      <c r="B4705" s="1" t="s">
        <v>13</v>
      </c>
      <c r="C4705" s="4" t="s">
        <v>20973</v>
      </c>
      <c r="D4705" s="1" t="s">
        <v>20974</v>
      </c>
      <c r="E4705" s="1" t="s">
        <v>20975</v>
      </c>
      <c r="F4705" s="4" t="s">
        <v>17</v>
      </c>
      <c r="G4705" s="1" t="s">
        <v>18</v>
      </c>
      <c r="H4705" s="1" t="s">
        <v>19</v>
      </c>
      <c r="I4705" s="1" t="s">
        <v>20</v>
      </c>
      <c r="J4705" s="1" t="s">
        <v>20976</v>
      </c>
      <c r="K4705" s="1" t="s">
        <v>22</v>
      </c>
      <c r="L4705" s="1" t="str">
        <f>HYPERLINK("https://files.afu.se/Downloads/Transcripts/0%20-%20Government/USA%20-%20NASA/2010 08 24 - NASA -  Avatar  Director James Cameron on NASA Earth Science_fHQrXERODS0 - transcript (automated).pdf","Transcript Link")</f>
        <v>Transcript Link</v>
      </c>
      <c r="M4705" s="2" t="str">
        <f>HYPERLINK("https://files.afu.se/Downloads/Transcripts/0%20-%20Government/USA%20-%20NASA/2010 08 24 - NASA -  Avatar  Director James Cameron on NASA Earth Science_fHQrXERODS0 - transcript (automated).pdf","Transcript Link")</f>
        <v>Transcript Link</v>
      </c>
    </row>
    <row r="4706" ht="165" spans="1:13">
      <c r="A4706" s="1" t="s">
        <v>20960</v>
      </c>
      <c r="B4706" s="1" t="s">
        <v>13</v>
      </c>
      <c r="C4706" s="4" t="s">
        <v>20977</v>
      </c>
      <c r="D4706" s="1" t="s">
        <v>20978</v>
      </c>
      <c r="E4706" s="1" t="s">
        <v>20979</v>
      </c>
      <c r="F4706" s="4" t="s">
        <v>17</v>
      </c>
      <c r="G4706" s="1" t="s">
        <v>18</v>
      </c>
      <c r="H4706" s="1" t="s">
        <v>19</v>
      </c>
      <c r="I4706" s="1" t="s">
        <v>20</v>
      </c>
      <c r="J4706" s="1" t="s">
        <v>20980</v>
      </c>
      <c r="K4706" s="1" t="s">
        <v>22</v>
      </c>
      <c r="L4706" s="1" t="str">
        <f>HYPERLINK("https://files.afu.se/Downloads/Transcripts/0%20-%20Government/USA%20-%20NASA/2010 08 24 - NASA - Researchers Explore Next-Gen Trash Bag_TDtBT5XL5KQ - transcript (automated).pdf","Transcript Link")</f>
        <v>Transcript Link</v>
      </c>
      <c r="M4706" s="2" t="str">
        <f>HYPERLINK("https://files.afu.se/Downloads/Transcripts/0%20-%20Government/USA%20-%20NASA/2010 08 24 - NASA - Researchers Explore Next-Gen Trash Bag_TDtBT5XL5KQ - transcript (automated).pdf","Transcript Link")</f>
        <v>Transcript Link</v>
      </c>
    </row>
    <row r="4707" ht="195" spans="1:13">
      <c r="A4707" s="1" t="s">
        <v>20981</v>
      </c>
      <c r="B4707" s="1" t="s">
        <v>13</v>
      </c>
      <c r="C4707" s="4" t="s">
        <v>20982</v>
      </c>
      <c r="D4707" s="1" t="s">
        <v>20983</v>
      </c>
      <c r="E4707" s="1" t="s">
        <v>20984</v>
      </c>
      <c r="F4707" s="4" t="s">
        <v>17</v>
      </c>
      <c r="G4707" s="1" t="s">
        <v>18</v>
      </c>
      <c r="H4707" s="1" t="s">
        <v>19</v>
      </c>
      <c r="I4707" s="1" t="s">
        <v>20</v>
      </c>
      <c r="J4707" s="1" t="s">
        <v>20985</v>
      </c>
      <c r="K4707" s="1" t="s">
        <v>22</v>
      </c>
      <c r="L4707" s="1" t="str">
        <f>HYPERLINK("https://files.afu.se/Downloads/Transcripts/0%20-%20Government/USA%20-%20NASA/2010 08 20 - NASA - Kennedy Ships Off ISS Spare Parts to Japan_3vQMraQb4D0 - transcript (automated).pdf","Transcript Link")</f>
        <v>Transcript Link</v>
      </c>
      <c r="M4707" s="2" t="str">
        <f>HYPERLINK("https://files.afu.se/Downloads/Transcripts/0%20-%20Government/USA%20-%20NASA/2010 08 20 - NASA - Kennedy Ships Off ISS Spare Parts to Japan_3vQMraQb4D0 - transcript (automated).pdf","Transcript Link")</f>
        <v>Transcript Link</v>
      </c>
    </row>
    <row r="4708" ht="165" spans="1:13">
      <c r="A4708" s="1" t="s">
        <v>20981</v>
      </c>
      <c r="B4708" s="1" t="s">
        <v>13</v>
      </c>
      <c r="C4708" s="4" t="s">
        <v>20986</v>
      </c>
      <c r="D4708" s="1" t="s">
        <v>20987</v>
      </c>
      <c r="E4708" s="1" t="s">
        <v>20988</v>
      </c>
      <c r="F4708" s="4" t="s">
        <v>17</v>
      </c>
      <c r="G4708" s="1" t="s">
        <v>18</v>
      </c>
      <c r="H4708" s="1" t="s">
        <v>19</v>
      </c>
      <c r="I4708" s="1" t="s">
        <v>20</v>
      </c>
      <c r="J4708" s="1" t="s">
        <v>20989</v>
      </c>
      <c r="K4708" s="1" t="s">
        <v>22</v>
      </c>
      <c r="L4708" s="1" t="str">
        <f>HYPERLINK("https://files.afu.se/Downloads/Transcripts/0%20-%20Government/USA%20-%20NASA/2010 08 20 - NASA - Spacewalkers Provide Cool Under Pressure on This Week @ NASA_YBg2tuJxYTM - transcript (automated).pdf","Transcript Link")</f>
        <v>Transcript Link</v>
      </c>
      <c r="M4708" s="2" t="str">
        <f>HYPERLINK("https://files.afu.se/Downloads/Transcripts/0%20-%20Government/USA%20-%20NASA/2010 08 20 - NASA - Spacewalkers Provide Cool Under Pressure on This Week @ NASA_YBg2tuJxYTM - transcript (automated).pdf","Transcript Link")</f>
        <v>Transcript Link</v>
      </c>
    </row>
    <row r="4709" ht="165" spans="1:13">
      <c r="A4709" s="1" t="s">
        <v>20981</v>
      </c>
      <c r="B4709" s="1" t="s">
        <v>13</v>
      </c>
      <c r="C4709" s="4" t="s">
        <v>20990</v>
      </c>
      <c r="D4709" s="1" t="s">
        <v>20991</v>
      </c>
      <c r="E4709" s="1" t="s">
        <v>20992</v>
      </c>
      <c r="F4709" s="4" t="s">
        <v>17</v>
      </c>
      <c r="G4709" s="1" t="s">
        <v>18</v>
      </c>
      <c r="H4709" s="1" t="s">
        <v>19</v>
      </c>
      <c r="I4709" s="1" t="s">
        <v>20</v>
      </c>
      <c r="J4709" s="1" t="s">
        <v>20993</v>
      </c>
      <c r="K4709" s="1" t="s">
        <v>22</v>
      </c>
      <c r="L4709" s="1" t="str">
        <f>HYPERLINK("https://files.afu.se/Downloads/Transcripts/0%20-%20Government/USA%20-%20NASA/2010 08 20 - NASA - Moon Reveals New Secrets to Spacecraft_GJL6EMiD3-Y - transcript (automated).pdf","Transcript Link")</f>
        <v>Transcript Link</v>
      </c>
      <c r="M4709" s="2" t="str">
        <f>HYPERLINK("https://files.afu.se/Downloads/Transcripts/0%20-%20Government/USA%20-%20NASA/2010 08 20 - NASA - Moon Reveals New Secrets to Spacecraft_GJL6EMiD3-Y - transcript (automated).pdf","Transcript Link")</f>
        <v>Transcript Link</v>
      </c>
    </row>
    <row r="4710" ht="165" spans="1:13">
      <c r="A4710" s="1" t="s">
        <v>20981</v>
      </c>
      <c r="B4710" s="1" t="s">
        <v>13</v>
      </c>
      <c r="C4710" s="4" t="s">
        <v>20994</v>
      </c>
      <c r="D4710" s="1" t="s">
        <v>20995</v>
      </c>
      <c r="E4710" s="1" t="s">
        <v>20996</v>
      </c>
      <c r="F4710" s="4" t="s">
        <v>17</v>
      </c>
      <c r="G4710" s="1" t="s">
        <v>18</v>
      </c>
      <c r="H4710" s="1" t="s">
        <v>19</v>
      </c>
      <c r="I4710" s="1" t="s">
        <v>20</v>
      </c>
      <c r="J4710" s="1" t="s">
        <v>20997</v>
      </c>
      <c r="K4710" s="1" t="s">
        <v>22</v>
      </c>
      <c r="L4710" s="1" t="str">
        <f>HYPERLINK("https://files.afu.se/Downloads/Transcripts/0%20-%20Government/USA%20-%20NASA/2010 08 20 - NASA - Rising Temperatures Mean Falling Plant Productivity Overall_QmEAIlsqXDs - transcript (automated).pdf","Transcript Link")</f>
        <v>Transcript Link</v>
      </c>
      <c r="M4710" s="2" t="str">
        <f>HYPERLINK("https://files.afu.se/Downloads/Transcripts/0%20-%20Government/USA%20-%20NASA/2010 08 20 - NASA - Rising Temperatures Mean Falling Plant Productivity Overall_QmEAIlsqXDs - transcript (automated).pdf","Transcript Link")</f>
        <v>Transcript Link</v>
      </c>
    </row>
    <row r="4711" ht="165" spans="1:13">
      <c r="A4711" s="1" t="s">
        <v>20998</v>
      </c>
      <c r="B4711" s="1" t="s">
        <v>13</v>
      </c>
      <c r="C4711" s="4" t="s">
        <v>20999</v>
      </c>
      <c r="D4711" s="1" t="s">
        <v>21000</v>
      </c>
      <c r="E4711" s="1" t="s">
        <v>21001</v>
      </c>
      <c r="F4711" s="4" t="s">
        <v>17</v>
      </c>
      <c r="G4711" s="1" t="s">
        <v>18</v>
      </c>
      <c r="H4711" s="1" t="s">
        <v>19</v>
      </c>
      <c r="I4711" s="1" t="s">
        <v>20</v>
      </c>
      <c r="J4711" s="1" t="s">
        <v>21002</v>
      </c>
      <c r="K4711" s="1" t="s">
        <v>22</v>
      </c>
      <c r="L4711" s="1" t="str">
        <f>HYPERLINK("https://files.afu.se/Downloads/Transcripts/0%20-%20Government/USA%20-%20NASA/2010 08 18 - NASA - Mary J. Blige Joins NASA to Promote STEM Careers for Women_NVmIbPP1iAM - transcript (automated).pdf","Transcript Link")</f>
        <v>Transcript Link</v>
      </c>
      <c r="M4711" s="2" t="str">
        <f>HYPERLINK("https://files.afu.se/Downloads/Transcripts/0%20-%20Government/USA%20-%20NASA/2010 08 18 - NASA - Mary J. Blige Joins NASA to Promote STEM Careers for Women_NVmIbPP1iAM - transcript (automated).pdf","Transcript Link")</f>
        <v>Transcript Link</v>
      </c>
    </row>
    <row r="4712" ht="165" spans="1:13">
      <c r="A4712" s="1" t="s">
        <v>20998</v>
      </c>
      <c r="B4712" s="1" t="s">
        <v>13</v>
      </c>
      <c r="C4712" s="4" t="s">
        <v>21003</v>
      </c>
      <c r="D4712" s="1" t="s">
        <v>21004</v>
      </c>
      <c r="E4712" s="1" t="s">
        <v>21005</v>
      </c>
      <c r="F4712" s="4" t="s">
        <v>17</v>
      </c>
      <c r="G4712" s="1" t="s">
        <v>18</v>
      </c>
      <c r="H4712" s="1" t="s">
        <v>19</v>
      </c>
      <c r="I4712" s="1" t="s">
        <v>20</v>
      </c>
      <c r="J4712" s="1" t="s">
        <v>21006</v>
      </c>
      <c r="K4712" s="1" t="s">
        <v>22</v>
      </c>
      <c r="L4712" s="1" t="str">
        <f>HYPERLINK("https://files.afu.se/Downloads/Transcripts/0%20-%20Government/USA%20-%20NASA/2010 08 18 - NASA - NASA and Mary J. Blige Encourage Science Careers for Women_HBJZyzY55J0 - transcript (automated).pdf","Transcript Link")</f>
        <v>Transcript Link</v>
      </c>
      <c r="M4712" s="2" t="str">
        <f>HYPERLINK("https://files.afu.se/Downloads/Transcripts/0%20-%20Government/USA%20-%20NASA/2010 08 18 - NASA - NASA and Mary J. Blige Encourage Science Careers for Women_HBJZyzY55J0 - transcript (automated).pdf","Transcript Link")</f>
        <v>Transcript Link</v>
      </c>
    </row>
    <row r="4713" ht="165" spans="1:13">
      <c r="A4713" s="1" t="s">
        <v>21007</v>
      </c>
      <c r="B4713" s="1" t="s">
        <v>13</v>
      </c>
      <c r="C4713" s="4" t="s">
        <v>21008</v>
      </c>
      <c r="D4713" s="1" t="s">
        <v>21009</v>
      </c>
      <c r="E4713" s="1" t="s">
        <v>21010</v>
      </c>
      <c r="F4713" s="4" t="s">
        <v>17</v>
      </c>
      <c r="G4713" s="1" t="s">
        <v>18</v>
      </c>
      <c r="H4713" s="1" t="s">
        <v>19</v>
      </c>
      <c r="I4713" s="1" t="s">
        <v>20</v>
      </c>
      <c r="J4713" s="1" t="s">
        <v>21011</v>
      </c>
      <c r="K4713" s="1" t="s">
        <v>22</v>
      </c>
      <c r="L4713" s="1" t="str">
        <f>HYPERLINK("https://files.afu.se/Downloads/Transcripts/0%20-%20Government/USA%20-%20NASA/2010 08 17 - NASA - Third Time's the Charm for Spacewalkers_fiU3zPibBSI - transcript (automated).pdf","Transcript Link")</f>
        <v>Transcript Link</v>
      </c>
      <c r="M4713" s="2" t="str">
        <f>HYPERLINK("https://files.afu.se/Downloads/Transcripts/0%20-%20Government/USA%20-%20NASA/2010 08 17 - NASA - Third Time's the Charm for Spacewalkers_fiU3zPibBSI - transcript (automated).pdf","Transcript Link")</f>
        <v>Transcript Link</v>
      </c>
    </row>
    <row r="4714" ht="165" spans="1:13">
      <c r="A4714" s="1" t="s">
        <v>21012</v>
      </c>
      <c r="B4714" s="1" t="s">
        <v>13</v>
      </c>
      <c r="C4714" s="4" t="s">
        <v>21013</v>
      </c>
      <c r="D4714" s="1" t="s">
        <v>21014</v>
      </c>
      <c r="E4714" s="1" t="s">
        <v>21015</v>
      </c>
      <c r="F4714" s="4" t="s">
        <v>17</v>
      </c>
      <c r="G4714" s="1" t="s">
        <v>18</v>
      </c>
      <c r="H4714" s="1" t="s">
        <v>19</v>
      </c>
      <c r="I4714" s="1" t="s">
        <v>20</v>
      </c>
      <c r="J4714" s="1" t="s">
        <v>21016</v>
      </c>
      <c r="K4714" s="1" t="s">
        <v>22</v>
      </c>
      <c r="L4714" s="1" t="str">
        <f>HYPERLINK("https://files.afu.se/Downloads/Transcripts/0%20-%20Government/USA%20-%20NASA/2010 08 13 - NASA - End of Greenland Glacier Breaks Away_D2C_Vsd5unA - transcript (automated).pdf","Transcript Link")</f>
        <v>Transcript Link</v>
      </c>
      <c r="M4714" s="2" t="str">
        <f>HYPERLINK("https://files.afu.se/Downloads/Transcripts/0%20-%20Government/USA%20-%20NASA/2010 08 13 - NASA - End of Greenland Glacier Breaks Away_D2C_Vsd5unA - transcript (automated).pdf","Transcript Link")</f>
        <v>Transcript Link</v>
      </c>
    </row>
    <row r="4715" ht="165" spans="1:13">
      <c r="A4715" s="1" t="s">
        <v>21012</v>
      </c>
      <c r="B4715" s="1" t="s">
        <v>13</v>
      </c>
      <c r="C4715" s="4" t="s">
        <v>21017</v>
      </c>
      <c r="D4715" s="1" t="s">
        <v>21018</v>
      </c>
      <c r="E4715" s="1" t="s">
        <v>21019</v>
      </c>
      <c r="F4715" s="4" t="s">
        <v>17</v>
      </c>
      <c r="G4715" s="1" t="s">
        <v>18</v>
      </c>
      <c r="H4715" s="1" t="s">
        <v>19</v>
      </c>
      <c r="I4715" s="1" t="s">
        <v>20</v>
      </c>
      <c r="J4715" s="1" t="s">
        <v>21020</v>
      </c>
      <c r="K4715" s="1" t="s">
        <v>22</v>
      </c>
      <c r="L4715" s="1" t="str">
        <f>HYPERLINK("https://files.afu.se/Downloads/Transcripts/0%20-%20Government/USA%20-%20NASA/2010 08 13 - NASA - New Science Module Slated for Station on This Week @ NASA_griaUjEFH_g - transcript (automated).pdf","Transcript Link")</f>
        <v>Transcript Link</v>
      </c>
      <c r="M4715" s="2" t="str">
        <f>HYPERLINK("https://files.afu.se/Downloads/Transcripts/0%20-%20Government/USA%20-%20NASA/2010 08 13 - NASA - New Science Module Slated for Station on This Week @ NASA_griaUjEFH_g - transcript (automated).pdf","Transcript Link")</f>
        <v>Transcript Link</v>
      </c>
    </row>
    <row r="4716" ht="165" spans="1:13">
      <c r="A4716" s="1" t="s">
        <v>21012</v>
      </c>
      <c r="B4716" s="1" t="s">
        <v>13</v>
      </c>
      <c r="C4716" s="4" t="s">
        <v>21021</v>
      </c>
      <c r="D4716" s="1" t="s">
        <v>21022</v>
      </c>
      <c r="E4716" s="1" t="s">
        <v>21023</v>
      </c>
      <c r="F4716" s="4" t="s">
        <v>17</v>
      </c>
      <c r="G4716" s="1" t="s">
        <v>18</v>
      </c>
      <c r="H4716" s="1" t="s">
        <v>19</v>
      </c>
      <c r="I4716" s="1" t="s">
        <v>20</v>
      </c>
      <c r="J4716" s="1" t="s">
        <v>21024</v>
      </c>
      <c r="K4716" s="1" t="s">
        <v>22</v>
      </c>
      <c r="L4716" s="1" t="str">
        <f>HYPERLINK("https://files.afu.se/Downloads/Transcripts/0%20-%20Government/USA%20-%20NASA/2010 08 13 - NASA - Mars Orbiter Helps Scientists  Follow the Water _wR6sYM6r5JU - transcript (automated).pdf","Transcript Link")</f>
        <v>Transcript Link</v>
      </c>
      <c r="M4716" s="2" t="str">
        <f>HYPERLINK("https://files.afu.se/Downloads/Transcripts/0%20-%20Government/USA%20-%20NASA/2010 08 13 - NASA - Mars Orbiter Helps Scientists  Follow the Water _wR6sYM6r5JU - transcript (automated).pdf","Transcript Link")</f>
        <v>Transcript Link</v>
      </c>
    </row>
    <row r="4717" ht="165" spans="1:13">
      <c r="A4717" s="1" t="s">
        <v>21012</v>
      </c>
      <c r="B4717" s="1" t="s">
        <v>13</v>
      </c>
      <c r="C4717" s="4" t="s">
        <v>21025</v>
      </c>
      <c r="D4717" s="1" t="s">
        <v>21026</v>
      </c>
      <c r="E4717" s="1" t="s">
        <v>21027</v>
      </c>
      <c r="F4717" s="4" t="s">
        <v>17</v>
      </c>
      <c r="G4717" s="1" t="s">
        <v>18</v>
      </c>
      <c r="H4717" s="1" t="s">
        <v>19</v>
      </c>
      <c r="I4717" s="1" t="s">
        <v>20</v>
      </c>
      <c r="J4717" s="1" t="s">
        <v>21028</v>
      </c>
      <c r="K4717" s="1" t="s">
        <v>22</v>
      </c>
      <c r="L4717" s="1" t="str">
        <f>HYPERLINK("https://files.afu.se/Downloads/Transcripts/0%20-%20Government/USA%20-%20NASA/2010 08 13 - NASA - Echo 1 Launched Communications Revolution_s8QC5sbKnF0 - transcript (automated).pdf","Transcript Link")</f>
        <v>Transcript Link</v>
      </c>
      <c r="M4717" s="2" t="str">
        <f>HYPERLINK("https://files.afu.se/Downloads/Transcripts/0%20-%20Government/USA%20-%20NASA/2010 08 13 - NASA - Echo 1 Launched Communications Revolution_s8QC5sbKnF0 - transcript (automated).pdf","Transcript Link")</f>
        <v>Transcript Link</v>
      </c>
    </row>
    <row r="4718" ht="165" spans="1:13">
      <c r="A4718" s="1" t="s">
        <v>21029</v>
      </c>
      <c r="B4718" s="1" t="s">
        <v>13</v>
      </c>
      <c r="C4718" s="4" t="s">
        <v>21030</v>
      </c>
      <c r="D4718" s="1" t="s">
        <v>21031</v>
      </c>
      <c r="E4718" s="1" t="s">
        <v>21032</v>
      </c>
      <c r="F4718" s="4" t="s">
        <v>17</v>
      </c>
      <c r="G4718" s="1" t="s">
        <v>18</v>
      </c>
      <c r="H4718" s="1" t="s">
        <v>19</v>
      </c>
      <c r="I4718" s="1" t="s">
        <v>20</v>
      </c>
      <c r="J4718" s="1" t="s">
        <v>21033</v>
      </c>
      <c r="K4718" s="1" t="s">
        <v>22</v>
      </c>
      <c r="L4718" s="1" t="str">
        <f>HYPERLINK("https://files.afu.se/Downloads/Transcripts/0%20-%20Government/USA%20-%20NASA/2010 08 12 - NASA - Second EVA Completed to Replace Pump on ISS_85YQx89ICQQ - transcript (automated).pdf","Transcript Link")</f>
        <v>Transcript Link</v>
      </c>
      <c r="M4718" s="2" t="str">
        <f>HYPERLINK("https://files.afu.se/Downloads/Transcripts/0%20-%20Government/USA%20-%20NASA/2010 08 12 - NASA - Second EVA Completed to Replace Pump on ISS_85YQx89ICQQ - transcript (automated).pdf","Transcript Link")</f>
        <v>Transcript Link</v>
      </c>
    </row>
    <row r="4719" ht="210" spans="1:13">
      <c r="A4719" s="1" t="s">
        <v>21034</v>
      </c>
      <c r="B4719" s="1" t="s">
        <v>13</v>
      </c>
      <c r="C4719" s="4" t="s">
        <v>21035</v>
      </c>
      <c r="D4719" s="1" t="s">
        <v>21036</v>
      </c>
      <c r="E4719" s="1" t="s">
        <v>21037</v>
      </c>
      <c r="F4719" s="4" t="s">
        <v>17</v>
      </c>
      <c r="G4719" s="1" t="s">
        <v>18</v>
      </c>
      <c r="H4719" s="1" t="s">
        <v>19</v>
      </c>
      <c r="I4719" s="1" t="s">
        <v>20</v>
      </c>
      <c r="J4719" s="1" t="s">
        <v>21038</v>
      </c>
      <c r="K4719" s="1" t="s">
        <v>22</v>
      </c>
      <c r="L4719" s="1" t="str">
        <f>HYPERLINK("https://files.afu.se/Downloads/Transcripts/0%20-%20Government/USA%20-%20NASA/2010 08 09 - NASA - Spacewalkers Make Progress on This Week @ NASA_OPuoMvTsM-4 - transcript (automated).pdf","Transcript Link")</f>
        <v>Transcript Link</v>
      </c>
      <c r="M4719" s="2" t="str">
        <f>HYPERLINK("https://files.afu.se/Downloads/Transcripts/0%20-%20Government/USA%20-%20NASA/2010 08 09 - NASA - Spacewalkers Make Progress on This Week @ NASA_OPuoMvTsM-4 - transcript (automated).pdf","Transcript Link")</f>
        <v>Transcript Link</v>
      </c>
    </row>
    <row r="4720" ht="165" spans="1:13">
      <c r="A4720" s="1" t="s">
        <v>21039</v>
      </c>
      <c r="B4720" s="1" t="s">
        <v>13</v>
      </c>
      <c r="C4720" s="4" t="s">
        <v>21040</v>
      </c>
      <c r="D4720" s="1" t="s">
        <v>21041</v>
      </c>
      <c r="E4720" s="1" t="s">
        <v>21042</v>
      </c>
      <c r="F4720" s="4" t="s">
        <v>17</v>
      </c>
      <c r="G4720" s="1" t="s">
        <v>18</v>
      </c>
      <c r="H4720" s="1" t="s">
        <v>19</v>
      </c>
      <c r="I4720" s="1" t="s">
        <v>20</v>
      </c>
      <c r="J4720" s="1" t="s">
        <v>21043</v>
      </c>
      <c r="K4720" s="1" t="s">
        <v>22</v>
      </c>
      <c r="L4720" s="1" t="str">
        <f>HYPERLINK("https://files.afu.se/Downloads/Transcripts/0%20-%20Government/USA%20-%20NASA/2010 08 07 - NASA - Astronauts Make Progress on Spacewalk_DIYYUuP-jKs - transcript (automated).pdf","Transcript Link")</f>
        <v>Transcript Link</v>
      </c>
      <c r="M4720" s="2" t="str">
        <f>HYPERLINK("https://files.afu.se/Downloads/Transcripts/0%20-%20Government/USA%20-%20NASA/2010 08 07 - NASA - Astronauts Make Progress on Spacewalk_DIYYUuP-jKs - transcript (automated).pdf","Transcript Link")</f>
        <v>Transcript Link</v>
      </c>
    </row>
    <row r="4721" ht="165" spans="1:13">
      <c r="A4721" s="1" t="s">
        <v>21044</v>
      </c>
      <c r="B4721" s="1" t="s">
        <v>13</v>
      </c>
      <c r="C4721" s="4" t="s">
        <v>21045</v>
      </c>
      <c r="D4721" s="1" t="s">
        <v>21046</v>
      </c>
      <c r="E4721" s="1" t="s">
        <v>21047</v>
      </c>
      <c r="F4721" s="4" t="s">
        <v>17</v>
      </c>
      <c r="G4721" s="1" t="s">
        <v>18</v>
      </c>
      <c r="H4721" s="1" t="s">
        <v>19</v>
      </c>
      <c r="I4721" s="1" t="s">
        <v>20</v>
      </c>
      <c r="J4721" s="1" t="s">
        <v>21048</v>
      </c>
      <c r="K4721" s="1" t="s">
        <v>22</v>
      </c>
      <c r="L4721" s="1" t="str">
        <f>HYPERLINK("https://files.afu.se/Downloads/Transcripts/0%20-%20Government/USA%20-%20NASA/2010 08 05 - NASA - NASA Explores Life and Death of Hurricanes_p8tqynqDL2E - transcript (automated).pdf","Transcript Link")</f>
        <v>Transcript Link</v>
      </c>
      <c r="M4721" s="2" t="str">
        <f>HYPERLINK("https://files.afu.se/Downloads/Transcripts/0%20-%20Government/USA%20-%20NASA/2010 08 05 - NASA - NASA Explores Life and Death of Hurricanes_p8tqynqDL2E - transcript (automated).pdf","Transcript Link")</f>
        <v>Transcript Link</v>
      </c>
    </row>
    <row r="4722" ht="165" spans="1:13">
      <c r="A4722" s="1" t="s">
        <v>21049</v>
      </c>
      <c r="B4722" s="1" t="s">
        <v>13</v>
      </c>
      <c r="C4722" s="4" t="s">
        <v>21050</v>
      </c>
      <c r="D4722" s="1" t="s">
        <v>21051</v>
      </c>
      <c r="E4722" s="1" t="s">
        <v>21052</v>
      </c>
      <c r="F4722" s="4" t="s">
        <v>17</v>
      </c>
      <c r="G4722" s="1" t="s">
        <v>18</v>
      </c>
      <c r="H4722" s="1" t="s">
        <v>19</v>
      </c>
      <c r="I4722" s="1" t="s">
        <v>20</v>
      </c>
      <c r="J4722" s="1" t="s">
        <v>21053</v>
      </c>
      <c r="K4722" s="1" t="s">
        <v>22</v>
      </c>
      <c r="L4722" s="1" t="str">
        <f>HYPERLINK("https://files.afu.se/Downloads/Transcripts/0%20-%20Government/USA%20-%20NASA/2010 08 04 - NASA - NASA and, ESA Unite for Mars Missions_n_N6ybnawR0 - transcript (automated).pdf","Transcript Link")</f>
        <v>Transcript Link</v>
      </c>
      <c r="M4722" s="2" t="str">
        <f>HYPERLINK("https://files.afu.se/Downloads/Transcripts/0%20-%20Government/USA%20-%20NASA/2010 08 04 - NASA - NASA and, ESA Unite for Mars Missions_n_N6ybnawR0 - transcript (automated).pdf","Transcript Link")</f>
        <v>Transcript Link</v>
      </c>
    </row>
    <row r="4723" ht="165" spans="1:13">
      <c r="A4723" s="1" t="s">
        <v>21049</v>
      </c>
      <c r="B4723" s="1" t="s">
        <v>13</v>
      </c>
      <c r="C4723" s="4" t="s">
        <v>21054</v>
      </c>
      <c r="D4723" s="1" t="s">
        <v>21055</v>
      </c>
      <c r="E4723" s="1" t="s">
        <v>21056</v>
      </c>
      <c r="F4723" s="4" t="s">
        <v>17</v>
      </c>
      <c r="G4723" s="1" t="s">
        <v>18</v>
      </c>
      <c r="H4723" s="1" t="s">
        <v>19</v>
      </c>
      <c r="I4723" s="1" t="s">
        <v>20</v>
      </c>
      <c r="J4723" s="1" t="s">
        <v>21057</v>
      </c>
      <c r="K4723" s="1" t="s">
        <v>22</v>
      </c>
      <c r="L4723" s="1" t="str">
        <f>HYPERLINK("https://files.afu.se/Downloads/Transcripts/0%20-%20Government/USA%20-%20NASA/2010 08 04 - NASA - D-RATS Help Ready Robot Exploration_urdFzTATwWg - transcript (automated).pdf","Transcript Link")</f>
        <v>Transcript Link</v>
      </c>
      <c r="M4723" s="2" t="str">
        <f>HYPERLINK("https://files.afu.se/Downloads/Transcripts/0%20-%20Government/USA%20-%20NASA/2010 08 04 - NASA - D-RATS Help Ready Robot Exploration_urdFzTATwWg - transcript (automated).pdf","Transcript Link")</f>
        <v>Transcript Link</v>
      </c>
    </row>
    <row r="4724" ht="195" spans="1:13">
      <c r="A4724" s="1" t="s">
        <v>21049</v>
      </c>
      <c r="B4724" s="1" t="s">
        <v>13</v>
      </c>
      <c r="C4724" s="4" t="s">
        <v>21058</v>
      </c>
      <c r="D4724" s="1" t="s">
        <v>21059</v>
      </c>
      <c r="E4724" s="1" t="s">
        <v>21060</v>
      </c>
      <c r="F4724" s="4" t="s">
        <v>17</v>
      </c>
      <c r="G4724" s="1" t="s">
        <v>18</v>
      </c>
      <c r="H4724" s="1" t="s">
        <v>19</v>
      </c>
      <c r="I4724" s="1" t="s">
        <v>20</v>
      </c>
      <c r="J4724" s="1" t="s">
        <v>21061</v>
      </c>
      <c r="K4724" s="1" t="s">
        <v>22</v>
      </c>
      <c r="L4724" s="1" t="str">
        <f>HYPERLINK("https://files.afu.se/Downloads/Transcripts/0%20-%20Government/USA%20-%20NASA/2010 08 04 - NASA - 100 Million Years Later, Galactic Collision Continues_zWpD-fCC9lc - transcript (automated).pdf","Transcript Link")</f>
        <v>Transcript Link</v>
      </c>
      <c r="M4724" s="2" t="str">
        <f>HYPERLINK("https://files.afu.se/Downloads/Transcripts/0%20-%20Government/USA%20-%20NASA/2010 08 04 - NASA - 100 Million Years Later, Galactic Collision Continues_zWpD-fCC9lc - transcript (automated).pdf","Transcript Link")</f>
        <v>Transcript Link</v>
      </c>
    </row>
    <row r="4725" ht="165" spans="1:13">
      <c r="A4725" s="1" t="s">
        <v>21062</v>
      </c>
      <c r="B4725" s="1" t="s">
        <v>13</v>
      </c>
      <c r="C4725" s="4" t="s">
        <v>21063</v>
      </c>
      <c r="D4725" s="1" t="s">
        <v>21064</v>
      </c>
      <c r="E4725" s="1" t="s">
        <v>21065</v>
      </c>
      <c r="F4725" s="4" t="s">
        <v>17</v>
      </c>
      <c r="G4725" s="1" t="s">
        <v>18</v>
      </c>
      <c r="H4725" s="1" t="s">
        <v>19</v>
      </c>
      <c r="I4725" s="1" t="s">
        <v>20</v>
      </c>
      <c r="J4725" s="1" t="s">
        <v>21066</v>
      </c>
      <c r="K4725" s="1" t="s">
        <v>22</v>
      </c>
      <c r="L4725" s="1" t="str">
        <f>HYPERLINK("https://files.afu.se/Downloads/Transcripts/0%20-%20Government/USA%20-%20NASA/2010 08 03 - NASA - Practice Makes Perfect EVAs_BK6C4m8wY5M - transcript (automated).pdf","Transcript Link")</f>
        <v>Transcript Link</v>
      </c>
      <c r="M4725" s="2" t="str">
        <f>HYPERLINK("https://files.afu.se/Downloads/Transcripts/0%20-%20Government/USA%20-%20NASA/2010 08 03 - NASA - Practice Makes Perfect EVAs_BK6C4m8wY5M - transcript (automated).pdf","Transcript Link")</f>
        <v>Transcript Link</v>
      </c>
    </row>
    <row r="4726" ht="165" spans="1:13">
      <c r="A4726" s="1" t="s">
        <v>21062</v>
      </c>
      <c r="B4726" s="1" t="s">
        <v>13</v>
      </c>
      <c r="C4726" s="4" t="s">
        <v>21067</v>
      </c>
      <c r="D4726" s="1" t="s">
        <v>21068</v>
      </c>
      <c r="E4726" s="1" t="s">
        <v>21069</v>
      </c>
      <c r="F4726" s="4" t="s">
        <v>17</v>
      </c>
      <c r="G4726" s="1" t="s">
        <v>18</v>
      </c>
      <c r="H4726" s="1" t="s">
        <v>19</v>
      </c>
      <c r="I4726" s="1" t="s">
        <v>20</v>
      </c>
      <c r="J4726" s="1" t="s">
        <v>21070</v>
      </c>
      <c r="K4726" s="1" t="s">
        <v>22</v>
      </c>
      <c r="L4726" s="1" t="str">
        <f>HYPERLINK("https://files.afu.se/Downloads/Transcripts/0%20-%20Government/USA%20-%20NASA/2010 08 03 - NASA - Spacewalk Preview Briefing_ggDveAjJacA - transcript (automated).pdf","Transcript Link")</f>
        <v>Transcript Link</v>
      </c>
      <c r="M4726" s="2" t="str">
        <f>HYPERLINK("https://files.afu.se/Downloads/Transcripts/0%20-%20Government/USA%20-%20NASA/2010 08 03 - NASA - Spacewalk Preview Briefing_ggDveAjJacA - transcript (automated).pdf","Transcript Link")</f>
        <v>Transcript Link</v>
      </c>
    </row>
    <row r="4727" ht="180" spans="1:13">
      <c r="A4727" s="1" t="s">
        <v>21071</v>
      </c>
      <c r="B4727" s="1" t="s">
        <v>13</v>
      </c>
      <c r="C4727" s="4" t="s">
        <v>21072</v>
      </c>
      <c r="D4727" s="1" t="s">
        <v>21073</v>
      </c>
      <c r="E4727" s="1" t="s">
        <v>21074</v>
      </c>
      <c r="F4727" s="4" t="s">
        <v>17</v>
      </c>
      <c r="G4727" s="1" t="s">
        <v>18</v>
      </c>
      <c r="H4727" s="1" t="s">
        <v>19</v>
      </c>
      <c r="I4727" s="1" t="s">
        <v>20</v>
      </c>
      <c r="J4727" s="1" t="s">
        <v>21075</v>
      </c>
      <c r="K4727" s="1" t="s">
        <v>22</v>
      </c>
      <c r="L4727" s="1" t="str">
        <f>HYPERLINK("https://files.afu.se/Downloads/Transcripts/0%20-%20Government/USA%20-%20NASA/2010 07 30 - NASA - First Robotic Crew Member to Tweet from Space_AJvzZF2Q1lo - transcript (automated).pdf","Transcript Link")</f>
        <v>Transcript Link</v>
      </c>
      <c r="M4727" s="2" t="str">
        <f>HYPERLINK("https://files.afu.se/Downloads/Transcripts/0%20-%20Government/USA%20-%20NASA/2010 07 30 - NASA - First Robotic Crew Member to Tweet from Space_AJvzZF2Q1lo - transcript (automated).pdf","Transcript Link")</f>
        <v>Transcript Link</v>
      </c>
    </row>
    <row r="4728" ht="165" spans="1:13">
      <c r="A4728" s="1" t="s">
        <v>21071</v>
      </c>
      <c r="B4728" s="1" t="s">
        <v>13</v>
      </c>
      <c r="C4728" s="4" t="s">
        <v>21076</v>
      </c>
      <c r="D4728" s="1" t="s">
        <v>21077</v>
      </c>
      <c r="E4728" s="1" t="s">
        <v>21078</v>
      </c>
      <c r="F4728" s="4" t="s">
        <v>17</v>
      </c>
      <c r="G4728" s="1" t="s">
        <v>18</v>
      </c>
      <c r="H4728" s="1" t="s">
        <v>19</v>
      </c>
      <c r="I4728" s="1" t="s">
        <v>20</v>
      </c>
      <c r="J4728" s="1" t="s">
        <v>21079</v>
      </c>
      <c r="K4728" s="1" t="s">
        <v>22</v>
      </c>
      <c r="L4728" s="1" t="str">
        <f>HYPERLINK("https://files.afu.se/Downloads/Transcripts/0%20-%20Government/USA%20-%20NASA/2010 07 30 - NASA - Rover's First  Steps  Make  Parents  Proud on This Week @ NASA_t1a3klbJQ4I - transcript (automated).pdf","Transcript Link")</f>
        <v>Transcript Link</v>
      </c>
      <c r="M4728" s="2" t="str">
        <f>HYPERLINK("https://files.afu.se/Downloads/Transcripts/0%20-%20Government/USA%20-%20NASA/2010 07 30 - NASA - Rover's First  Steps  Make  Parents  Proud on This Week @ NASA_t1a3klbJQ4I - transcript (automated).pdf","Transcript Link")</f>
        <v>Transcript Link</v>
      </c>
    </row>
    <row r="4729" ht="180" spans="1:13">
      <c r="A4729" s="1" t="s">
        <v>21071</v>
      </c>
      <c r="B4729" s="1" t="s">
        <v>13</v>
      </c>
      <c r="C4729" s="4" t="s">
        <v>21080</v>
      </c>
      <c r="D4729" s="1" t="s">
        <v>21081</v>
      </c>
      <c r="E4729" s="1" t="s">
        <v>21082</v>
      </c>
      <c r="F4729" s="4" t="s">
        <v>17</v>
      </c>
      <c r="G4729" s="1" t="s">
        <v>18</v>
      </c>
      <c r="H4729" s="1" t="s">
        <v>19</v>
      </c>
      <c r="I4729" s="1" t="s">
        <v>20</v>
      </c>
      <c r="J4729" s="1" t="s">
        <v>21083</v>
      </c>
      <c r="K4729" s="1" t="s">
        <v>22</v>
      </c>
      <c r="L4729" s="1" t="str">
        <f>HYPERLINK("https://files.afu.se/Downloads/Transcripts/0%20-%20Government/USA%20-%20NASA/2010 07 30 - NASA - Spirit Hibernating, May Not Call Home_XVfcpROR2J8 - transcript (automated).pdf","Transcript Link")</f>
        <v>Transcript Link</v>
      </c>
      <c r="M4729" s="2" t="str">
        <f>HYPERLINK("https://files.afu.se/Downloads/Transcripts/0%20-%20Government/USA%20-%20NASA/2010 07 30 - NASA - Spirit Hibernating, May Not Call Home_XVfcpROR2J8 - transcript (automated).pdf","Transcript Link")</f>
        <v>Transcript Link</v>
      </c>
    </row>
    <row r="4730" ht="165" spans="1:13">
      <c r="A4730" s="1" t="s">
        <v>21084</v>
      </c>
      <c r="B4730" s="1" t="s">
        <v>13</v>
      </c>
      <c r="C4730" s="4" t="s">
        <v>21085</v>
      </c>
      <c r="D4730" s="1" t="s">
        <v>21086</v>
      </c>
      <c r="E4730" s="1" t="s">
        <v>21087</v>
      </c>
      <c r="F4730" s="4" t="s">
        <v>17</v>
      </c>
      <c r="G4730" s="1" t="s">
        <v>18</v>
      </c>
      <c r="H4730" s="1" t="s">
        <v>19</v>
      </c>
      <c r="I4730" s="1" t="s">
        <v>20</v>
      </c>
      <c r="J4730" s="1" t="s">
        <v>21088</v>
      </c>
      <c r="K4730" s="1" t="s">
        <v>22</v>
      </c>
      <c r="L4730" s="1" t="str">
        <f>HYPERLINK("https://files.afu.se/Downloads/Transcripts/0%20-%20Government/USA%20-%20NASA/2010 07 23 - NASA - Soccer-Ball-Shaped Molecules Detected in Space_wswhFnYQdRs - transcript (automated).pdf","Transcript Link")</f>
        <v>Transcript Link</v>
      </c>
      <c r="M4730" s="2" t="str">
        <f>HYPERLINK("https://files.afu.se/Downloads/Transcripts/0%20-%20Government/USA%20-%20NASA/2010 07 23 - NASA - Soccer-Ball-Shaped Molecules Detected in Space_wswhFnYQdRs - transcript (automated).pdf","Transcript Link")</f>
        <v>Transcript Link</v>
      </c>
    </row>
    <row r="4731" ht="165" spans="1:13">
      <c r="A4731" s="1" t="s">
        <v>21084</v>
      </c>
      <c r="B4731" s="1" t="s">
        <v>13</v>
      </c>
      <c r="C4731" s="4" t="s">
        <v>21089</v>
      </c>
      <c r="D4731" s="1" t="s">
        <v>21090</v>
      </c>
      <c r="E4731" s="1" t="s">
        <v>21091</v>
      </c>
      <c r="F4731" s="4" t="s">
        <v>17</v>
      </c>
      <c r="G4731" s="1" t="s">
        <v>18</v>
      </c>
      <c r="H4731" s="1" t="s">
        <v>19</v>
      </c>
      <c r="I4731" s="1" t="s">
        <v>20</v>
      </c>
      <c r="J4731" s="1" t="s">
        <v>21092</v>
      </c>
      <c r="K4731" s="1" t="s">
        <v>22</v>
      </c>
      <c r="L4731" s="1" t="str">
        <f>HYPERLINK("https://files.afu.se/Downloads/Transcripts/0%20-%20Government/USA%20-%20NASA/2010 07 23 - NASA - New Hubble Discovery, SOFIA's Second Series, and More on This Week @ NASA_5CAouXYLC2U - transcript (automated).pdf","Transcript Link")</f>
        <v>Transcript Link</v>
      </c>
      <c r="M4731" s="2" t="str">
        <f>HYPERLINK("https://files.afu.se/Downloads/Transcripts/0%20-%20Government/USA%20-%20NASA/2010 07 23 - NASA - New Hubble Discovery, SOFIA's Second Series, and More on This Week @ NASA_5CAouXYLC2U - transcript (automated).pdf","Transcript Link")</f>
        <v>Transcript Link</v>
      </c>
    </row>
    <row r="4732" ht="165" spans="1:13">
      <c r="A4732" s="1" t="s">
        <v>21093</v>
      </c>
      <c r="B4732" s="1" t="s">
        <v>13</v>
      </c>
      <c r="C4732" s="4" t="s">
        <v>21094</v>
      </c>
      <c r="D4732" s="1" t="s">
        <v>21095</v>
      </c>
      <c r="E4732" s="1" t="s">
        <v>21096</v>
      </c>
      <c r="F4732" s="4" t="s">
        <v>17</v>
      </c>
      <c r="G4732" s="1" t="s">
        <v>18</v>
      </c>
      <c r="H4732" s="1" t="s">
        <v>19</v>
      </c>
      <c r="I4732" s="1" t="s">
        <v>20</v>
      </c>
      <c r="J4732" s="1" t="s">
        <v>21097</v>
      </c>
      <c r="K4732" s="1" t="s">
        <v>22</v>
      </c>
      <c r="L4732" s="1" t="str">
        <f>HYPERLINK("https://files.afu.se/Downloads/Transcripts/0%20-%20Government/USA%20-%20NASA/2010 07 21 - NASA - Spacewalk Could Last Six Hours_VCZEp7jgCzc - transcript (automated).pdf","Transcript Link")</f>
        <v>Transcript Link</v>
      </c>
      <c r="M4732" s="2" t="str">
        <f>HYPERLINK("https://files.afu.se/Downloads/Transcripts/0%20-%20Government/USA%20-%20NASA/2010 07 21 - NASA - Spacewalk Could Last Six Hours_VCZEp7jgCzc - transcript (automated).pdf","Transcript Link")</f>
        <v>Transcript Link</v>
      </c>
    </row>
    <row r="4733" ht="165" spans="1:13">
      <c r="A4733" s="1" t="s">
        <v>21093</v>
      </c>
      <c r="B4733" s="1" t="s">
        <v>13</v>
      </c>
      <c r="C4733" s="4" t="s">
        <v>21098</v>
      </c>
      <c r="D4733" s="1" t="s">
        <v>21099</v>
      </c>
      <c r="E4733" s="1" t="s">
        <v>21100</v>
      </c>
      <c r="F4733" s="4" t="s">
        <v>17</v>
      </c>
      <c r="G4733" s="1" t="s">
        <v>18</v>
      </c>
      <c r="H4733" s="1" t="s">
        <v>19</v>
      </c>
      <c r="I4733" s="1" t="s">
        <v>20</v>
      </c>
      <c r="J4733" s="1" t="s">
        <v>21101</v>
      </c>
      <c r="K4733" s="1" t="s">
        <v>22</v>
      </c>
      <c r="L4733" s="1" t="str">
        <f>HYPERLINK("https://files.afu.se/Downloads/Transcripts/0%20-%20Government/USA%20-%20NASA/2010 07 21 - NASA - Georgia Students Quiz Space Station Residents_030_pKgXUI8 - transcript (automated).pdf","Transcript Link")</f>
        <v>Transcript Link</v>
      </c>
      <c r="M4733" s="2" t="str">
        <f>HYPERLINK("https://files.afu.se/Downloads/Transcripts/0%20-%20Government/USA%20-%20NASA/2010 07 21 - NASA - Georgia Students Quiz Space Station Residents_030_pKgXUI8 - transcript (automated).pdf","Transcript Link")</f>
        <v>Transcript Link</v>
      </c>
    </row>
    <row r="4734" ht="165" spans="1:13">
      <c r="A4734" s="1" t="s">
        <v>21102</v>
      </c>
      <c r="B4734" s="1" t="s">
        <v>13</v>
      </c>
      <c r="C4734" s="4" t="s">
        <v>21103</v>
      </c>
      <c r="D4734" s="1" t="s">
        <v>21104</v>
      </c>
      <c r="E4734" s="1" t="s">
        <v>21105</v>
      </c>
      <c r="F4734" s="4" t="s">
        <v>17</v>
      </c>
      <c r="G4734" s="1" t="s">
        <v>18</v>
      </c>
      <c r="H4734" s="1" t="s">
        <v>19</v>
      </c>
      <c r="I4734" s="1" t="s">
        <v>20</v>
      </c>
      <c r="J4734" s="1" t="s">
        <v>21106</v>
      </c>
      <c r="K4734" s="1" t="s">
        <v>22</v>
      </c>
      <c r="L4734" s="1" t="str">
        <f>HYPERLINK("https://files.afu.se/Downloads/Transcripts/0%20-%20Government/USA%20-%20NASA/2010 07 16 - NASA - Release of Endangered Turtle Hatchlings at Kennedy Tops This Week @ NASA_8Q7NHKl0nSI - transcript (automated).pdf","Transcript Link")</f>
        <v>Transcript Link</v>
      </c>
      <c r="M4734" s="2" t="str">
        <f>HYPERLINK("https://files.afu.se/Downloads/Transcripts/0%20-%20Government/USA%20-%20NASA/2010 07 16 - NASA - Release of Endangered Turtle Hatchlings at Kennedy Tops This Week @ NASA_8Q7NHKl0nSI - transcript (automated).pdf","Transcript Link")</f>
        <v>Transcript Link</v>
      </c>
    </row>
    <row r="4735" ht="165" spans="1:13">
      <c r="A4735" s="1" t="s">
        <v>21107</v>
      </c>
      <c r="B4735" s="1" t="s">
        <v>13</v>
      </c>
      <c r="C4735" s="4" t="s">
        <v>21108</v>
      </c>
      <c r="D4735" s="1" t="s">
        <v>21109</v>
      </c>
      <c r="E4735" s="1" t="s">
        <v>21110</v>
      </c>
      <c r="F4735" s="4" t="s">
        <v>17</v>
      </c>
      <c r="G4735" s="1" t="s">
        <v>18</v>
      </c>
      <c r="H4735" s="1" t="s">
        <v>19</v>
      </c>
      <c r="I4735" s="1" t="s">
        <v>20</v>
      </c>
      <c r="J4735" s="1" t="s">
        <v>21111</v>
      </c>
      <c r="K4735" s="1" t="s">
        <v>22</v>
      </c>
      <c r="L4735" s="1" t="str">
        <f>HYPERLINK("https://files.afu.se/Downloads/Transcripts/0%20-%20Government/USA%20-%20NASA/2010 07 15 - NASA - Last Shuttle External Tank Arrives at Kennedy_hzZfAXz4kgE - transcript (automated).pdf","Transcript Link")</f>
        <v>Transcript Link</v>
      </c>
      <c r="M4735" s="2" t="str">
        <f>HYPERLINK("https://files.afu.se/Downloads/Transcripts/0%20-%20Government/USA%20-%20NASA/2010 07 15 - NASA - Last Shuttle External Tank Arrives at Kennedy_hzZfAXz4kgE - transcript (automated).pdf","Transcript Link")</f>
        <v>Transcript Link</v>
      </c>
    </row>
    <row r="4736" ht="165" spans="1:13">
      <c r="A4736" s="1" t="s">
        <v>21112</v>
      </c>
      <c r="B4736" s="1" t="s">
        <v>13</v>
      </c>
      <c r="C4736" s="4" t="s">
        <v>21113</v>
      </c>
      <c r="D4736" s="1" t="s">
        <v>21114</v>
      </c>
      <c r="E4736" s="1" t="s">
        <v>21115</v>
      </c>
      <c r="F4736" s="4" t="s">
        <v>17</v>
      </c>
      <c r="G4736" s="1" t="s">
        <v>18</v>
      </c>
      <c r="H4736" s="1" t="s">
        <v>19</v>
      </c>
      <c r="I4736" s="1" t="s">
        <v>20</v>
      </c>
      <c r="J4736" s="1" t="s">
        <v>21116</v>
      </c>
      <c r="K4736" s="1" t="s">
        <v>22</v>
      </c>
      <c r="L4736" s="1" t="str">
        <f>HYPERLINK("https://files.afu.se/Downloads/Transcripts/0%20-%20Government/USA%20-%20NASA/2010 07 13 - NASA - New Space Technology Program Seeks Innovative Solutions_7ollX4iUcdU - transcript (automated).pdf","Transcript Link")</f>
        <v>Transcript Link</v>
      </c>
      <c r="M4736" s="2" t="str">
        <f>HYPERLINK("https://files.afu.se/Downloads/Transcripts/0%20-%20Government/USA%20-%20NASA/2010 07 13 - NASA - New Space Technology Program Seeks Innovative Solutions_7ollX4iUcdU - transcript (automated).pdf","Transcript Link")</f>
        <v>Transcript Link</v>
      </c>
    </row>
    <row r="4737" ht="210" spans="1:13">
      <c r="A4737" s="1" t="s">
        <v>21112</v>
      </c>
      <c r="B4737" s="1" t="s">
        <v>13</v>
      </c>
      <c r="C4737" s="4" t="s">
        <v>21117</v>
      </c>
      <c r="D4737" s="1" t="s">
        <v>21118</v>
      </c>
      <c r="E4737" s="1" t="s">
        <v>21119</v>
      </c>
      <c r="F4737" s="4" t="s">
        <v>17</v>
      </c>
      <c r="G4737" s="1" t="s">
        <v>18</v>
      </c>
      <c r="H4737" s="1" t="s">
        <v>19</v>
      </c>
      <c r="I4737" s="1" t="s">
        <v>20</v>
      </c>
      <c r="J4737" s="1" t="s">
        <v>21120</v>
      </c>
      <c r="K4737" s="1" t="s">
        <v>22</v>
      </c>
      <c r="L4737" s="1" t="str">
        <f>HYPERLINK("https://files.afu.se/Downloads/Transcripts/0%20-%20Government/USA%20-%20NASA/2010 07 13 - NASA - Endangered Turtle Hatchlings Released at Kennedy_mB9_7OJHDrI - transcript (automated).pdf","Transcript Link")</f>
        <v>Transcript Link</v>
      </c>
      <c r="M4737" s="2" t="str">
        <f>HYPERLINK("https://files.afu.se/Downloads/Transcripts/0%20-%20Government/USA%20-%20NASA/2010 07 13 - NASA - Endangered Turtle Hatchlings Released at Kennedy_mB9_7OJHDrI - transcript (automated).pdf","Transcript Link")</f>
        <v>Transcript Link</v>
      </c>
    </row>
    <row r="4738" ht="165" spans="1:13">
      <c r="A4738" s="1" t="s">
        <v>21121</v>
      </c>
      <c r="B4738" s="1" t="s">
        <v>13</v>
      </c>
      <c r="C4738" s="4" t="s">
        <v>21122</v>
      </c>
      <c r="D4738" s="1" t="s">
        <v>21123</v>
      </c>
      <c r="E4738" s="1" t="s">
        <v>21124</v>
      </c>
      <c r="F4738" s="4" t="s">
        <v>17</v>
      </c>
      <c r="G4738" s="1" t="s">
        <v>18</v>
      </c>
      <c r="H4738" s="1" t="s">
        <v>19</v>
      </c>
      <c r="I4738" s="1" t="s">
        <v>20</v>
      </c>
      <c r="J4738" s="1" t="s">
        <v>21125</v>
      </c>
      <c r="K4738" s="1" t="s">
        <v>22</v>
      </c>
      <c r="L4738" s="1" t="str">
        <f>HYPERLINK("https://files.afu.se/Downloads/Transcripts/0%20-%20Government/USA%20-%20NASA/2010 07 12 - NASA - Last Discovery Crew Inspects Flight Hardware_KJfJbpDcqKA - transcript (automated).pdf","Transcript Link")</f>
        <v>Transcript Link</v>
      </c>
      <c r="M4738" s="2" t="str">
        <f>HYPERLINK("https://files.afu.se/Downloads/Transcripts/0%20-%20Government/USA%20-%20NASA/2010 07 12 - NASA - Last Discovery Crew Inspects Flight Hardware_KJfJbpDcqKA - transcript (automated).pdf","Transcript Link")</f>
        <v>Transcript Link</v>
      </c>
    </row>
    <row r="4739" ht="165" spans="1:13">
      <c r="A4739" s="1" t="s">
        <v>21121</v>
      </c>
      <c r="B4739" s="1" t="s">
        <v>13</v>
      </c>
      <c r="C4739" s="4" t="s">
        <v>21126</v>
      </c>
      <c r="D4739" s="1" t="s">
        <v>21127</v>
      </c>
      <c r="E4739" s="1" t="s">
        <v>21128</v>
      </c>
      <c r="F4739" s="4" t="s">
        <v>17</v>
      </c>
      <c r="G4739" s="1" t="s">
        <v>18</v>
      </c>
      <c r="H4739" s="1" t="s">
        <v>19</v>
      </c>
      <c r="I4739" s="1" t="s">
        <v>20</v>
      </c>
      <c r="J4739" s="1" t="s">
        <v>21129</v>
      </c>
      <c r="K4739" s="1" t="s">
        <v>22</v>
      </c>
      <c r="L4739" s="1" t="str">
        <f>HYPERLINK("https://files.afu.se/Downloads/Transcripts/0%20-%20Government/USA%20-%20NASA/2010 07 12 - NASA - The Last ET, Virtual Moon Mission and a Job Well Done on This Week @ NASA_rDHiamFar6o - transcript (automated).pdf","Transcript Link")</f>
        <v>Transcript Link</v>
      </c>
      <c r="M4739" s="2" t="str">
        <f>HYPERLINK("https://files.afu.se/Downloads/Transcripts/0%20-%20Government/USA%20-%20NASA/2010 07 12 - NASA - The Last ET, Virtual Moon Mission and a Job Well Done on This Week @ NASA_rDHiamFar6o - transcript (automated).pdf","Transcript Link")</f>
        <v>Transcript Link</v>
      </c>
    </row>
    <row r="4740" ht="255" spans="1:13">
      <c r="A4740" s="1" t="s">
        <v>21130</v>
      </c>
      <c r="B4740" s="1" t="s">
        <v>13</v>
      </c>
      <c r="C4740" s="4" t="s">
        <v>21131</v>
      </c>
      <c r="D4740" s="1" t="s">
        <v>21132</v>
      </c>
      <c r="E4740" s="1" t="s">
        <v>21133</v>
      </c>
      <c r="F4740" s="4" t="s">
        <v>17</v>
      </c>
      <c r="G4740" s="1" t="s">
        <v>18</v>
      </c>
      <c r="H4740" s="1" t="s">
        <v>19</v>
      </c>
      <c r="I4740" s="1" t="s">
        <v>20</v>
      </c>
      <c r="J4740" s="1" t="s">
        <v>21134</v>
      </c>
      <c r="K4740" s="1" t="s">
        <v>22</v>
      </c>
      <c r="L4740" s="1" t="str">
        <f>HYPERLINK("https://files.afu.se/Downloads/Transcripts/0%20-%20Government/USA%20-%20NASA/2010 07 09 - NASA - Final Shuttle Tank Gets New Orleans Send-Off_-HEHIAaeFPs - transcript (automated).pdf","Transcript Link")</f>
        <v>Transcript Link</v>
      </c>
      <c r="M4740" s="2" t="str">
        <f>HYPERLINK("https://files.afu.se/Downloads/Transcripts/0%20-%20Government/USA%20-%20NASA/2010 07 09 - NASA - Final Shuttle Tank Gets New Orleans Send-Off_-HEHIAaeFPs - transcript (automated).pdf","Transcript Link")</f>
        <v>Transcript Link</v>
      </c>
    </row>
    <row r="4741" ht="165" spans="1:13">
      <c r="A4741" s="1" t="s">
        <v>21130</v>
      </c>
      <c r="B4741" s="1" t="s">
        <v>13</v>
      </c>
      <c r="C4741" s="4" t="s">
        <v>21135</v>
      </c>
      <c r="D4741" s="1" t="s">
        <v>21136</v>
      </c>
      <c r="E4741" s="1" t="s">
        <v>21137</v>
      </c>
      <c r="F4741" s="4" t="s">
        <v>17</v>
      </c>
      <c r="G4741" s="1" t="s">
        <v>18</v>
      </c>
      <c r="H4741" s="1" t="s">
        <v>19</v>
      </c>
      <c r="I4741" s="1" t="s">
        <v>20</v>
      </c>
      <c r="J4741" s="1" t="s">
        <v>21138</v>
      </c>
      <c r="K4741" s="1" t="s">
        <v>22</v>
      </c>
      <c r="L4741" s="1" t="str">
        <f>HYPERLINK("https://files.afu.se/Downloads/Transcripts/0%20-%20Government/USA%20-%20NASA/2010 07 09 - NASA - Walker Talks with Houston From Space_GL0P6ZAgsls - transcript (automated).pdf","Transcript Link")</f>
        <v>Transcript Link</v>
      </c>
      <c r="M4741" s="2" t="str">
        <f>HYPERLINK("https://files.afu.se/Downloads/Transcripts/0%20-%20Government/USA%20-%20NASA/2010 07 09 - NASA - Walker Talks with Houston From Space_GL0P6ZAgsls - transcript (automated).pdf","Transcript Link")</f>
        <v>Transcript Link</v>
      </c>
    </row>
    <row r="4742" ht="165" spans="1:13">
      <c r="A4742" s="1" t="s">
        <v>21139</v>
      </c>
      <c r="B4742" s="1" t="s">
        <v>13</v>
      </c>
      <c r="C4742" s="4" t="s">
        <v>21140</v>
      </c>
      <c r="D4742" s="1" t="s">
        <v>21141</v>
      </c>
      <c r="E4742" s="1" t="s">
        <v>21142</v>
      </c>
      <c r="F4742" s="4" t="s">
        <v>17</v>
      </c>
      <c r="G4742" s="1" t="s">
        <v>18</v>
      </c>
      <c r="H4742" s="1" t="s">
        <v>19</v>
      </c>
      <c r="I4742" s="1" t="s">
        <v>20</v>
      </c>
      <c r="J4742" s="1" t="s">
        <v>21143</v>
      </c>
      <c r="K4742" s="1" t="s">
        <v>22</v>
      </c>
      <c r="L4742" s="1" t="str">
        <f>HYPERLINK("https://files.afu.se/Downloads/Transcripts/0%20-%20Government/USA%20-%20NASA/2010 07 04 - NASA - Docking, Apollo Module Moved, and Goddard Day 2010 on This Week @ NASA_aFXXrM6_aAI - transcript (automated).pdf","Transcript Link")</f>
        <v>Transcript Link</v>
      </c>
      <c r="M4742" s="2" t="str">
        <f>HYPERLINK("https://files.afu.se/Downloads/Transcripts/0%20-%20Government/USA%20-%20NASA/2010 07 04 - NASA - Docking, Apollo Module Moved, and Goddard Day 2010 on This Week @ NASA_aFXXrM6_aAI - transcript (automated).pdf","Transcript Link")</f>
        <v>Transcript Link</v>
      </c>
    </row>
    <row r="4743" ht="180" spans="1:13">
      <c r="A4743" s="1" t="s">
        <v>21139</v>
      </c>
      <c r="B4743" s="1" t="s">
        <v>13</v>
      </c>
      <c r="C4743" s="4" t="s">
        <v>21144</v>
      </c>
      <c r="D4743" s="1" t="s">
        <v>21145</v>
      </c>
      <c r="E4743" s="1" t="s">
        <v>21146</v>
      </c>
      <c r="F4743" s="4" t="s">
        <v>17</v>
      </c>
      <c r="G4743" s="1" t="s">
        <v>18</v>
      </c>
      <c r="H4743" s="1" t="s">
        <v>19</v>
      </c>
      <c r="I4743" s="1" t="s">
        <v>20</v>
      </c>
      <c r="J4743" s="1" t="s">
        <v>21147</v>
      </c>
      <c r="K4743" s="1" t="s">
        <v>22</v>
      </c>
      <c r="L4743" s="1" t="str">
        <f>HYPERLINK("https://files.afu.se/Downloads/Transcripts/0%20-%20Government/USA%20-%20NASA/2010 07 04 - NASA - Wheels Installed on Next Mars Rover__rOIgDlT_Q4 - transcript (automated).pdf","Transcript Link")</f>
        <v>Transcript Link</v>
      </c>
      <c r="M4743" s="2" t="str">
        <f>HYPERLINK("https://files.afu.se/Downloads/Transcripts/0%20-%20Government/USA%20-%20NASA/2010 07 04 - NASA - Wheels Installed on Next Mars Rover__rOIgDlT_Q4 - transcript (automated).pdf","Transcript Link")</f>
        <v>Transcript Link</v>
      </c>
    </row>
    <row r="4744" ht="165" spans="1:13">
      <c r="A4744" s="1" t="s">
        <v>21139</v>
      </c>
      <c r="B4744" s="1" t="s">
        <v>13</v>
      </c>
      <c r="C4744" s="4" t="s">
        <v>21148</v>
      </c>
      <c r="D4744" s="1" t="s">
        <v>21149</v>
      </c>
      <c r="E4744" s="1" t="s">
        <v>21150</v>
      </c>
      <c r="F4744" s="4" t="s">
        <v>17</v>
      </c>
      <c r="G4744" s="1" t="s">
        <v>18</v>
      </c>
      <c r="H4744" s="1" t="s">
        <v>19</v>
      </c>
      <c r="I4744" s="1" t="s">
        <v>20</v>
      </c>
      <c r="J4744" s="1" t="s">
        <v>21151</v>
      </c>
      <c r="K4744" s="1" t="s">
        <v>22</v>
      </c>
      <c r="L4744" s="1" t="str">
        <f>HYPERLINK("https://files.afu.se/Downloads/Transcripts/0%20-%20Government/USA%20-%20NASA/2010 07 04 - NASA - Cargo Reaches Space Station_ud4Pm_DCUrM - transcript (automated).pdf","Transcript Link")</f>
        <v>Transcript Link</v>
      </c>
      <c r="M4744" s="2" t="str">
        <f>HYPERLINK("https://files.afu.se/Downloads/Transcripts/0%20-%20Government/USA%20-%20NASA/2010 07 04 - NASA - Cargo Reaches Space Station_ud4Pm_DCUrM - transcript (automated).pdf","Transcript Link")</f>
        <v>Transcript Link</v>
      </c>
    </row>
    <row r="4745" ht="165" spans="1:13">
      <c r="A4745" s="1" t="s">
        <v>21152</v>
      </c>
      <c r="B4745" s="1" t="s">
        <v>13</v>
      </c>
      <c r="C4745" s="4" t="s">
        <v>21153</v>
      </c>
      <c r="D4745" s="1" t="s">
        <v>21154</v>
      </c>
      <c r="E4745" s="1" t="s">
        <v>21155</v>
      </c>
      <c r="F4745" s="4" t="s">
        <v>17</v>
      </c>
      <c r="G4745" s="1" t="s">
        <v>18</v>
      </c>
      <c r="H4745" s="1" t="s">
        <v>19</v>
      </c>
      <c r="I4745" s="1" t="s">
        <v>20</v>
      </c>
      <c r="J4745" s="1" t="s">
        <v>21156</v>
      </c>
      <c r="K4745" s="1" t="s">
        <v>22</v>
      </c>
      <c r="L4745" s="1" t="str">
        <f>HYPERLINK("https://files.afu.se/Downloads/Transcripts/0%20-%20Government/USA%20-%20NASA/2010 07 02 - NASA - Saturn, Venus Among Skywatchers'  Stars  this Month_JWUXOWWRAPI - transcript (automated).pdf","Transcript Link")</f>
        <v>Transcript Link</v>
      </c>
      <c r="M4745" s="2" t="str">
        <f>HYPERLINK("https://files.afu.se/Downloads/Transcripts/0%20-%20Government/USA%20-%20NASA/2010 07 02 - NASA - Saturn, Venus Among Skywatchers'  Stars  this Month_JWUXOWWRAPI - transcript (automated).pdf","Transcript Link")</f>
        <v>Transcript Link</v>
      </c>
    </row>
    <row r="4746" ht="165" spans="1:13">
      <c r="A4746" s="1" t="s">
        <v>21152</v>
      </c>
      <c r="B4746" s="1" t="s">
        <v>13</v>
      </c>
      <c r="C4746" s="4" t="s">
        <v>21157</v>
      </c>
      <c r="D4746" s="1" t="s">
        <v>21158</v>
      </c>
      <c r="E4746" s="1" t="s">
        <v>21159</v>
      </c>
      <c r="F4746" s="4" t="s">
        <v>17</v>
      </c>
      <c r="G4746" s="1" t="s">
        <v>18</v>
      </c>
      <c r="H4746" s="1" t="s">
        <v>19</v>
      </c>
      <c r="I4746" s="1" t="s">
        <v>20</v>
      </c>
      <c r="J4746" s="1" t="s">
        <v>21160</v>
      </c>
      <c r="K4746" s="1" t="s">
        <v>22</v>
      </c>
      <c r="L4746" s="1" t="str">
        <f>HYPERLINK("https://files.afu.se/Downloads/Transcripts/0%20-%20Government/USA%20-%20NASA/2010 07 02 - NASA - Be a Star!_WAQYRA2atvg - transcript (automated).pdf","Transcript Link")</f>
        <v>Transcript Link</v>
      </c>
      <c r="M4746" s="2" t="str">
        <f>HYPERLINK("https://files.afu.se/Downloads/Transcripts/0%20-%20Government/USA%20-%20NASA/2010 07 02 - NASA - Be a Star!_WAQYRA2atvg - transcript (automated).pdf","Transcript Link")</f>
        <v>Transcript Link</v>
      </c>
    </row>
    <row r="4747" ht="165" spans="1:13">
      <c r="A4747" s="1" t="s">
        <v>21152</v>
      </c>
      <c r="B4747" s="1" t="s">
        <v>13</v>
      </c>
      <c r="C4747" s="4" t="s">
        <v>21161</v>
      </c>
      <c r="D4747" s="1" t="s">
        <v>21162</v>
      </c>
      <c r="E4747" s="1" t="s">
        <v>21163</v>
      </c>
      <c r="F4747" s="4" t="s">
        <v>17</v>
      </c>
      <c r="G4747" s="1" t="s">
        <v>18</v>
      </c>
      <c r="H4747" s="1" t="s">
        <v>19</v>
      </c>
      <c r="I4747" s="1" t="s">
        <v>20</v>
      </c>
      <c r="J4747" s="1" t="s">
        <v>21164</v>
      </c>
      <c r="K4747" s="1" t="s">
        <v>22</v>
      </c>
      <c r="L4747" s="1" t="str">
        <f>HYPERLINK("https://files.afu.se/Downloads/Transcripts/0%20-%20Government/USA%20-%20NASA/2010 07 02 - NASA - Hurricane Alley  The Movie_8lNsWWc5M5k - transcript (automated).pdf","Transcript Link")</f>
        <v>Transcript Link</v>
      </c>
      <c r="M4747" s="2" t="str">
        <f>HYPERLINK("https://files.afu.se/Downloads/Transcripts/0%20-%20Government/USA%20-%20NASA/2010 07 02 - NASA - Hurricane Alley  The Movie_8lNsWWc5M5k - transcript (automated).pdf","Transcript Link")</f>
        <v>Transcript Link</v>
      </c>
    </row>
    <row r="4748" ht="165" spans="1:13">
      <c r="A4748" s="1" t="s">
        <v>21152</v>
      </c>
      <c r="B4748" s="1" t="s">
        <v>13</v>
      </c>
      <c r="C4748" s="4" t="s">
        <v>21165</v>
      </c>
      <c r="D4748" s="1" t="s">
        <v>21166</v>
      </c>
      <c r="E4748" s="1" t="s">
        <v>21167</v>
      </c>
      <c r="F4748" s="4" t="s">
        <v>17</v>
      </c>
      <c r="G4748" s="1" t="s">
        <v>18</v>
      </c>
      <c r="H4748" s="1" t="s">
        <v>19</v>
      </c>
      <c r="I4748" s="1" t="s">
        <v>20</v>
      </c>
      <c r="J4748" s="1" t="s">
        <v>21168</v>
      </c>
      <c r="K4748" s="1" t="s">
        <v>22</v>
      </c>
      <c r="L4748" s="1" t="str">
        <f>HYPERLINK("https://files.afu.se/Downloads/Transcripts/0%20-%20Government/USA%20-%20NASA/2010 07 02 - NASA - New Citizens at KSC_DdvMsKkpgPw - transcript (automated).pdf","Transcript Link")</f>
        <v>Transcript Link</v>
      </c>
      <c r="M4748" s="2" t="str">
        <f>HYPERLINK("https://files.afu.se/Downloads/Transcripts/0%20-%20Government/USA%20-%20NASA/2010 07 02 - NASA - New Citizens at KSC_DdvMsKkpgPw - transcript (automated).pdf","Transcript Link")</f>
        <v>Transcript Link</v>
      </c>
    </row>
    <row r="4749" ht="165" spans="1:13">
      <c r="A4749" s="1" t="s">
        <v>21169</v>
      </c>
      <c r="B4749" s="1" t="s">
        <v>13</v>
      </c>
      <c r="C4749" s="4" t="s">
        <v>21170</v>
      </c>
      <c r="D4749" s="1" t="s">
        <v>21171</v>
      </c>
      <c r="E4749" s="1" t="s">
        <v>21155</v>
      </c>
      <c r="F4749" s="4" t="s">
        <v>17</v>
      </c>
      <c r="G4749" s="1" t="s">
        <v>18</v>
      </c>
      <c r="H4749" s="1" t="s">
        <v>19</v>
      </c>
      <c r="I4749" s="1" t="s">
        <v>20</v>
      </c>
      <c r="J4749" s="1" t="s">
        <v>21172</v>
      </c>
      <c r="K4749" s="1" t="s">
        <v>22</v>
      </c>
      <c r="L4749" s="1" t="str">
        <f>HYPERLINK("https://files.afu.se/Downloads/Transcripts/0%20-%20Government/USA%20-%20NASA/2010 06 30 - NASA - Venus Among Skywatchers'  Stars  this Month_eqEIODCWI7Q - transcript (automated).pdf","Transcript Link")</f>
        <v>Transcript Link</v>
      </c>
      <c r="M4749" s="2" t="str">
        <f>HYPERLINK("https://files.afu.se/Downloads/Transcripts/0%20-%20Government/USA%20-%20NASA/2010 06 30 - NASA - Venus Among Skywatchers'  Stars  this Month_eqEIODCWI7Q - transcript (automated).pdf","Transcript Link")</f>
        <v>Transcript Link</v>
      </c>
    </row>
    <row r="4750" ht="165" spans="1:13">
      <c r="A4750" s="1" t="s">
        <v>21173</v>
      </c>
      <c r="B4750" s="1" t="s">
        <v>13</v>
      </c>
      <c r="C4750" s="4" t="s">
        <v>21174</v>
      </c>
      <c r="D4750" s="1" t="s">
        <v>21175</v>
      </c>
      <c r="E4750" s="1" t="s">
        <v>21176</v>
      </c>
      <c r="F4750" s="4" t="s">
        <v>17</v>
      </c>
      <c r="G4750" s="1" t="s">
        <v>18</v>
      </c>
      <c r="H4750" s="1" t="s">
        <v>19</v>
      </c>
      <c r="I4750" s="1" t="s">
        <v>20</v>
      </c>
      <c r="J4750" s="1" t="s">
        <v>21177</v>
      </c>
      <c r="K4750" s="1" t="s">
        <v>22</v>
      </c>
      <c r="L4750" s="1" t="str">
        <f>HYPERLINK("https://files.afu.se/Downloads/Transcripts/0%20-%20Government/USA%20-%20NASA/2010 06 28 - NASA - Soyuz Moved for Progress Arrival_Z_rqoks3j60 - transcript (automated).pdf","Transcript Link")</f>
        <v>Transcript Link</v>
      </c>
      <c r="M4750" s="2" t="str">
        <f>HYPERLINK("https://files.afu.se/Downloads/Transcripts/0%20-%20Government/USA%20-%20NASA/2010 06 28 - NASA - Soyuz Moved for Progress Arrival_Z_rqoks3j60 - transcript (automated).pdf","Transcript Link")</f>
        <v>Transcript Link</v>
      </c>
    </row>
    <row r="4751" ht="165" spans="1:13">
      <c r="A4751" s="1" t="s">
        <v>21173</v>
      </c>
      <c r="B4751" s="1" t="s">
        <v>13</v>
      </c>
      <c r="C4751" s="4" t="s">
        <v>21178</v>
      </c>
      <c r="D4751" s="1" t="s">
        <v>21179</v>
      </c>
      <c r="E4751" s="1" t="s">
        <v>21180</v>
      </c>
      <c r="F4751" s="4" t="s">
        <v>17</v>
      </c>
      <c r="G4751" s="1" t="s">
        <v>18</v>
      </c>
      <c r="H4751" s="1" t="s">
        <v>19</v>
      </c>
      <c r="I4751" s="1" t="s">
        <v>20</v>
      </c>
      <c r="J4751" s="1" t="s">
        <v>21181</v>
      </c>
      <c r="K4751" s="1" t="s">
        <v>22</v>
      </c>
      <c r="L4751" s="1" t="str">
        <f>HYPERLINK("https://files.afu.se/Downloads/Transcripts/0%20-%20Government/USA%20-%20NASA/2010 06 28 - NASA - Polar Ice Study, Soccer Ball Science and Communication Satellite Retired This Week @ NASA_GQkwM-HRLho - transcript (automated).pdf","Transcript Link")</f>
        <v>Transcript Link</v>
      </c>
      <c r="M4751" s="2" t="str">
        <f>HYPERLINK("https://files.afu.se/Downloads/Transcripts/0%20-%20Government/USA%20-%20NASA/2010 06 28 - NASA - Polar Ice Study, Soccer Ball Science and Communication Satellite Retired This Week @ NASA_GQkwM-HRLho - transcript (automated).pdf","Transcript Link")</f>
        <v>Transcript Link</v>
      </c>
    </row>
    <row r="4752" ht="165" spans="1:13">
      <c r="A4752" s="1" t="s">
        <v>21182</v>
      </c>
      <c r="B4752" s="1" t="s">
        <v>13</v>
      </c>
      <c r="C4752" s="4" t="s">
        <v>21183</v>
      </c>
      <c r="D4752" s="1" t="s">
        <v>21184</v>
      </c>
      <c r="E4752" s="1" t="s">
        <v>21185</v>
      </c>
      <c r="F4752" s="4" t="s">
        <v>17</v>
      </c>
      <c r="G4752" s="1" t="s">
        <v>18</v>
      </c>
      <c r="H4752" s="1" t="s">
        <v>19</v>
      </c>
      <c r="I4752" s="1" t="s">
        <v>20</v>
      </c>
      <c r="J4752" s="1" t="s">
        <v>21186</v>
      </c>
      <c r="K4752" s="1" t="s">
        <v>22</v>
      </c>
      <c r="L4752" s="1" t="str">
        <f>HYPERLINK("https://files.afu.se/Downloads/Transcripts/0%20-%20Government/USA%20-%20NASA/2010 06 25 - NASA - KSC Co-Hosts Job Fair for Shuttle Workers_5fo9fhYTOoY - transcript (automated).pdf","Transcript Link")</f>
        <v>Transcript Link</v>
      </c>
      <c r="M4752" s="2" t="str">
        <f>HYPERLINK("https://files.afu.se/Downloads/Transcripts/0%20-%20Government/USA%20-%20NASA/2010 06 25 - NASA - KSC Co-Hosts Job Fair for Shuttle Workers_5fo9fhYTOoY - transcript (automated).pdf","Transcript Link")</f>
        <v>Transcript Link</v>
      </c>
    </row>
    <row r="4753" ht="165" spans="1:13">
      <c r="A4753" s="1" t="s">
        <v>21182</v>
      </c>
      <c r="B4753" s="1" t="s">
        <v>13</v>
      </c>
      <c r="C4753" s="4" t="s">
        <v>21187</v>
      </c>
      <c r="D4753" s="1" t="s">
        <v>21188</v>
      </c>
      <c r="E4753" s="1" t="s">
        <v>21189</v>
      </c>
      <c r="F4753" s="4" t="s">
        <v>17</v>
      </c>
      <c r="G4753" s="1" t="s">
        <v>18</v>
      </c>
      <c r="H4753" s="1" t="s">
        <v>19</v>
      </c>
      <c r="I4753" s="1" t="s">
        <v>20</v>
      </c>
      <c r="J4753" s="1" t="s">
        <v>21190</v>
      </c>
      <c r="K4753" s="1" t="s">
        <v>22</v>
      </c>
      <c r="L4753" s="1" t="str">
        <f>HYPERLINK("https://files.afu.se/Downloads/Transcripts/0%20-%20Government/USA%20-%20NASA/2010 06 25 - NASA - Students Discover Cave on Mars_HuNu39p_GFI - transcript (automated).pdf","Transcript Link")</f>
        <v>Transcript Link</v>
      </c>
      <c r="M4753" s="2" t="str">
        <f>HYPERLINK("https://files.afu.se/Downloads/Transcripts/0%20-%20Government/USA%20-%20NASA/2010 06 25 - NASA - Students Discover Cave on Mars_HuNu39p_GFI - transcript (automated).pdf","Transcript Link")</f>
        <v>Transcript Link</v>
      </c>
    </row>
    <row r="4754" ht="165" spans="1:13">
      <c r="A4754" s="1" t="s">
        <v>21191</v>
      </c>
      <c r="B4754" s="1" t="s">
        <v>13</v>
      </c>
      <c r="C4754" s="4" t="s">
        <v>21192</v>
      </c>
      <c r="D4754" s="1" t="s">
        <v>21193</v>
      </c>
      <c r="E4754" s="1" t="s">
        <v>21194</v>
      </c>
      <c r="F4754" s="4" t="s">
        <v>17</v>
      </c>
      <c r="G4754" s="1" t="s">
        <v>18</v>
      </c>
      <c r="H4754" s="1" t="s">
        <v>19</v>
      </c>
      <c r="I4754" s="1" t="s">
        <v>20</v>
      </c>
      <c r="J4754" s="1" t="s">
        <v>21195</v>
      </c>
      <c r="K4754" s="1" t="s">
        <v>22</v>
      </c>
      <c r="L4754" s="1" t="str">
        <f>HYPERLINK("https://files.afu.se/Downloads/Transcripts/0%20-%20Government/USA%20-%20NASA/2010 06 24 - NASA - Lunar Orbiter Marks First Year at Moon_2rR1TGRIebw - transcript (automated).pdf","Transcript Link")</f>
        <v>Transcript Link</v>
      </c>
      <c r="M4754" s="2" t="str">
        <f>HYPERLINK("https://files.afu.se/Downloads/Transcripts/0%20-%20Government/USA%20-%20NASA/2010 06 24 - NASA - Lunar Orbiter Marks First Year at Moon_2rR1TGRIebw - transcript (automated).pdf","Transcript Link")</f>
        <v>Transcript Link</v>
      </c>
    </row>
    <row r="4755" ht="165" spans="1:13">
      <c r="A4755" s="1" t="s">
        <v>21196</v>
      </c>
      <c r="B4755" s="1" t="s">
        <v>13</v>
      </c>
      <c r="C4755" s="4" t="s">
        <v>21197</v>
      </c>
      <c r="D4755" s="1" t="s">
        <v>21198</v>
      </c>
      <c r="E4755" s="1" t="s">
        <v>21199</v>
      </c>
      <c r="F4755" s="4" t="s">
        <v>17</v>
      </c>
      <c r="G4755" s="1" t="s">
        <v>18</v>
      </c>
      <c r="H4755" s="1" t="s">
        <v>19</v>
      </c>
      <c r="I4755" s="1" t="s">
        <v>20</v>
      </c>
      <c r="J4755" s="1" t="s">
        <v>21200</v>
      </c>
      <c r="K4755" s="1" t="s">
        <v>22</v>
      </c>
      <c r="L4755" s="1" t="str">
        <f>HYPERLINK("https://files.afu.se/Downloads/Transcripts/0%20-%20Government/USA%20-%20NASA/2010 06 18 - NASA - Doubling Up, Continuing Search and Hayabusa's Homecoming on This Week @ NASA_HsAXMi05Nug - transcript (automated).pdf","Transcript Link")</f>
        <v>Transcript Link</v>
      </c>
      <c r="M4755" s="2" t="str">
        <f>HYPERLINK("https://files.afu.se/Downloads/Transcripts/0%20-%20Government/USA%20-%20NASA/2010 06 18 - NASA - Doubling Up, Continuing Search and Hayabusa's Homecoming on This Week @ NASA_HsAXMi05Nug - transcript (automated).pdf","Transcript Link")</f>
        <v>Transcript Link</v>
      </c>
    </row>
    <row r="4756" ht="165" spans="1:13">
      <c r="A4756" s="1" t="s">
        <v>21196</v>
      </c>
      <c r="B4756" s="1" t="s">
        <v>13</v>
      </c>
      <c r="C4756" s="4" t="s">
        <v>21201</v>
      </c>
      <c r="D4756" s="1" t="s">
        <v>21202</v>
      </c>
      <c r="E4756" s="1" t="s">
        <v>21203</v>
      </c>
      <c r="F4756" s="4" t="s">
        <v>17</v>
      </c>
      <c r="G4756" s="1" t="s">
        <v>18</v>
      </c>
      <c r="H4756" s="1" t="s">
        <v>19</v>
      </c>
      <c r="I4756" s="1" t="s">
        <v>20</v>
      </c>
      <c r="J4756" s="1" t="s">
        <v>21204</v>
      </c>
      <c r="K4756" s="1" t="s">
        <v>22</v>
      </c>
      <c r="L4756" s="1" t="str">
        <f>HYPERLINK("https://files.afu.se/Downloads/Transcripts/0%20-%20Government/USA%20-%20NASA/2010 06 18 - NASA - NASA's Arctic Voyage Underway_HssASU-K7Ec - transcript (automated).pdf","Transcript Link")</f>
        <v>Transcript Link</v>
      </c>
      <c r="M4756" s="2" t="str">
        <f>HYPERLINK("https://files.afu.se/Downloads/Transcripts/0%20-%20Government/USA%20-%20NASA/2010 06 18 - NASA - NASA's Arctic Voyage Underway_HssASU-K7Ec - transcript (automated).pdf","Transcript Link")</f>
        <v>Transcript Link</v>
      </c>
    </row>
    <row r="4757" ht="165" spans="1:13">
      <c r="A4757" s="1" t="s">
        <v>21196</v>
      </c>
      <c r="B4757" s="1" t="s">
        <v>13</v>
      </c>
      <c r="C4757" s="4" t="s">
        <v>21205</v>
      </c>
      <c r="D4757" s="1" t="s">
        <v>21206</v>
      </c>
      <c r="E4757" s="1" t="s">
        <v>21207</v>
      </c>
      <c r="F4757" s="4" t="s">
        <v>17</v>
      </c>
      <c r="G4757" s="1" t="s">
        <v>18</v>
      </c>
      <c r="H4757" s="1" t="s">
        <v>19</v>
      </c>
      <c r="I4757" s="1" t="s">
        <v>20</v>
      </c>
      <c r="J4757" s="1" t="s">
        <v>21208</v>
      </c>
      <c r="K4757" s="1" t="s">
        <v>22</v>
      </c>
      <c r="L4757" s="1" t="str">
        <f>HYPERLINK("https://files.afu.se/Downloads/Transcripts/0%20-%20Government/USA%20-%20NASA/2010 06 18 - NASA - New Crew Greeted at Space Station_CAM9RBPjSzQ - transcript (automated).pdf","Transcript Link")</f>
        <v>Transcript Link</v>
      </c>
      <c r="M4757" s="2" t="str">
        <f>HYPERLINK("https://files.afu.se/Downloads/Transcripts/0%20-%20Government/USA%20-%20NASA/2010 06 18 - NASA - New Crew Greeted at Space Station_CAM9RBPjSzQ - transcript (automated).pdf","Transcript Link")</f>
        <v>Transcript Link</v>
      </c>
    </row>
    <row r="4758" ht="165" spans="1:13">
      <c r="A4758" s="1" t="s">
        <v>21209</v>
      </c>
      <c r="B4758" s="1" t="s">
        <v>13</v>
      </c>
      <c r="C4758" s="4" t="s">
        <v>21210</v>
      </c>
      <c r="D4758" s="1" t="s">
        <v>21211</v>
      </c>
      <c r="E4758" s="1" t="s">
        <v>21212</v>
      </c>
      <c r="F4758" s="4" t="s">
        <v>17</v>
      </c>
      <c r="G4758" s="1" t="s">
        <v>18</v>
      </c>
      <c r="H4758" s="1" t="s">
        <v>19</v>
      </c>
      <c r="I4758" s="1" t="s">
        <v>20</v>
      </c>
      <c r="J4758" s="1" t="s">
        <v>21213</v>
      </c>
      <c r="K4758" s="1" t="s">
        <v>22</v>
      </c>
      <c r="L4758" s="1" t="str">
        <f>HYPERLINK("https://files.afu.se/Downloads/Transcripts/0%20-%20Government/USA%20-%20NASA/2010 06 17 - NASA - Expedition 24 Crew Docks To The Space Station_iqay-OJcin8 - transcript (automated).pdf","Transcript Link")</f>
        <v>Transcript Link</v>
      </c>
      <c r="M4758" s="2" t="str">
        <f>HYPERLINK("https://files.afu.se/Downloads/Transcripts/0%20-%20Government/USA%20-%20NASA/2010 06 17 - NASA - Expedition 24 Crew Docks To The Space Station_iqay-OJcin8 - transcript (automated).pdf","Transcript Link")</f>
        <v>Transcript Link</v>
      </c>
    </row>
    <row r="4759" ht="165" spans="1:13">
      <c r="A4759" s="1" t="s">
        <v>21214</v>
      </c>
      <c r="B4759" s="1" t="s">
        <v>13</v>
      </c>
      <c r="C4759" s="4" t="s">
        <v>21215</v>
      </c>
      <c r="D4759" s="1" t="s">
        <v>21216</v>
      </c>
      <c r="E4759" s="1" t="s">
        <v>21217</v>
      </c>
      <c r="F4759" s="4" t="s">
        <v>17</v>
      </c>
      <c r="G4759" s="1" t="s">
        <v>18</v>
      </c>
      <c r="H4759" s="1" t="s">
        <v>19</v>
      </c>
      <c r="I4759" s="1" t="s">
        <v>20</v>
      </c>
      <c r="J4759" s="1" t="s">
        <v>21218</v>
      </c>
      <c r="K4759" s="1" t="s">
        <v>22</v>
      </c>
      <c r="L4759" s="1" t="str">
        <f>HYPERLINK("https://files.afu.se/Downloads/Transcripts/0%20-%20Government/USA%20-%20NASA/2010 06 15 - NASA - New Crew Begins Journey to ISS_fADJUVsWIoI - transcript (automated).pdf","Transcript Link")</f>
        <v>Transcript Link</v>
      </c>
      <c r="M4759" s="2" t="str">
        <f>HYPERLINK("https://files.afu.se/Downloads/Transcripts/0%20-%20Government/USA%20-%20NASA/2010 06 15 - NASA - New Crew Begins Journey to ISS_fADJUVsWIoI - transcript (automated).pdf","Transcript Link")</f>
        <v>Transcript Link</v>
      </c>
    </row>
    <row r="4760" ht="165" spans="1:13">
      <c r="A4760" s="1" t="s">
        <v>21219</v>
      </c>
      <c r="B4760" s="1" t="s">
        <v>13</v>
      </c>
      <c r="C4760" s="4" t="s">
        <v>21220</v>
      </c>
      <c r="D4760" s="1" t="s">
        <v>21221</v>
      </c>
      <c r="E4760" s="1" t="s">
        <v>21222</v>
      </c>
      <c r="F4760" s="4" t="s">
        <v>17</v>
      </c>
      <c r="G4760" s="1" t="s">
        <v>18</v>
      </c>
      <c r="H4760" s="1" t="s">
        <v>19</v>
      </c>
      <c r="I4760" s="1" t="s">
        <v>20</v>
      </c>
      <c r="J4760" s="1" t="s">
        <v>21223</v>
      </c>
      <c r="K4760" s="1" t="s">
        <v>22</v>
      </c>
      <c r="L4760" s="1" t="str">
        <f>HYPERLINK("https://files.afu.se/Downloads/Transcripts/0%20-%20Government/USA%20-%20NASA/2010 06 14 - NASA - New Station Crew Readies For Flight_iw64pFuGdjE - transcript (automated).pdf","Transcript Link")</f>
        <v>Transcript Link</v>
      </c>
      <c r="M4760" s="2" t="str">
        <f>HYPERLINK("https://files.afu.se/Downloads/Transcripts/0%20-%20Government/USA%20-%20NASA/2010 06 14 - NASA - New Station Crew Readies For Flight_iw64pFuGdjE - transcript (automated).pdf","Transcript Link")</f>
        <v>Transcript Link</v>
      </c>
    </row>
    <row r="4761" ht="165" spans="1:13">
      <c r="A4761" s="1" t="s">
        <v>21219</v>
      </c>
      <c r="B4761" s="1" t="s">
        <v>13</v>
      </c>
      <c r="C4761" s="4" t="s">
        <v>21224</v>
      </c>
      <c r="D4761" s="1" t="s">
        <v>21225</v>
      </c>
      <c r="E4761" s="1" t="s">
        <v>21226</v>
      </c>
      <c r="F4761" s="4" t="s">
        <v>17</v>
      </c>
      <c r="G4761" s="1" t="s">
        <v>18</v>
      </c>
      <c r="H4761" s="1" t="s">
        <v>19</v>
      </c>
      <c r="I4761" s="1" t="s">
        <v>20</v>
      </c>
      <c r="J4761" s="1" t="s">
        <v>21227</v>
      </c>
      <c r="K4761" s="1" t="s">
        <v>22</v>
      </c>
      <c r="L4761" s="1" t="str">
        <f>HYPERLINK("https://files.afu.se/Downloads/Transcripts/0%20-%20Government/USA%20-%20NASA/2010 06 14 - NASA - Moon Water More Abundant than Previously Believed_5ynP-eGB8cg - transcript (automated).pdf","Transcript Link")</f>
        <v>Transcript Link</v>
      </c>
      <c r="M4761" s="2" t="str">
        <f>HYPERLINK("https://files.afu.se/Downloads/Transcripts/0%20-%20Government/USA%20-%20NASA/2010 06 14 - NASA - Moon Water More Abundant than Previously Believed_5ynP-eGB8cg - transcript (automated).pdf","Transcript Link")</f>
        <v>Transcript Link</v>
      </c>
    </row>
    <row r="4762" ht="165" spans="1:13">
      <c r="A4762" s="1" t="s">
        <v>21219</v>
      </c>
      <c r="B4762" s="1" t="s">
        <v>13</v>
      </c>
      <c r="C4762" s="4" t="s">
        <v>21228</v>
      </c>
      <c r="D4762" s="1" t="s">
        <v>21229</v>
      </c>
      <c r="E4762" s="1" t="s">
        <v>21230</v>
      </c>
      <c r="F4762" s="4" t="s">
        <v>17</v>
      </c>
      <c r="G4762" s="1" t="s">
        <v>18</v>
      </c>
      <c r="H4762" s="1" t="s">
        <v>19</v>
      </c>
      <c r="I4762" s="1" t="s">
        <v>20</v>
      </c>
      <c r="J4762" s="1" t="s">
        <v>21231</v>
      </c>
      <c r="K4762" s="1" t="s">
        <v>22</v>
      </c>
      <c r="L4762" s="1" t="str">
        <f>HYPERLINK("https://files.afu.se/Downloads/Transcripts/0%20-%20Government/USA%20-%20NASA/2010 06 14 - NASA - Hayabusa's Fiery Homecoming Ends Seven-Year Journey__PGWRLy6OG8 - transcript (automated).pdf","Transcript Link")</f>
        <v>Transcript Link</v>
      </c>
      <c r="M4762" s="2" t="str">
        <f>HYPERLINK("https://files.afu.se/Downloads/Transcripts/0%20-%20Government/USA%20-%20NASA/2010 06 14 - NASA - Hayabusa's Fiery Homecoming Ends Seven-Year Journey__PGWRLy6OG8 - transcript (automated).pdf","Transcript Link")</f>
        <v>Transcript Link</v>
      </c>
    </row>
    <row r="4763" ht="165" spans="1:13">
      <c r="A4763" s="1" t="s">
        <v>21232</v>
      </c>
      <c r="B4763" s="1" t="s">
        <v>13</v>
      </c>
      <c r="C4763" s="4" t="s">
        <v>21233</v>
      </c>
      <c r="D4763" s="1" t="s">
        <v>21234</v>
      </c>
      <c r="E4763" s="1" t="s">
        <v>21235</v>
      </c>
      <c r="F4763" s="4" t="s">
        <v>17</v>
      </c>
      <c r="G4763" s="1" t="s">
        <v>18</v>
      </c>
      <c r="H4763" s="1" t="s">
        <v>19</v>
      </c>
      <c r="I4763" s="1" t="s">
        <v>20</v>
      </c>
      <c r="J4763" s="1" t="s">
        <v>21236</v>
      </c>
      <c r="K4763" s="1" t="s">
        <v>22</v>
      </c>
      <c r="L4763" s="1" t="str">
        <f>HYPERLINK("https://files.afu.se/Downloads/Transcripts/0%20-%20Government/USA%20-%20NASA/2010 06 11 - NASA - Stimulating Summer Learning, Three New Crew, and Making Water Landings Safe on This Week at NASA_NAeq7YZJZxo - transcript (automated).pdf","Transcript Link")</f>
        <v>Transcript Link</v>
      </c>
      <c r="M4763" s="2" t="str">
        <f>HYPERLINK("https://files.afu.se/Downloads/Transcripts/0%20-%20Government/USA%20-%20NASA/2010 06 11 - NASA - Stimulating Summer Learning, Three New Crew, and Making Water Landings Safe on This Week at NASA_NAeq7YZJZxo - transcript (automated).pdf","Transcript Link")</f>
        <v>Transcript Link</v>
      </c>
    </row>
    <row r="4764" ht="165" spans="1:13">
      <c r="A4764" s="1" t="s">
        <v>21232</v>
      </c>
      <c r="B4764" s="1" t="s">
        <v>13</v>
      </c>
      <c r="C4764" s="4" t="s">
        <v>21237</v>
      </c>
      <c r="D4764" s="1" t="s">
        <v>21238</v>
      </c>
      <c r="E4764" s="1" t="s">
        <v>21239</v>
      </c>
      <c r="F4764" s="4" t="s">
        <v>17</v>
      </c>
      <c r="G4764" s="1" t="s">
        <v>18</v>
      </c>
      <c r="H4764" s="1" t="s">
        <v>19</v>
      </c>
      <c r="I4764" s="1" t="s">
        <v>20</v>
      </c>
      <c r="J4764" s="1" t="s">
        <v>21240</v>
      </c>
      <c r="K4764" s="1" t="s">
        <v>22</v>
      </c>
      <c r="L4764" s="1" t="str">
        <f>HYPERLINK("https://files.afu.se/Downloads/Transcripts/0%20-%20Government/USA%20-%20NASA/2010 06 11 - NASA -  Summer of Innovation  a Stimulating Experience_xGUM-xmE_xM - transcript (automated).pdf","Transcript Link")</f>
        <v>Transcript Link</v>
      </c>
      <c r="M4764" s="2" t="str">
        <f>HYPERLINK("https://files.afu.se/Downloads/Transcripts/0%20-%20Government/USA%20-%20NASA/2010 06 11 - NASA -  Summer of Innovation  a Stimulating Experience_xGUM-xmE_xM - transcript (automated).pdf","Transcript Link")</f>
        <v>Transcript Link</v>
      </c>
    </row>
    <row r="4765" ht="165" spans="1:13">
      <c r="A4765" s="1" t="s">
        <v>21241</v>
      </c>
      <c r="B4765" s="1" t="s">
        <v>13</v>
      </c>
      <c r="C4765" s="4" t="s">
        <v>21242</v>
      </c>
      <c r="D4765" s="1" t="s">
        <v>21243</v>
      </c>
      <c r="E4765" s="1" t="s">
        <v>21244</v>
      </c>
      <c r="F4765" s="4" t="s">
        <v>17</v>
      </c>
      <c r="G4765" s="1" t="s">
        <v>18</v>
      </c>
      <c r="H4765" s="1" t="s">
        <v>19</v>
      </c>
      <c r="I4765" s="1" t="s">
        <v>20</v>
      </c>
      <c r="J4765" s="1" t="s">
        <v>21245</v>
      </c>
      <c r="K4765" s="1" t="s">
        <v>22</v>
      </c>
      <c r="L4765" s="1" t="str">
        <f>HYPERLINK("https://files.afu.se/Downloads/Transcripts/0%20-%20Government/USA%20-%20NASA/2010 06 10 - NASA - Science Keeps Station Crew Busy_z9-WrRNVZJo - transcript (automated).pdf","Transcript Link")</f>
        <v>Transcript Link</v>
      </c>
      <c r="M4765" s="2" t="str">
        <f>HYPERLINK("https://files.afu.se/Downloads/Transcripts/0%20-%20Government/USA%20-%20NASA/2010 06 10 - NASA - Science Keeps Station Crew Busy_z9-WrRNVZJo - transcript (automated).pdf","Transcript Link")</f>
        <v>Transcript Link</v>
      </c>
    </row>
    <row r="4766" ht="165" spans="1:13">
      <c r="A4766" s="1" t="s">
        <v>21241</v>
      </c>
      <c r="B4766" s="1" t="s">
        <v>13</v>
      </c>
      <c r="C4766" s="4" t="s">
        <v>21246</v>
      </c>
      <c r="D4766" s="1" t="s">
        <v>21247</v>
      </c>
      <c r="E4766" s="1" t="s">
        <v>21248</v>
      </c>
      <c r="F4766" s="4" t="s">
        <v>17</v>
      </c>
      <c r="G4766" s="1" t="s">
        <v>18</v>
      </c>
      <c r="H4766" s="1" t="s">
        <v>19</v>
      </c>
      <c r="I4766" s="1" t="s">
        <v>20</v>
      </c>
      <c r="J4766" s="1" t="s">
        <v>21249</v>
      </c>
      <c r="K4766" s="1" t="s">
        <v>22</v>
      </c>
      <c r="L4766" s="1" t="str">
        <f>HYPERLINK("https://files.afu.se/Downloads/Transcripts/0%20-%20Government/USA%20-%20NASA/2010 06 10 - NASA - Expedition 24  Twice the Effort_a7-gatElpos - transcript (automated).pdf","Transcript Link")</f>
        <v>Transcript Link</v>
      </c>
      <c r="M4766" s="2" t="str">
        <f>HYPERLINK("https://files.afu.se/Downloads/Transcripts/0%20-%20Government/USA%20-%20NASA/2010 06 10 - NASA - Expedition 24  Twice the Effort_a7-gatElpos - transcript (automated).pdf","Transcript Link")</f>
        <v>Transcript Link</v>
      </c>
    </row>
    <row r="4767" ht="165" spans="1:13">
      <c r="A4767" s="1" t="s">
        <v>21241</v>
      </c>
      <c r="B4767" s="1" t="s">
        <v>13</v>
      </c>
      <c r="C4767" s="4" t="s">
        <v>21250</v>
      </c>
      <c r="D4767" s="1" t="s">
        <v>21251</v>
      </c>
      <c r="E4767" s="1" t="s">
        <v>21252</v>
      </c>
      <c r="F4767" s="4" t="s">
        <v>17</v>
      </c>
      <c r="G4767" s="1" t="s">
        <v>18</v>
      </c>
      <c r="H4767" s="1" t="s">
        <v>19</v>
      </c>
      <c r="I4767" s="1" t="s">
        <v>20</v>
      </c>
      <c r="J4767" s="1" t="s">
        <v>21253</v>
      </c>
      <c r="K4767" s="1" t="s">
        <v>22</v>
      </c>
      <c r="L4767" s="1" t="str">
        <f>HYPERLINK("https://files.afu.se/Downloads/Transcripts/0%20-%20Government/USA%20-%20NASA/2010 06 10 - NASA - Expedition 24 Crew to Double on ISS_EiUpgWsP-2k - transcript (automated).pdf","Transcript Link")</f>
        <v>Transcript Link</v>
      </c>
      <c r="M4767" s="2" t="str">
        <f>HYPERLINK("https://files.afu.se/Downloads/Transcripts/0%20-%20Government/USA%20-%20NASA/2010 06 10 - NASA - Expedition 24 Crew to Double on ISS_EiUpgWsP-2k - transcript (automated).pdf","Transcript Link")</f>
        <v>Transcript Link</v>
      </c>
    </row>
    <row r="4768" ht="165" spans="1:13">
      <c r="A4768" s="1" t="s">
        <v>21254</v>
      </c>
      <c r="B4768" s="1" t="s">
        <v>13</v>
      </c>
      <c r="C4768" s="4" t="s">
        <v>21255</v>
      </c>
      <c r="D4768" s="1" t="s">
        <v>21256</v>
      </c>
      <c r="E4768" s="1" t="s">
        <v>21257</v>
      </c>
      <c r="F4768" s="4" t="s">
        <v>17</v>
      </c>
      <c r="G4768" s="1" t="s">
        <v>18</v>
      </c>
      <c r="H4768" s="1" t="s">
        <v>19</v>
      </c>
      <c r="I4768" s="1" t="s">
        <v>20</v>
      </c>
      <c r="J4768" s="1" t="s">
        <v>21258</v>
      </c>
      <c r="K4768" s="1" t="s">
        <v>22</v>
      </c>
      <c r="L4768" s="1" t="str">
        <f>HYPERLINK("https://files.afu.se/Downloads/Transcripts/0%20-%20Government/USA%20-%20NASA/2010 06 08 - NASA - Shuttle Atlantis  From the Inside_xF3P2ewE6eg - transcript (automated).pdf","Transcript Link")</f>
        <v>Transcript Link</v>
      </c>
      <c r="M4768" s="2" t="str">
        <f>HYPERLINK("https://files.afu.se/Downloads/Transcripts/0%20-%20Government/USA%20-%20NASA/2010 06 08 - NASA - Shuttle Atlantis  From the Inside_xF3P2ewE6eg - transcript (automated).pdf","Transcript Link")</f>
        <v>Transcript Link</v>
      </c>
    </row>
    <row r="4769" ht="165" spans="1:13">
      <c r="A4769" s="1" t="s">
        <v>21254</v>
      </c>
      <c r="B4769" s="1" t="s">
        <v>13</v>
      </c>
      <c r="C4769" s="4" t="s">
        <v>21259</v>
      </c>
      <c r="D4769" s="1" t="s">
        <v>21260</v>
      </c>
      <c r="E4769" s="1" t="s">
        <v>21261</v>
      </c>
      <c r="F4769" s="4" t="s">
        <v>17</v>
      </c>
      <c r="G4769" s="1" t="s">
        <v>18</v>
      </c>
      <c r="H4769" s="1" t="s">
        <v>19</v>
      </c>
      <c r="I4769" s="1" t="s">
        <v>20</v>
      </c>
      <c r="J4769" s="1" t="s">
        <v>21262</v>
      </c>
      <c r="K4769" s="1" t="s">
        <v>22</v>
      </c>
      <c r="L4769" s="1" t="str">
        <f>HYPERLINK("https://files.afu.se/Downloads/Transcripts/0%20-%20Government/USA%20-%20NASA/2010 06 08 - NASA - Soyuz Landing Spotlighted with New View_Wd-8B-L4rcg - transcript (automated).pdf","Transcript Link")</f>
        <v>Transcript Link</v>
      </c>
      <c r="M4769" s="2" t="str">
        <f>HYPERLINK("https://files.afu.se/Downloads/Transcripts/0%20-%20Government/USA%20-%20NASA/2010 06 08 - NASA - Soyuz Landing Spotlighted with New View_Wd-8B-L4rcg - transcript (automated).pdf","Transcript Link")</f>
        <v>Transcript Link</v>
      </c>
    </row>
    <row r="4770" ht="210" spans="1:13">
      <c r="A4770" s="1" t="s">
        <v>21263</v>
      </c>
      <c r="B4770" s="1" t="s">
        <v>13</v>
      </c>
      <c r="C4770" s="4" t="s">
        <v>21264</v>
      </c>
      <c r="D4770" s="1" t="s">
        <v>21265</v>
      </c>
      <c r="E4770" s="1" t="s">
        <v>21266</v>
      </c>
      <c r="F4770" s="4" t="s">
        <v>17</v>
      </c>
      <c r="G4770" s="1" t="s">
        <v>18</v>
      </c>
      <c r="H4770" s="1" t="s">
        <v>19</v>
      </c>
      <c r="I4770" s="1" t="s">
        <v>20</v>
      </c>
      <c r="J4770" s="1" t="s">
        <v>21267</v>
      </c>
      <c r="K4770" s="1" t="s">
        <v>22</v>
      </c>
      <c r="L4770" s="1" t="str">
        <f>HYPERLINK("https://files.afu.se/Downloads/Transcripts/0%20-%20Government/USA%20-%20NASA/2010 06 07 - NASA - Four Join Astronaut Hall of Fame_NYaXA-7xo08 - transcript (automated).pdf","Transcript Link")</f>
        <v>Transcript Link</v>
      </c>
      <c r="M4770" s="2" t="str">
        <f>HYPERLINK("https://files.afu.se/Downloads/Transcripts/0%20-%20Government/USA%20-%20NASA/2010 06 07 - NASA - Four Join Astronaut Hall of Fame_NYaXA-7xo08 - transcript (automated).pdf","Transcript Link")</f>
        <v>Transcript Link</v>
      </c>
    </row>
    <row r="4771" ht="165" spans="1:13">
      <c r="A4771" s="1" t="s">
        <v>21268</v>
      </c>
      <c r="B4771" s="1" t="s">
        <v>13</v>
      </c>
      <c r="C4771" s="4" t="s">
        <v>21269</v>
      </c>
      <c r="D4771" s="1" t="s">
        <v>21270</v>
      </c>
      <c r="E4771" s="1" t="s">
        <v>21271</v>
      </c>
      <c r="F4771" s="4" t="s">
        <v>17</v>
      </c>
      <c r="G4771" s="1" t="s">
        <v>18</v>
      </c>
      <c r="H4771" s="1" t="s">
        <v>19</v>
      </c>
      <c r="I4771" s="1" t="s">
        <v>20</v>
      </c>
      <c r="J4771" s="1" t="s">
        <v>21272</v>
      </c>
      <c r="K4771" s="1" t="s">
        <v>22</v>
      </c>
      <c r="L4771" s="1" t="str">
        <f>HYPERLINK("https://files.afu.se/Downloads/Transcripts/0%20-%20Government/USA%20-%20NASA/2010 06 04 - NASA - SpaceX Launch A Success_6SOc_FHQP6I - transcript (automated).pdf","Transcript Link")</f>
        <v>Transcript Link</v>
      </c>
      <c r="M4771" s="2" t="str">
        <f>HYPERLINK("https://files.afu.se/Downloads/Transcripts/0%20-%20Government/USA%20-%20NASA/2010 06 04 - NASA - SpaceX Launch A Success_6SOc_FHQP6I - transcript (automated).pdf","Transcript Link")</f>
        <v>Transcript Link</v>
      </c>
    </row>
    <row r="4772" ht="165" spans="1:13">
      <c r="A4772" s="1" t="s">
        <v>21268</v>
      </c>
      <c r="B4772" s="1" t="s">
        <v>13</v>
      </c>
      <c r="C4772" s="4" t="s">
        <v>21273</v>
      </c>
      <c r="D4772" s="1" t="s">
        <v>21274</v>
      </c>
      <c r="E4772" s="1" t="s">
        <v>21275</v>
      </c>
      <c r="F4772" s="4" t="s">
        <v>17</v>
      </c>
      <c r="G4772" s="1" t="s">
        <v>18</v>
      </c>
      <c r="H4772" s="1" t="s">
        <v>19</v>
      </c>
      <c r="I4772" s="1" t="s">
        <v>20</v>
      </c>
      <c r="J4772" s="1" t="s">
        <v>21276</v>
      </c>
      <c r="K4772" s="1" t="s">
        <v>22</v>
      </c>
      <c r="L4772" s="1" t="str">
        <f>HYPERLINK("https://files.afu.se/Downloads/Transcripts/0%20-%20Government/USA%20-%20NASA/2010 06 04 - NASA - Soyuz's Safe Landing, Tracking Climate Change, and Student Balloon Launch top This Week @ NASA_4IC72SdxLS8 - transcript (automated).pdf","Transcript Link")</f>
        <v>Transcript Link</v>
      </c>
      <c r="M4772" s="2" t="str">
        <f>HYPERLINK("https://files.afu.se/Downloads/Transcripts/0%20-%20Government/USA%20-%20NASA/2010 06 04 - NASA - Soyuz's Safe Landing, Tracking Climate Change, and Student Balloon Launch top This Week @ NASA_4IC72SdxLS8 - transcript (automated).pdf","Transcript Link")</f>
        <v>Transcript Link</v>
      </c>
    </row>
    <row r="4773" ht="165" spans="1:13">
      <c r="A4773" s="1" t="s">
        <v>21277</v>
      </c>
      <c r="B4773" s="1" t="s">
        <v>13</v>
      </c>
      <c r="C4773" s="4" t="s">
        <v>21278</v>
      </c>
      <c r="D4773" s="1" t="s">
        <v>21279</v>
      </c>
      <c r="E4773" s="1" t="s">
        <v>21280</v>
      </c>
      <c r="F4773" s="4" t="s">
        <v>17</v>
      </c>
      <c r="G4773" s="1" t="s">
        <v>18</v>
      </c>
      <c r="H4773" s="1" t="s">
        <v>19</v>
      </c>
      <c r="I4773" s="1" t="s">
        <v>20</v>
      </c>
      <c r="J4773" s="1" t="s">
        <v>21281</v>
      </c>
      <c r="K4773" s="1" t="s">
        <v>22</v>
      </c>
      <c r="L4773" s="1" t="str">
        <f>HYPERLINK("https://files.afu.se/Downloads/Transcripts/0%20-%20Government/USA%20-%20NASA/2010 06 03 - NASA - STS-132  Atlantis' Final Flight_yy0hqtygKuk - transcript (automated).pdf","Transcript Link")</f>
        <v>Transcript Link</v>
      </c>
      <c r="M4773" s="2" t="str">
        <f>HYPERLINK("https://files.afu.se/Downloads/Transcripts/0%20-%20Government/USA%20-%20NASA/2010 06 03 - NASA - STS-132  Atlantis' Final Flight_yy0hqtygKuk - transcript (automated).pdf","Transcript Link")</f>
        <v>Transcript Link</v>
      </c>
    </row>
    <row r="4774" ht="165" spans="1:13">
      <c r="A4774" s="1" t="s">
        <v>21277</v>
      </c>
      <c r="B4774" s="1" t="s">
        <v>13</v>
      </c>
      <c r="C4774" s="4" t="s">
        <v>21282</v>
      </c>
      <c r="D4774" s="1" t="s">
        <v>21283</v>
      </c>
      <c r="E4774" s="1" t="s">
        <v>21284</v>
      </c>
      <c r="F4774" s="4" t="s">
        <v>17</v>
      </c>
      <c r="G4774" s="1" t="s">
        <v>18</v>
      </c>
      <c r="H4774" s="1" t="s">
        <v>19</v>
      </c>
      <c r="I4774" s="1" t="s">
        <v>20</v>
      </c>
      <c r="J4774" s="1" t="s">
        <v>21285</v>
      </c>
      <c r="K4774" s="1" t="s">
        <v>22</v>
      </c>
      <c r="L4774" s="1" t="str">
        <f>HYPERLINK("https://files.afu.se/Downloads/Transcripts/0%20-%20Government/USA%20-%20NASA/2010 06 03 - NASA - Mars Rover Spirit Finds Clue to Planet's Past and Environment for Life_pe-Lo95mDzo - transcript (automated).pdf","Transcript Link")</f>
        <v>Transcript Link</v>
      </c>
      <c r="M4774" s="2" t="str">
        <f>HYPERLINK("https://files.afu.se/Downloads/Transcripts/0%20-%20Government/USA%20-%20NASA/2010 06 03 - NASA - Mars Rover Spirit Finds Clue to Planet's Past and Environment for Life_pe-Lo95mDzo - transcript (automated).pdf","Transcript Link")</f>
        <v>Transcript Link</v>
      </c>
    </row>
    <row r="4775" ht="180" spans="1:13">
      <c r="A4775" s="1" t="s">
        <v>21277</v>
      </c>
      <c r="B4775" s="1" t="s">
        <v>13</v>
      </c>
      <c r="C4775" s="4" t="s">
        <v>21286</v>
      </c>
      <c r="D4775" s="1" t="s">
        <v>21287</v>
      </c>
      <c r="E4775" s="1" t="s">
        <v>21288</v>
      </c>
      <c r="F4775" s="4" t="s">
        <v>17</v>
      </c>
      <c r="G4775" s="1" t="s">
        <v>18</v>
      </c>
      <c r="H4775" s="1" t="s">
        <v>19</v>
      </c>
      <c r="I4775" s="1" t="s">
        <v>20</v>
      </c>
      <c r="J4775" s="1" t="s">
        <v>21289</v>
      </c>
      <c r="K4775" s="1" t="s">
        <v>22</v>
      </c>
      <c r="L4775" s="1" t="str">
        <f>HYPERLINK("https://files.afu.se/Downloads/Transcripts/0%20-%20Government/USA%20-%20NASA/2010 06 03 - NASA - Crew Follows Traditional Pre-Launch Path_bZQ1VVqdsog - transcript (automated).pdf","Transcript Link")</f>
        <v>Transcript Link</v>
      </c>
      <c r="M4775" s="2" t="str">
        <f>HYPERLINK("https://files.afu.se/Downloads/Transcripts/0%20-%20Government/USA%20-%20NASA/2010 06 03 - NASA - Crew Follows Traditional Pre-Launch Path_bZQ1VVqdsog - transcript (automated).pdf","Transcript Link")</f>
        <v>Transcript Link</v>
      </c>
    </row>
    <row r="4776" ht="165" spans="1:13">
      <c r="A4776" s="1" t="s">
        <v>21277</v>
      </c>
      <c r="B4776" s="1" t="s">
        <v>13</v>
      </c>
      <c r="C4776" s="4" t="s">
        <v>21290</v>
      </c>
      <c r="D4776" s="1" t="s">
        <v>21291</v>
      </c>
      <c r="E4776" s="1" t="s">
        <v>21292</v>
      </c>
      <c r="F4776" s="4" t="s">
        <v>17</v>
      </c>
      <c r="G4776" s="1" t="s">
        <v>18</v>
      </c>
      <c r="H4776" s="1" t="s">
        <v>19</v>
      </c>
      <c r="I4776" s="1" t="s">
        <v>20</v>
      </c>
      <c r="J4776" s="1" t="s">
        <v>21293</v>
      </c>
      <c r="K4776" s="1" t="s">
        <v>22</v>
      </c>
      <c r="L4776" s="1" t="str">
        <f>HYPERLINK("https://files.afu.se/Downloads/Transcripts/0%20-%20Government/USA%20-%20NASA/2010 06 03 - NASA - Going Up  New Mobile Rocket Launcher_nXiKY6x4Qi8 - transcript (automated).pdf","Transcript Link")</f>
        <v>Transcript Link</v>
      </c>
      <c r="M4776" s="2" t="str">
        <f>HYPERLINK("https://files.afu.se/Downloads/Transcripts/0%20-%20Government/USA%20-%20NASA/2010 06 03 - NASA - Going Up  New Mobile Rocket Launcher_nXiKY6x4Qi8 - transcript (automated).pdf","Transcript Link")</f>
        <v>Transcript Link</v>
      </c>
    </row>
    <row r="4777" ht="180" spans="1:13">
      <c r="A4777" s="1" t="s">
        <v>21277</v>
      </c>
      <c r="B4777" s="1" t="s">
        <v>13</v>
      </c>
      <c r="C4777" s="4" t="s">
        <v>21294</v>
      </c>
      <c r="D4777" s="1" t="s">
        <v>21295</v>
      </c>
      <c r="E4777" s="1" t="s">
        <v>21296</v>
      </c>
      <c r="F4777" s="4" t="s">
        <v>17</v>
      </c>
      <c r="G4777" s="1" t="s">
        <v>18</v>
      </c>
      <c r="H4777" s="1" t="s">
        <v>19</v>
      </c>
      <c r="I4777" s="1" t="s">
        <v>20</v>
      </c>
      <c r="J4777" s="1" t="s">
        <v>21297</v>
      </c>
      <c r="K4777" s="1" t="s">
        <v>22</v>
      </c>
      <c r="L4777" s="1" t="str">
        <f>HYPERLINK("https://files.afu.se/Downloads/Transcripts/0%20-%20Government/USA%20-%20NASA/2010 06 03 - NASA - Robotics Students  Dig Up Dirt  for Scholarship_zHn0aRbIVaI - transcript (automated).pdf","Transcript Link")</f>
        <v>Transcript Link</v>
      </c>
      <c r="M4777" s="2" t="str">
        <f>HYPERLINK("https://files.afu.se/Downloads/Transcripts/0%20-%20Government/USA%20-%20NASA/2010 06 03 - NASA - Robotics Students  Dig Up Dirt  for Scholarship_zHn0aRbIVaI - transcript (automated).pdf","Transcript Link")</f>
        <v>Transcript Link</v>
      </c>
    </row>
    <row r="4778" ht="165" spans="1:13">
      <c r="A4778" s="1" t="s">
        <v>21298</v>
      </c>
      <c r="B4778" s="1" t="s">
        <v>13</v>
      </c>
      <c r="C4778" s="4" t="s">
        <v>21299</v>
      </c>
      <c r="D4778" s="1" t="s">
        <v>21300</v>
      </c>
      <c r="E4778" s="1" t="s">
        <v>21301</v>
      </c>
      <c r="F4778" s="4" t="s">
        <v>17</v>
      </c>
      <c r="G4778" s="1" t="s">
        <v>18</v>
      </c>
      <c r="H4778" s="1" t="s">
        <v>19</v>
      </c>
      <c r="I4778" s="1" t="s">
        <v>20</v>
      </c>
      <c r="J4778" s="1" t="s">
        <v>21302</v>
      </c>
      <c r="K4778" s="1" t="s">
        <v>22</v>
      </c>
      <c r="L4778" s="1" t="str">
        <f>HYPERLINK("https://files.afu.se/Downloads/Transcripts/0%20-%20Government/USA%20-%20NASA/2010 06 02 - NASA - Climate Simulation Center To Help Track Global Warming_vOjq0CmwlnQ - transcript (automated).pdf","Transcript Link")</f>
        <v>Transcript Link</v>
      </c>
      <c r="M4778" s="2" t="str">
        <f>HYPERLINK("https://files.afu.se/Downloads/Transcripts/0%20-%20Government/USA%20-%20NASA/2010 06 02 - NASA - Climate Simulation Center To Help Track Global Warming_vOjq0CmwlnQ - transcript (automated).pdf","Transcript Link")</f>
        <v>Transcript Link</v>
      </c>
    </row>
    <row r="4779" ht="165" spans="1:13">
      <c r="A4779" s="1" t="s">
        <v>21298</v>
      </c>
      <c r="B4779" s="1" t="s">
        <v>13</v>
      </c>
      <c r="C4779" s="4" t="s">
        <v>21303</v>
      </c>
      <c r="D4779" s="1" t="s">
        <v>21304</v>
      </c>
      <c r="E4779" s="1" t="s">
        <v>21305</v>
      </c>
      <c r="F4779" s="4" t="s">
        <v>17</v>
      </c>
      <c r="G4779" s="1" t="s">
        <v>18</v>
      </c>
      <c r="H4779" s="1" t="s">
        <v>19</v>
      </c>
      <c r="I4779" s="1" t="s">
        <v>20</v>
      </c>
      <c r="J4779" s="1" t="s">
        <v>21306</v>
      </c>
      <c r="K4779" s="1" t="s">
        <v>22</v>
      </c>
      <c r="L4779" s="1" t="str">
        <f>HYPERLINK("https://files.afu.se/Downloads/Transcripts/0%20-%20Government/USA%20-%20NASA/2010 06 02 - NASA - Sub-Scale Rocket Test Saves Time, Money_LFVc8CxfO1o - transcript (automated).pdf","Transcript Link")</f>
        <v>Transcript Link</v>
      </c>
      <c r="M4779" s="2" t="str">
        <f>HYPERLINK("https://files.afu.se/Downloads/Transcripts/0%20-%20Government/USA%20-%20NASA/2010 06 02 - NASA - Sub-Scale Rocket Test Saves Time, Money_LFVc8CxfO1o - transcript (automated).pdf","Transcript Link")</f>
        <v>Transcript Link</v>
      </c>
    </row>
    <row r="4780" ht="165" spans="1:13">
      <c r="A4780" s="1" t="s">
        <v>21298</v>
      </c>
      <c r="B4780" s="1" t="s">
        <v>13</v>
      </c>
      <c r="C4780" s="4" t="s">
        <v>21307</v>
      </c>
      <c r="D4780" s="1" t="s">
        <v>21308</v>
      </c>
      <c r="E4780" s="1" t="s">
        <v>21309</v>
      </c>
      <c r="F4780" s="4" t="s">
        <v>17</v>
      </c>
      <c r="G4780" s="1" t="s">
        <v>18</v>
      </c>
      <c r="H4780" s="1" t="s">
        <v>19</v>
      </c>
      <c r="I4780" s="1" t="s">
        <v>20</v>
      </c>
      <c r="J4780" s="1" t="s">
        <v>21310</v>
      </c>
      <c r="K4780" s="1" t="s">
        <v>22</v>
      </c>
      <c r="L4780" s="1" t="str">
        <f>HYPERLINK("https://files.afu.se/Downloads/Transcripts/0%20-%20Government/USA%20-%20NASA/2010 06 02 - NASA - Change of Command on ISS_HAxhAGSRQuE - transcript (automated).pdf","Transcript Link")</f>
        <v>Transcript Link</v>
      </c>
      <c r="M4780" s="2" t="str">
        <f>HYPERLINK("https://files.afu.se/Downloads/Transcripts/0%20-%20Government/USA%20-%20NASA/2010 06 02 - NASA - Change of Command on ISS_HAxhAGSRQuE - transcript (automated).pdf","Transcript Link")</f>
        <v>Transcript Link</v>
      </c>
    </row>
    <row r="4781" ht="195" spans="1:13">
      <c r="A4781" s="1" t="s">
        <v>21298</v>
      </c>
      <c r="B4781" s="1" t="s">
        <v>13</v>
      </c>
      <c r="C4781" s="4" t="s">
        <v>21311</v>
      </c>
      <c r="D4781" s="1" t="s">
        <v>21312</v>
      </c>
      <c r="E4781" s="1" t="s">
        <v>21313</v>
      </c>
      <c r="F4781" s="4" t="s">
        <v>17</v>
      </c>
      <c r="G4781" s="1" t="s">
        <v>18</v>
      </c>
      <c r="H4781" s="1" t="s">
        <v>19</v>
      </c>
      <c r="I4781" s="1" t="s">
        <v>20</v>
      </c>
      <c r="J4781" s="1" t="s">
        <v>21314</v>
      </c>
      <c r="K4781" s="1" t="s">
        <v>22</v>
      </c>
      <c r="L4781" s="1" t="str">
        <f>HYPERLINK("https://files.afu.se/Downloads/Transcripts/0%20-%20Government/USA%20-%20NASA/2010 06 02 - NASA - Expedition Crew Lands Safely in Kazakhstan_lslBglu98nQ - transcript (automated).pdf","Transcript Link")</f>
        <v>Transcript Link</v>
      </c>
      <c r="M4781" s="2" t="str">
        <f>HYPERLINK("https://files.afu.se/Downloads/Transcripts/0%20-%20Government/USA%20-%20NASA/2010 06 02 - NASA - Expedition Crew Lands Safely in Kazakhstan_lslBglu98nQ - transcript (automated).pdf","Transcript Link")</f>
        <v>Transcript Link</v>
      </c>
    </row>
    <row r="4782" ht="165" spans="1:13">
      <c r="A4782" s="1" t="s">
        <v>21315</v>
      </c>
      <c r="B4782" s="1" t="s">
        <v>13</v>
      </c>
      <c r="C4782" s="4" t="s">
        <v>21316</v>
      </c>
      <c r="D4782" s="1" t="s">
        <v>21317</v>
      </c>
      <c r="E4782" s="1" t="s">
        <v>21318</v>
      </c>
      <c r="F4782" s="4" t="s">
        <v>17</v>
      </c>
      <c r="G4782" s="1" t="s">
        <v>18</v>
      </c>
      <c r="H4782" s="1" t="s">
        <v>19</v>
      </c>
      <c r="I4782" s="1" t="s">
        <v>20</v>
      </c>
      <c r="J4782" s="1" t="s">
        <v>21319</v>
      </c>
      <c r="K4782" s="1" t="s">
        <v>22</v>
      </c>
      <c r="L4782" s="1" t="str">
        <f>HYPERLINK("https://files.afu.se/Downloads/Transcripts/0%20-%20Government/USA%20-%20NASA/2010 05 28 - NASA - Asian Pacific American Heritage Month Profile  Jaiwon Shin_uwnR2NQX1c4 - transcript (automated).pdf","Transcript Link")</f>
        <v>Transcript Link</v>
      </c>
      <c r="M4782" s="2" t="str">
        <f>HYPERLINK("https://files.afu.se/Downloads/Transcripts/0%20-%20Government/USA%20-%20NASA/2010 05 28 - NASA - Asian Pacific American Heritage Month Profile  Jaiwon Shin_uwnR2NQX1c4 - transcript (automated).pdf","Transcript Link")</f>
        <v>Transcript Link</v>
      </c>
    </row>
    <row r="4783" ht="165" spans="1:13">
      <c r="A4783" s="1" t="s">
        <v>21315</v>
      </c>
      <c r="B4783" s="1" t="s">
        <v>13</v>
      </c>
      <c r="C4783" s="4" t="s">
        <v>21320</v>
      </c>
      <c r="D4783" s="1" t="s">
        <v>21321</v>
      </c>
      <c r="E4783" s="1" t="s">
        <v>21322</v>
      </c>
      <c r="F4783" s="4" t="s">
        <v>17</v>
      </c>
      <c r="G4783" s="1" t="s">
        <v>18</v>
      </c>
      <c r="H4783" s="1" t="s">
        <v>19</v>
      </c>
      <c r="I4783" s="1" t="s">
        <v>20</v>
      </c>
      <c r="J4783" s="1" t="s">
        <v>21323</v>
      </c>
      <c r="K4783" s="1" t="s">
        <v>22</v>
      </c>
      <c r="L4783" s="1" t="str">
        <f>HYPERLINK("https://files.afu.se/Downloads/Transcripts/0%20-%20Government/USA%20-%20NASA/2010 05 28 - NASA - Final Flight, NextGen Explorers, and Exciting FORCAST on This Week @ NASA_tUndKqvYfuc - transcript (automated).pdf","Transcript Link")</f>
        <v>Transcript Link</v>
      </c>
      <c r="M4783" s="2" t="str">
        <f>HYPERLINK("https://files.afu.se/Downloads/Transcripts/0%20-%20Government/USA%20-%20NASA/2010 05 28 - NASA - Final Flight, NextGen Explorers, and Exciting FORCAST on This Week @ NASA_tUndKqvYfuc - transcript (automated).pdf","Transcript Link")</f>
        <v>Transcript Link</v>
      </c>
    </row>
    <row r="4784" ht="195" spans="1:13">
      <c r="A4784" s="1" t="s">
        <v>21315</v>
      </c>
      <c r="B4784" s="1" t="s">
        <v>13</v>
      </c>
      <c r="C4784" s="4" t="s">
        <v>21324</v>
      </c>
      <c r="D4784" s="1" t="s">
        <v>21325</v>
      </c>
      <c r="E4784" s="1" t="s">
        <v>21326</v>
      </c>
      <c r="F4784" s="4" t="s">
        <v>17</v>
      </c>
      <c r="G4784" s="1" t="s">
        <v>18</v>
      </c>
      <c r="H4784" s="1" t="s">
        <v>19</v>
      </c>
      <c r="I4784" s="1" t="s">
        <v>20</v>
      </c>
      <c r="J4784" s="1" t="s">
        <v>21327</v>
      </c>
      <c r="K4784" s="1" t="s">
        <v>22</v>
      </c>
      <c r="L4784" s="1" t="str">
        <f>HYPERLINK("https://files.afu.se/Downloads/Transcripts/0%20-%20Government/USA%20-%20NASA/2010 05 28 - NASA -  Ice Team  Inspects NASA's Shuttle Atlantis During STS-132 Launch Countdown_sSO5DDLHnhQ - transcript (automated).pdf","Transcript Link")</f>
        <v>Transcript Link</v>
      </c>
      <c r="M4784" s="2" t="str">
        <f>HYPERLINK("https://files.afu.se/Downloads/Transcripts/0%20-%20Government/USA%20-%20NASA/2010 05 28 - NASA -  Ice Team  Inspects NASA's Shuttle Atlantis During STS-132 Launch Countdown_sSO5DDLHnhQ - transcript (automated).pdf","Transcript Link")</f>
        <v>Transcript Link</v>
      </c>
    </row>
    <row r="4785" ht="165" spans="1:13">
      <c r="A4785" s="1" t="s">
        <v>21315</v>
      </c>
      <c r="B4785" s="1" t="s">
        <v>13</v>
      </c>
      <c r="C4785" s="4" t="s">
        <v>21328</v>
      </c>
      <c r="D4785" s="1" t="s">
        <v>21329</v>
      </c>
      <c r="E4785" s="1" t="s">
        <v>21330</v>
      </c>
      <c r="F4785" s="4" t="s">
        <v>17</v>
      </c>
      <c r="G4785" s="1" t="s">
        <v>18</v>
      </c>
      <c r="H4785" s="1" t="s">
        <v>19</v>
      </c>
      <c r="I4785" s="1" t="s">
        <v>20</v>
      </c>
      <c r="J4785" s="1" t="s">
        <v>21331</v>
      </c>
      <c r="K4785" s="1" t="s">
        <v>22</v>
      </c>
      <c r="L4785" s="1" t="str">
        <f>HYPERLINK("https://files.afu.se/Downloads/Transcripts/0%20-%20Government/USA%20-%20NASA/2010 05 28 - NASA - NASA Satellites Capture Growing Oil Spill_M6i1eKW8M6Q - transcript (automated).pdf","Transcript Link")</f>
        <v>Transcript Link</v>
      </c>
      <c r="M4785" s="2" t="str">
        <f>HYPERLINK("https://files.afu.se/Downloads/Transcripts/0%20-%20Government/USA%20-%20NASA/2010 05 28 - NASA - NASA Satellites Capture Growing Oil Spill_M6i1eKW8M6Q - transcript (automated).pdf","Transcript Link")</f>
        <v>Transcript Link</v>
      </c>
    </row>
    <row r="4786" ht="165" spans="1:13">
      <c r="A4786" s="1" t="s">
        <v>21332</v>
      </c>
      <c r="B4786" s="1" t="s">
        <v>13</v>
      </c>
      <c r="C4786" s="4" t="s">
        <v>21333</v>
      </c>
      <c r="D4786" s="1" t="s">
        <v>21334</v>
      </c>
      <c r="E4786" s="1" t="s">
        <v>21335</v>
      </c>
      <c r="F4786" s="4" t="s">
        <v>17</v>
      </c>
      <c r="G4786" s="1" t="s">
        <v>18</v>
      </c>
      <c r="H4786" s="1" t="s">
        <v>19</v>
      </c>
      <c r="I4786" s="1" t="s">
        <v>20</v>
      </c>
      <c r="J4786" s="1" t="s">
        <v>21336</v>
      </c>
      <c r="K4786" s="1" t="s">
        <v>22</v>
      </c>
      <c r="L4786" s="1" t="str">
        <f>HYPERLINK("https://files.afu.se/Downloads/Transcripts/0%20-%20Government/USA%20-%20NASA/2010 05 26 - NASA - Shuttle Astronauts Happy to be Home_i4VOUacqDFU - transcript (automated).pdf","Transcript Link")</f>
        <v>Transcript Link</v>
      </c>
      <c r="M4786" s="2" t="str">
        <f>HYPERLINK("https://files.afu.se/Downloads/Transcripts/0%20-%20Government/USA%20-%20NASA/2010 05 26 - NASA - Shuttle Astronauts Happy to be Home_i4VOUacqDFU - transcript (automated).pdf","Transcript Link")</f>
        <v>Transcript Link</v>
      </c>
    </row>
    <row r="4787" ht="210" spans="1:13">
      <c r="A4787" s="1" t="s">
        <v>21332</v>
      </c>
      <c r="B4787" s="1" t="s">
        <v>13</v>
      </c>
      <c r="C4787" s="4" t="s">
        <v>21337</v>
      </c>
      <c r="D4787" s="1" t="s">
        <v>21338</v>
      </c>
      <c r="E4787" s="1" t="s">
        <v>21339</v>
      </c>
      <c r="F4787" s="4" t="s">
        <v>17</v>
      </c>
      <c r="G4787" s="1" t="s">
        <v>18</v>
      </c>
      <c r="H4787" s="1" t="s">
        <v>19</v>
      </c>
      <c r="I4787" s="1" t="s">
        <v>20</v>
      </c>
      <c r="J4787" s="1" t="s">
        <v>21340</v>
      </c>
      <c r="K4787" s="1" t="s">
        <v>22</v>
      </c>
      <c r="L4787" s="1" t="str">
        <f>HYPERLINK("https://files.afu.se/Downloads/Transcripts/0%20-%20Government/USA%20-%20NASA/2010 05 26 - NASA - STS-132  The Mission Highlights_BgM76yQrT8I - transcript (automated).pdf","Transcript Link")</f>
        <v>Transcript Link</v>
      </c>
      <c r="M4787" s="2" t="str">
        <f>HYPERLINK("https://files.afu.se/Downloads/Transcripts/0%20-%20Government/USA%20-%20NASA/2010 05 26 - NASA - STS-132  The Mission Highlights_BgM76yQrT8I - transcript (automated).pdf","Transcript Link")</f>
        <v>Transcript Link</v>
      </c>
    </row>
    <row r="4788" ht="165" spans="1:13">
      <c r="A4788" s="1" t="s">
        <v>21332</v>
      </c>
      <c r="B4788" s="1" t="s">
        <v>13</v>
      </c>
      <c r="C4788" s="4" t="s">
        <v>21341</v>
      </c>
      <c r="D4788" s="1" t="s">
        <v>21342</v>
      </c>
      <c r="E4788" s="1" t="s">
        <v>21343</v>
      </c>
      <c r="F4788" s="4" t="s">
        <v>17</v>
      </c>
      <c r="G4788" s="1" t="s">
        <v>18</v>
      </c>
      <c r="H4788" s="1" t="s">
        <v>19</v>
      </c>
      <c r="I4788" s="1" t="s">
        <v>20</v>
      </c>
      <c r="J4788" s="1" t="s">
        <v>21344</v>
      </c>
      <c r="K4788" s="1" t="s">
        <v>22</v>
      </c>
      <c r="L4788" s="1" t="str">
        <f>HYPERLINK("https://files.afu.se/Downloads/Transcripts/0%20-%20Government/USA%20-%20NASA/2010 05 26 - NASA - Mission Objectives Met on STS-132_IMUxWcihwEE - transcript (automated).pdf","Transcript Link")</f>
        <v>Transcript Link</v>
      </c>
      <c r="M4788" s="2" t="str">
        <f>HYPERLINK("https://files.afu.se/Downloads/Transcripts/0%20-%20Government/USA%20-%20NASA/2010 05 26 - NASA - Mission Objectives Met on STS-132_IMUxWcihwEE - transcript (automated).pdf","Transcript Link")</f>
        <v>Transcript Link</v>
      </c>
    </row>
    <row r="4789" ht="165" spans="1:13">
      <c r="A4789" s="1" t="s">
        <v>21332</v>
      </c>
      <c r="B4789" s="1" t="s">
        <v>13</v>
      </c>
      <c r="C4789" s="4" t="s">
        <v>21345</v>
      </c>
      <c r="D4789" s="1" t="s">
        <v>21346</v>
      </c>
      <c r="E4789" s="1" t="s">
        <v>21347</v>
      </c>
      <c r="F4789" s="4" t="s">
        <v>17</v>
      </c>
      <c r="G4789" s="1" t="s">
        <v>18</v>
      </c>
      <c r="H4789" s="1" t="s">
        <v>19</v>
      </c>
      <c r="I4789" s="1" t="s">
        <v>20</v>
      </c>
      <c r="J4789" s="1" t="s">
        <v>21348</v>
      </c>
      <c r="K4789" s="1" t="s">
        <v>22</v>
      </c>
      <c r="L4789" s="1" t="str">
        <f>HYPERLINK("https://files.afu.se/Downloads/Transcripts/0%20-%20Government/USA%20-%20NASA/2010 05 26 - NASA - Safe Landing Ends Atlantis' Final Flight_vmDYSqjodEQ - transcript (automated).pdf","Transcript Link")</f>
        <v>Transcript Link</v>
      </c>
      <c r="M4789" s="2" t="str">
        <f>HYPERLINK("https://files.afu.se/Downloads/Transcripts/0%20-%20Government/USA%20-%20NASA/2010 05 26 - NASA - Safe Landing Ends Atlantis' Final Flight_vmDYSqjodEQ - transcript (automated).pdf","Transcript Link")</f>
        <v>Transcript Link</v>
      </c>
    </row>
    <row r="4790" ht="165" spans="1:13">
      <c r="A4790" s="1" t="s">
        <v>21349</v>
      </c>
      <c r="B4790" s="1" t="s">
        <v>13</v>
      </c>
      <c r="C4790" s="4" t="s">
        <v>21350</v>
      </c>
      <c r="D4790" s="1" t="s">
        <v>21351</v>
      </c>
      <c r="E4790" s="1" t="s">
        <v>21352</v>
      </c>
      <c r="F4790" s="4" t="s">
        <v>17</v>
      </c>
      <c r="G4790" s="1" t="s">
        <v>18</v>
      </c>
      <c r="H4790" s="1" t="s">
        <v>19</v>
      </c>
      <c r="I4790" s="1" t="s">
        <v>20</v>
      </c>
      <c r="J4790" s="1" t="s">
        <v>21353</v>
      </c>
      <c r="K4790" s="1" t="s">
        <v>22</v>
      </c>
      <c r="L4790" s="1" t="str">
        <f>HYPERLINK("https://files.afu.se/Downloads/Transcripts/0%20-%20Government/USA%20-%20NASA/2010 05 25 - NASA - Atlantis Astronauts Ready for Return_fr-WUy6geKs - transcript (automated).pdf","Transcript Link")</f>
        <v>Transcript Link</v>
      </c>
      <c r="M4790" s="2" t="str">
        <f>HYPERLINK("https://files.afu.se/Downloads/Transcripts/0%20-%20Government/USA%20-%20NASA/2010 05 25 - NASA - Atlantis Astronauts Ready for Return_fr-WUy6geKs - transcript (automated).pdf","Transcript Link")</f>
        <v>Transcript Link</v>
      </c>
    </row>
    <row r="4791" ht="165" spans="1:13">
      <c r="A4791" s="1" t="s">
        <v>21349</v>
      </c>
      <c r="B4791" s="1" t="s">
        <v>13</v>
      </c>
      <c r="C4791" s="4" t="s">
        <v>21354</v>
      </c>
      <c r="D4791" s="1" t="s">
        <v>21355</v>
      </c>
      <c r="E4791" s="1" t="s">
        <v>21356</v>
      </c>
      <c r="F4791" s="4" t="s">
        <v>17</v>
      </c>
      <c r="G4791" s="1" t="s">
        <v>18</v>
      </c>
      <c r="H4791" s="1" t="s">
        <v>19</v>
      </c>
      <c r="I4791" s="1" t="s">
        <v>20</v>
      </c>
      <c r="J4791" s="1" t="s">
        <v>21357</v>
      </c>
      <c r="K4791" s="1" t="s">
        <v>22</v>
      </c>
      <c r="L4791" s="1" t="str">
        <f>HYPERLINK("https://files.afu.se/Downloads/Transcripts/0%20-%20Government/USA%20-%20NASA/2010 05 25 - NASA - New Looks at Atlantis Launch_cKPqomW5kDI - transcript (automated).pdf","Transcript Link")</f>
        <v>Transcript Link</v>
      </c>
      <c r="M4791" s="2" t="str">
        <f>HYPERLINK("https://files.afu.se/Downloads/Transcripts/0%20-%20Government/USA%20-%20NASA/2010 05 25 - NASA - New Looks at Atlantis Launch_cKPqomW5kDI - transcript (automated).pdf","Transcript Link")</f>
        <v>Transcript Link</v>
      </c>
    </row>
    <row r="4792" ht="165" spans="1:13">
      <c r="A4792" s="1" t="s">
        <v>21349</v>
      </c>
      <c r="B4792" s="1" t="s">
        <v>13</v>
      </c>
      <c r="C4792" s="4" t="s">
        <v>21358</v>
      </c>
      <c r="D4792" s="1" t="s">
        <v>21359</v>
      </c>
      <c r="E4792" s="1" t="s">
        <v>21360</v>
      </c>
      <c r="F4792" s="4" t="s">
        <v>17</v>
      </c>
      <c r="G4792" s="1" t="s">
        <v>18</v>
      </c>
      <c r="H4792" s="1" t="s">
        <v>19</v>
      </c>
      <c r="I4792" s="1" t="s">
        <v>20</v>
      </c>
      <c r="J4792" s="1" t="s">
        <v>21361</v>
      </c>
      <c r="K4792" s="1" t="s">
        <v>22</v>
      </c>
      <c r="L4792" s="1" t="str">
        <f>HYPERLINK("https://files.afu.se/Downloads/Transcripts/0%20-%20Government/USA%20-%20NASA/2010 05 25 - NASA - Chief Technologist Helps Chart New Course for Research and Development_btc70vURm4o - transcript (automated).pdf","Transcript Link")</f>
        <v>Transcript Link</v>
      </c>
      <c r="M4792" s="2" t="str">
        <f>HYPERLINK("https://files.afu.se/Downloads/Transcripts/0%20-%20Government/USA%20-%20NASA/2010 05 25 - NASA - Chief Technologist Helps Chart New Course for Research and Development_btc70vURm4o - transcript (automated).pdf","Transcript Link")</f>
        <v>Transcript Link</v>
      </c>
    </row>
    <row r="4793" ht="165" spans="1:13">
      <c r="A4793" s="1" t="s">
        <v>21349</v>
      </c>
      <c r="B4793" s="1" t="s">
        <v>13</v>
      </c>
      <c r="C4793" s="4" t="s">
        <v>21362</v>
      </c>
      <c r="D4793" s="1" t="s">
        <v>21363</v>
      </c>
      <c r="E4793" s="1" t="s">
        <v>21364</v>
      </c>
      <c r="F4793" s="4" t="s">
        <v>17</v>
      </c>
      <c r="G4793" s="1" t="s">
        <v>18</v>
      </c>
      <c r="H4793" s="1" t="s">
        <v>19</v>
      </c>
      <c r="I4793" s="1" t="s">
        <v>20</v>
      </c>
      <c r="J4793" s="1" t="s">
        <v>21365</v>
      </c>
      <c r="K4793" s="1" t="s">
        <v>22</v>
      </c>
      <c r="L4793" s="1" t="str">
        <f>HYPERLINK("https://files.afu.se/Downloads/Transcripts/0%20-%20Government/USA%20-%20NASA/2010 05 25 - NASA - Shuttle's Systems Checked Before Landing_QUh5LIKoFJk - transcript (automated).pdf","Transcript Link")</f>
        <v>Transcript Link</v>
      </c>
      <c r="M4793" s="2" t="str">
        <f>HYPERLINK("https://files.afu.se/Downloads/Transcripts/0%20-%20Government/USA%20-%20NASA/2010 05 25 - NASA - Shuttle's Systems Checked Before Landing_QUh5LIKoFJk - transcript (automated).pdf","Transcript Link")</f>
        <v>Transcript Link</v>
      </c>
    </row>
    <row r="4794" ht="165" spans="1:13">
      <c r="A4794" s="1" t="s">
        <v>21366</v>
      </c>
      <c r="B4794" s="1" t="s">
        <v>13</v>
      </c>
      <c r="C4794" s="4" t="s">
        <v>21367</v>
      </c>
      <c r="D4794" s="1" t="s">
        <v>21368</v>
      </c>
      <c r="E4794" s="1" t="s">
        <v>21369</v>
      </c>
      <c r="F4794" s="4" t="s">
        <v>17</v>
      </c>
      <c r="G4794" s="1" t="s">
        <v>18</v>
      </c>
      <c r="H4794" s="1" t="s">
        <v>19</v>
      </c>
      <c r="I4794" s="1" t="s">
        <v>20</v>
      </c>
      <c r="J4794" s="1" t="s">
        <v>21370</v>
      </c>
      <c r="K4794" s="1" t="s">
        <v>22</v>
      </c>
      <c r="L4794" s="1" t="str">
        <f>HYPERLINK("https://files.afu.se/Downloads/Transcripts/0%20-%20Government/USA%20-%20NASA/2010 05 24 - NASA - Shuttle Crew Enjoys Final Days of Mission_qpM1svEbJy0 - transcript (automated).pdf","Transcript Link")</f>
        <v>Transcript Link</v>
      </c>
      <c r="M4794" s="2" t="str">
        <f>HYPERLINK("https://files.afu.se/Downloads/Transcripts/0%20-%20Government/USA%20-%20NASA/2010 05 24 - NASA - Shuttle Crew Enjoys Final Days of Mission_qpM1svEbJy0 - transcript (automated).pdf","Transcript Link")</f>
        <v>Transcript Link</v>
      </c>
    </row>
    <row r="4795" ht="165" spans="1:13">
      <c r="A4795" s="1" t="s">
        <v>21366</v>
      </c>
      <c r="B4795" s="1" t="s">
        <v>13</v>
      </c>
      <c r="C4795" s="4" t="s">
        <v>21371</v>
      </c>
      <c r="D4795" s="1" t="s">
        <v>21372</v>
      </c>
      <c r="E4795" s="1" t="s">
        <v>21373</v>
      </c>
      <c r="F4795" s="4" t="s">
        <v>17</v>
      </c>
      <c r="G4795" s="1" t="s">
        <v>18</v>
      </c>
      <c r="H4795" s="1" t="s">
        <v>19</v>
      </c>
      <c r="I4795" s="1" t="s">
        <v>20</v>
      </c>
      <c r="J4795" s="1" t="s">
        <v>21374</v>
      </c>
      <c r="K4795" s="1" t="s">
        <v>22</v>
      </c>
      <c r="L4795" s="1" t="str">
        <f>HYPERLINK("https://files.afu.se/Downloads/Transcripts/0%20-%20Government/USA%20-%20NASA/2010 05 24 - NASA - Safety Check Shows Shuttle's  Shield  Sound_aXqPcC8AchY - transcript (automated).pdf","Transcript Link")</f>
        <v>Transcript Link</v>
      </c>
      <c r="M4795" s="2" t="str">
        <f>HYPERLINK("https://files.afu.se/Downloads/Transcripts/0%20-%20Government/USA%20-%20NASA/2010 05 24 - NASA - Safety Check Shows Shuttle's  Shield  Sound_aXqPcC8AchY - transcript (automated).pdf","Transcript Link")</f>
        <v>Transcript Link</v>
      </c>
    </row>
    <row r="4796" ht="165" spans="1:13">
      <c r="A4796" s="1" t="s">
        <v>21366</v>
      </c>
      <c r="B4796" s="1" t="s">
        <v>13</v>
      </c>
      <c r="C4796" s="4" t="s">
        <v>21375</v>
      </c>
      <c r="D4796" s="1" t="s">
        <v>21376</v>
      </c>
      <c r="E4796" s="1" t="s">
        <v>21377</v>
      </c>
      <c r="F4796" s="4" t="s">
        <v>17</v>
      </c>
      <c r="G4796" s="1" t="s">
        <v>18</v>
      </c>
      <c r="H4796" s="1" t="s">
        <v>19</v>
      </c>
      <c r="I4796" s="1" t="s">
        <v>20</v>
      </c>
      <c r="J4796" s="1" t="s">
        <v>21378</v>
      </c>
      <c r="K4796" s="1" t="s">
        <v>22</v>
      </c>
      <c r="L4796" s="1" t="str">
        <f>HYPERLINK("https://files.afu.se/Downloads/Transcripts/0%20-%20Government/USA%20-%20NASA/2010 05 24 - NASA - Shuttle Heat Shield in Good Shape_oiElFC1HKdM - transcript (automated).pdf","Transcript Link")</f>
        <v>Transcript Link</v>
      </c>
      <c r="M4796" s="2" t="str">
        <f>HYPERLINK("https://files.afu.se/Downloads/Transcripts/0%20-%20Government/USA%20-%20NASA/2010 05 24 - NASA - Shuttle Heat Shield in Good Shape_oiElFC1HKdM - transcript (automated).pdf","Transcript Link")</f>
        <v>Transcript Link</v>
      </c>
    </row>
    <row r="4797" ht="165" spans="1:13">
      <c r="A4797" s="1" t="s">
        <v>21366</v>
      </c>
      <c r="B4797" s="1" t="s">
        <v>13</v>
      </c>
      <c r="C4797" s="4" t="s">
        <v>21379</v>
      </c>
      <c r="D4797" s="1" t="s">
        <v>21380</v>
      </c>
      <c r="E4797" s="1" t="s">
        <v>21381</v>
      </c>
      <c r="F4797" s="4" t="s">
        <v>17</v>
      </c>
      <c r="G4797" s="1" t="s">
        <v>18</v>
      </c>
      <c r="H4797" s="1" t="s">
        <v>19</v>
      </c>
      <c r="I4797" s="1" t="s">
        <v>20</v>
      </c>
      <c r="J4797" s="1" t="s">
        <v>21382</v>
      </c>
      <c r="K4797" s="1" t="s">
        <v>22</v>
      </c>
      <c r="L4797" s="1" t="str">
        <f>HYPERLINK("https://files.afu.se/Downloads/Transcripts/0%20-%20Government/USA%20-%20NASA/2010 05 24 - NASA - Atlantis Cleared for Wednesday Return_mwoYGl1CKUY - transcript (automated).pdf","Transcript Link")</f>
        <v>Transcript Link</v>
      </c>
      <c r="M4797" s="2" t="str">
        <f>HYPERLINK("https://files.afu.se/Downloads/Transcripts/0%20-%20Government/USA%20-%20NASA/2010 05 24 - NASA - Atlantis Cleared for Wednesday Return_mwoYGl1CKUY - transcript (automated).pdf","Transcript Link")</f>
        <v>Transcript Link</v>
      </c>
    </row>
    <row r="4798" ht="165" spans="1:13">
      <c r="A4798" s="1" t="s">
        <v>21383</v>
      </c>
      <c r="B4798" s="1" t="s">
        <v>13</v>
      </c>
      <c r="C4798" s="4" t="s">
        <v>21384</v>
      </c>
      <c r="D4798" s="1" t="s">
        <v>21385</v>
      </c>
      <c r="E4798" s="1" t="s">
        <v>21386</v>
      </c>
      <c r="F4798" s="4" t="s">
        <v>17</v>
      </c>
      <c r="G4798" s="1" t="s">
        <v>18</v>
      </c>
      <c r="H4798" s="1" t="s">
        <v>19</v>
      </c>
      <c r="I4798" s="1" t="s">
        <v>20</v>
      </c>
      <c r="J4798" s="1" t="s">
        <v>21387</v>
      </c>
      <c r="K4798" s="1" t="s">
        <v>22</v>
      </c>
      <c r="L4798" s="1" t="str">
        <f>HYPERLINK("https://files.afu.se/Downloads/Transcripts/0%20-%20Government/USA%20-%20NASA/2010 05 23 - NASA - Farewell, Undocking &amp; Flyaround Highlight Day in Space_5o67zNhntUI - transcript (automated).pdf","Transcript Link")</f>
        <v>Transcript Link</v>
      </c>
      <c r="M4798" s="2" t="str">
        <f>HYPERLINK("https://files.afu.se/Downloads/Transcripts/0%20-%20Government/USA%20-%20NASA/2010 05 23 - NASA - Farewell, Undocking &amp; Flyaround Highlight Day in Space_5o67zNhntUI - transcript (automated).pdf","Transcript Link")</f>
        <v>Transcript Link</v>
      </c>
    </row>
    <row r="4799" ht="165" spans="1:13">
      <c r="A4799" s="1" t="s">
        <v>21383</v>
      </c>
      <c r="B4799" s="1" t="s">
        <v>13</v>
      </c>
      <c r="C4799" s="4" t="s">
        <v>21388</v>
      </c>
      <c r="D4799" s="1" t="s">
        <v>21389</v>
      </c>
      <c r="E4799" s="1" t="s">
        <v>21390</v>
      </c>
      <c r="F4799" s="4" t="s">
        <v>17</v>
      </c>
      <c r="G4799" s="1" t="s">
        <v>18</v>
      </c>
      <c r="H4799" s="1" t="s">
        <v>19</v>
      </c>
      <c r="I4799" s="1" t="s">
        <v>20</v>
      </c>
      <c r="J4799" s="1" t="s">
        <v>21391</v>
      </c>
      <c r="K4799" s="1" t="s">
        <v>22</v>
      </c>
      <c r="L4799" s="1" t="str">
        <f>HYPERLINK("https://files.afu.se/Downloads/Transcripts/0%20-%20Government/USA%20-%20NASA/2010 05 23 - NASA - Focus on Shuttle's Protective Shield_sESFVA-2dF0 - transcript (automated).pdf","Transcript Link")</f>
        <v>Transcript Link</v>
      </c>
      <c r="M4799" s="2" t="str">
        <f>HYPERLINK("https://files.afu.se/Downloads/Transcripts/0%20-%20Government/USA%20-%20NASA/2010 05 23 - NASA - Focus on Shuttle's Protective Shield_sESFVA-2dF0 - transcript (automated).pdf","Transcript Link")</f>
        <v>Transcript Link</v>
      </c>
    </row>
    <row r="4800" ht="165" spans="1:13">
      <c r="A4800" s="1" t="s">
        <v>21383</v>
      </c>
      <c r="B4800" s="1" t="s">
        <v>13</v>
      </c>
      <c r="C4800" s="4" t="s">
        <v>21392</v>
      </c>
      <c r="D4800" s="1" t="s">
        <v>21393</v>
      </c>
      <c r="E4800" s="1" t="s">
        <v>21394</v>
      </c>
      <c r="F4800" s="4" t="s">
        <v>17</v>
      </c>
      <c r="G4800" s="1" t="s">
        <v>18</v>
      </c>
      <c r="H4800" s="1" t="s">
        <v>19</v>
      </c>
      <c r="I4800" s="1" t="s">
        <v>20</v>
      </c>
      <c r="J4800" s="1" t="s">
        <v>21395</v>
      </c>
      <c r="K4800" s="1" t="s">
        <v>22</v>
      </c>
      <c r="L4800" s="1" t="str">
        <f>HYPERLINK("https://files.afu.se/Downloads/Transcripts/0%20-%20Government/USA%20-%20NASA/2010 05 23 - NASA - Crews Recount Busy Week's Work_NeY4JIy_Css - transcript (automated).pdf","Transcript Link")</f>
        <v>Transcript Link</v>
      </c>
      <c r="M4800" s="2" t="str">
        <f>HYPERLINK("https://files.afu.se/Downloads/Transcripts/0%20-%20Government/USA%20-%20NASA/2010 05 23 - NASA - Crews Recount Busy Week's Work_NeY4JIy_Css - transcript (automated).pdf","Transcript Link")</f>
        <v>Transcript Link</v>
      </c>
    </row>
    <row r="4801" ht="165" spans="1:13">
      <c r="A4801" s="1" t="s">
        <v>21383</v>
      </c>
      <c r="B4801" s="1" t="s">
        <v>13</v>
      </c>
      <c r="C4801" s="4" t="s">
        <v>21396</v>
      </c>
      <c r="D4801" s="1" t="s">
        <v>21397</v>
      </c>
      <c r="E4801" s="1" t="s">
        <v>21398</v>
      </c>
      <c r="F4801" s="4" t="s">
        <v>17</v>
      </c>
      <c r="G4801" s="1" t="s">
        <v>18</v>
      </c>
      <c r="H4801" s="1" t="s">
        <v>19</v>
      </c>
      <c r="I4801" s="1" t="s">
        <v>20</v>
      </c>
      <c r="J4801" s="1" t="s">
        <v>21399</v>
      </c>
      <c r="K4801" s="1" t="s">
        <v>22</v>
      </c>
      <c r="L4801" s="1" t="str">
        <f>HYPERLINK("https://files.afu.se/Downloads/Transcripts/0%20-%20Government/USA%20-%20NASA/2010 05 23 - NASA - Atlantis Astronauts Homeward Bound_wRkLOHZ2r6k - transcript (automated).pdf","Transcript Link")</f>
        <v>Transcript Link</v>
      </c>
      <c r="M4801" s="2" t="str">
        <f>HYPERLINK("https://files.afu.se/Downloads/Transcripts/0%20-%20Government/USA%20-%20NASA/2010 05 23 - NASA - Atlantis Astronauts Homeward Bound_wRkLOHZ2r6k - transcript (automated).pdf","Transcript Link")</f>
        <v>Transcript Link</v>
      </c>
    </row>
    <row r="4802" ht="165" spans="1:13">
      <c r="A4802" s="1" t="s">
        <v>21383</v>
      </c>
      <c r="B4802" s="1" t="s">
        <v>13</v>
      </c>
      <c r="C4802" s="4" t="s">
        <v>21400</v>
      </c>
      <c r="D4802" s="1" t="s">
        <v>21401</v>
      </c>
      <c r="E4802" s="1" t="s">
        <v>21402</v>
      </c>
      <c r="F4802" s="4" t="s">
        <v>17</v>
      </c>
      <c r="G4802" s="1" t="s">
        <v>18</v>
      </c>
      <c r="H4802" s="1" t="s">
        <v>19</v>
      </c>
      <c r="I4802" s="1" t="s">
        <v>20</v>
      </c>
      <c r="J4802" s="1" t="s">
        <v>21403</v>
      </c>
      <c r="K4802" s="1" t="s">
        <v>22</v>
      </c>
      <c r="L4802" s="1" t="str">
        <f>HYPERLINK("https://files.afu.se/Downloads/Transcripts/0%20-%20Government/USA%20-%20NASA/2010 05 23 - NASA - New Views of ISS Captured on  Flyaround _rO0fyCyHEOE - transcript (automated).pdf","Transcript Link")</f>
        <v>Transcript Link</v>
      </c>
      <c r="M4802" s="2" t="str">
        <f>HYPERLINK("https://files.afu.se/Downloads/Transcripts/0%20-%20Government/USA%20-%20NASA/2010 05 23 - NASA - New Views of ISS Captured on  Flyaround _rO0fyCyHEOE - transcript (automated).pdf","Transcript Link")</f>
        <v>Transcript Link</v>
      </c>
    </row>
    <row r="4803" ht="165" spans="1:13">
      <c r="A4803" s="1" t="s">
        <v>21383</v>
      </c>
      <c r="B4803" s="1" t="s">
        <v>13</v>
      </c>
      <c r="C4803" s="4" t="s">
        <v>21404</v>
      </c>
      <c r="D4803" s="1" t="s">
        <v>21405</v>
      </c>
      <c r="E4803" s="1" t="s">
        <v>21406</v>
      </c>
      <c r="F4803" s="4" t="s">
        <v>17</v>
      </c>
      <c r="G4803" s="1" t="s">
        <v>18</v>
      </c>
      <c r="H4803" s="1" t="s">
        <v>19</v>
      </c>
      <c r="I4803" s="1" t="s">
        <v>20</v>
      </c>
      <c r="J4803" s="1" t="s">
        <v>21407</v>
      </c>
      <c r="K4803" s="1" t="s">
        <v>22</v>
      </c>
      <c r="L4803" s="1" t="str">
        <f>HYPERLINK("https://files.afu.se/Downloads/Transcripts/0%20-%20Government/USA%20-%20NASA/2010 05 23 - NASA - Atlantis Undocks After Week's Stay at Station_cZXoYoldz90 - transcript (automated).pdf","Transcript Link")</f>
        <v>Transcript Link</v>
      </c>
      <c r="M4803" s="2" t="str">
        <f>HYPERLINK("https://files.afu.se/Downloads/Transcripts/0%20-%20Government/USA%20-%20NASA/2010 05 23 - NASA - Atlantis Undocks After Week's Stay at Station_cZXoYoldz90 - transcript (automated).pdf","Transcript Link")</f>
        <v>Transcript Link</v>
      </c>
    </row>
    <row r="4804" ht="165" spans="1:13">
      <c r="A4804" s="1" t="s">
        <v>21383</v>
      </c>
      <c r="B4804" s="1" t="s">
        <v>13</v>
      </c>
      <c r="C4804" s="4" t="s">
        <v>21408</v>
      </c>
      <c r="D4804" s="1" t="s">
        <v>21409</v>
      </c>
      <c r="E4804" s="1" t="s">
        <v>21410</v>
      </c>
      <c r="F4804" s="4" t="s">
        <v>17</v>
      </c>
      <c r="G4804" s="1" t="s">
        <v>18</v>
      </c>
      <c r="H4804" s="1" t="s">
        <v>19</v>
      </c>
      <c r="I4804" s="1" t="s">
        <v>20</v>
      </c>
      <c r="J4804" s="1" t="s">
        <v>21411</v>
      </c>
      <c r="K4804" s="1" t="s">
        <v>22</v>
      </c>
      <c r="L4804" s="1" t="str">
        <f>HYPERLINK("https://files.afu.se/Downloads/Transcripts/0%20-%20Government/USA%20-%20NASA/2010 05 23 - NASA - Shuttle, Station Crews Part Ways_cUg2XnS3eyU - transcript (automated).pdf","Transcript Link")</f>
        <v>Transcript Link</v>
      </c>
      <c r="M4804" s="2" t="str">
        <f>HYPERLINK("https://files.afu.se/Downloads/Transcripts/0%20-%20Government/USA%20-%20NASA/2010 05 23 - NASA - Shuttle, Station Crews Part Ways_cUg2XnS3eyU - transcript (automated).pdf","Transcript Link")</f>
        <v>Transcript Link</v>
      </c>
    </row>
    <row r="4805" ht="165" spans="1:13">
      <c r="A4805" s="1" t="s">
        <v>21383</v>
      </c>
      <c r="B4805" s="1" t="s">
        <v>13</v>
      </c>
      <c r="C4805" s="4" t="s">
        <v>21412</v>
      </c>
      <c r="D4805" s="1" t="s">
        <v>21413</v>
      </c>
      <c r="E4805" s="1" t="s">
        <v>21414</v>
      </c>
      <c r="F4805" s="4" t="s">
        <v>17</v>
      </c>
      <c r="G4805" s="1" t="s">
        <v>18</v>
      </c>
      <c r="H4805" s="1" t="s">
        <v>19</v>
      </c>
      <c r="I4805" s="1" t="s">
        <v>20</v>
      </c>
      <c r="J4805" s="1" t="s">
        <v>21415</v>
      </c>
      <c r="K4805" s="1" t="s">
        <v>22</v>
      </c>
      <c r="L4805" s="1" t="str">
        <f>HYPERLINK("https://files.afu.se/Downloads/Transcripts/0%20-%20Government/USA%20-%20NASA/2010 05 23 - NASA - Moving Day in Space_wgzd6FIicq0 - transcript (automated).pdf","Transcript Link")</f>
        <v>Transcript Link</v>
      </c>
      <c r="M4805" s="2" t="str">
        <f>HYPERLINK("https://files.afu.se/Downloads/Transcripts/0%20-%20Government/USA%20-%20NASA/2010 05 23 - NASA - Moving Day in Space_wgzd6FIicq0 - transcript (automated).pdf","Transcript Link")</f>
        <v>Transcript Link</v>
      </c>
    </row>
    <row r="4806" ht="165" spans="1:13">
      <c r="A4806" s="1" t="s">
        <v>21383</v>
      </c>
      <c r="B4806" s="1" t="s">
        <v>13</v>
      </c>
      <c r="C4806" s="4" t="s">
        <v>21416</v>
      </c>
      <c r="D4806" s="1" t="s">
        <v>21417</v>
      </c>
      <c r="E4806" s="1" t="s">
        <v>21418</v>
      </c>
      <c r="F4806" s="4" t="s">
        <v>17</v>
      </c>
      <c r="G4806" s="1" t="s">
        <v>18</v>
      </c>
      <c r="H4806" s="1" t="s">
        <v>19</v>
      </c>
      <c r="I4806" s="1" t="s">
        <v>20</v>
      </c>
      <c r="J4806" s="1" t="s">
        <v>21419</v>
      </c>
      <c r="K4806" s="1" t="s">
        <v>22</v>
      </c>
      <c r="L4806" s="1" t="str">
        <f>HYPERLINK("https://files.afu.se/Downloads/Transcripts/0%20-%20Government/USA%20-%20NASA/2010 05 23 - NASA - Shuttle Crew's  Highlight Reel _M6GpYdhfa3c - transcript (automated).pdf","Transcript Link")</f>
        <v>Transcript Link</v>
      </c>
      <c r="M4806" s="2" t="str">
        <f>HYPERLINK("https://files.afu.se/Downloads/Transcripts/0%20-%20Government/USA%20-%20NASA/2010 05 23 - NASA - Shuttle Crew's  Highlight Reel _M6GpYdhfa3c - transcript (automated).pdf","Transcript Link")</f>
        <v>Transcript Link</v>
      </c>
    </row>
    <row r="4807" ht="165" spans="1:13">
      <c r="A4807" s="1" t="s">
        <v>21383</v>
      </c>
      <c r="B4807" s="1" t="s">
        <v>13</v>
      </c>
      <c r="C4807" s="4" t="s">
        <v>21420</v>
      </c>
      <c r="D4807" s="1" t="s">
        <v>21421</v>
      </c>
      <c r="E4807" s="1" t="s">
        <v>21422</v>
      </c>
      <c r="F4807" s="4" t="s">
        <v>17</v>
      </c>
      <c r="G4807" s="1" t="s">
        <v>18</v>
      </c>
      <c r="H4807" s="1" t="s">
        <v>19</v>
      </c>
      <c r="I4807" s="1" t="s">
        <v>20</v>
      </c>
      <c r="J4807" s="1" t="s">
        <v>21423</v>
      </c>
      <c r="K4807" s="1" t="s">
        <v>22</v>
      </c>
      <c r="L4807" s="1" t="str">
        <f>HYPERLINK("https://files.afu.se/Downloads/Transcripts/0%20-%20Government/USA%20-%20NASA/2010 05 23 - NASA - Canadarm Caches Cargo Carrier_cVRZRStGZVA - transcript (automated).pdf","Transcript Link")</f>
        <v>Transcript Link</v>
      </c>
      <c r="M4807" s="2" t="str">
        <f>HYPERLINK("https://files.afu.se/Downloads/Transcripts/0%20-%20Government/USA%20-%20NASA/2010 05 23 - NASA - Canadarm Caches Cargo Carrier_cVRZRStGZVA - transcript (automated).pdf","Transcript Link")</f>
        <v>Transcript Link</v>
      </c>
    </row>
    <row r="4808" ht="165" spans="1:13">
      <c r="A4808" s="1" t="s">
        <v>21424</v>
      </c>
      <c r="B4808" s="1" t="s">
        <v>13</v>
      </c>
      <c r="C4808" s="4" t="s">
        <v>21425</v>
      </c>
      <c r="D4808" s="1" t="s">
        <v>21426</v>
      </c>
      <c r="E4808" s="1" t="s">
        <v>21427</v>
      </c>
      <c r="F4808" s="4" t="s">
        <v>17</v>
      </c>
      <c r="G4808" s="1" t="s">
        <v>18</v>
      </c>
      <c r="H4808" s="1" t="s">
        <v>19</v>
      </c>
      <c r="I4808" s="1" t="s">
        <v>20</v>
      </c>
      <c r="J4808" s="1" t="s">
        <v>21428</v>
      </c>
      <c r="K4808" s="1" t="s">
        <v>22</v>
      </c>
      <c r="L4808" s="1" t="str">
        <f>HYPERLINK("https://files.afu.se/Downloads/Transcripts/0%20-%20Government/USA%20-%20NASA/2010 05 22 - NASA - Atlantis Crew Takes a Break_zIlBAMdQwsE - transcript (automated).pdf","Transcript Link")</f>
        <v>Transcript Link</v>
      </c>
      <c r="M4808" s="2" t="str">
        <f>HYPERLINK("https://files.afu.se/Downloads/Transcripts/0%20-%20Government/USA%20-%20NASA/2010 05 22 - NASA - Atlantis Crew Takes a Break_zIlBAMdQwsE - transcript (automated).pdf","Transcript Link")</f>
        <v>Transcript Link</v>
      </c>
    </row>
    <row r="4809" ht="165" spans="1:13">
      <c r="A4809" s="1" t="s">
        <v>21424</v>
      </c>
      <c r="B4809" s="1" t="s">
        <v>13</v>
      </c>
      <c r="C4809" s="4" t="s">
        <v>21429</v>
      </c>
      <c r="D4809" s="1" t="s">
        <v>21430</v>
      </c>
      <c r="E4809" s="1" t="s">
        <v>21431</v>
      </c>
      <c r="F4809" s="4" t="s">
        <v>17</v>
      </c>
      <c r="G4809" s="1" t="s">
        <v>18</v>
      </c>
      <c r="H4809" s="1" t="s">
        <v>19</v>
      </c>
      <c r="I4809" s="1" t="s">
        <v>20</v>
      </c>
      <c r="J4809" s="1" t="s">
        <v>21432</v>
      </c>
      <c r="K4809" s="1" t="s">
        <v>22</v>
      </c>
      <c r="L4809" s="1" t="str">
        <f>HYPERLINK("https://files.afu.se/Downloads/Transcripts/0%20-%20Government/USA%20-%20NASA/2010 05 22 - NASA - Students Link Up with Space Travelers_PNnLPr4oV1A - transcript (automated).pdf","Transcript Link")</f>
        <v>Transcript Link</v>
      </c>
      <c r="M4809" s="2" t="str">
        <f>HYPERLINK("https://files.afu.se/Downloads/Transcripts/0%20-%20Government/USA%20-%20NASA/2010 05 22 - NASA - Students Link Up with Space Travelers_PNnLPr4oV1A - transcript (automated).pdf","Transcript Link")</f>
        <v>Transcript Link</v>
      </c>
    </row>
    <row r="4810" ht="165" spans="1:13">
      <c r="A4810" s="1" t="s">
        <v>21424</v>
      </c>
      <c r="B4810" s="1" t="s">
        <v>13</v>
      </c>
      <c r="C4810" s="4" t="s">
        <v>21433</v>
      </c>
      <c r="D4810" s="1" t="s">
        <v>21434</v>
      </c>
      <c r="E4810" s="1" t="s">
        <v>21435</v>
      </c>
      <c r="F4810" s="4" t="s">
        <v>17</v>
      </c>
      <c r="G4810" s="1" t="s">
        <v>18</v>
      </c>
      <c r="H4810" s="1" t="s">
        <v>19</v>
      </c>
      <c r="I4810" s="1" t="s">
        <v>20</v>
      </c>
      <c r="J4810" s="1" t="s">
        <v>21436</v>
      </c>
      <c r="K4810" s="1" t="s">
        <v>22</v>
      </c>
      <c r="L4810" s="1" t="str">
        <f>HYPERLINK("https://files.afu.se/Downloads/Transcripts/0%20-%20Government/USA%20-%20NASA/2010 05 22 - NASA - Shuttle's Twin Boosters Supply Stunning Views_K__IO9atbVI - transcript (automated).pdf","Transcript Link")</f>
        <v>Transcript Link</v>
      </c>
      <c r="M4810" s="2" t="str">
        <f>HYPERLINK("https://files.afu.se/Downloads/Transcripts/0%20-%20Government/USA%20-%20NASA/2010 05 22 - NASA - Shuttle's Twin Boosters Supply Stunning Views_K__IO9atbVI - transcript (automated).pdf","Transcript Link")</f>
        <v>Transcript Link</v>
      </c>
    </row>
    <row r="4811" ht="165" spans="1:13">
      <c r="A4811" s="1" t="s">
        <v>21437</v>
      </c>
      <c r="B4811" s="1" t="s">
        <v>13</v>
      </c>
      <c r="C4811" s="4" t="s">
        <v>21438</v>
      </c>
      <c r="D4811" s="1" t="s">
        <v>21439</v>
      </c>
      <c r="E4811" s="1" t="s">
        <v>21440</v>
      </c>
      <c r="F4811" s="4" t="s">
        <v>17</v>
      </c>
      <c r="G4811" s="1" t="s">
        <v>18</v>
      </c>
      <c r="H4811" s="1" t="s">
        <v>19</v>
      </c>
      <c r="I4811" s="1" t="s">
        <v>20</v>
      </c>
      <c r="J4811" s="1" t="s">
        <v>21441</v>
      </c>
      <c r="K4811" s="1" t="s">
        <v>22</v>
      </c>
      <c r="L4811" s="1" t="str">
        <f>HYPERLINK("https://files.afu.se/Downloads/Transcripts/0%20-%20Government/USA%20-%20NASA/2010 05 21 - NASA - Switching Batteries Powers Final Spacewalk_kCIH0Zdvfac - transcript (automated).pdf","Transcript Link")</f>
        <v>Transcript Link</v>
      </c>
      <c r="M4811" s="2" t="str">
        <f>HYPERLINK("https://files.afu.se/Downloads/Transcripts/0%20-%20Government/USA%20-%20NASA/2010 05 21 - NASA - Switching Batteries Powers Final Spacewalk_kCIH0Zdvfac - transcript (automated).pdf","Transcript Link")</f>
        <v>Transcript Link</v>
      </c>
    </row>
    <row r="4812" ht="165" spans="1:13">
      <c r="A4812" s="1" t="s">
        <v>21437</v>
      </c>
      <c r="B4812" s="1" t="s">
        <v>13</v>
      </c>
      <c r="C4812" s="4" t="s">
        <v>21442</v>
      </c>
      <c r="D4812" s="1" t="s">
        <v>21443</v>
      </c>
      <c r="E4812" s="1" t="s">
        <v>21444</v>
      </c>
      <c r="F4812" s="4" t="s">
        <v>17</v>
      </c>
      <c r="G4812" s="1" t="s">
        <v>18</v>
      </c>
      <c r="H4812" s="1" t="s">
        <v>19</v>
      </c>
      <c r="I4812" s="1" t="s">
        <v>20</v>
      </c>
      <c r="J4812" s="1" t="s">
        <v>21445</v>
      </c>
      <c r="K4812" s="1" t="s">
        <v>22</v>
      </c>
      <c r="L4812" s="1" t="str">
        <f>HYPERLINK("https://files.afu.se/Downloads/Transcripts/0%20-%20Government/USA%20-%20NASA/2010 05 21 - NASA - Battery Changeout Completed at ISS_HUpjCRk93Ac - transcript (automated).pdf","Transcript Link")</f>
        <v>Transcript Link</v>
      </c>
      <c r="M4812" s="2" t="str">
        <f>HYPERLINK("https://files.afu.se/Downloads/Transcripts/0%20-%20Government/USA%20-%20NASA/2010 05 21 - NASA - Battery Changeout Completed at ISS_HUpjCRk93Ac - transcript (automated).pdf","Transcript Link")</f>
        <v>Transcript Link</v>
      </c>
    </row>
    <row r="4813" ht="165" spans="1:13">
      <c r="A4813" s="1" t="s">
        <v>21437</v>
      </c>
      <c r="B4813" s="1" t="s">
        <v>13</v>
      </c>
      <c r="C4813" s="4" t="s">
        <v>21446</v>
      </c>
      <c r="D4813" s="1" t="s">
        <v>21447</v>
      </c>
      <c r="E4813" s="1" t="s">
        <v>21448</v>
      </c>
      <c r="F4813" s="4" t="s">
        <v>17</v>
      </c>
      <c r="G4813" s="1" t="s">
        <v>18</v>
      </c>
      <c r="H4813" s="1" t="s">
        <v>19</v>
      </c>
      <c r="I4813" s="1" t="s">
        <v>20</v>
      </c>
      <c r="J4813" s="1" t="s">
        <v>21449</v>
      </c>
      <c r="K4813" s="1" t="s">
        <v>22</v>
      </c>
      <c r="L4813" s="1" t="str">
        <f>HYPERLINK("https://files.afu.se/Downloads/Transcripts/0%20-%20Government/USA%20-%20NASA/2010 05 21 - NASA -  Tweeps  Awed by Atlantis Launch_FZMmNJ6ItwU - transcript (automated).pdf","Transcript Link")</f>
        <v>Transcript Link</v>
      </c>
      <c r="M4813" s="2" t="str">
        <f>HYPERLINK("https://files.afu.se/Downloads/Transcripts/0%20-%20Government/USA%20-%20NASA/2010 05 21 - NASA -  Tweeps  Awed by Atlantis Launch_FZMmNJ6ItwU - transcript (automated).pdf","Transcript Link")</f>
        <v>Transcript Link</v>
      </c>
    </row>
    <row r="4814" ht="165" spans="1:13">
      <c r="A4814" s="1" t="s">
        <v>21437</v>
      </c>
      <c r="B4814" s="1" t="s">
        <v>13</v>
      </c>
      <c r="C4814" s="4" t="s">
        <v>21450</v>
      </c>
      <c r="D4814" s="1" t="s">
        <v>21451</v>
      </c>
      <c r="E4814" s="1" t="s">
        <v>21452</v>
      </c>
      <c r="F4814" s="4" t="s">
        <v>17</v>
      </c>
      <c r="G4814" s="1" t="s">
        <v>18</v>
      </c>
      <c r="H4814" s="1" t="s">
        <v>19</v>
      </c>
      <c r="I4814" s="1" t="s">
        <v>20</v>
      </c>
      <c r="J4814" s="1" t="s">
        <v>21453</v>
      </c>
      <c r="K4814" s="1" t="s">
        <v>22</v>
      </c>
      <c r="L4814" s="1" t="str">
        <f>HYPERLINK("https://files.afu.se/Downloads/Transcripts/0%20-%20Government/USA%20-%20NASA/2010 05 21 - NASA - All  A-Twitter  About Upcoming Mission_y-1iF-aEUxA - transcript (automated).pdf","Transcript Link")</f>
        <v>Transcript Link</v>
      </c>
      <c r="M4814" s="2" t="str">
        <f>HYPERLINK("https://files.afu.se/Downloads/Transcripts/0%20-%20Government/USA%20-%20NASA/2010 05 21 - NASA - All  A-Twitter  About Upcoming Mission_y-1iF-aEUxA - transcript (automated).pdf","Transcript Link")</f>
        <v>Transcript Link</v>
      </c>
    </row>
    <row r="4815" ht="165" spans="1:13">
      <c r="A4815" s="1" t="s">
        <v>21437</v>
      </c>
      <c r="B4815" s="1" t="s">
        <v>13</v>
      </c>
      <c r="C4815" s="4" t="s">
        <v>21454</v>
      </c>
      <c r="D4815" s="1" t="s">
        <v>21455</v>
      </c>
      <c r="E4815" s="1" t="s">
        <v>21456</v>
      </c>
      <c r="F4815" s="4" t="s">
        <v>17</v>
      </c>
      <c r="G4815" s="1" t="s">
        <v>18</v>
      </c>
      <c r="H4815" s="1" t="s">
        <v>19</v>
      </c>
      <c r="I4815" s="1" t="s">
        <v>20</v>
      </c>
      <c r="J4815" s="1" t="s">
        <v>21457</v>
      </c>
      <c r="K4815" s="1" t="s">
        <v>22</v>
      </c>
      <c r="L4815" s="1" t="str">
        <f>HYPERLINK("https://files.afu.se/Downloads/Transcripts/0%20-%20Government/USA%20-%20NASA/2010 05 21 - NASA - 'Spinoff Day', Record-Setting Rover, and Going to an Extreme on This Week @ NASA._ug5UeLJSs9k - transcript (automated).pdf","Transcript Link")</f>
        <v>Transcript Link</v>
      </c>
      <c r="M4815" s="2" t="str">
        <f>HYPERLINK("https://files.afu.se/Downloads/Transcripts/0%20-%20Government/USA%20-%20NASA/2010 05 21 - NASA - 'Spinoff Day', Record-Setting Rover, and Going to an Extreme on This Week @ NASA._ug5UeLJSs9k - transcript (automated).pdf","Transcript Link")</f>
        <v>Transcript Link</v>
      </c>
    </row>
    <row r="4816" ht="165" spans="1:13">
      <c r="A4816" s="1" t="s">
        <v>21458</v>
      </c>
      <c r="B4816" s="1" t="s">
        <v>13</v>
      </c>
      <c r="C4816" s="4" t="s">
        <v>21459</v>
      </c>
      <c r="D4816" s="1" t="s">
        <v>21460</v>
      </c>
      <c r="E4816" s="1" t="s">
        <v>21461</v>
      </c>
      <c r="F4816" s="4" t="s">
        <v>17</v>
      </c>
      <c r="G4816" s="1" t="s">
        <v>18</v>
      </c>
      <c r="H4816" s="1" t="s">
        <v>19</v>
      </c>
      <c r="I4816" s="1" t="s">
        <v>20</v>
      </c>
      <c r="J4816" s="1" t="s">
        <v>21462</v>
      </c>
      <c r="K4816" s="1" t="s">
        <v>22</v>
      </c>
      <c r="L4816" s="1" t="str">
        <f>HYPERLINK("https://files.afu.se/Downloads/Transcripts/0%20-%20Government/USA%20-%20NASA/2010 05 20 - NASA - Shuttle Astronauts Produce Highlight Video_vnN4sjhdjhQ - transcript (automated).pdf","Transcript Link")</f>
        <v>Transcript Link</v>
      </c>
      <c r="M4816" s="2" t="str">
        <f>HYPERLINK("https://files.afu.se/Downloads/Transcripts/0%20-%20Government/USA%20-%20NASA/2010 05 20 - NASA - Shuttle Astronauts Produce Highlight Video_vnN4sjhdjhQ - transcript (automated).pdf","Transcript Link")</f>
        <v>Transcript Link</v>
      </c>
    </row>
    <row r="4817" ht="165" spans="1:13">
      <c r="A4817" s="1" t="s">
        <v>21458</v>
      </c>
      <c r="B4817" s="1" t="s">
        <v>13</v>
      </c>
      <c r="C4817" s="4" t="s">
        <v>21463</v>
      </c>
      <c r="D4817" s="1" t="s">
        <v>21464</v>
      </c>
      <c r="E4817" s="1" t="s">
        <v>21465</v>
      </c>
      <c r="F4817" s="4" t="s">
        <v>17</v>
      </c>
      <c r="G4817" s="1" t="s">
        <v>18</v>
      </c>
      <c r="H4817" s="1" t="s">
        <v>19</v>
      </c>
      <c r="I4817" s="1" t="s">
        <v>20</v>
      </c>
      <c r="J4817" s="1" t="s">
        <v>21466</v>
      </c>
      <c r="K4817" s="1" t="s">
        <v>22</v>
      </c>
      <c r="L4817" s="1" t="str">
        <f>HYPERLINK("https://files.afu.se/Downloads/Transcripts/0%20-%20Government/USA%20-%20NASA/2010 05 20 - NASA -  Dawn  Comes to Research on ISS_o4JIMdUbA8c - transcript (automated).pdf","Transcript Link")</f>
        <v>Transcript Link</v>
      </c>
      <c r="M4817" s="2" t="str">
        <f>HYPERLINK("https://files.afu.se/Downloads/Transcripts/0%20-%20Government/USA%20-%20NASA/2010 05 20 - NASA -  Dawn  Comes to Research on ISS_o4JIMdUbA8c - transcript (automated).pdf","Transcript Link")</f>
        <v>Transcript Link</v>
      </c>
    </row>
    <row r="4818" ht="165" spans="1:13">
      <c r="A4818" s="1" t="s">
        <v>21458</v>
      </c>
      <c r="B4818" s="1" t="s">
        <v>13</v>
      </c>
      <c r="C4818" s="4" t="s">
        <v>21467</v>
      </c>
      <c r="D4818" s="1" t="s">
        <v>21468</v>
      </c>
      <c r="E4818" s="1" t="s">
        <v>21469</v>
      </c>
      <c r="F4818" s="4" t="s">
        <v>17</v>
      </c>
      <c r="G4818" s="1" t="s">
        <v>18</v>
      </c>
      <c r="H4818" s="1" t="s">
        <v>19</v>
      </c>
      <c r="I4818" s="1" t="s">
        <v>20</v>
      </c>
      <c r="J4818" s="1" t="s">
        <v>21470</v>
      </c>
      <c r="K4818" s="1" t="s">
        <v>22</v>
      </c>
      <c r="L4818" s="1" t="str">
        <f>HYPERLINK("https://files.afu.se/Downloads/Transcripts/0%20-%20Government/USA%20-%20NASA/2010 05 20 - NASA - Station Provides Unique Platform for Research_pb8Er9noHTI - transcript (automated).pdf","Transcript Link")</f>
        <v>Transcript Link</v>
      </c>
      <c r="M4818" s="2" t="str">
        <f>HYPERLINK("https://files.afu.se/Downloads/Transcripts/0%20-%20Government/USA%20-%20NASA/2010 05 20 - NASA - Station Provides Unique Platform for Research_pb8Er9noHTI - transcript (automated).pdf","Transcript Link")</f>
        <v>Transcript Link</v>
      </c>
    </row>
    <row r="4819" ht="165" spans="1:13">
      <c r="A4819" s="1" t="s">
        <v>21458</v>
      </c>
      <c r="B4819" s="1" t="s">
        <v>13</v>
      </c>
      <c r="C4819" s="4" t="s">
        <v>21471</v>
      </c>
      <c r="D4819" s="1" t="s">
        <v>21472</v>
      </c>
      <c r="E4819" s="1" t="s">
        <v>21473</v>
      </c>
      <c r="F4819" s="4" t="s">
        <v>17</v>
      </c>
      <c r="G4819" s="1" t="s">
        <v>18</v>
      </c>
      <c r="H4819" s="1" t="s">
        <v>19</v>
      </c>
      <c r="I4819" s="1" t="s">
        <v>20</v>
      </c>
      <c r="J4819" s="1" t="s">
        <v>21474</v>
      </c>
      <c r="K4819" s="1" t="s">
        <v>22</v>
      </c>
      <c r="L4819" s="1" t="str">
        <f>HYPERLINK("https://files.afu.se/Downloads/Transcripts/0%20-%20Government/USA%20-%20NASA/2010 05 20 - NASA - Good and Reisman Prepare for 3rd Spacewalk_6X8b_j9RONQ - transcript (automated).pdf","Transcript Link")</f>
        <v>Transcript Link</v>
      </c>
      <c r="M4819" s="2" t="str">
        <f>HYPERLINK("https://files.afu.se/Downloads/Transcripts/0%20-%20Government/USA%20-%20NASA/2010 05 20 - NASA - Good and Reisman Prepare for 3rd Spacewalk_6X8b_j9RONQ - transcript (automated).pdf","Transcript Link")</f>
        <v>Transcript Link</v>
      </c>
    </row>
    <row r="4820" ht="165" spans="1:13">
      <c r="A4820" s="1" t="s">
        <v>21458</v>
      </c>
      <c r="B4820" s="1" t="s">
        <v>13</v>
      </c>
      <c r="C4820" s="4" t="s">
        <v>21475</v>
      </c>
      <c r="D4820" s="1" t="s">
        <v>21476</v>
      </c>
      <c r="E4820" s="1" t="s">
        <v>21477</v>
      </c>
      <c r="F4820" s="4" t="s">
        <v>17</v>
      </c>
      <c r="G4820" s="1" t="s">
        <v>18</v>
      </c>
      <c r="H4820" s="1" t="s">
        <v>19</v>
      </c>
      <c r="I4820" s="1" t="s">
        <v>20</v>
      </c>
      <c r="J4820" s="1" t="s">
        <v>21478</v>
      </c>
      <c r="K4820" s="1" t="s">
        <v>22</v>
      </c>
      <c r="L4820" s="1" t="str">
        <f>HYPERLINK("https://files.afu.se/Downloads/Transcripts/0%20-%20Government/USA%20-%20NASA/2010 05 20 - NASA - Astronauts Talk About Life in Space with Media_uWSCKHr9bEY - transcript (automated).pdf","Transcript Link")</f>
        <v>Transcript Link</v>
      </c>
      <c r="M4820" s="2" t="str">
        <f>HYPERLINK("https://files.afu.se/Downloads/Transcripts/0%20-%20Government/USA%20-%20NASA/2010 05 20 - NASA - Astronauts Talk About Life in Space with Media_uWSCKHr9bEY - transcript (automated).pdf","Transcript Link")</f>
        <v>Transcript Link</v>
      </c>
    </row>
    <row r="4821" ht="165" spans="1:13">
      <c r="A4821" s="1" t="s">
        <v>21458</v>
      </c>
      <c r="B4821" s="1" t="s">
        <v>13</v>
      </c>
      <c r="C4821" s="4" t="s">
        <v>21479</v>
      </c>
      <c r="D4821" s="1" t="s">
        <v>21480</v>
      </c>
      <c r="E4821" s="1" t="s">
        <v>21481</v>
      </c>
      <c r="F4821" s="4" t="s">
        <v>17</v>
      </c>
      <c r="G4821" s="1" t="s">
        <v>18</v>
      </c>
      <c r="H4821" s="1" t="s">
        <v>19</v>
      </c>
      <c r="I4821" s="1" t="s">
        <v>20</v>
      </c>
      <c r="J4821" s="1" t="s">
        <v>21482</v>
      </c>
      <c r="K4821" s="1" t="s">
        <v>22</v>
      </c>
      <c r="L4821" s="1" t="str">
        <f>HYPERLINK("https://files.afu.se/Downloads/Transcripts/0%20-%20Government/USA%20-%20NASA/2010 05 20 - NASA - NASA Chief Technologist Bobby Braun Talks About Technology's Role in NASA's Future_AZvKBAaHnsQ - transcript (automated).pdf","Transcript Link")</f>
        <v>Transcript Link</v>
      </c>
      <c r="M4821" s="2" t="str">
        <f>HYPERLINK("https://files.afu.se/Downloads/Transcripts/0%20-%20Government/USA%20-%20NASA/2010 05 20 - NASA - NASA Chief Technologist Bobby Braun Talks About Technology's Role in NASA's Future_AZvKBAaHnsQ - transcript (automated).pdf","Transcript Link")</f>
        <v>Transcript Link</v>
      </c>
    </row>
    <row r="4822" ht="165" spans="1:13">
      <c r="A4822" s="1" t="s">
        <v>21458</v>
      </c>
      <c r="B4822" s="1" t="s">
        <v>13</v>
      </c>
      <c r="C4822" s="4" t="s">
        <v>21483</v>
      </c>
      <c r="D4822" s="1" t="s">
        <v>21484</v>
      </c>
      <c r="E4822" s="1" t="s">
        <v>21485</v>
      </c>
      <c r="F4822" s="4" t="s">
        <v>17</v>
      </c>
      <c r="G4822" s="1" t="s">
        <v>18</v>
      </c>
      <c r="H4822" s="1" t="s">
        <v>19</v>
      </c>
      <c r="I4822" s="1" t="s">
        <v>20</v>
      </c>
      <c r="J4822" s="1" t="s">
        <v>21486</v>
      </c>
      <c r="K4822" s="1" t="s">
        <v>22</v>
      </c>
      <c r="L4822" s="1" t="str">
        <f>HYPERLINK("https://files.afu.se/Downloads/Transcripts/0%20-%20Government/USA%20-%20NASA/2010 05 20 - NASA - Good and Bowen Begin Battery  Changeout _wbC7YtC-eAo - transcript (automated).pdf","Transcript Link")</f>
        <v>Transcript Link</v>
      </c>
      <c r="M4822" s="2" t="str">
        <f>HYPERLINK("https://files.afu.se/Downloads/Transcripts/0%20-%20Government/USA%20-%20NASA/2010 05 20 - NASA - Good and Bowen Begin Battery  Changeout _wbC7YtC-eAo - transcript (automated).pdf","Transcript Link")</f>
        <v>Transcript Link</v>
      </c>
    </row>
    <row r="4823" ht="165" spans="1:13">
      <c r="A4823" s="1" t="s">
        <v>21487</v>
      </c>
      <c r="B4823" s="1" t="s">
        <v>13</v>
      </c>
      <c r="C4823" s="4" t="s">
        <v>21488</v>
      </c>
      <c r="D4823" s="1" t="s">
        <v>21489</v>
      </c>
      <c r="E4823" s="1" t="s">
        <v>21490</v>
      </c>
      <c r="F4823" s="4" t="s">
        <v>17</v>
      </c>
      <c r="G4823" s="1" t="s">
        <v>18</v>
      </c>
      <c r="H4823" s="1" t="s">
        <v>19</v>
      </c>
      <c r="I4823" s="1" t="s">
        <v>20</v>
      </c>
      <c r="J4823" s="1" t="s">
        <v>21491</v>
      </c>
      <c r="K4823" s="1" t="s">
        <v>22</v>
      </c>
      <c r="L4823" s="1" t="str">
        <f>HYPERLINK("https://files.afu.se/Downloads/Transcripts/0%20-%20Government/USA%20-%20NASA/2010 05 19 - NASA -  Shuttle Crew Focused _9-8gIMIjCCk - transcript (automated).pdf","Transcript Link")</f>
        <v>Transcript Link</v>
      </c>
      <c r="M4823" s="2" t="str">
        <f>HYPERLINK("https://files.afu.se/Downloads/Transcripts/0%20-%20Government/USA%20-%20NASA/2010 05 19 - NASA -  Shuttle Crew Focused _9-8gIMIjCCk - transcript (automated).pdf","Transcript Link")</f>
        <v>Transcript Link</v>
      </c>
    </row>
    <row r="4824" ht="165" spans="1:13">
      <c r="A4824" s="1" t="s">
        <v>21487</v>
      </c>
      <c r="B4824" s="1" t="s">
        <v>13</v>
      </c>
      <c r="C4824" s="4" t="s">
        <v>21492</v>
      </c>
      <c r="D4824" s="1" t="s">
        <v>21493</v>
      </c>
      <c r="E4824" s="1" t="s">
        <v>21494</v>
      </c>
      <c r="F4824" s="4" t="s">
        <v>17</v>
      </c>
      <c r="G4824" s="1" t="s">
        <v>18</v>
      </c>
      <c r="H4824" s="1" t="s">
        <v>19</v>
      </c>
      <c r="I4824" s="1" t="s">
        <v>20</v>
      </c>
      <c r="J4824" s="1" t="s">
        <v>21495</v>
      </c>
      <c r="K4824" s="1" t="s">
        <v>22</v>
      </c>
      <c r="L4824" s="1" t="str">
        <f>HYPERLINK("https://files.afu.se/Downloads/Transcripts/0%20-%20Government/USA%20-%20NASA/2010 05 19 - NASA - Mission's Second Spacewalk on Stride_pfF32oTEW5s - transcript (automated).pdf","Transcript Link")</f>
        <v>Transcript Link</v>
      </c>
      <c r="M4824" s="2" t="str">
        <f>HYPERLINK("https://files.afu.se/Downloads/Transcripts/0%20-%20Government/USA%20-%20NASA/2010 05 19 - NASA - Mission's Second Spacewalk on Stride_pfF32oTEW5s - transcript (automated).pdf","Transcript Link")</f>
        <v>Transcript Link</v>
      </c>
    </row>
    <row r="4825" ht="165" spans="1:13">
      <c r="A4825" s="1" t="s">
        <v>21487</v>
      </c>
      <c r="B4825" s="1" t="s">
        <v>13</v>
      </c>
      <c r="C4825" s="4" t="s">
        <v>21496</v>
      </c>
      <c r="D4825" s="1" t="s">
        <v>21497</v>
      </c>
      <c r="E4825" s="1" t="s">
        <v>21498</v>
      </c>
      <c r="F4825" s="4" t="s">
        <v>17</v>
      </c>
      <c r="G4825" s="1" t="s">
        <v>18</v>
      </c>
      <c r="H4825" s="1" t="s">
        <v>19</v>
      </c>
      <c r="I4825" s="1" t="s">
        <v>20</v>
      </c>
      <c r="J4825" s="1" t="s">
        <v>21499</v>
      </c>
      <c r="K4825" s="1" t="s">
        <v>22</v>
      </c>
      <c r="L4825" s="1" t="str">
        <f>HYPERLINK("https://files.afu.se/Downloads/Transcripts/0%20-%20Government/USA%20-%20NASA/2010 05 19 - NASA -  The View from the Crew _8F3OSLuP010 - transcript (automated).pdf","Transcript Link")</f>
        <v>Transcript Link</v>
      </c>
      <c r="M4825" s="2" t="str">
        <f>HYPERLINK("https://files.afu.se/Downloads/Transcripts/0%20-%20Government/USA%20-%20NASA/2010 05 19 - NASA -  The View from the Crew _8F3OSLuP010 - transcript (automated).pdf","Transcript Link")</f>
        <v>Transcript Link</v>
      </c>
    </row>
    <row r="4826" ht="165" spans="1:13">
      <c r="A4826" s="1" t="s">
        <v>21487</v>
      </c>
      <c r="B4826" s="1" t="s">
        <v>13</v>
      </c>
      <c r="C4826" s="4" t="s">
        <v>21500</v>
      </c>
      <c r="D4826" s="1" t="s">
        <v>21501</v>
      </c>
      <c r="E4826" s="1" t="s">
        <v>21502</v>
      </c>
      <c r="F4826" s="4" t="s">
        <v>17</v>
      </c>
      <c r="G4826" s="1" t="s">
        <v>18</v>
      </c>
      <c r="H4826" s="1" t="s">
        <v>19</v>
      </c>
      <c r="I4826" s="1" t="s">
        <v>20</v>
      </c>
      <c r="J4826" s="1" t="s">
        <v>21503</v>
      </c>
      <c r="K4826" s="1" t="s">
        <v>22</v>
      </c>
      <c r="L4826" s="1" t="str">
        <f>HYPERLINK("https://files.afu.se/Downloads/Transcripts/0%20-%20Government/USA%20-%20NASA/2010 05 19 - NASA -  Dawn  Comes to Station's Zarya Module_XR_met6iavw - transcript (automated).pdf","Transcript Link")</f>
        <v>Transcript Link</v>
      </c>
      <c r="M4826" s="2" t="str">
        <f>HYPERLINK("https://files.afu.se/Downloads/Transcripts/0%20-%20Government/USA%20-%20NASA/2010 05 19 - NASA -  Dawn  Comes to Station's Zarya Module_XR_met6iavw - transcript (automated).pdf","Transcript Link")</f>
        <v>Transcript Link</v>
      </c>
    </row>
    <row r="4827" ht="165" spans="1:13">
      <c r="A4827" s="1" t="s">
        <v>21504</v>
      </c>
      <c r="B4827" s="1" t="s">
        <v>13</v>
      </c>
      <c r="C4827" s="4" t="s">
        <v>21505</v>
      </c>
      <c r="D4827" s="1" t="s">
        <v>21506</v>
      </c>
      <c r="E4827" s="1" t="s">
        <v>21507</v>
      </c>
      <c r="F4827" s="4" t="s">
        <v>17</v>
      </c>
      <c r="G4827" s="1" t="s">
        <v>18</v>
      </c>
      <c r="H4827" s="1" t="s">
        <v>19</v>
      </c>
      <c r="I4827" s="1" t="s">
        <v>20</v>
      </c>
      <c r="J4827" s="1" t="s">
        <v>21508</v>
      </c>
      <c r="K4827" s="1" t="s">
        <v>22</v>
      </c>
      <c r="L4827" s="1" t="str">
        <f>HYPERLINK("https://files.afu.se/Downloads/Transcripts/0%20-%20Government/USA%20-%20NASA/2010 05 18 - NASA - Astronauts, Cosmonauts Share Experiences_Dlo0x8aFjTk - transcript (automated).pdf","Transcript Link")</f>
        <v>Transcript Link</v>
      </c>
      <c r="M4827" s="2" t="str">
        <f>HYPERLINK("https://files.afu.se/Downloads/Transcripts/0%20-%20Government/USA%20-%20NASA/2010 05 18 - NASA - Astronauts, Cosmonauts Share Experiences_Dlo0x8aFjTk - transcript (automated).pdf","Transcript Link")</f>
        <v>Transcript Link</v>
      </c>
    </row>
    <row r="4828" ht="165" spans="1:13">
      <c r="A4828" s="1" t="s">
        <v>21504</v>
      </c>
      <c r="B4828" s="1" t="s">
        <v>13</v>
      </c>
      <c r="C4828" s="4" t="s">
        <v>21509</v>
      </c>
      <c r="D4828" s="1" t="s">
        <v>21510</v>
      </c>
      <c r="E4828" s="1" t="s">
        <v>21511</v>
      </c>
      <c r="F4828" s="4" t="s">
        <v>17</v>
      </c>
      <c r="G4828" s="1" t="s">
        <v>18</v>
      </c>
      <c r="H4828" s="1" t="s">
        <v>19</v>
      </c>
      <c r="I4828" s="1" t="s">
        <v>20</v>
      </c>
      <c r="J4828" s="1" t="s">
        <v>21512</v>
      </c>
      <c r="K4828" s="1" t="s">
        <v>22</v>
      </c>
      <c r="L4828" s="1" t="str">
        <f>HYPERLINK("https://files.afu.se/Downloads/Transcripts/0%20-%20Government/USA%20-%20NASA/2010 05 18 - NASA - Next Up on STS-132  Spacewalk %232_W6dazVnt-HQ - transcript (automated).pdf","Transcript Link")</f>
        <v>Transcript Link</v>
      </c>
      <c r="M4828" s="2" t="str">
        <f>HYPERLINK("https://files.afu.se/Downloads/Transcripts/0%20-%20Government/USA%20-%20NASA/2010 05 18 - NASA - Next Up on STS-132  Spacewalk %232_W6dazVnt-HQ - transcript (automated).pdf","Transcript Link")</f>
        <v>Transcript Link</v>
      </c>
    </row>
    <row r="4829" ht="165" spans="1:13">
      <c r="A4829" s="1" t="s">
        <v>21504</v>
      </c>
      <c r="B4829" s="1" t="s">
        <v>13</v>
      </c>
      <c r="C4829" s="4" t="s">
        <v>21513</v>
      </c>
      <c r="D4829" s="1" t="s">
        <v>21514</v>
      </c>
      <c r="E4829" s="1" t="s">
        <v>21515</v>
      </c>
      <c r="F4829" s="4" t="s">
        <v>17</v>
      </c>
      <c r="G4829" s="1" t="s">
        <v>18</v>
      </c>
      <c r="H4829" s="1" t="s">
        <v>19</v>
      </c>
      <c r="I4829" s="1" t="s">
        <v>20</v>
      </c>
      <c r="J4829" s="1" t="s">
        <v>21516</v>
      </c>
      <c r="K4829" s="1" t="s">
        <v>22</v>
      </c>
      <c r="L4829" s="1" t="str">
        <f>HYPERLINK("https://files.afu.se/Downloads/Transcripts/0%20-%20Government/USA%20-%20NASA/2010 05 18 - NASA - Successful Spacewalk Tops Flight Day 4_o6M7hGidWE8 - transcript (automated).pdf","Transcript Link")</f>
        <v>Transcript Link</v>
      </c>
      <c r="M4829" s="2" t="str">
        <f>HYPERLINK("https://files.afu.se/Downloads/Transcripts/0%20-%20Government/USA%20-%20NASA/2010 05 18 - NASA - Successful Spacewalk Tops Flight Day 4_o6M7hGidWE8 - transcript (automated).pdf","Transcript Link")</f>
        <v>Transcript Link</v>
      </c>
    </row>
    <row r="4830" ht="165" spans="1:13">
      <c r="A4830" s="1" t="s">
        <v>21517</v>
      </c>
      <c r="B4830" s="1" t="s">
        <v>13</v>
      </c>
      <c r="C4830" s="4" t="s">
        <v>21518</v>
      </c>
      <c r="D4830" s="1" t="s">
        <v>21519</v>
      </c>
      <c r="E4830" s="1" t="s">
        <v>21520</v>
      </c>
      <c r="F4830" s="4" t="s">
        <v>17</v>
      </c>
      <c r="G4830" s="1" t="s">
        <v>18</v>
      </c>
      <c r="H4830" s="1" t="s">
        <v>19</v>
      </c>
      <c r="I4830" s="1" t="s">
        <v>20</v>
      </c>
      <c r="J4830" s="1" t="s">
        <v>21521</v>
      </c>
      <c r="K4830" s="1" t="s">
        <v>22</v>
      </c>
      <c r="L4830" s="1" t="str">
        <f>HYPERLINK("https://files.afu.se/Downloads/Transcripts/0%20-%20Government/USA%20-%20NASA/2010 05 17 - NASA - Radio Antenna, Tool Platform Installed on ISS_RFZx_V7UtU8 - transcript (automated).pdf","Transcript Link")</f>
        <v>Transcript Link</v>
      </c>
      <c r="M4830" s="2" t="str">
        <f>HYPERLINK("https://files.afu.se/Downloads/Transcripts/0%20-%20Government/USA%20-%20NASA/2010 05 17 - NASA - Radio Antenna, Tool Platform Installed on ISS_RFZx_V7UtU8 - transcript (automated).pdf","Transcript Link")</f>
        <v>Transcript Link</v>
      </c>
    </row>
    <row r="4831" ht="165" spans="1:13">
      <c r="A4831" s="1" t="s">
        <v>21517</v>
      </c>
      <c r="B4831" s="1" t="s">
        <v>13</v>
      </c>
      <c r="C4831" s="4" t="s">
        <v>21522</v>
      </c>
      <c r="D4831" s="1" t="s">
        <v>21523</v>
      </c>
      <c r="E4831" s="1" t="s">
        <v>21524</v>
      </c>
      <c r="F4831" s="4" t="s">
        <v>17</v>
      </c>
      <c r="G4831" s="1" t="s">
        <v>18</v>
      </c>
      <c r="H4831" s="1" t="s">
        <v>19</v>
      </c>
      <c r="I4831" s="1" t="s">
        <v>20</v>
      </c>
      <c r="J4831" s="1" t="s">
        <v>21525</v>
      </c>
      <c r="K4831" s="1" t="s">
        <v>22</v>
      </c>
      <c r="L4831" s="1" t="str">
        <f>HYPERLINK("https://files.afu.se/Downloads/Transcripts/0%20-%20Government/USA%20-%20NASA/2010 05 17 - NASA - Flight Day 3 Momentous for STS-132_pjckTbBEsno - transcript (automated).pdf","Transcript Link")</f>
        <v>Transcript Link</v>
      </c>
      <c r="M4831" s="2" t="str">
        <f>HYPERLINK("https://files.afu.se/Downloads/Transcripts/0%20-%20Government/USA%20-%20NASA/2010 05 17 - NASA - Flight Day 3 Momentous for STS-132_pjckTbBEsno - transcript (automated).pdf","Transcript Link")</f>
        <v>Transcript Link</v>
      </c>
    </row>
    <row r="4832" ht="165" spans="1:13">
      <c r="A4832" s="1" t="s">
        <v>21526</v>
      </c>
      <c r="B4832" s="1" t="s">
        <v>13</v>
      </c>
      <c r="C4832" s="4" t="s">
        <v>21527</v>
      </c>
      <c r="D4832" s="1" t="s">
        <v>21528</v>
      </c>
      <c r="E4832" s="1" t="s">
        <v>21529</v>
      </c>
      <c r="F4832" s="4" t="s">
        <v>17</v>
      </c>
      <c r="G4832" s="1" t="s">
        <v>18</v>
      </c>
      <c r="H4832" s="1" t="s">
        <v>19</v>
      </c>
      <c r="I4832" s="1" t="s">
        <v>20</v>
      </c>
      <c r="J4832" s="1" t="s">
        <v>21530</v>
      </c>
      <c r="K4832" s="1" t="s">
        <v>22</v>
      </c>
      <c r="L4832" s="1" t="str">
        <f>HYPERLINK("https://files.afu.se/Downloads/Transcripts/0%20-%20Government/USA%20-%20NASA/2010 05 16 - NASA - Atlantis  Flips  for Safety Check_Co6mzeL23dg - transcript (automated).pdf","Transcript Link")</f>
        <v>Transcript Link</v>
      </c>
      <c r="M4832" s="2" t="str">
        <f>HYPERLINK("https://files.afu.se/Downloads/Transcripts/0%20-%20Government/USA%20-%20NASA/2010 05 16 - NASA - Atlantis  Flips  for Safety Check_Co6mzeL23dg - transcript (automated).pdf","Transcript Link")</f>
        <v>Transcript Link</v>
      </c>
    </row>
    <row r="4833" ht="165" spans="1:13">
      <c r="A4833" s="1" t="s">
        <v>21526</v>
      </c>
      <c r="B4833" s="1" t="s">
        <v>13</v>
      </c>
      <c r="C4833" s="4" t="s">
        <v>21531</v>
      </c>
      <c r="D4833" s="1" t="s">
        <v>21532</v>
      </c>
      <c r="E4833" s="1" t="s">
        <v>21533</v>
      </c>
      <c r="F4833" s="4" t="s">
        <v>17</v>
      </c>
      <c r="G4833" s="1" t="s">
        <v>18</v>
      </c>
      <c r="H4833" s="1" t="s">
        <v>19</v>
      </c>
      <c r="I4833" s="1" t="s">
        <v>20</v>
      </c>
      <c r="J4833" s="1" t="s">
        <v>21534</v>
      </c>
      <c r="K4833" s="1" t="s">
        <v>22</v>
      </c>
      <c r="L4833" s="1" t="str">
        <f>HYPERLINK("https://files.afu.se/Downloads/Transcripts/0%20-%20Government/USA%20-%20NASA/2010 05 16 - NASA - Managers Say STS-132 Ready for First Spacewalk_kbfJfbgIsFo - transcript (automated).pdf","Transcript Link")</f>
        <v>Transcript Link</v>
      </c>
      <c r="M4833" s="2" t="str">
        <f>HYPERLINK("https://files.afu.se/Downloads/Transcripts/0%20-%20Government/USA%20-%20NASA/2010 05 16 - NASA - Managers Say STS-132 Ready for First Spacewalk_kbfJfbgIsFo - transcript (automated).pdf","Transcript Link")</f>
        <v>Transcript Link</v>
      </c>
    </row>
    <row r="4834" ht="165" spans="1:13">
      <c r="A4834" s="1" t="s">
        <v>21526</v>
      </c>
      <c r="B4834" s="1" t="s">
        <v>13</v>
      </c>
      <c r="C4834" s="4" t="s">
        <v>21535</v>
      </c>
      <c r="D4834" s="1" t="s">
        <v>21536</v>
      </c>
      <c r="E4834" s="1" t="s">
        <v>21537</v>
      </c>
      <c r="F4834" s="4" t="s">
        <v>17</v>
      </c>
      <c r="G4834" s="1" t="s">
        <v>18</v>
      </c>
      <c r="H4834" s="1" t="s">
        <v>19</v>
      </c>
      <c r="I4834" s="1" t="s">
        <v>20</v>
      </c>
      <c r="J4834" s="1" t="s">
        <v>21538</v>
      </c>
      <c r="K4834" s="1" t="s">
        <v>22</v>
      </c>
      <c r="L4834" s="1" t="str">
        <f>HYPERLINK("https://files.afu.se/Downloads/Transcripts/0%20-%20Government/USA%20-%20NASA/2010 05 16 - NASA - Smooth Sailing for STS-132_qjob5B7nLe8 - transcript (automated).pdf","Transcript Link")</f>
        <v>Transcript Link</v>
      </c>
      <c r="M4834" s="2" t="str">
        <f>HYPERLINK("https://files.afu.se/Downloads/Transcripts/0%20-%20Government/USA%20-%20NASA/2010 05 16 - NASA - Smooth Sailing for STS-132_qjob5B7nLe8 - transcript (automated).pdf","Transcript Link")</f>
        <v>Transcript Link</v>
      </c>
    </row>
    <row r="4835" ht="165" spans="1:13">
      <c r="A4835" s="1" t="s">
        <v>21526</v>
      </c>
      <c r="B4835" s="1" t="s">
        <v>13</v>
      </c>
      <c r="C4835" s="4" t="s">
        <v>21539</v>
      </c>
      <c r="D4835" s="1" t="s">
        <v>21540</v>
      </c>
      <c r="E4835" s="1" t="s">
        <v>21541</v>
      </c>
      <c r="F4835" s="4" t="s">
        <v>17</v>
      </c>
      <c r="G4835" s="1" t="s">
        <v>18</v>
      </c>
      <c r="H4835" s="1" t="s">
        <v>19</v>
      </c>
      <c r="I4835" s="1" t="s">
        <v>20</v>
      </c>
      <c r="J4835" s="1" t="s">
        <v>21542</v>
      </c>
      <c r="K4835" s="1" t="s">
        <v>22</v>
      </c>
      <c r="L4835" s="1" t="str">
        <f>HYPERLINK("https://files.afu.se/Downloads/Transcripts/0%20-%20Government/USA%20-%20NASA/2010 05 16 - NASA -  Red Carpet  Out for ISS Guests_9h9u2QfIf3M - transcript (automated).pdf","Transcript Link")</f>
        <v>Transcript Link</v>
      </c>
      <c r="M4835" s="2" t="str">
        <f>HYPERLINK("https://files.afu.se/Downloads/Transcripts/0%20-%20Government/USA%20-%20NASA/2010 05 16 - NASA -  Red Carpet  Out for ISS Guests_9h9u2QfIf3M - transcript (automated).pdf","Transcript Link")</f>
        <v>Transcript Link</v>
      </c>
    </row>
    <row r="4836" ht="165" spans="1:13">
      <c r="A4836" s="1" t="s">
        <v>21526</v>
      </c>
      <c r="B4836" s="1" t="s">
        <v>13</v>
      </c>
      <c r="C4836" s="4" t="s">
        <v>21543</v>
      </c>
      <c r="D4836" s="1" t="s">
        <v>21544</v>
      </c>
      <c r="E4836" s="1" t="s">
        <v>21545</v>
      </c>
      <c r="F4836" s="4" t="s">
        <v>17</v>
      </c>
      <c r="G4836" s="1" t="s">
        <v>18</v>
      </c>
      <c r="H4836" s="1" t="s">
        <v>19</v>
      </c>
      <c r="I4836" s="1" t="s">
        <v>20</v>
      </c>
      <c r="J4836" s="1" t="s">
        <v>21546</v>
      </c>
      <c r="K4836" s="1" t="s">
        <v>22</v>
      </c>
      <c r="L4836" s="1" t="str">
        <f>HYPERLINK("https://files.afu.se/Downloads/Transcripts/0%20-%20Government/USA%20-%20NASA/2010 05 16 - NASA - Shuttle Docks with Space Station_Hr6px1r41Nc - transcript (automated).pdf","Transcript Link")</f>
        <v>Transcript Link</v>
      </c>
      <c r="M4836" s="2" t="str">
        <f>HYPERLINK("https://files.afu.se/Downloads/Transcripts/0%20-%20Government/USA%20-%20NASA/2010 05 16 - NASA - Shuttle Docks with Space Station_Hr6px1r41Nc - transcript (automated).pdf","Transcript Link")</f>
        <v>Transcript Link</v>
      </c>
    </row>
    <row r="4837" ht="180" spans="1:13">
      <c r="A4837" s="1" t="s">
        <v>21526</v>
      </c>
      <c r="B4837" s="1" t="s">
        <v>13</v>
      </c>
      <c r="C4837" s="4" t="s">
        <v>21547</v>
      </c>
      <c r="D4837" s="1" t="s">
        <v>21548</v>
      </c>
      <c r="E4837" s="1" t="s">
        <v>21549</v>
      </c>
      <c r="F4837" s="4" t="s">
        <v>17</v>
      </c>
      <c r="G4837" s="1" t="s">
        <v>18</v>
      </c>
      <c r="H4837" s="1" t="s">
        <v>19</v>
      </c>
      <c r="I4837" s="1" t="s">
        <v>20</v>
      </c>
      <c r="J4837" s="1" t="s">
        <v>21550</v>
      </c>
      <c r="K4837" s="1" t="s">
        <v>22</v>
      </c>
      <c r="L4837" s="1" t="str">
        <f>HYPERLINK("https://files.afu.se/Downloads/Transcripts/0%20-%20Government/USA%20-%20NASA/2010 05 16 - NASA - Atlantis Inspection Proceeds Despite Cable Snag_Kxz8U_NZi5Q - transcript (automated).pdf","Transcript Link")</f>
        <v>Transcript Link</v>
      </c>
      <c r="M4837" s="2" t="str">
        <f>HYPERLINK("https://files.afu.se/Downloads/Transcripts/0%20-%20Government/USA%20-%20NASA/2010 05 16 - NASA - Atlantis Inspection Proceeds Despite Cable Snag_Kxz8U_NZi5Q - transcript (automated).pdf","Transcript Link")</f>
        <v>Transcript Link</v>
      </c>
    </row>
    <row r="4838" ht="165" spans="1:13">
      <c r="A4838" s="1" t="s">
        <v>21526</v>
      </c>
      <c r="B4838" s="1" t="s">
        <v>13</v>
      </c>
      <c r="C4838" s="4" t="s">
        <v>21551</v>
      </c>
      <c r="D4838" s="1" t="s">
        <v>21552</v>
      </c>
      <c r="E4838" s="1" t="s">
        <v>21553</v>
      </c>
      <c r="F4838" s="4" t="s">
        <v>17</v>
      </c>
      <c r="G4838" s="1" t="s">
        <v>18</v>
      </c>
      <c r="H4838" s="1" t="s">
        <v>19</v>
      </c>
      <c r="I4838" s="1" t="s">
        <v>20</v>
      </c>
      <c r="J4838" s="1" t="s">
        <v>21554</v>
      </c>
      <c r="K4838" s="1" t="s">
        <v>22</v>
      </c>
      <c r="L4838" s="1" t="str">
        <f>HYPERLINK("https://files.afu.se/Downloads/Transcripts/0%20-%20Government/USA%20-%20NASA/2010 05 16 - NASA - Backup Mode Used to Inspect Shuttle_4Cerl9GxYnQ - transcript (automated).pdf","Transcript Link")</f>
        <v>Transcript Link</v>
      </c>
      <c r="M4838" s="2" t="str">
        <f>HYPERLINK("https://files.afu.se/Downloads/Transcripts/0%20-%20Government/USA%20-%20NASA/2010 05 16 - NASA - Backup Mode Used to Inspect Shuttle_4Cerl9GxYnQ - transcript (automated).pdf","Transcript Link")</f>
        <v>Transcript Link</v>
      </c>
    </row>
    <row r="4839" ht="165" spans="1:13">
      <c r="A4839" s="1" t="s">
        <v>21526</v>
      </c>
      <c r="B4839" s="1" t="s">
        <v>13</v>
      </c>
      <c r="C4839" s="4" t="s">
        <v>21555</v>
      </c>
      <c r="D4839" s="1" t="s">
        <v>21556</v>
      </c>
      <c r="E4839" s="1" t="s">
        <v>21557</v>
      </c>
      <c r="F4839" s="4" t="s">
        <v>17</v>
      </c>
      <c r="G4839" s="1" t="s">
        <v>18</v>
      </c>
      <c r="H4839" s="1" t="s">
        <v>19</v>
      </c>
      <c r="I4839" s="1" t="s">
        <v>20</v>
      </c>
      <c r="J4839" s="1" t="s">
        <v>21558</v>
      </c>
      <c r="K4839" s="1" t="s">
        <v>22</v>
      </c>
      <c r="L4839" s="1" t="str">
        <f>HYPERLINK("https://files.afu.se/Downloads/Transcripts/0%20-%20Government/USA%20-%20NASA/2010 05 16 - NASA - Focus on Shuttles Tiles Top STS-132's Second Day_eZYYE8E8Ye8 - transcript (automated).pdf","Transcript Link")</f>
        <v>Transcript Link</v>
      </c>
      <c r="M4839" s="2" t="str">
        <f>HYPERLINK("https://files.afu.se/Downloads/Transcripts/0%20-%20Government/USA%20-%20NASA/2010 05 16 - NASA - Focus on Shuttles Tiles Top STS-132's Second Day_eZYYE8E8Ye8 - transcript (automated).pdf","Transcript Link")</f>
        <v>Transcript Link</v>
      </c>
    </row>
    <row r="4840" ht="165" spans="1:13">
      <c r="A4840" s="1" t="s">
        <v>21559</v>
      </c>
      <c r="B4840" s="1" t="s">
        <v>13</v>
      </c>
      <c r="C4840" s="4" t="s">
        <v>21560</v>
      </c>
      <c r="D4840" s="1" t="s">
        <v>21561</v>
      </c>
      <c r="E4840" s="1" t="s">
        <v>21562</v>
      </c>
      <c r="F4840" s="4" t="s">
        <v>17</v>
      </c>
      <c r="G4840" s="1" t="s">
        <v>18</v>
      </c>
      <c r="H4840" s="1" t="s">
        <v>19</v>
      </c>
      <c r="I4840" s="1" t="s">
        <v>20</v>
      </c>
      <c r="J4840" s="1" t="s">
        <v>21563</v>
      </c>
      <c r="K4840" s="1" t="s">
        <v>22</v>
      </c>
      <c r="L4840" s="1" t="str">
        <f>HYPERLINK("https://files.afu.se/Downloads/Transcripts/0%20-%20Government/USA%20-%20NASA/2010 05 15 - NASA - Launch Tops STS-132 Crews First Day in Space_5oM862gQY00 - transcript (automated).pdf","Transcript Link")</f>
        <v>Transcript Link</v>
      </c>
      <c r="M4840" s="2" t="str">
        <f>HYPERLINK("https://files.afu.se/Downloads/Transcripts/0%20-%20Government/USA%20-%20NASA/2010 05 15 - NASA - Launch Tops STS-132 Crews First Day in Space_5oM862gQY00 - transcript (automated).pdf","Transcript Link")</f>
        <v>Transcript Link</v>
      </c>
    </row>
    <row r="4841" ht="165" spans="1:13">
      <c r="A4841" s="1" t="s">
        <v>21559</v>
      </c>
      <c r="B4841" s="1" t="s">
        <v>13</v>
      </c>
      <c r="C4841" s="4" t="s">
        <v>21564</v>
      </c>
      <c r="D4841" s="1" t="s">
        <v>21565</v>
      </c>
      <c r="E4841" s="1" t="s">
        <v>21566</v>
      </c>
      <c r="F4841" s="4" t="s">
        <v>17</v>
      </c>
      <c r="G4841" s="1" t="s">
        <v>18</v>
      </c>
      <c r="H4841" s="1" t="s">
        <v>19</v>
      </c>
      <c r="I4841" s="1" t="s">
        <v>20</v>
      </c>
      <c r="J4841" s="1" t="s">
        <v>21567</v>
      </c>
      <c r="K4841" s="1" t="s">
        <v>22</v>
      </c>
      <c r="L4841" s="1" t="str">
        <f>HYPERLINK("https://files.afu.se/Downloads/Transcripts/0%20-%20Government/USA%20-%20NASA/2010 05 15 - NASA - Orbiters Spent Tank Cast Off_LAjfLAd3yl8 - transcript (automated).pdf","Transcript Link")</f>
        <v>Transcript Link</v>
      </c>
      <c r="M4841" s="2" t="str">
        <f>HYPERLINK("https://files.afu.se/Downloads/Transcripts/0%20-%20Government/USA%20-%20NASA/2010 05 15 - NASA - Orbiters Spent Tank Cast Off_LAjfLAd3yl8 - transcript (automated).pdf","Transcript Link")</f>
        <v>Transcript Link</v>
      </c>
    </row>
    <row r="4842" ht="165" spans="1:13">
      <c r="A4842" s="1" t="s">
        <v>21559</v>
      </c>
      <c r="B4842" s="1" t="s">
        <v>13</v>
      </c>
      <c r="C4842" s="4" t="s">
        <v>21568</v>
      </c>
      <c r="D4842" s="1" t="s">
        <v>21569</v>
      </c>
      <c r="E4842" s="1" t="s">
        <v>21570</v>
      </c>
      <c r="F4842" s="4" t="s">
        <v>17</v>
      </c>
      <c r="G4842" s="1" t="s">
        <v>18</v>
      </c>
      <c r="H4842" s="1" t="s">
        <v>19</v>
      </c>
      <c r="I4842" s="1" t="s">
        <v>20</v>
      </c>
      <c r="J4842" s="1" t="s">
        <v>21571</v>
      </c>
      <c r="K4842" s="1" t="s">
        <v>22</v>
      </c>
      <c r="L4842" s="1" t="str">
        <f>HYPERLINK("https://files.afu.se/Downloads/Transcripts/0%20-%20Government/USA%20-%20NASA/2010 05 15 - NASA - Ascent Team Helps Shuttle Crew into Space_cT6cDLTAvaY - transcript (automated).pdf","Transcript Link")</f>
        <v>Transcript Link</v>
      </c>
      <c r="M4842" s="2" t="str">
        <f>HYPERLINK("https://files.afu.se/Downloads/Transcripts/0%20-%20Government/USA%20-%20NASA/2010 05 15 - NASA - Ascent Team Helps Shuttle Crew into Space_cT6cDLTAvaY - transcript (automated).pdf","Transcript Link")</f>
        <v>Transcript Link</v>
      </c>
    </row>
    <row r="4843" ht="165" spans="1:13">
      <c r="A4843" s="1" t="s">
        <v>21559</v>
      </c>
      <c r="B4843" s="1" t="s">
        <v>13</v>
      </c>
      <c r="C4843" s="4" t="s">
        <v>21572</v>
      </c>
      <c r="D4843" s="1" t="s">
        <v>21573</v>
      </c>
      <c r="E4843" s="1" t="s">
        <v>21574</v>
      </c>
      <c r="F4843" s="4" t="s">
        <v>17</v>
      </c>
      <c r="G4843" s="1" t="s">
        <v>18</v>
      </c>
      <c r="H4843" s="1" t="s">
        <v>19</v>
      </c>
      <c r="I4843" s="1" t="s">
        <v>20</v>
      </c>
      <c r="J4843" s="1" t="s">
        <v>21575</v>
      </c>
      <c r="K4843" s="1" t="s">
        <v>22</v>
      </c>
      <c r="L4843" s="1" t="str">
        <f>HYPERLINK("https://files.afu.se/Downloads/Transcripts/0%20-%20Government/USA%20-%20NASA/2010 05 15 - NASA - STS-132 Off to Successful Start_o5pWUCQKtvU - transcript (automated).pdf","Transcript Link")</f>
        <v>Transcript Link</v>
      </c>
      <c r="M4843" s="2" t="str">
        <f>HYPERLINK("https://files.afu.se/Downloads/Transcripts/0%20-%20Government/USA%20-%20NASA/2010 05 15 - NASA - STS-132 Off to Successful Start_o5pWUCQKtvU - transcript (automated).pdf","Transcript Link")</f>
        <v>Transcript Link</v>
      </c>
    </row>
    <row r="4844" ht="165" spans="1:13">
      <c r="A4844" s="1" t="s">
        <v>21576</v>
      </c>
      <c r="B4844" s="1" t="s">
        <v>13</v>
      </c>
      <c r="C4844" s="4" t="s">
        <v>21577</v>
      </c>
      <c r="D4844" s="1" t="s">
        <v>21578</v>
      </c>
      <c r="E4844" s="1" t="s">
        <v>21579</v>
      </c>
      <c r="F4844" s="4" t="s">
        <v>17</v>
      </c>
      <c r="G4844" s="1" t="s">
        <v>18</v>
      </c>
      <c r="H4844" s="1" t="s">
        <v>19</v>
      </c>
      <c r="I4844" s="1" t="s">
        <v>20</v>
      </c>
      <c r="J4844" s="1" t="s">
        <v>21580</v>
      </c>
      <c r="K4844" s="1" t="s">
        <v>22</v>
      </c>
      <c r="L4844" s="1" t="str">
        <f>HYPERLINK("https://files.afu.se/Downloads/Transcripts/0%20-%20Government/USA%20-%20NASA/2010 05 14 - NASA - ISS Program Honored, A Call to Action and Martian  Touchdown  Test on This Week @ NASA_3Du2D2CuaRw - transcript (automated).pdf","Transcript Link")</f>
        <v>Transcript Link</v>
      </c>
      <c r="M4844" s="2" t="str">
        <f>HYPERLINK("https://files.afu.se/Downloads/Transcripts/0%20-%20Government/USA%20-%20NASA/2010 05 14 - NASA - ISS Program Honored, A Call to Action and Martian  Touchdown  Test on This Week @ NASA_3Du2D2CuaRw - transcript (automated).pdf","Transcript Link")</f>
        <v>Transcript Link</v>
      </c>
    </row>
    <row r="4845" ht="165" spans="1:13">
      <c r="A4845" s="1" t="s">
        <v>21576</v>
      </c>
      <c r="B4845" s="1" t="s">
        <v>13</v>
      </c>
      <c r="C4845" s="4" t="s">
        <v>21581</v>
      </c>
      <c r="D4845" s="1" t="s">
        <v>21582</v>
      </c>
      <c r="E4845" s="1" t="s">
        <v>21583</v>
      </c>
      <c r="F4845" s="4" t="s">
        <v>17</v>
      </c>
      <c r="G4845" s="1" t="s">
        <v>18</v>
      </c>
      <c r="H4845" s="1" t="s">
        <v>19</v>
      </c>
      <c r="I4845" s="1" t="s">
        <v>20</v>
      </c>
      <c r="J4845" s="1" t="s">
        <v>21584</v>
      </c>
      <c r="K4845" s="1" t="s">
        <v>22</v>
      </c>
      <c r="L4845" s="1" t="str">
        <f>HYPERLINK("https://files.afu.se/Downloads/Transcripts/0%20-%20Government/USA%20-%20NASA/2010 05 14 - NASA - Atlantis  Into the Sunset_cHoI1FA_n88 - transcript (automated).pdf","Transcript Link")</f>
        <v>Transcript Link</v>
      </c>
      <c r="M4845" s="2" t="str">
        <f>HYPERLINK("https://files.afu.se/Downloads/Transcripts/0%20-%20Government/USA%20-%20NASA/2010 05 14 - NASA - Atlantis  Into the Sunset_cHoI1FA_n88 - transcript (automated).pdf","Transcript Link")</f>
        <v>Transcript Link</v>
      </c>
    </row>
    <row r="4846" ht="165" spans="1:13">
      <c r="A4846" s="1" t="s">
        <v>21576</v>
      </c>
      <c r="B4846" s="1" t="s">
        <v>13</v>
      </c>
      <c r="C4846" s="4" t="s">
        <v>21585</v>
      </c>
      <c r="D4846" s="1" t="s">
        <v>21586</v>
      </c>
      <c r="E4846" s="1" t="s">
        <v>21587</v>
      </c>
      <c r="F4846" s="4" t="s">
        <v>17</v>
      </c>
      <c r="G4846" s="1" t="s">
        <v>18</v>
      </c>
      <c r="H4846" s="1" t="s">
        <v>19</v>
      </c>
      <c r="I4846" s="1" t="s">
        <v>20</v>
      </c>
      <c r="J4846" s="1" t="s">
        <v>21588</v>
      </c>
      <c r="K4846" s="1" t="s">
        <v>22</v>
      </c>
      <c r="L4846" s="1" t="str">
        <f>HYPERLINK("https://files.afu.se/Downloads/Transcripts/0%20-%20Government/USA%20-%20NASA/2010 05 14 - NASA - The Collier and the ISS  History Made in Space_ptF6lxJ9guI - transcript (automated).pdf","Transcript Link")</f>
        <v>Transcript Link</v>
      </c>
      <c r="M4846" s="2" t="str">
        <f>HYPERLINK("https://files.afu.se/Downloads/Transcripts/0%20-%20Government/USA%20-%20NASA/2010 05 14 - NASA - The Collier and the ISS  History Made in Space_ptF6lxJ9guI - transcript (automated).pdf","Transcript Link")</f>
        <v>Transcript Link</v>
      </c>
    </row>
    <row r="4847" ht="165" spans="1:13">
      <c r="A4847" s="1" t="s">
        <v>21576</v>
      </c>
      <c r="B4847" s="1" t="s">
        <v>13</v>
      </c>
      <c r="C4847" s="4" t="s">
        <v>21589</v>
      </c>
      <c r="D4847" s="1" t="s">
        <v>21590</v>
      </c>
      <c r="E4847" s="1" t="s">
        <v>21591</v>
      </c>
      <c r="F4847" s="4" t="s">
        <v>17</v>
      </c>
      <c r="G4847" s="1" t="s">
        <v>18</v>
      </c>
      <c r="H4847" s="1" t="s">
        <v>19</v>
      </c>
      <c r="I4847" s="1" t="s">
        <v>20</v>
      </c>
      <c r="J4847" s="1" t="s">
        <v>21592</v>
      </c>
      <c r="K4847" s="1" t="s">
        <v>22</v>
      </c>
      <c r="L4847" s="1" t="str">
        <f>HYPERLINK("https://files.afu.se/Downloads/Transcripts/0%20-%20Government/USA%20-%20NASA/2010 05 14 - NASA - STS-132 Underway - Atlantis Heads to Space Station_6hqoBx6haUc - transcript (automated).pdf","Transcript Link")</f>
        <v>Transcript Link</v>
      </c>
      <c r="M4847" s="2" t="str">
        <f>HYPERLINK("https://files.afu.se/Downloads/Transcripts/0%20-%20Government/USA%20-%20NASA/2010 05 14 - NASA - STS-132 Underway - Atlantis Heads to Space Station_6hqoBx6haUc - transcript (automated).pdf","Transcript Link")</f>
        <v>Transcript Link</v>
      </c>
    </row>
    <row r="4848" ht="165" spans="1:13">
      <c r="A4848" s="1" t="s">
        <v>21576</v>
      </c>
      <c r="B4848" s="1" t="s">
        <v>13</v>
      </c>
      <c r="C4848" s="4" t="s">
        <v>21593</v>
      </c>
      <c r="D4848" s="1" t="s">
        <v>21594</v>
      </c>
      <c r="E4848" s="1" t="s">
        <v>21595</v>
      </c>
      <c r="F4848" s="4" t="s">
        <v>17</v>
      </c>
      <c r="G4848" s="1" t="s">
        <v>18</v>
      </c>
      <c r="H4848" s="1" t="s">
        <v>19</v>
      </c>
      <c r="I4848" s="1" t="s">
        <v>20</v>
      </c>
      <c r="J4848" s="1" t="s">
        <v>21596</v>
      </c>
      <c r="K4848" s="1" t="s">
        <v>22</v>
      </c>
      <c r="L4848" s="1" t="str">
        <f>HYPERLINK("https://files.afu.se/Downloads/Transcripts/0%20-%20Government/USA%20-%20NASA/2010 05 14 - NASA - ISS Awarded Aviation's Highest Honor_y61L6usYGJc - transcript (automated).pdf","Transcript Link")</f>
        <v>Transcript Link</v>
      </c>
      <c r="M4848" s="2" t="str">
        <f>HYPERLINK("https://files.afu.se/Downloads/Transcripts/0%20-%20Government/USA%20-%20NASA/2010 05 14 - NASA - ISS Awarded Aviation's Highest Honor_y61L6usYGJc - transcript (automated).pdf","Transcript Link")</f>
        <v>Transcript Link</v>
      </c>
    </row>
    <row r="4849" ht="165" spans="1:13">
      <c r="A4849" s="1" t="s">
        <v>21576</v>
      </c>
      <c r="B4849" s="1" t="s">
        <v>13</v>
      </c>
      <c r="C4849" s="4" t="s">
        <v>21597</v>
      </c>
      <c r="D4849" s="1" t="s">
        <v>21598</v>
      </c>
      <c r="E4849" s="1" t="s">
        <v>21599</v>
      </c>
      <c r="F4849" s="4" t="s">
        <v>17</v>
      </c>
      <c r="G4849" s="1" t="s">
        <v>18</v>
      </c>
      <c r="H4849" s="1" t="s">
        <v>19</v>
      </c>
      <c r="I4849" s="1" t="s">
        <v>20</v>
      </c>
      <c r="J4849" s="1" t="s">
        <v>21600</v>
      </c>
      <c r="K4849" s="1" t="s">
        <v>22</v>
      </c>
      <c r="L4849" s="1" t="str">
        <f>HYPERLINK("https://files.afu.se/Downloads/Transcripts/0%20-%20Government/USA%20-%20NASA/2010 05 14 - NASA - Final Call  The Legacy of space shuttle Atlantis_i2hcDmA-GcQ - transcript (automated).pdf","Transcript Link")</f>
        <v>Transcript Link</v>
      </c>
      <c r="M4849" s="2" t="str">
        <f>HYPERLINK("https://files.afu.se/Downloads/Transcripts/0%20-%20Government/USA%20-%20NASA/2010 05 14 - NASA - Final Call  The Legacy of space shuttle Atlantis_i2hcDmA-GcQ - transcript (automated).pdf","Transcript Link")</f>
        <v>Transcript Link</v>
      </c>
    </row>
    <row r="4850" ht="180" spans="1:13">
      <c r="A4850" s="1" t="s">
        <v>21601</v>
      </c>
      <c r="B4850" s="1" t="s">
        <v>13</v>
      </c>
      <c r="C4850" s="4" t="s">
        <v>21602</v>
      </c>
      <c r="D4850" s="1" t="s">
        <v>21603</v>
      </c>
      <c r="E4850" s="1" t="s">
        <v>21604</v>
      </c>
      <c r="F4850" s="4" t="s">
        <v>17</v>
      </c>
      <c r="G4850" s="1" t="s">
        <v>18</v>
      </c>
      <c r="H4850" s="1" t="s">
        <v>19</v>
      </c>
      <c r="I4850" s="1" t="s">
        <v>20</v>
      </c>
      <c r="J4850" s="1" t="s">
        <v>21605</v>
      </c>
      <c r="K4850" s="1" t="s">
        <v>22</v>
      </c>
      <c r="L4850" s="1" t="str">
        <f>HYPERLINK("https://files.afu.se/Downloads/Transcripts/0%20-%20Government/USA%20-%20NASA/2010 05 13 - NASA - STS-132 Mission Managers' Update_FtcypzKWI8o - transcript (automated).pdf","Transcript Link")</f>
        <v>Transcript Link</v>
      </c>
      <c r="M4850" s="2" t="str">
        <f>HYPERLINK("https://files.afu.se/Downloads/Transcripts/0%20-%20Government/USA%20-%20NASA/2010 05 13 - NASA - STS-132 Mission Managers' Update_FtcypzKWI8o - transcript (automated).pdf","Transcript Link")</f>
        <v>Transcript Link</v>
      </c>
    </row>
    <row r="4851" ht="165" spans="1:13">
      <c r="A4851" s="1" t="s">
        <v>21606</v>
      </c>
      <c r="B4851" s="1" t="s">
        <v>13</v>
      </c>
      <c r="C4851" s="4" t="s">
        <v>21607</v>
      </c>
      <c r="D4851" s="1" t="s">
        <v>21608</v>
      </c>
      <c r="E4851" s="1" t="s">
        <v>21609</v>
      </c>
      <c r="F4851" s="4" t="s">
        <v>17</v>
      </c>
      <c r="G4851" s="1" t="s">
        <v>18</v>
      </c>
      <c r="H4851" s="1" t="s">
        <v>19</v>
      </c>
      <c r="I4851" s="1" t="s">
        <v>20</v>
      </c>
      <c r="J4851" s="1" t="s">
        <v>21610</v>
      </c>
      <c r="K4851" s="1" t="s">
        <v>22</v>
      </c>
      <c r="L4851" s="1" t="str">
        <f>HYPERLINK("https://files.afu.se/Downloads/Transcripts/0%20-%20Government/USA%20-%20NASA/2010 05 12 - NASA - NASA Aids Nation's Response to Oil Spill with Aircraft, Satellites_f5qh13Xp-_0 - transcript (automated).pdf","Transcript Link")</f>
        <v>Transcript Link</v>
      </c>
      <c r="M4851" s="2" t="str">
        <f>HYPERLINK("https://files.afu.se/Downloads/Transcripts/0%20-%20Government/USA%20-%20NASA/2010 05 12 - NASA - NASA Aids Nation's Response to Oil Spill with Aircraft, Satellites_f5qh13Xp-_0 - transcript (automated).pdf","Transcript Link")</f>
        <v>Transcript Link</v>
      </c>
    </row>
    <row r="4852" ht="165" spans="1:13">
      <c r="A4852" s="1" t="s">
        <v>21606</v>
      </c>
      <c r="B4852" s="1" t="s">
        <v>13</v>
      </c>
      <c r="C4852" s="4" t="s">
        <v>21611</v>
      </c>
      <c r="D4852" s="1" t="s">
        <v>21612</v>
      </c>
      <c r="E4852" s="1" t="s">
        <v>21613</v>
      </c>
      <c r="F4852" s="4" t="s">
        <v>17</v>
      </c>
      <c r="G4852" s="1" t="s">
        <v>18</v>
      </c>
      <c r="H4852" s="1" t="s">
        <v>19</v>
      </c>
      <c r="I4852" s="1" t="s">
        <v>20</v>
      </c>
      <c r="J4852" s="1" t="s">
        <v>21614</v>
      </c>
      <c r="K4852" s="1" t="s">
        <v>22</v>
      </c>
      <c r="L4852" s="1" t="str">
        <f>HYPERLINK("https://files.afu.se/Downloads/Transcripts/0%20-%20Government/USA%20-%20NASA/2010 05 12 - NASA - Atlantis Ready for Journey to ISS_0D726gnLQ7I - transcript (automated).pdf","Transcript Link")</f>
        <v>Transcript Link</v>
      </c>
      <c r="M4852" s="2" t="str">
        <f>HYPERLINK("https://files.afu.se/Downloads/Transcripts/0%20-%20Government/USA%20-%20NASA/2010 05 12 - NASA - Atlantis Ready for Journey to ISS_0D726gnLQ7I - transcript (automated).pdf","Transcript Link")</f>
        <v>Transcript Link</v>
      </c>
    </row>
    <row r="4853" ht="165" spans="1:13">
      <c r="A4853" s="1" t="s">
        <v>21606</v>
      </c>
      <c r="B4853" s="1" t="s">
        <v>13</v>
      </c>
      <c r="C4853" s="4" t="s">
        <v>21615</v>
      </c>
      <c r="D4853" s="1" t="s">
        <v>21616</v>
      </c>
      <c r="E4853" s="1" t="s">
        <v>21617</v>
      </c>
      <c r="F4853" s="4" t="s">
        <v>17</v>
      </c>
      <c r="G4853" s="1" t="s">
        <v>18</v>
      </c>
      <c r="H4853" s="1" t="s">
        <v>19</v>
      </c>
      <c r="I4853" s="1" t="s">
        <v>20</v>
      </c>
      <c r="J4853" s="1" t="s">
        <v>21618</v>
      </c>
      <c r="K4853" s="1" t="s">
        <v>22</v>
      </c>
      <c r="L4853" s="1" t="str">
        <f>HYPERLINK("https://files.afu.se/Downloads/Transcripts/0%20-%20Government/USA%20-%20NASA/2010 05 12 - NASA - T-2 Days and Counting_IViqvMrhf9Q - transcript (automated).pdf","Transcript Link")</f>
        <v>Transcript Link</v>
      </c>
      <c r="M4853" s="2" t="str">
        <f>HYPERLINK("https://files.afu.se/Downloads/Transcripts/0%20-%20Government/USA%20-%20NASA/2010 05 12 - NASA - T-2 Days and Counting_IViqvMrhf9Q - transcript (automated).pdf","Transcript Link")</f>
        <v>Transcript Link</v>
      </c>
    </row>
    <row r="4854" ht="165" spans="1:13">
      <c r="A4854" s="1" t="s">
        <v>21606</v>
      </c>
      <c r="B4854" s="1" t="s">
        <v>13</v>
      </c>
      <c r="C4854" s="4" t="s">
        <v>21619</v>
      </c>
      <c r="D4854" s="1" t="s">
        <v>21620</v>
      </c>
      <c r="E4854" s="1" t="s">
        <v>21621</v>
      </c>
      <c r="F4854" s="4" t="s">
        <v>17</v>
      </c>
      <c r="G4854" s="1" t="s">
        <v>18</v>
      </c>
      <c r="H4854" s="1" t="s">
        <v>19</v>
      </c>
      <c r="I4854" s="1" t="s">
        <v>20</v>
      </c>
      <c r="J4854" s="1" t="s">
        <v>21622</v>
      </c>
      <c r="K4854" s="1" t="s">
        <v>22</v>
      </c>
      <c r="L4854" s="1" t="str">
        <f>HYPERLINK("https://files.afu.se/Downloads/Transcripts/0%20-%20Government/USA%20-%20NASA/2010 05 12 - NASA - Crew Grabs New Parking Spot in Space_-4xBVuxxiFM - transcript (automated).pdf","Transcript Link")</f>
        <v>Transcript Link</v>
      </c>
      <c r="M4854" s="2" t="str">
        <f>HYPERLINK("https://files.afu.se/Downloads/Transcripts/0%20-%20Government/USA%20-%20NASA/2010 05 12 - NASA - Crew Grabs New Parking Spot in Space_-4xBVuxxiFM - transcript (automated).pdf","Transcript Link")</f>
        <v>Transcript Link</v>
      </c>
    </row>
    <row r="4855" ht="165" spans="1:13">
      <c r="A4855" s="1" t="s">
        <v>21623</v>
      </c>
      <c r="B4855" s="1" t="s">
        <v>13</v>
      </c>
      <c r="C4855" s="4" t="s">
        <v>21624</v>
      </c>
      <c r="D4855" s="1" t="s">
        <v>21625</v>
      </c>
      <c r="E4855" s="1" t="s">
        <v>21626</v>
      </c>
      <c r="F4855" s="4" t="s">
        <v>17</v>
      </c>
      <c r="G4855" s="1" t="s">
        <v>18</v>
      </c>
      <c r="H4855" s="1" t="s">
        <v>19</v>
      </c>
      <c r="I4855" s="1" t="s">
        <v>20</v>
      </c>
      <c r="J4855" s="1" t="s">
        <v>21627</v>
      </c>
      <c r="K4855" s="1" t="s">
        <v>22</v>
      </c>
      <c r="L4855" s="1" t="str">
        <f>HYPERLINK("https://files.afu.se/Downloads/Transcripts/0%20-%20Government/USA%20-%20NASA/2010 05 11 - NASA - Spacewalkers Drill for Safety_IzC9FiJh2sk - transcript (automated).pdf","Transcript Link")</f>
        <v>Transcript Link</v>
      </c>
      <c r="M4855" s="2" t="str">
        <f>HYPERLINK("https://files.afu.se/Downloads/Transcripts/0%20-%20Government/USA%20-%20NASA/2010 05 11 - NASA - Spacewalkers Drill for Safety_IzC9FiJh2sk - transcript (automated).pdf","Transcript Link")</f>
        <v>Transcript Link</v>
      </c>
    </row>
    <row r="4856" ht="165" spans="1:13">
      <c r="A4856" s="1" t="s">
        <v>21623</v>
      </c>
      <c r="B4856" s="1" t="s">
        <v>13</v>
      </c>
      <c r="C4856" s="4" t="s">
        <v>21628</v>
      </c>
      <c r="D4856" s="1" t="s">
        <v>21629</v>
      </c>
      <c r="E4856" s="1" t="s">
        <v>21630</v>
      </c>
      <c r="F4856" s="4" t="s">
        <v>17</v>
      </c>
      <c r="G4856" s="1" t="s">
        <v>18</v>
      </c>
      <c r="H4856" s="1" t="s">
        <v>19</v>
      </c>
      <c r="I4856" s="1" t="s">
        <v>20</v>
      </c>
      <c r="J4856" s="1" t="s">
        <v>21631</v>
      </c>
      <c r="K4856" s="1" t="s">
        <v>22</v>
      </c>
      <c r="L4856" s="1" t="str">
        <f>HYPERLINK("https://files.afu.se/Downloads/Transcripts/0%20-%20Government/USA%20-%20NASA/2010 05 11 - NASA - NASA Administrator Celebrates Science with Students_RzJpWhuY-YE - transcript (automated).pdf","Transcript Link")</f>
        <v>Transcript Link</v>
      </c>
      <c r="M4856" s="2" t="str">
        <f>HYPERLINK("https://files.afu.se/Downloads/Transcripts/0%20-%20Government/USA%20-%20NASA/2010 05 11 - NASA - NASA Administrator Celebrates Science with Students_RzJpWhuY-YE - transcript (automated).pdf","Transcript Link")</f>
        <v>Transcript Link</v>
      </c>
    </row>
    <row r="4857" ht="165" spans="1:13">
      <c r="A4857" s="1" t="s">
        <v>21623</v>
      </c>
      <c r="B4857" s="1" t="s">
        <v>13</v>
      </c>
      <c r="C4857" s="4" t="s">
        <v>21632</v>
      </c>
      <c r="D4857" s="1" t="s">
        <v>21633</v>
      </c>
      <c r="E4857" s="1" t="s">
        <v>21634</v>
      </c>
      <c r="F4857" s="4" t="s">
        <v>17</v>
      </c>
      <c r="G4857" s="1" t="s">
        <v>18</v>
      </c>
      <c r="H4857" s="1" t="s">
        <v>19</v>
      </c>
      <c r="I4857" s="1" t="s">
        <v>20</v>
      </c>
      <c r="J4857" s="1" t="s">
        <v>21635</v>
      </c>
      <c r="K4857" s="1" t="s">
        <v>22</v>
      </c>
      <c r="L4857" s="1" t="str">
        <f>HYPERLINK("https://files.afu.se/Downloads/Transcripts/0%20-%20Government/USA%20-%20NASA/2010 05 11 - NASA - Astros Visit Astros_n9JKcB4M31w - transcript (automated).pdf","Transcript Link")</f>
        <v>Transcript Link</v>
      </c>
      <c r="M4857" s="2" t="str">
        <f>HYPERLINK("https://files.afu.se/Downloads/Transcripts/0%20-%20Government/USA%20-%20NASA/2010 05 11 - NASA - Astros Visit Astros_n9JKcB4M31w - transcript (automated).pdf","Transcript Link")</f>
        <v>Transcript Link</v>
      </c>
    </row>
    <row r="4858" ht="165" spans="1:13">
      <c r="A4858" s="1" t="s">
        <v>21623</v>
      </c>
      <c r="B4858" s="1" t="s">
        <v>13</v>
      </c>
      <c r="C4858" s="4" t="s">
        <v>21636</v>
      </c>
      <c r="D4858" s="1" t="s">
        <v>21637</v>
      </c>
      <c r="E4858" s="1" t="s">
        <v>21638</v>
      </c>
      <c r="F4858" s="4" t="s">
        <v>17</v>
      </c>
      <c r="G4858" s="1" t="s">
        <v>18</v>
      </c>
      <c r="H4858" s="1" t="s">
        <v>19</v>
      </c>
      <c r="I4858" s="1" t="s">
        <v>20</v>
      </c>
      <c r="J4858" s="1" t="s">
        <v>21639</v>
      </c>
      <c r="K4858" s="1" t="s">
        <v>22</v>
      </c>
      <c r="L4858" s="1" t="str">
        <f>HYPERLINK("https://files.afu.se/Downloads/Transcripts/0%20-%20Government/USA%20-%20NASA/2010 05 11 - NASA - Shuttle Veteran Reflects on Extensive Career_2T5f9iMQ7lY - transcript (automated).pdf","Transcript Link")</f>
        <v>Transcript Link</v>
      </c>
      <c r="M4858" s="2" t="str">
        <f>HYPERLINK("https://files.afu.se/Downloads/Transcripts/0%20-%20Government/USA%20-%20NASA/2010 05 11 - NASA - Shuttle Veteran Reflects on Extensive Career_2T5f9iMQ7lY - transcript (automated).pdf","Transcript Link")</f>
        <v>Transcript Link</v>
      </c>
    </row>
    <row r="4859" ht="165" spans="1:13">
      <c r="A4859" s="1" t="s">
        <v>21623</v>
      </c>
      <c r="B4859" s="1" t="s">
        <v>13</v>
      </c>
      <c r="C4859" s="4" t="s">
        <v>21640</v>
      </c>
      <c r="D4859" s="1" t="s">
        <v>21641</v>
      </c>
      <c r="E4859" s="1" t="s">
        <v>21642</v>
      </c>
      <c r="F4859" s="4" t="s">
        <v>17</v>
      </c>
      <c r="G4859" s="1" t="s">
        <v>18</v>
      </c>
      <c r="H4859" s="1" t="s">
        <v>19</v>
      </c>
      <c r="I4859" s="1" t="s">
        <v>20</v>
      </c>
      <c r="J4859" s="1" t="s">
        <v>21643</v>
      </c>
      <c r="K4859" s="1" t="s">
        <v>22</v>
      </c>
      <c r="L4859" s="1" t="str">
        <f>HYPERLINK("https://files.afu.se/Downloads/Transcripts/0%20-%20Government/USA%20-%20NASA/2010 05 11 - NASA - External Tank  Barges  Into Launch Site_AU6jndd5vKs - transcript (automated).pdf","Transcript Link")</f>
        <v>Transcript Link</v>
      </c>
      <c r="M4859" s="2" t="str">
        <f>HYPERLINK("https://files.afu.se/Downloads/Transcripts/0%20-%20Government/USA%20-%20NASA/2010 05 11 - NASA - External Tank  Barges  Into Launch Site_AU6jndd5vKs - transcript (automated).pdf","Transcript Link")</f>
        <v>Transcript Link</v>
      </c>
    </row>
    <row r="4860" ht="165" spans="1:13">
      <c r="A4860" s="1" t="s">
        <v>21644</v>
      </c>
      <c r="B4860" s="1" t="s">
        <v>13</v>
      </c>
      <c r="C4860" s="4" t="s">
        <v>21645</v>
      </c>
      <c r="D4860" s="1" t="s">
        <v>21646</v>
      </c>
      <c r="E4860" s="1" t="s">
        <v>21647</v>
      </c>
      <c r="F4860" s="4" t="s">
        <v>17</v>
      </c>
      <c r="G4860" s="1" t="s">
        <v>18</v>
      </c>
      <c r="H4860" s="1" t="s">
        <v>19</v>
      </c>
      <c r="I4860" s="1" t="s">
        <v>20</v>
      </c>
      <c r="J4860" s="1" t="s">
        <v>21648</v>
      </c>
      <c r="K4860" s="1" t="s">
        <v>22</v>
      </c>
      <c r="L4860" s="1" t="str">
        <f>HYPERLINK("https://files.afu.se/Downloads/Transcripts/0%20-%20Government/USA%20-%20NASA/2010 05 10 - NASA - Liftoff Friday for Atlantis Astronauts_PKSkX-jQhRQ - transcript (automated).pdf","Transcript Link")</f>
        <v>Transcript Link</v>
      </c>
      <c r="M4860" s="2" t="str">
        <f>HYPERLINK("https://files.afu.se/Downloads/Transcripts/0%20-%20Government/USA%20-%20NASA/2010 05 10 - NASA - Liftoff Friday for Atlantis Astronauts_PKSkX-jQhRQ - transcript (automated).pdf","Transcript Link")</f>
        <v>Transcript Link</v>
      </c>
    </row>
    <row r="4861" ht="165" spans="1:13">
      <c r="A4861" s="1" t="s">
        <v>21644</v>
      </c>
      <c r="B4861" s="1" t="s">
        <v>13</v>
      </c>
      <c r="C4861" s="4" t="s">
        <v>21649</v>
      </c>
      <c r="D4861" s="1" t="s">
        <v>21650</v>
      </c>
      <c r="E4861" s="1" t="s">
        <v>21651</v>
      </c>
      <c r="F4861" s="4" t="s">
        <v>17</v>
      </c>
      <c r="G4861" s="1" t="s">
        <v>18</v>
      </c>
      <c r="H4861" s="1" t="s">
        <v>19</v>
      </c>
      <c r="I4861" s="1" t="s">
        <v>20</v>
      </c>
      <c r="J4861" s="1" t="s">
        <v>21652</v>
      </c>
      <c r="K4861" s="1" t="s">
        <v>22</v>
      </c>
      <c r="L4861" s="1" t="str">
        <f>HYPERLINK("https://files.afu.se/Downloads/Transcripts/0%20-%20Government/USA%20-%20NASA/2010 05 10 - NASA - Shuttle launch set, crew escape test, and new tires at NASCAR on This Week @ NASA_qJ_t_4WbGW8 - transcript (automated).pdf","Transcript Link")</f>
        <v>Transcript Link</v>
      </c>
      <c r="M4861" s="2" t="str">
        <f>HYPERLINK("https://files.afu.se/Downloads/Transcripts/0%20-%20Government/USA%20-%20NASA/2010 05 10 - NASA - Shuttle launch set, crew escape test, and new tires at NASCAR on This Week @ NASA_qJ_t_4WbGW8 - transcript (automated).pdf","Transcript Link")</f>
        <v>Transcript Link</v>
      </c>
    </row>
    <row r="4862" ht="165" spans="1:13">
      <c r="A4862" s="1" t="s">
        <v>21653</v>
      </c>
      <c r="B4862" s="1" t="s">
        <v>13</v>
      </c>
      <c r="C4862" s="4" t="s">
        <v>21654</v>
      </c>
      <c r="D4862" s="1" t="s">
        <v>21655</v>
      </c>
      <c r="E4862" s="1" t="s">
        <v>21656</v>
      </c>
      <c r="F4862" s="4" t="s">
        <v>17</v>
      </c>
      <c r="G4862" s="1" t="s">
        <v>18</v>
      </c>
      <c r="H4862" s="1" t="s">
        <v>19</v>
      </c>
      <c r="I4862" s="1" t="s">
        <v>20</v>
      </c>
      <c r="J4862" s="1" t="s">
        <v>21657</v>
      </c>
      <c r="K4862" s="1" t="s">
        <v>22</v>
      </c>
      <c r="L4862" s="1" t="str">
        <f>HYPERLINK("https://files.afu.se/Downloads/Transcripts/0%20-%20Government/USA%20-%20NASA/2010 05 06 - NASA - Astronaut Safety Takes Step Forward_bWm5bjjaxwc - transcript (automated).pdf","Transcript Link")</f>
        <v>Transcript Link</v>
      </c>
      <c r="M4862" s="2" t="str">
        <f>HYPERLINK("https://files.afu.se/Downloads/Transcripts/0%20-%20Government/USA%20-%20NASA/2010 05 06 - NASA - Astronaut Safety Takes Step Forward_bWm5bjjaxwc - transcript (automated).pdf","Transcript Link")</f>
        <v>Transcript Link</v>
      </c>
    </row>
    <row r="4863" ht="165" spans="1:13">
      <c r="A4863" s="1" t="s">
        <v>21653</v>
      </c>
      <c r="B4863" s="1" t="s">
        <v>13</v>
      </c>
      <c r="C4863" s="4" t="s">
        <v>21658</v>
      </c>
      <c r="D4863" s="1" t="s">
        <v>21659</v>
      </c>
      <c r="E4863" s="1" t="s">
        <v>21660</v>
      </c>
      <c r="F4863" s="4" t="s">
        <v>17</v>
      </c>
      <c r="G4863" s="1" t="s">
        <v>18</v>
      </c>
      <c r="H4863" s="1" t="s">
        <v>19</v>
      </c>
      <c r="I4863" s="1" t="s">
        <v>20</v>
      </c>
      <c r="J4863" s="1" t="s">
        <v>21661</v>
      </c>
      <c r="K4863" s="1" t="s">
        <v>22</v>
      </c>
      <c r="L4863" s="1" t="str">
        <f>HYPERLINK("https://files.afu.se/Downloads/Transcripts/0%20-%20Government/USA%20-%20NASA/2010 05 06 - NASA - Crew Launch Escape Test a Success_czDwthupW8c - transcript (automated).pdf","Transcript Link")</f>
        <v>Transcript Link</v>
      </c>
      <c r="M4863" s="2" t="str">
        <f>HYPERLINK("https://files.afu.se/Downloads/Transcripts/0%20-%20Government/USA%20-%20NASA/2010 05 06 - NASA - Crew Launch Escape Test a Success_czDwthupW8c - transcript (automated).pdf","Transcript Link")</f>
        <v>Transcript Link</v>
      </c>
    </row>
    <row r="4864" ht="165" spans="1:13">
      <c r="A4864" s="1" t="s">
        <v>21662</v>
      </c>
      <c r="B4864" s="1" t="s">
        <v>13</v>
      </c>
      <c r="C4864" s="4" t="s">
        <v>21663</v>
      </c>
      <c r="D4864" s="1" t="s">
        <v>21664</v>
      </c>
      <c r="E4864" s="1" t="s">
        <v>21665</v>
      </c>
      <c r="F4864" s="4" t="s">
        <v>17</v>
      </c>
      <c r="G4864" s="1" t="s">
        <v>18</v>
      </c>
      <c r="H4864" s="1" t="s">
        <v>19</v>
      </c>
      <c r="I4864" s="1" t="s">
        <v>20</v>
      </c>
      <c r="J4864" s="1" t="s">
        <v>21666</v>
      </c>
      <c r="K4864" s="1" t="s">
        <v>22</v>
      </c>
      <c r="L4864" s="1" t="str">
        <f>HYPERLINK("https://files.afu.se/Downloads/Transcripts/0%20-%20Government/USA%20-%20NASA/2010 05 05 - NASA - Space Shuttle to Liftoff May 14_3RMPxt-R_XU - transcript (automated).pdf","Transcript Link")</f>
        <v>Transcript Link</v>
      </c>
      <c r="M4864" s="2" t="str">
        <f>HYPERLINK("https://files.afu.se/Downloads/Transcripts/0%20-%20Government/USA%20-%20NASA/2010 05 05 - NASA - Space Shuttle to Liftoff May 14_3RMPxt-R_XU - transcript (automated).pdf","Transcript Link")</f>
        <v>Transcript Link</v>
      </c>
    </row>
    <row r="4865" ht="165" spans="1:13">
      <c r="A4865" s="1" t="s">
        <v>21662</v>
      </c>
      <c r="B4865" s="1" t="s">
        <v>13</v>
      </c>
      <c r="C4865" s="4" t="s">
        <v>21667</v>
      </c>
      <c r="D4865" s="1" t="s">
        <v>21668</v>
      </c>
      <c r="E4865" s="1" t="s">
        <v>21669</v>
      </c>
      <c r="F4865" s="4" t="s">
        <v>17</v>
      </c>
      <c r="G4865" s="1" t="s">
        <v>18</v>
      </c>
      <c r="H4865" s="1" t="s">
        <v>19</v>
      </c>
      <c r="I4865" s="1" t="s">
        <v>20</v>
      </c>
      <c r="J4865" s="1" t="s">
        <v>21670</v>
      </c>
      <c r="K4865" s="1" t="s">
        <v>22</v>
      </c>
      <c r="L4865" s="1" t="str">
        <f>HYPERLINK("https://files.afu.se/Downloads/Transcripts/0%20-%20Government/USA%20-%20NASA/2010 05 05 - NASA - Shuttle's Toilet Requires Special Training_m1wwzwvfsC0 - transcript (automated).pdf","Transcript Link")</f>
        <v>Transcript Link</v>
      </c>
      <c r="M4865" s="2" t="str">
        <f>HYPERLINK("https://files.afu.se/Downloads/Transcripts/0%20-%20Government/USA%20-%20NASA/2010 05 05 - NASA - Shuttle's Toilet Requires Special Training_m1wwzwvfsC0 - transcript (automated).pdf","Transcript Link")</f>
        <v>Transcript Link</v>
      </c>
    </row>
    <row r="4866" ht="165" spans="1:13">
      <c r="A4866" s="1" t="s">
        <v>21662</v>
      </c>
      <c r="B4866" s="1" t="s">
        <v>13</v>
      </c>
      <c r="C4866" s="4" t="s">
        <v>21671</v>
      </c>
      <c r="D4866" s="1" t="s">
        <v>21672</v>
      </c>
      <c r="E4866" s="1" t="s">
        <v>21673</v>
      </c>
      <c r="F4866" s="4" t="s">
        <v>17</v>
      </c>
      <c r="G4866" s="1" t="s">
        <v>18</v>
      </c>
      <c r="H4866" s="1" t="s">
        <v>19</v>
      </c>
      <c r="I4866" s="1" t="s">
        <v>20</v>
      </c>
      <c r="J4866" s="1" t="s">
        <v>21674</v>
      </c>
      <c r="K4866" s="1" t="s">
        <v>22</v>
      </c>
      <c r="L4866" s="1" t="str">
        <f>HYPERLINK("https://files.afu.se/Downloads/Transcripts/0%20-%20Government/USA%20-%20NASA/2010 05 05 - NASA - Flight Simulations Prep Shuttle Crew_a6aQ64Mn96Q - transcript (automated).pdf","Transcript Link")</f>
        <v>Transcript Link</v>
      </c>
      <c r="M4866" s="2" t="str">
        <f>HYPERLINK("https://files.afu.se/Downloads/Transcripts/0%20-%20Government/USA%20-%20NASA/2010 05 05 - NASA - Flight Simulations Prep Shuttle Crew_a6aQ64Mn96Q - transcript (automated).pdf","Transcript Link")</f>
        <v>Transcript Link</v>
      </c>
    </row>
    <row r="4867" ht="165" spans="1:13">
      <c r="A4867" s="1" t="s">
        <v>21675</v>
      </c>
      <c r="B4867" s="1" t="s">
        <v>13</v>
      </c>
      <c r="C4867" s="4" t="s">
        <v>21676</v>
      </c>
      <c r="D4867" s="1" t="s">
        <v>21677</v>
      </c>
      <c r="E4867" s="1" t="s">
        <v>21678</v>
      </c>
      <c r="F4867" s="4" t="s">
        <v>17</v>
      </c>
      <c r="G4867" s="1" t="s">
        <v>18</v>
      </c>
      <c r="H4867" s="1" t="s">
        <v>19</v>
      </c>
      <c r="I4867" s="1" t="s">
        <v>20</v>
      </c>
      <c r="J4867" s="1" t="s">
        <v>21679</v>
      </c>
      <c r="K4867" s="1" t="s">
        <v>22</v>
      </c>
      <c r="L4867" s="1" t="str">
        <f>HYPERLINK("https://files.afu.se/Downloads/Transcripts/0%20-%20Government/USA%20-%20NASA/2010 05 03 - NASA - Launch Day Nears for STS-132_RR6zecKg6_I - transcript (automated).pdf","Transcript Link")</f>
        <v>Transcript Link</v>
      </c>
      <c r="M4867" s="2" t="str">
        <f>HYPERLINK("https://files.afu.se/Downloads/Transcripts/0%20-%20Government/USA%20-%20NASA/2010 05 03 - NASA - Launch Day Nears for STS-132_RR6zecKg6_I - transcript (automated).pdf","Transcript Link")</f>
        <v>Transcript Link</v>
      </c>
    </row>
    <row r="4868" ht="165" spans="1:13">
      <c r="A4868" s="1" t="s">
        <v>21675</v>
      </c>
      <c r="B4868" s="1" t="s">
        <v>13</v>
      </c>
      <c r="C4868" s="4" t="s">
        <v>21680</v>
      </c>
      <c r="D4868" s="1" t="s">
        <v>21681</v>
      </c>
      <c r="E4868" s="1" t="s">
        <v>21682</v>
      </c>
      <c r="F4868" s="4" t="s">
        <v>17</v>
      </c>
      <c r="G4868" s="1" t="s">
        <v>18</v>
      </c>
      <c r="H4868" s="1" t="s">
        <v>19</v>
      </c>
      <c r="I4868" s="1" t="s">
        <v>20</v>
      </c>
      <c r="J4868" s="1" t="s">
        <v>21683</v>
      </c>
      <c r="K4868" s="1" t="s">
        <v>22</v>
      </c>
      <c r="L4868" s="1" t="str">
        <f>HYPERLINK("https://files.afu.se/Downloads/Transcripts/0%20-%20Government/USA%20-%20NASA/2010 05 03 - NASA - Three to Share Spacewalking Duties on Next Shuttle Journey__bNcVUOniDU - transcript (automated).pdf","Transcript Link")</f>
        <v>Transcript Link</v>
      </c>
      <c r="M4868" s="2" t="str">
        <f>HYPERLINK("https://files.afu.se/Downloads/Transcripts/0%20-%20Government/USA%20-%20NASA/2010 05 03 - NASA - Three to Share Spacewalking Duties on Next Shuttle Journey__bNcVUOniDU - transcript (automated).pdf","Transcript Link")</f>
        <v>Transcript Link</v>
      </c>
    </row>
    <row r="4869" ht="165" spans="1:13">
      <c r="A4869" s="1" t="s">
        <v>21675</v>
      </c>
      <c r="B4869" s="1" t="s">
        <v>13</v>
      </c>
      <c r="C4869" s="4" t="s">
        <v>21684</v>
      </c>
      <c r="D4869" s="1" t="s">
        <v>21685</v>
      </c>
      <c r="E4869" s="1" t="s">
        <v>21686</v>
      </c>
      <c r="F4869" s="4" t="s">
        <v>17</v>
      </c>
      <c r="G4869" s="1" t="s">
        <v>18</v>
      </c>
      <c r="H4869" s="1" t="s">
        <v>19</v>
      </c>
      <c r="I4869" s="1" t="s">
        <v>20</v>
      </c>
      <c r="J4869" s="1" t="s">
        <v>21687</v>
      </c>
      <c r="K4869" s="1" t="s">
        <v>22</v>
      </c>
      <c r="L4869" s="1" t="str">
        <f>HYPERLINK("https://files.afu.se/Downloads/Transcripts/0%20-%20Government/USA%20-%20NASA/2010 05 03 - NASA - Atlantis Crew to Deliver Mini-Module to ISS_BJororoKuls - transcript (automated).pdf","Transcript Link")</f>
        <v>Transcript Link</v>
      </c>
      <c r="M4869" s="2" t="str">
        <f>HYPERLINK("https://files.afu.se/Downloads/Transcripts/0%20-%20Government/USA%20-%20NASA/2010 05 03 - NASA - Atlantis Crew to Deliver Mini-Module to ISS_BJororoKuls - transcript (automated).pdf","Transcript Link")</f>
        <v>Transcript Link</v>
      </c>
    </row>
    <row r="4870" ht="165" spans="1:13">
      <c r="A4870" s="1" t="s">
        <v>21675</v>
      </c>
      <c r="B4870" s="1" t="s">
        <v>13</v>
      </c>
      <c r="C4870" s="4" t="s">
        <v>21688</v>
      </c>
      <c r="D4870" s="1" t="s">
        <v>21689</v>
      </c>
      <c r="E4870" s="1" t="s">
        <v>21690</v>
      </c>
      <c r="F4870" s="4" t="s">
        <v>17</v>
      </c>
      <c r="G4870" s="1" t="s">
        <v>18</v>
      </c>
      <c r="H4870" s="1" t="s">
        <v>19</v>
      </c>
      <c r="I4870" s="1" t="s">
        <v>20</v>
      </c>
      <c r="J4870" s="1" t="s">
        <v>21691</v>
      </c>
      <c r="K4870" s="1" t="s">
        <v>22</v>
      </c>
      <c r="L4870" s="1" t="str">
        <f>HYPERLINK("https://files.afu.se/Downloads/Transcripts/0%20-%20Government/USA%20-%20NASA/2010 05 03 - NASA - Shuttle, Space Station Teams  Ready  for STS-132 Mission_cNi0sDkx1qw - transcript (automated).pdf","Transcript Link")</f>
        <v>Transcript Link</v>
      </c>
      <c r="M4870" s="2" t="str">
        <f>HYPERLINK("https://files.afu.se/Downloads/Transcripts/0%20-%20Government/USA%20-%20NASA/2010 05 03 - NASA - Shuttle, Space Station Teams  Ready  for STS-132 Mission_cNi0sDkx1qw - transcript (automated).pdf","Transcript Link")</f>
        <v>Transcript Link</v>
      </c>
    </row>
    <row r="4871" ht="165" spans="1:13">
      <c r="A4871" s="1" t="s">
        <v>21692</v>
      </c>
      <c r="B4871" s="1" t="s">
        <v>13</v>
      </c>
      <c r="C4871" s="4" t="s">
        <v>21693</v>
      </c>
      <c r="D4871" s="1" t="s">
        <v>21694</v>
      </c>
      <c r="E4871" s="1" t="s">
        <v>21695</v>
      </c>
      <c r="F4871" s="4" t="s">
        <v>17</v>
      </c>
      <c r="G4871" s="1" t="s">
        <v>18</v>
      </c>
      <c r="H4871" s="1" t="s">
        <v>19</v>
      </c>
      <c r="I4871" s="1" t="s">
        <v>20</v>
      </c>
      <c r="J4871" s="1" t="s">
        <v>21696</v>
      </c>
      <c r="K4871" s="1" t="s">
        <v>22</v>
      </c>
      <c r="L4871" s="1" t="str">
        <f>HYPERLINK("https://files.afu.se/Downloads/Transcripts/0%20-%20Government/USA%20-%20NASA/2010 05 01 - NASA - New Supplies for Space Station Crew_hmwkcxkP9EI - transcript (automated).pdf","Transcript Link")</f>
        <v>Transcript Link</v>
      </c>
      <c r="M4871" s="2" t="str">
        <f>HYPERLINK("https://files.afu.se/Downloads/Transcripts/0%20-%20Government/USA%20-%20NASA/2010 05 01 - NASA - New Supplies for Space Station Crew_hmwkcxkP9EI - transcript (automated).pdf","Transcript Link")</f>
        <v>Transcript Link</v>
      </c>
    </row>
    <row r="4872" ht="225" spans="1:13">
      <c r="A4872" s="1" t="s">
        <v>21697</v>
      </c>
      <c r="B4872" s="1" t="s">
        <v>13</v>
      </c>
      <c r="C4872" s="4" t="s">
        <v>21698</v>
      </c>
      <c r="D4872" s="1" t="s">
        <v>21699</v>
      </c>
      <c r="E4872" s="1" t="s">
        <v>21700</v>
      </c>
      <c r="F4872" s="4" t="s">
        <v>17</v>
      </c>
      <c r="G4872" s="1" t="s">
        <v>18</v>
      </c>
      <c r="H4872" s="1" t="s">
        <v>19</v>
      </c>
      <c r="I4872" s="1" t="s">
        <v>20</v>
      </c>
      <c r="J4872" s="1" t="s">
        <v>21701</v>
      </c>
      <c r="K4872" s="1" t="s">
        <v>22</v>
      </c>
      <c r="L4872" s="1" t="str">
        <f>HYPERLINK("https://files.afu.se/Downloads/Transcripts/0%20-%20Government/USA%20-%20NASA/2010 04 29 - NASA - Operation IceBridge - Part Two - Sea Ice Research_4zSgR_WVhP0 - transcript (automated).pdf","Transcript Link")</f>
        <v>Transcript Link</v>
      </c>
      <c r="M4872" s="2" t="str">
        <f>HYPERLINK("https://files.afu.se/Downloads/Transcripts/0%20-%20Government/USA%20-%20NASA/2010 04 29 - NASA - Operation IceBridge - Part Two - Sea Ice Research_4zSgR_WVhP0 - transcript (automated).pdf","Transcript Link")</f>
        <v>Transcript Link</v>
      </c>
    </row>
    <row r="4873" ht="165" spans="1:13">
      <c r="A4873" s="1" t="s">
        <v>21697</v>
      </c>
      <c r="B4873" s="1" t="s">
        <v>13</v>
      </c>
      <c r="C4873" s="4" t="s">
        <v>21702</v>
      </c>
      <c r="D4873" s="1" t="s">
        <v>21703</v>
      </c>
      <c r="E4873" s="1" t="s">
        <v>21704</v>
      </c>
      <c r="F4873" s="4" t="s">
        <v>17</v>
      </c>
      <c r="G4873" s="1" t="s">
        <v>18</v>
      </c>
      <c r="H4873" s="1" t="s">
        <v>19</v>
      </c>
      <c r="I4873" s="1" t="s">
        <v>20</v>
      </c>
      <c r="J4873" s="1" t="s">
        <v>21705</v>
      </c>
      <c r="K4873" s="1" t="s">
        <v>22</v>
      </c>
      <c r="L4873" s="1" t="str">
        <f>HYPERLINK("https://files.afu.se/Downloads/Transcripts/0%20-%20Government/USA%20-%20NASA/2010 04 29 - NASA - NASA Lays Groundwork for Safer Spacecraft_4CEFHvFT59Y - transcript (automated).pdf","Transcript Link")</f>
        <v>Transcript Link</v>
      </c>
      <c r="M4873" s="2" t="str">
        <f>HYPERLINK("https://files.afu.se/Downloads/Transcripts/0%20-%20Government/USA%20-%20NASA/2010 04 29 - NASA - NASA Lays Groundwork for Safer Spacecraft_4CEFHvFT59Y - transcript (automated).pdf","Transcript Link")</f>
        <v>Transcript Link</v>
      </c>
    </row>
    <row r="4874" ht="165" spans="1:13">
      <c r="A4874" s="1" t="s">
        <v>21697</v>
      </c>
      <c r="B4874" s="1" t="s">
        <v>13</v>
      </c>
      <c r="C4874" s="4" t="s">
        <v>21706</v>
      </c>
      <c r="D4874" s="1" t="s">
        <v>21707</v>
      </c>
      <c r="E4874" s="1" t="s">
        <v>21708</v>
      </c>
      <c r="F4874" s="4" t="s">
        <v>17</v>
      </c>
      <c r="G4874" s="1" t="s">
        <v>18</v>
      </c>
      <c r="H4874" s="1" t="s">
        <v>19</v>
      </c>
      <c r="I4874" s="1" t="s">
        <v>20</v>
      </c>
      <c r="J4874" s="1" t="s">
        <v>21709</v>
      </c>
      <c r="K4874" s="1" t="s">
        <v>22</v>
      </c>
      <c r="L4874" s="1" t="str">
        <f>HYPERLINK("https://files.afu.se/Downloads/Transcripts/0%20-%20Government/USA%20-%20NASA/2010 04 29 - NASA - STS-132 Pre-Launch Training at KSC_9E6mbXqCA0U - transcript (automated).pdf","Transcript Link")</f>
        <v>Transcript Link</v>
      </c>
      <c r="M4874" s="2" t="str">
        <f>HYPERLINK("https://files.afu.se/Downloads/Transcripts/0%20-%20Government/USA%20-%20NASA/2010 04 29 - NASA - STS-132 Pre-Launch Training at KSC_9E6mbXqCA0U - transcript (automated).pdf","Transcript Link")</f>
        <v>Transcript Link</v>
      </c>
    </row>
    <row r="4875" ht="165" spans="1:13">
      <c r="A4875" s="1" t="s">
        <v>21710</v>
      </c>
      <c r="B4875" s="1" t="s">
        <v>13</v>
      </c>
      <c r="C4875" s="4" t="s">
        <v>21711</v>
      </c>
      <c r="D4875" s="1" t="s">
        <v>21712</v>
      </c>
      <c r="E4875" s="1" t="s">
        <v>21713</v>
      </c>
      <c r="F4875" s="4" t="s">
        <v>17</v>
      </c>
      <c r="G4875" s="1" t="s">
        <v>18</v>
      </c>
      <c r="H4875" s="1" t="s">
        <v>19</v>
      </c>
      <c r="I4875" s="1" t="s">
        <v>20</v>
      </c>
      <c r="J4875" s="1" t="s">
        <v>21714</v>
      </c>
      <c r="K4875" s="1" t="s">
        <v>22</v>
      </c>
      <c r="L4875" s="1" t="str">
        <f>HYPERLINK("https://files.afu.se/Downloads/Transcripts/0%20-%20Government/USA%20-%20NASA/2010 04 27 - NASA - First Earth Day Tweetup in D.C._SCZlaJznx3E - transcript (automated).pdf","Transcript Link")</f>
        <v>Transcript Link</v>
      </c>
      <c r="M4875" s="2" t="str">
        <f>HYPERLINK("https://files.afu.se/Downloads/Transcripts/0%20-%20Government/USA%20-%20NASA/2010 04 27 - NASA - First Earth Day Tweetup in D.C._SCZlaJznx3E - transcript (automated).pdf","Transcript Link")</f>
        <v>Transcript Link</v>
      </c>
    </row>
    <row r="4876" ht="165" spans="1:13">
      <c r="A4876" s="1" t="s">
        <v>21715</v>
      </c>
      <c r="B4876" s="1" t="s">
        <v>13</v>
      </c>
      <c r="C4876" s="4" t="s">
        <v>21716</v>
      </c>
      <c r="D4876" s="1" t="s">
        <v>21717</v>
      </c>
      <c r="E4876" s="1" t="s">
        <v>21718</v>
      </c>
      <c r="F4876" s="4" t="s">
        <v>17</v>
      </c>
      <c r="G4876" s="1" t="s">
        <v>18</v>
      </c>
      <c r="H4876" s="1" t="s">
        <v>19</v>
      </c>
      <c r="I4876" s="1" t="s">
        <v>20</v>
      </c>
      <c r="J4876" s="1" t="s">
        <v>21719</v>
      </c>
      <c r="K4876" s="1" t="s">
        <v>22</v>
      </c>
      <c r="L4876" s="1" t="str">
        <f>HYPERLINK("https://files.afu.se/Downloads/Transcripts/0%20-%20Government/USA%20-%20NASA/2010 04 26 - NASA - HUBBLE  Window to the Universe_fJmADQkhUeo - transcript (automated).pdf","Transcript Link")</f>
        <v>Transcript Link</v>
      </c>
      <c r="M4876" s="2" t="str">
        <f>HYPERLINK("https://files.afu.se/Downloads/Transcripts/0%20-%20Government/USA%20-%20NASA/2010 04 26 - NASA - HUBBLE  Window to the Universe_fJmADQkhUeo - transcript (automated).pdf","Transcript Link")</f>
        <v>Transcript Link</v>
      </c>
    </row>
    <row r="4877" ht="165" spans="1:13">
      <c r="A4877" s="1" t="s">
        <v>21720</v>
      </c>
      <c r="B4877" s="1" t="s">
        <v>13</v>
      </c>
      <c r="C4877" s="4" t="s">
        <v>21721</v>
      </c>
      <c r="D4877" s="1" t="s">
        <v>21722</v>
      </c>
      <c r="E4877" s="1" t="s">
        <v>21723</v>
      </c>
      <c r="F4877" s="4" t="s">
        <v>17</v>
      </c>
      <c r="G4877" s="1" t="s">
        <v>18</v>
      </c>
      <c r="H4877" s="1" t="s">
        <v>19</v>
      </c>
      <c r="I4877" s="1" t="s">
        <v>20</v>
      </c>
      <c r="J4877" s="1" t="s">
        <v>21724</v>
      </c>
      <c r="K4877" s="1" t="s">
        <v>22</v>
      </c>
      <c r="L4877" s="1" t="str">
        <f>HYPERLINK("https://files.afu.se/Downloads/Transcripts/0%20-%20Government/USA%20-%20NASA/2010 04 23 - NASA - Hubble's 20th, nine days of Earth Day, and Robonaut in space on This Week @ NASA_hqgc0a5e64Y - transcript (automated).pdf","Transcript Link")</f>
        <v>Transcript Link</v>
      </c>
      <c r="M4877" s="2" t="str">
        <f>HYPERLINK("https://files.afu.se/Downloads/Transcripts/0%20-%20Government/USA%20-%20NASA/2010 04 23 - NASA - Hubble's 20th, nine days of Earth Day, and Robonaut in space on This Week @ NASA_hqgc0a5e64Y - transcript (automated).pdf","Transcript Link")</f>
        <v>Transcript Link</v>
      </c>
    </row>
    <row r="4878" ht="165" spans="1:13">
      <c r="A4878" s="1" t="s">
        <v>21725</v>
      </c>
      <c r="B4878" s="1" t="s">
        <v>13</v>
      </c>
      <c r="C4878" s="4" t="s">
        <v>21726</v>
      </c>
      <c r="D4878" s="1" t="s">
        <v>21727</v>
      </c>
      <c r="E4878" s="1" t="s">
        <v>21728</v>
      </c>
      <c r="F4878" s="4" t="s">
        <v>17</v>
      </c>
      <c r="G4878" s="1" t="s">
        <v>18</v>
      </c>
      <c r="H4878" s="1" t="s">
        <v>19</v>
      </c>
      <c r="I4878" s="1" t="s">
        <v>20</v>
      </c>
      <c r="J4878" s="1" t="s">
        <v>21729</v>
      </c>
      <c r="K4878" s="1" t="s">
        <v>22</v>
      </c>
      <c r="L4878" s="1" t="str">
        <f>HYPERLINK("https://files.afu.se/Downloads/Transcripts/0%20-%20Government/USA%20-%20NASA/2010 04 21 - NASA - First Images  The Solar Dynamics Observatory, SDO_cgcyJxk017M - transcript (automated).pdf","Transcript Link")</f>
        <v>Transcript Link</v>
      </c>
      <c r="M4878" s="2" t="str">
        <f>HYPERLINK("https://files.afu.se/Downloads/Transcripts/0%20-%20Government/USA%20-%20NASA/2010 04 21 - NASA - First Images  The Solar Dynamics Observatory, SDO_cgcyJxk017M - transcript (automated).pdf","Transcript Link")</f>
        <v>Transcript Link</v>
      </c>
    </row>
    <row r="4879" ht="165" spans="1:13">
      <c r="A4879" s="1" t="s">
        <v>21725</v>
      </c>
      <c r="B4879" s="1" t="s">
        <v>13</v>
      </c>
      <c r="C4879" s="4" t="s">
        <v>21730</v>
      </c>
      <c r="D4879" s="1" t="s">
        <v>21731</v>
      </c>
      <c r="E4879" s="1" t="s">
        <v>21732</v>
      </c>
      <c r="F4879" s="4" t="s">
        <v>17</v>
      </c>
      <c r="G4879" s="1" t="s">
        <v>18</v>
      </c>
      <c r="H4879" s="1" t="s">
        <v>19</v>
      </c>
      <c r="I4879" s="1" t="s">
        <v>20</v>
      </c>
      <c r="J4879" s="1" t="s">
        <v>21733</v>
      </c>
      <c r="K4879" s="1" t="s">
        <v>22</v>
      </c>
      <c r="L4879" s="1" t="str">
        <f>HYPERLINK("https://files.afu.se/Downloads/Transcripts/0%20-%20Government/USA%20-%20NASA/2010 04 21 - NASA - Most Advanced Spacecraft Studies the Sun_8v_ZLc3ApuY - transcript (automated).pdf","Transcript Link")</f>
        <v>Transcript Link</v>
      </c>
      <c r="M4879" s="2" t="str">
        <f>HYPERLINK("https://files.afu.se/Downloads/Transcripts/0%20-%20Government/USA%20-%20NASA/2010 04 21 - NASA - Most Advanced Spacecraft Studies the Sun_8v_ZLc3ApuY - transcript (automated).pdf","Transcript Link")</f>
        <v>Transcript Link</v>
      </c>
    </row>
    <row r="4880" ht="165" spans="1:13">
      <c r="A4880" s="1" t="s">
        <v>21734</v>
      </c>
      <c r="B4880" s="1" t="s">
        <v>13</v>
      </c>
      <c r="C4880" s="4" t="s">
        <v>21735</v>
      </c>
      <c r="D4880" s="1" t="s">
        <v>21736</v>
      </c>
      <c r="E4880" s="1" t="s">
        <v>21737</v>
      </c>
      <c r="F4880" s="4" t="s">
        <v>17</v>
      </c>
      <c r="G4880" s="1" t="s">
        <v>18</v>
      </c>
      <c r="H4880" s="1" t="s">
        <v>19</v>
      </c>
      <c r="I4880" s="1" t="s">
        <v>20</v>
      </c>
      <c r="J4880" s="1" t="s">
        <v>21738</v>
      </c>
      <c r="K4880" s="1" t="s">
        <v>22</v>
      </c>
      <c r="L4880" s="1" t="str">
        <f>HYPERLINK("https://files.afu.se/Downloads/Transcripts/0%20-%20Government/USA%20-%20NASA/2010 04 20 - NASA - A Productive Performance_U6B2SfRLCTI - transcript (automated).pdf","Transcript Link")</f>
        <v>Transcript Link</v>
      </c>
      <c r="M4880" s="2" t="str">
        <f>HYPERLINK("https://files.afu.se/Downloads/Transcripts/0%20-%20Government/USA%20-%20NASA/2010 04 20 - NASA - A Productive Performance_U6B2SfRLCTI - transcript (automated).pdf","Transcript Link")</f>
        <v>Transcript Link</v>
      </c>
    </row>
    <row r="4881" ht="165" spans="1:13">
      <c r="A4881" s="1" t="s">
        <v>21734</v>
      </c>
      <c r="B4881" s="1" t="s">
        <v>13</v>
      </c>
      <c r="C4881" s="4" t="s">
        <v>21739</v>
      </c>
      <c r="D4881" s="1" t="s">
        <v>21740</v>
      </c>
      <c r="E4881" s="1" t="s">
        <v>21741</v>
      </c>
      <c r="F4881" s="4" t="s">
        <v>17</v>
      </c>
      <c r="G4881" s="1" t="s">
        <v>18</v>
      </c>
      <c r="H4881" s="1" t="s">
        <v>19</v>
      </c>
      <c r="I4881" s="1" t="s">
        <v>20</v>
      </c>
      <c r="J4881" s="1" t="s">
        <v>21742</v>
      </c>
      <c r="K4881" s="1" t="s">
        <v>22</v>
      </c>
      <c r="L4881" s="1" t="str">
        <f>HYPERLINK("https://files.afu.se/Downloads/Transcripts/0%20-%20Government/USA%20-%20NASA/2010 04 20 - NASA - Entry Flight Control Team a Down-to-Earth Group_MuKiaw-t-LM - transcript (automated).pdf","Transcript Link")</f>
        <v>Transcript Link</v>
      </c>
      <c r="M4881" s="2" t="str">
        <f>HYPERLINK("https://files.afu.se/Downloads/Transcripts/0%20-%20Government/USA%20-%20NASA/2010 04 20 - NASA - Entry Flight Control Team a Down-to-Earth Group_MuKiaw-t-LM - transcript (automated).pdf","Transcript Link")</f>
        <v>Transcript Link</v>
      </c>
    </row>
    <row r="4882" ht="195" spans="1:13">
      <c r="A4882" s="1" t="s">
        <v>21734</v>
      </c>
      <c r="B4882" s="1" t="s">
        <v>13</v>
      </c>
      <c r="C4882" s="4" t="s">
        <v>21743</v>
      </c>
      <c r="D4882" s="1" t="s">
        <v>21744</v>
      </c>
      <c r="E4882" s="1" t="s">
        <v>21745</v>
      </c>
      <c r="F4882" s="4" t="s">
        <v>17</v>
      </c>
      <c r="G4882" s="1" t="s">
        <v>18</v>
      </c>
      <c r="H4882" s="1" t="s">
        <v>19</v>
      </c>
      <c r="I4882" s="1" t="s">
        <v>20</v>
      </c>
      <c r="J4882" s="1" t="s">
        <v>21746</v>
      </c>
      <c r="K4882" s="1" t="s">
        <v>22</v>
      </c>
      <c r="L4882" s="1" t="str">
        <f>HYPERLINK("https://files.afu.se/Downloads/Transcripts/0%20-%20Government/USA%20-%20NASA/2010 04 20 - NASA -  Welcome Back!  Discovery Lands Safely at Kennedy_22-Ji8_kDwg - transcript (automated).pdf","Transcript Link")</f>
        <v>Transcript Link</v>
      </c>
      <c r="M4882" s="2" t="str">
        <f>HYPERLINK("https://files.afu.se/Downloads/Transcripts/0%20-%20Government/USA%20-%20NASA/2010 04 20 - NASA -  Welcome Back!  Discovery Lands Safely at Kennedy_22-Ji8_kDwg - transcript (automated).pdf","Transcript Link")</f>
        <v>Transcript Link</v>
      </c>
    </row>
    <row r="4883" ht="165" spans="1:13">
      <c r="A4883" s="1" t="s">
        <v>21747</v>
      </c>
      <c r="B4883" s="1" t="s">
        <v>13</v>
      </c>
      <c r="C4883" s="4" t="s">
        <v>21748</v>
      </c>
      <c r="D4883" s="1" t="s">
        <v>21749</v>
      </c>
      <c r="E4883" s="1" t="s">
        <v>21750</v>
      </c>
      <c r="F4883" s="4" t="s">
        <v>17</v>
      </c>
      <c r="G4883" s="1" t="s">
        <v>18</v>
      </c>
      <c r="H4883" s="1" t="s">
        <v>19</v>
      </c>
      <c r="I4883" s="1" t="s">
        <v>20</v>
      </c>
      <c r="J4883" s="1" t="s">
        <v>21751</v>
      </c>
      <c r="K4883" s="1" t="s">
        <v>22</v>
      </c>
      <c r="L4883" s="1" t="str">
        <f>HYPERLINK("https://files.afu.se/Downloads/Transcripts/0%20-%20Government/USA%20-%20NASA/2010 04 18 - NASA - Down the Home Stretch_0RVXBP3r8XA - transcript (automated).pdf","Transcript Link")</f>
        <v>Transcript Link</v>
      </c>
      <c r="M4883" s="2" t="str">
        <f>HYPERLINK("https://files.afu.se/Downloads/Transcripts/0%20-%20Government/USA%20-%20NASA/2010 04 18 - NASA - Down the Home Stretch_0RVXBP3r8XA - transcript (automated).pdf","Transcript Link")</f>
        <v>Transcript Link</v>
      </c>
    </row>
    <row r="4884" ht="165" spans="1:13">
      <c r="A4884" s="1" t="s">
        <v>21752</v>
      </c>
      <c r="B4884" s="1" t="s">
        <v>13</v>
      </c>
      <c r="C4884" s="4" t="s">
        <v>21753</v>
      </c>
      <c r="D4884" s="1" t="s">
        <v>21754</v>
      </c>
      <c r="E4884" s="1" t="s">
        <v>21755</v>
      </c>
      <c r="F4884" s="4" t="s">
        <v>17</v>
      </c>
      <c r="G4884" s="1" t="s">
        <v>18</v>
      </c>
      <c r="H4884" s="1" t="s">
        <v>19</v>
      </c>
      <c r="I4884" s="1" t="s">
        <v>20</v>
      </c>
      <c r="J4884" s="1" t="s">
        <v>21756</v>
      </c>
      <c r="K4884" s="1" t="s">
        <v>22</v>
      </c>
      <c r="L4884" s="1" t="str">
        <f>HYPERLINK("https://files.afu.se/Downloads/Transcripts/0%20-%20Government/USA%20-%20NASA/2010 04 17 - NASA - Discovery Makes Its Move_9_xOXvjBUbM - transcript (automated).pdf","Transcript Link")</f>
        <v>Transcript Link</v>
      </c>
      <c r="M4884" s="2" t="str">
        <f>HYPERLINK("https://files.afu.se/Downloads/Transcripts/0%20-%20Government/USA%20-%20NASA/2010 04 17 - NASA - Discovery Makes Its Move_9_xOXvjBUbM - transcript (automated).pdf","Transcript Link")</f>
        <v>Transcript Link</v>
      </c>
    </row>
    <row r="4885" ht="165" spans="1:13">
      <c r="A4885" s="1" t="s">
        <v>21752</v>
      </c>
      <c r="B4885" s="1" t="s">
        <v>13</v>
      </c>
      <c r="C4885" s="4" t="s">
        <v>21757</v>
      </c>
      <c r="D4885" s="1" t="s">
        <v>21758</v>
      </c>
      <c r="E4885" s="1" t="s">
        <v>21759</v>
      </c>
      <c r="F4885" s="4" t="s">
        <v>17</v>
      </c>
      <c r="G4885" s="1" t="s">
        <v>18</v>
      </c>
      <c r="H4885" s="1" t="s">
        <v>19</v>
      </c>
      <c r="I4885" s="1" t="s">
        <v>20</v>
      </c>
      <c r="J4885" s="1" t="s">
        <v>21760</v>
      </c>
      <c r="K4885" s="1" t="s">
        <v>22</v>
      </c>
      <c r="L4885" s="1" t="str">
        <f>HYPERLINK("https://files.afu.se/Downloads/Transcripts/0%20-%20Government/USA%20-%20NASA/2010 04 17 - NASA - Underbelly Under Scrutiny_dU0hlMXIGl8 - transcript (automated).pdf","Transcript Link")</f>
        <v>Transcript Link</v>
      </c>
      <c r="M4885" s="2" t="str">
        <f>HYPERLINK("https://files.afu.se/Downloads/Transcripts/0%20-%20Government/USA%20-%20NASA/2010 04 17 - NASA - Underbelly Under Scrutiny_dU0hlMXIGl8 - transcript (automated).pdf","Transcript Link")</f>
        <v>Transcript Link</v>
      </c>
    </row>
    <row r="4886" ht="165" spans="1:13">
      <c r="A4886" s="1" t="s">
        <v>21752</v>
      </c>
      <c r="B4886" s="1" t="s">
        <v>13</v>
      </c>
      <c r="C4886" s="4" t="s">
        <v>21761</v>
      </c>
      <c r="D4886" s="1" t="s">
        <v>21762</v>
      </c>
      <c r="E4886" s="1" t="s">
        <v>21763</v>
      </c>
      <c r="F4886" s="4" t="s">
        <v>17</v>
      </c>
      <c r="G4886" s="1" t="s">
        <v>18</v>
      </c>
      <c r="H4886" s="1" t="s">
        <v>19</v>
      </c>
      <c r="I4886" s="1" t="s">
        <v>20</v>
      </c>
      <c r="J4886" s="1" t="s">
        <v>21764</v>
      </c>
      <c r="K4886" s="1" t="s">
        <v>22</v>
      </c>
      <c r="L4886" s="1" t="str">
        <f>HYPERLINK("https://files.afu.se/Downloads/Transcripts/0%20-%20Government/USA%20-%20NASA/2010 04 17 - NASA - Space Station Gets Final  Once-Over _gp19XonIWr0 - transcript (automated).pdf","Transcript Link")</f>
        <v>Transcript Link</v>
      </c>
      <c r="M4886" s="2" t="str">
        <f>HYPERLINK("https://files.afu.se/Downloads/Transcripts/0%20-%20Government/USA%20-%20NASA/2010 04 17 - NASA - Space Station Gets Final  Once-Over _gp19XonIWr0 - transcript (automated).pdf","Transcript Link")</f>
        <v>Transcript Link</v>
      </c>
    </row>
    <row r="4887" ht="165" spans="1:13">
      <c r="A4887" s="1" t="s">
        <v>21752</v>
      </c>
      <c r="B4887" s="1" t="s">
        <v>13</v>
      </c>
      <c r="C4887" s="4" t="s">
        <v>21765</v>
      </c>
      <c r="D4887" s="1" t="s">
        <v>21766</v>
      </c>
      <c r="E4887" s="1" t="s">
        <v>21767</v>
      </c>
      <c r="F4887" s="4" t="s">
        <v>17</v>
      </c>
      <c r="G4887" s="1" t="s">
        <v>18</v>
      </c>
      <c r="H4887" s="1" t="s">
        <v>19</v>
      </c>
      <c r="I4887" s="1" t="s">
        <v>20</v>
      </c>
      <c r="J4887" s="1" t="s">
        <v>21768</v>
      </c>
      <c r="K4887" s="1" t="s">
        <v>22</v>
      </c>
      <c r="L4887" s="1" t="str">
        <f>HYPERLINK("https://files.afu.se/Downloads/Transcripts/0%20-%20Government/USA%20-%20NASA/2010 04 17 - NASA - Heading for Home_8Fiz8737i1o - transcript (automated).pdf","Transcript Link")</f>
        <v>Transcript Link</v>
      </c>
      <c r="M4887" s="2" t="str">
        <f>HYPERLINK("https://files.afu.se/Downloads/Transcripts/0%20-%20Government/USA%20-%20NASA/2010 04 17 - NASA - Heading for Home_8Fiz8737i1o - transcript (automated).pdf","Transcript Link")</f>
        <v>Transcript Link</v>
      </c>
    </row>
    <row r="4888" ht="165" spans="1:13">
      <c r="A4888" s="1" t="s">
        <v>21752</v>
      </c>
      <c r="B4888" s="1" t="s">
        <v>13</v>
      </c>
      <c r="C4888" s="4" t="s">
        <v>21769</v>
      </c>
      <c r="D4888" s="1" t="s">
        <v>21770</v>
      </c>
      <c r="E4888" s="1" t="s">
        <v>21771</v>
      </c>
      <c r="F4888" s="4" t="s">
        <v>17</v>
      </c>
      <c r="G4888" s="1" t="s">
        <v>18</v>
      </c>
      <c r="H4888" s="1" t="s">
        <v>19</v>
      </c>
      <c r="I4888" s="1" t="s">
        <v>20</v>
      </c>
      <c r="J4888" s="1" t="s">
        <v>21772</v>
      </c>
      <c r="K4888" s="1" t="s">
        <v>22</v>
      </c>
      <c r="L4888" s="1" t="str">
        <f>HYPERLINK("https://files.afu.se/Downloads/Transcripts/0%20-%20Government/USA%20-%20NASA/2010 04 17 - NASA - Two Spacecraft Go Separate Ways_5Kk2YiemdBY - transcript (automated).pdf","Transcript Link")</f>
        <v>Transcript Link</v>
      </c>
      <c r="M4888" s="2" t="str">
        <f>HYPERLINK("https://files.afu.se/Downloads/Transcripts/0%20-%20Government/USA%20-%20NASA/2010 04 17 - NASA - Two Spacecraft Go Separate Ways_5Kk2YiemdBY - transcript (automated).pdf","Transcript Link")</f>
        <v>Transcript Link</v>
      </c>
    </row>
    <row r="4889" ht="165" spans="1:13">
      <c r="A4889" s="1" t="s">
        <v>21752</v>
      </c>
      <c r="B4889" s="1" t="s">
        <v>13</v>
      </c>
      <c r="C4889" s="4" t="s">
        <v>21773</v>
      </c>
      <c r="D4889" s="1" t="s">
        <v>21774</v>
      </c>
      <c r="E4889" s="1" t="s">
        <v>21775</v>
      </c>
      <c r="F4889" s="4" t="s">
        <v>17</v>
      </c>
      <c r="G4889" s="1" t="s">
        <v>18</v>
      </c>
      <c r="H4889" s="1" t="s">
        <v>19</v>
      </c>
      <c r="I4889" s="1" t="s">
        <v>20</v>
      </c>
      <c r="J4889" s="1" t="s">
        <v>21776</v>
      </c>
      <c r="K4889" s="1" t="s">
        <v>22</v>
      </c>
      <c r="L4889" s="1" t="str">
        <f>HYPERLINK("https://files.afu.se/Downloads/Transcripts/0%20-%20Government/USA%20-%20NASA/2010 04 17 - NASA - STS-131  The Launch of Discovery_GWtofoEqDhk - transcript (automated).pdf","Transcript Link")</f>
        <v>Transcript Link</v>
      </c>
      <c r="M4889" s="2" t="str">
        <f>HYPERLINK("https://files.afu.se/Downloads/Transcripts/0%20-%20Government/USA%20-%20NASA/2010 04 17 - NASA - STS-131  The Launch of Discovery_GWtofoEqDhk - transcript (automated).pdf","Transcript Link")</f>
        <v>Transcript Link</v>
      </c>
    </row>
    <row r="4890" ht="165" spans="1:13">
      <c r="A4890" s="1" t="s">
        <v>21752</v>
      </c>
      <c r="B4890" s="1" t="s">
        <v>13</v>
      </c>
      <c r="C4890" s="4" t="s">
        <v>21777</v>
      </c>
      <c r="D4890" s="1" t="s">
        <v>21778</v>
      </c>
      <c r="E4890" s="1" t="s">
        <v>21779</v>
      </c>
      <c r="F4890" s="4" t="s">
        <v>17</v>
      </c>
      <c r="G4890" s="1" t="s">
        <v>18</v>
      </c>
      <c r="H4890" s="1" t="s">
        <v>19</v>
      </c>
      <c r="I4890" s="1" t="s">
        <v>20</v>
      </c>
      <c r="J4890" s="1" t="s">
        <v>21780</v>
      </c>
      <c r="K4890" s="1" t="s">
        <v>22</v>
      </c>
      <c r="L4890" s="1" t="str">
        <f>HYPERLINK("https://files.afu.se/Downloads/Transcripts/0%20-%20Government/USA%20-%20NASA/2010 04 17 - NASA - Discovery Crew Bids Adieu_Wz4oADqQdmc - transcript (automated).pdf","Transcript Link")</f>
        <v>Transcript Link</v>
      </c>
      <c r="M4890" s="2" t="str">
        <f>HYPERLINK("https://files.afu.se/Downloads/Transcripts/0%20-%20Government/USA%20-%20NASA/2010 04 17 - NASA - Discovery Crew Bids Adieu_Wz4oADqQdmc - transcript (automated).pdf","Transcript Link")</f>
        <v>Transcript Link</v>
      </c>
    </row>
    <row r="4891" ht="165" spans="1:13">
      <c r="A4891" s="1" t="s">
        <v>21752</v>
      </c>
      <c r="B4891" s="1" t="s">
        <v>13</v>
      </c>
      <c r="C4891" s="4" t="s">
        <v>21781</v>
      </c>
      <c r="D4891" s="1" t="s">
        <v>21782</v>
      </c>
      <c r="E4891" s="1" t="s">
        <v>21783</v>
      </c>
      <c r="F4891" s="4" t="s">
        <v>17</v>
      </c>
      <c r="G4891" s="1" t="s">
        <v>18</v>
      </c>
      <c r="H4891" s="1" t="s">
        <v>19</v>
      </c>
      <c r="I4891" s="1" t="s">
        <v>20</v>
      </c>
      <c r="J4891" s="1" t="s">
        <v>21784</v>
      </c>
      <c r="K4891" s="1" t="s">
        <v>22</v>
      </c>
      <c r="L4891" s="1" t="str">
        <f>HYPERLINK("https://files.afu.se/Downloads/Transcripts/0%20-%20Government/USA%20-%20NASA/2010 04 17 - NASA - President Obama Outlines Plan for US Space Program and NASA Achievements Honored_KNQ6o_iWlyM - transcript (automated).pdf","Transcript Link")</f>
        <v>Transcript Link</v>
      </c>
      <c r="M4891" s="2" t="str">
        <f>HYPERLINK("https://files.afu.se/Downloads/Transcripts/0%20-%20Government/USA%20-%20NASA/2010 04 17 - NASA - President Obama Outlines Plan for US Space Program and NASA Achievements Honored_KNQ6o_iWlyM - transcript (automated).pdf","Transcript Link")</f>
        <v>Transcript Link</v>
      </c>
    </row>
    <row r="4892" ht="165" spans="1:13">
      <c r="A4892" s="1" t="s">
        <v>21785</v>
      </c>
      <c r="B4892" s="1" t="s">
        <v>13</v>
      </c>
      <c r="C4892" s="4" t="s">
        <v>21786</v>
      </c>
      <c r="D4892" s="1" t="s">
        <v>21787</v>
      </c>
      <c r="E4892" s="1" t="s">
        <v>21788</v>
      </c>
      <c r="F4892" s="4" t="s">
        <v>17</v>
      </c>
      <c r="G4892" s="1" t="s">
        <v>18</v>
      </c>
      <c r="H4892" s="1" t="s">
        <v>19</v>
      </c>
      <c r="I4892" s="1" t="s">
        <v>20</v>
      </c>
      <c r="J4892" s="1" t="s">
        <v>21789</v>
      </c>
      <c r="K4892" s="1" t="s">
        <v>22</v>
      </c>
      <c r="L4892" s="1" t="str">
        <f>HYPERLINK("https://files.afu.se/Downloads/Transcripts/0%20-%20Government/USA%20-%20NASA/2010 04 16 - NASA - Camera Captures  Clean  Heat Shield_7T84BBLi-GQ - transcript (automated).pdf","Transcript Link")</f>
        <v>Transcript Link</v>
      </c>
      <c r="M4892" s="2" t="str">
        <f>HYPERLINK("https://files.afu.se/Downloads/Transcripts/0%20-%20Government/USA%20-%20NASA/2010 04 16 - NASA - Camera Captures  Clean  Heat Shield_7T84BBLi-GQ - transcript (automated).pdf","Transcript Link")</f>
        <v>Transcript Link</v>
      </c>
    </row>
    <row r="4893" ht="180" spans="1:13">
      <c r="A4893" s="1" t="s">
        <v>21785</v>
      </c>
      <c r="B4893" s="1" t="s">
        <v>13</v>
      </c>
      <c r="C4893" s="4" t="s">
        <v>21790</v>
      </c>
      <c r="D4893" s="1" t="s">
        <v>21791</v>
      </c>
      <c r="E4893" s="1" t="s">
        <v>21792</v>
      </c>
      <c r="F4893" s="4" t="s">
        <v>17</v>
      </c>
      <c r="G4893" s="1" t="s">
        <v>18</v>
      </c>
      <c r="H4893" s="1" t="s">
        <v>19</v>
      </c>
      <c r="I4893" s="1" t="s">
        <v>20</v>
      </c>
      <c r="J4893" s="1" t="s">
        <v>21793</v>
      </c>
      <c r="K4893" s="1" t="s">
        <v>22</v>
      </c>
      <c r="L4893" s="1" t="str">
        <f>HYPERLINK("https://files.afu.se/Downloads/Transcripts/0%20-%20Government/USA%20-%20NASA/2010 04 16 - NASA -  Changing the Game  in Space_kRgzdOjBoAU - transcript (automated).pdf","Transcript Link")</f>
        <v>Transcript Link</v>
      </c>
      <c r="M4893" s="2" t="str">
        <f>HYPERLINK("https://files.afu.se/Downloads/Transcripts/0%20-%20Government/USA%20-%20NASA/2010 04 16 - NASA -  Changing the Game  in Space_kRgzdOjBoAU - transcript (automated).pdf","Transcript Link")</f>
        <v>Transcript Link</v>
      </c>
    </row>
    <row r="4894" ht="225" spans="1:13">
      <c r="A4894" s="1" t="s">
        <v>21785</v>
      </c>
      <c r="B4894" s="1" t="s">
        <v>13</v>
      </c>
      <c r="C4894" s="4" t="s">
        <v>21794</v>
      </c>
      <c r="D4894" s="1" t="s">
        <v>21795</v>
      </c>
      <c r="E4894" s="1" t="s">
        <v>21796</v>
      </c>
      <c r="F4894" s="4" t="s">
        <v>17</v>
      </c>
      <c r="G4894" s="1" t="s">
        <v>18</v>
      </c>
      <c r="H4894" s="1" t="s">
        <v>19</v>
      </c>
      <c r="I4894" s="1" t="s">
        <v>20</v>
      </c>
      <c r="J4894" s="1" t="s">
        <v>21797</v>
      </c>
      <c r="K4894" s="1" t="s">
        <v>22</v>
      </c>
      <c r="L4894" s="1" t="str">
        <f>HYPERLINK("https://files.afu.se/Downloads/Transcripts/0%20-%20Government/USA%20-%20NASA/2010 04 16 - NASA - NASA's Bolden Offers Space Conference Overview_OTotzOtUANw - transcript (automated).pdf","Transcript Link")</f>
        <v>Transcript Link</v>
      </c>
      <c r="M4894" s="2" t="str">
        <f>HYPERLINK("https://files.afu.se/Downloads/Transcripts/0%20-%20Government/USA%20-%20NASA/2010 04 16 - NASA - NASA's Bolden Offers Space Conference Overview_OTotzOtUANw - transcript (automated).pdf","Transcript Link")</f>
        <v>Transcript Link</v>
      </c>
    </row>
    <row r="4895" ht="270" spans="1:13">
      <c r="A4895" s="1" t="s">
        <v>21785</v>
      </c>
      <c r="B4895" s="1" t="s">
        <v>13</v>
      </c>
      <c r="C4895" s="4" t="s">
        <v>21798</v>
      </c>
      <c r="D4895" s="1" t="s">
        <v>21799</v>
      </c>
      <c r="E4895" s="1" t="s">
        <v>21800</v>
      </c>
      <c r="F4895" s="4" t="s">
        <v>17</v>
      </c>
      <c r="G4895" s="1" t="s">
        <v>18</v>
      </c>
      <c r="H4895" s="1" t="s">
        <v>19</v>
      </c>
      <c r="I4895" s="1" t="s">
        <v>20</v>
      </c>
      <c r="J4895" s="1" t="s">
        <v>21801</v>
      </c>
      <c r="K4895" s="1" t="s">
        <v>22</v>
      </c>
      <c r="L4895" s="1" t="str">
        <f>HYPERLINK("https://files.afu.se/Downloads/Transcripts/0%20-%20Government/USA%20-%20NASA/2010 04 16 - NASA - Space Conference Called  Constructive,   Productive _9WeCUJHwaB0 - transcript (automated).pdf","Transcript Link")</f>
        <v>Transcript Link</v>
      </c>
      <c r="M4895" s="2" t="str">
        <f>HYPERLINK("https://files.afu.se/Downloads/Transcripts/0%20-%20Government/USA%20-%20NASA/2010 04 16 - NASA - Space Conference Called  Constructive,   Productive _9WeCUJHwaB0 - transcript (automated).pdf","Transcript Link")</f>
        <v>Transcript Link</v>
      </c>
    </row>
    <row r="4896" ht="195" spans="1:13">
      <c r="A4896" s="1" t="s">
        <v>21785</v>
      </c>
      <c r="B4896" s="1" t="s">
        <v>13</v>
      </c>
      <c r="C4896" s="4" t="s">
        <v>21802</v>
      </c>
      <c r="D4896" s="1" t="s">
        <v>21803</v>
      </c>
      <c r="E4896" s="1" t="s">
        <v>21804</v>
      </c>
      <c r="F4896" s="4" t="s">
        <v>17</v>
      </c>
      <c r="G4896" s="1" t="s">
        <v>18</v>
      </c>
      <c r="H4896" s="1" t="s">
        <v>19</v>
      </c>
      <c r="I4896" s="1" t="s">
        <v>20</v>
      </c>
      <c r="J4896" s="1" t="s">
        <v>21805</v>
      </c>
      <c r="K4896" s="1" t="s">
        <v>22</v>
      </c>
      <c r="L4896" s="1" t="str">
        <f>HYPERLINK("https://files.afu.se/Downloads/Transcripts/0%20-%20Government/USA%20-%20NASA/2010 04 16 - NASA - Making Space Pay_is_6crooDG0 - transcript (automated).pdf","Transcript Link")</f>
        <v>Transcript Link</v>
      </c>
      <c r="M4896" s="2" t="str">
        <f>HYPERLINK("https://files.afu.se/Downloads/Transcripts/0%20-%20Government/USA%20-%20NASA/2010 04 16 - NASA - Making Space Pay_is_6crooDG0 - transcript (automated).pdf","Transcript Link")</f>
        <v>Transcript Link</v>
      </c>
    </row>
    <row r="4897" ht="165" spans="1:13">
      <c r="A4897" s="1" t="s">
        <v>21785</v>
      </c>
      <c r="B4897" s="1" t="s">
        <v>13</v>
      </c>
      <c r="C4897" s="4" t="s">
        <v>21806</v>
      </c>
      <c r="D4897" s="1" t="s">
        <v>21807</v>
      </c>
      <c r="E4897" s="1" t="s">
        <v>21808</v>
      </c>
      <c r="F4897" s="4" t="s">
        <v>17</v>
      </c>
      <c r="G4897" s="1" t="s">
        <v>18</v>
      </c>
      <c r="H4897" s="1" t="s">
        <v>19</v>
      </c>
      <c r="I4897" s="1" t="s">
        <v>20</v>
      </c>
      <c r="J4897" s="1" t="s">
        <v>21809</v>
      </c>
      <c r="K4897" s="1" t="s">
        <v>22</v>
      </c>
      <c r="L4897" s="1" t="str">
        <f>HYPERLINK("https://files.afu.se/Downloads/Transcripts/0%20-%20Government/USA%20-%20NASA/2010 04 16 - NASA - A National Laboratory with World-Class Promise_MOIKfHWAUmw - transcript (automated).pdf","Transcript Link")</f>
        <v>Transcript Link</v>
      </c>
      <c r="M4897" s="2" t="str">
        <f>HYPERLINK("https://files.afu.se/Downloads/Transcripts/0%20-%20Government/USA%20-%20NASA/2010 04 16 - NASA - A National Laboratory with World-Class Promise_MOIKfHWAUmw - transcript (automated).pdf","Transcript Link")</f>
        <v>Transcript Link</v>
      </c>
    </row>
    <row r="4898" ht="180" spans="1:13">
      <c r="A4898" s="1" t="s">
        <v>21785</v>
      </c>
      <c r="B4898" s="1" t="s">
        <v>13</v>
      </c>
      <c r="C4898" s="4" t="s">
        <v>21810</v>
      </c>
      <c r="D4898" s="1" t="s">
        <v>21811</v>
      </c>
      <c r="E4898" s="1" t="s">
        <v>21812</v>
      </c>
      <c r="F4898" s="4" t="s">
        <v>17</v>
      </c>
      <c r="G4898" s="1" t="s">
        <v>18</v>
      </c>
      <c r="H4898" s="1" t="s">
        <v>19</v>
      </c>
      <c r="I4898" s="1" t="s">
        <v>20</v>
      </c>
      <c r="J4898" s="1" t="s">
        <v>21813</v>
      </c>
      <c r="K4898" s="1" t="s">
        <v>22</v>
      </c>
      <c r="L4898" s="1" t="str">
        <f>HYPERLINK("https://files.afu.se/Downloads/Transcripts/0%20-%20Government/USA%20-%20NASA/2010 04 16 - NASA - Extending the Reach of Exploration_7VAPO276VEE - transcript (automated).pdf","Transcript Link")</f>
        <v>Transcript Link</v>
      </c>
      <c r="M4898" s="2" t="str">
        <f>HYPERLINK("https://files.afu.se/Downloads/Transcripts/0%20-%20Government/USA%20-%20NASA/2010 04 16 - NASA - Extending the Reach of Exploration_7VAPO276VEE - transcript (automated).pdf","Transcript Link")</f>
        <v>Transcript Link</v>
      </c>
    </row>
    <row r="4899" ht="165" spans="1:13">
      <c r="A4899" s="1" t="s">
        <v>21785</v>
      </c>
      <c r="B4899" s="1" t="s">
        <v>13</v>
      </c>
      <c r="C4899" s="4" t="s">
        <v>21814</v>
      </c>
      <c r="D4899" s="1" t="s">
        <v>21815</v>
      </c>
      <c r="E4899" s="1" t="s">
        <v>21816</v>
      </c>
      <c r="F4899" s="4" t="s">
        <v>17</v>
      </c>
      <c r="G4899" s="1" t="s">
        <v>18</v>
      </c>
      <c r="H4899" s="1" t="s">
        <v>19</v>
      </c>
      <c r="I4899" s="1" t="s">
        <v>20</v>
      </c>
      <c r="J4899" s="1" t="s">
        <v>21817</v>
      </c>
      <c r="K4899" s="1" t="s">
        <v>22</v>
      </c>
      <c r="L4899" s="1" t="str">
        <f>HYPERLINK("https://files.afu.se/Downloads/Transcripts/0%20-%20Government/USA%20-%20NASA/2010 04 16 - NASA - Moving Module  Doubles  as Dumpster on Return Flight_TmxagW97EHc - transcript (automated).pdf","Transcript Link")</f>
        <v>Transcript Link</v>
      </c>
      <c r="M4899" s="2" t="str">
        <f>HYPERLINK("https://files.afu.se/Downloads/Transcripts/0%20-%20Government/USA%20-%20NASA/2010 04 16 - NASA - Moving Module  Doubles  as Dumpster on Return Flight_TmxagW97EHc - transcript (automated).pdf","Transcript Link")</f>
        <v>Transcript Link</v>
      </c>
    </row>
    <row r="4900" ht="375" spans="1:13">
      <c r="A4900" s="1" t="s">
        <v>21785</v>
      </c>
      <c r="B4900" s="1" t="s">
        <v>13</v>
      </c>
      <c r="C4900" s="4" t="s">
        <v>21818</v>
      </c>
      <c r="D4900" s="1" t="s">
        <v>21819</v>
      </c>
      <c r="E4900" s="1" t="s">
        <v>21820</v>
      </c>
      <c r="F4900" s="4" t="s">
        <v>17</v>
      </c>
      <c r="G4900" s="1" t="s">
        <v>18</v>
      </c>
      <c r="H4900" s="1" t="s">
        <v>19</v>
      </c>
      <c r="I4900" s="1" t="s">
        <v>20</v>
      </c>
      <c r="J4900" s="1" t="s">
        <v>21821</v>
      </c>
      <c r="K4900" s="1" t="s">
        <v>22</v>
      </c>
      <c r="L4900" s="1" t="str">
        <f>HYPERLINK("https://files.afu.se/Downloads/Transcripts/0%20-%20Government/USA%20-%20NASA/2010 04 16 - NASA - President Obama Pledges Total Commitment to NASA_3rNn_cUrlmE - transcript (automated).pdf","Transcript Link")</f>
        <v>Transcript Link</v>
      </c>
      <c r="M4900" s="2" t="str">
        <f>HYPERLINK("https://files.afu.se/Downloads/Transcripts/0%20-%20Government/USA%20-%20NASA/2010 04 16 - NASA - President Obama Pledges Total Commitment to NASA_3rNn_cUrlmE - transcript (automated).pdf","Transcript Link")</f>
        <v>Transcript Link</v>
      </c>
    </row>
    <row r="4901" ht="375" spans="1:13">
      <c r="A4901" s="1" t="s">
        <v>21822</v>
      </c>
      <c r="B4901" s="1" t="s">
        <v>13</v>
      </c>
      <c r="C4901" s="4" t="s">
        <v>21823</v>
      </c>
      <c r="D4901" s="1" t="s">
        <v>21819</v>
      </c>
      <c r="E4901" s="1" t="s">
        <v>21824</v>
      </c>
      <c r="F4901" s="4" t="s">
        <v>17</v>
      </c>
      <c r="G4901" s="1" t="s">
        <v>18</v>
      </c>
      <c r="H4901" s="1" t="s">
        <v>19</v>
      </c>
      <c r="I4901" s="1" t="s">
        <v>20</v>
      </c>
      <c r="J4901" s="1" t="s">
        <v>21825</v>
      </c>
      <c r="K4901" s="1" t="s">
        <v>22</v>
      </c>
      <c r="L4901" s="1" t="str">
        <f>HYPERLINK("https://files.afu.se/Downloads/Transcripts/0%20-%20Government/USA%20-%20NASA/2010 04 15 - NASA - President Obama Pledges Total Commitment to NASA_DiS4m7MX9bg - transcript (automated).pdf","Transcript Link")</f>
        <v>Transcript Link</v>
      </c>
      <c r="M4901" s="2" t="str">
        <f>HYPERLINK("https://files.afu.se/Downloads/Transcripts/0%20-%20Government/USA%20-%20NASA/2010 04 15 - NASA - President Obama Pledges Total Commitment to NASA_DiS4m7MX9bg - transcript (automated).pdf","Transcript Link")</f>
        <v>Transcript Link</v>
      </c>
    </row>
    <row r="4902" ht="165" spans="1:13">
      <c r="A4902" s="1" t="s">
        <v>21822</v>
      </c>
      <c r="B4902" s="1" t="s">
        <v>13</v>
      </c>
      <c r="C4902" s="4" t="s">
        <v>21826</v>
      </c>
      <c r="D4902" s="1" t="s">
        <v>21827</v>
      </c>
      <c r="E4902" s="1" t="s">
        <v>21828</v>
      </c>
      <c r="F4902" s="4" t="s">
        <v>17</v>
      </c>
      <c r="G4902" s="1" t="s">
        <v>18</v>
      </c>
      <c r="H4902" s="1" t="s">
        <v>19</v>
      </c>
      <c r="I4902" s="1" t="s">
        <v>20</v>
      </c>
      <c r="J4902" s="1" t="s">
        <v>21829</v>
      </c>
      <c r="K4902" s="1" t="s">
        <v>22</v>
      </c>
      <c r="L4902" s="1" t="str">
        <f>HYPERLINK("https://files.afu.se/Downloads/Transcripts/0%20-%20Government/USA%20-%20NASA/2010 04 15 - NASA - President Concludes NASA Space Conference Visit_pbMvnppbVYo - transcript (automated).pdf","Transcript Link")</f>
        <v>Transcript Link</v>
      </c>
      <c r="M4902" s="2" t="str">
        <f>HYPERLINK("https://files.afu.se/Downloads/Transcripts/0%20-%20Government/USA%20-%20NASA/2010 04 15 - NASA - President Concludes NASA Space Conference Visit_pbMvnppbVYo - transcript (automated).pdf","Transcript Link")</f>
        <v>Transcript Link</v>
      </c>
    </row>
    <row r="4903" ht="165" spans="1:13">
      <c r="A4903" s="1" t="s">
        <v>21822</v>
      </c>
      <c r="B4903" s="1" t="s">
        <v>13</v>
      </c>
      <c r="C4903" s="4" t="s">
        <v>21830</v>
      </c>
      <c r="D4903" s="1" t="s">
        <v>21831</v>
      </c>
      <c r="E4903" s="1" t="s">
        <v>21832</v>
      </c>
      <c r="F4903" s="4" t="s">
        <v>17</v>
      </c>
      <c r="G4903" s="1" t="s">
        <v>18</v>
      </c>
      <c r="H4903" s="1" t="s">
        <v>19</v>
      </c>
      <c r="I4903" s="1" t="s">
        <v>20</v>
      </c>
      <c r="J4903" s="1" t="s">
        <v>21833</v>
      </c>
      <c r="K4903" s="1" t="s">
        <v>22</v>
      </c>
      <c r="L4903" s="1" t="str">
        <f>HYPERLINK("https://files.afu.se/Downloads/Transcripts/0%20-%20Government/USA%20-%20NASA/2010 04 15 - NASA - A New Era of Innovation and Discovery - President Obama's Plan for NASA_hVS8mjLiP90 - transcript (automated).pdf","Transcript Link")</f>
        <v>Transcript Link</v>
      </c>
      <c r="M4903" s="2" t="str">
        <f>HYPERLINK("https://files.afu.se/Downloads/Transcripts/0%20-%20Government/USA%20-%20NASA/2010 04 15 - NASA - A New Era of Innovation and Discovery - President Obama's Plan for NASA_hVS8mjLiP90 - transcript (automated).pdf","Transcript Link")</f>
        <v>Transcript Link</v>
      </c>
    </row>
    <row r="4904" ht="165" spans="1:13">
      <c r="A4904" s="1" t="s">
        <v>21822</v>
      </c>
      <c r="B4904" s="1" t="s">
        <v>13</v>
      </c>
      <c r="C4904" s="4" t="s">
        <v>21834</v>
      </c>
      <c r="D4904" s="1" t="s">
        <v>21835</v>
      </c>
      <c r="E4904" s="1" t="s">
        <v>21836</v>
      </c>
      <c r="F4904" s="4" t="s">
        <v>17</v>
      </c>
      <c r="G4904" s="1" t="s">
        <v>18</v>
      </c>
      <c r="H4904" s="1" t="s">
        <v>19</v>
      </c>
      <c r="I4904" s="1" t="s">
        <v>20</v>
      </c>
      <c r="J4904" s="1" t="s">
        <v>21837</v>
      </c>
      <c r="K4904" s="1" t="s">
        <v>22</v>
      </c>
      <c r="L4904" s="1" t="str">
        <f>HYPERLINK("https://files.afu.se/Downloads/Transcripts/0%20-%20Government/USA%20-%20NASA/2010 04 15 - NASA - President Arrives in Florida to Launch Space Conference_kUQksM2OAaY - transcript (automated).pdf","Transcript Link")</f>
        <v>Transcript Link</v>
      </c>
      <c r="M4904" s="2" t="str">
        <f>HYPERLINK("https://files.afu.se/Downloads/Transcripts/0%20-%20Government/USA%20-%20NASA/2010 04 15 - NASA - President Arrives in Florida to Launch Space Conference_kUQksM2OAaY - transcript (automated).pdf","Transcript Link")</f>
        <v>Transcript Link</v>
      </c>
    </row>
    <row r="4905" ht="165" spans="1:13">
      <c r="A4905" s="1" t="s">
        <v>21838</v>
      </c>
      <c r="B4905" s="1" t="s">
        <v>13</v>
      </c>
      <c r="C4905" s="4" t="s">
        <v>21839</v>
      </c>
      <c r="D4905" s="1" t="s">
        <v>21840</v>
      </c>
      <c r="E4905" s="1" t="s">
        <v>21841</v>
      </c>
      <c r="F4905" s="4" t="s">
        <v>17</v>
      </c>
      <c r="G4905" s="1" t="s">
        <v>18</v>
      </c>
      <c r="H4905" s="1" t="s">
        <v>19</v>
      </c>
      <c r="I4905" s="1" t="s">
        <v>20</v>
      </c>
      <c r="J4905" s="1" t="s">
        <v>21842</v>
      </c>
      <c r="K4905" s="1" t="s">
        <v>22</v>
      </c>
      <c r="L4905" s="1" t="str">
        <f>HYPERLINK("https://files.afu.se/Downloads/Transcripts/0%20-%20Government/USA%20-%20NASA/2010 04 14 - NASA - Cargo, Class and Crews' Conference_hEL5-AprbtA - transcript (automated).pdf","Transcript Link")</f>
        <v>Transcript Link</v>
      </c>
      <c r="M4905" s="2" t="str">
        <f>HYPERLINK("https://files.afu.se/Downloads/Transcripts/0%20-%20Government/USA%20-%20NASA/2010 04 14 - NASA - Cargo, Class and Crews' Conference_hEL5-AprbtA - transcript (automated).pdf","Transcript Link")</f>
        <v>Transcript Link</v>
      </c>
    </row>
    <row r="4906" ht="165" spans="1:13">
      <c r="A4906" s="1" t="s">
        <v>21838</v>
      </c>
      <c r="B4906" s="1" t="s">
        <v>13</v>
      </c>
      <c r="C4906" s="4" t="s">
        <v>21843</v>
      </c>
      <c r="D4906" s="1" t="s">
        <v>21844</v>
      </c>
      <c r="E4906" s="1" t="s">
        <v>21845</v>
      </c>
      <c r="F4906" s="4" t="s">
        <v>17</v>
      </c>
      <c r="G4906" s="1" t="s">
        <v>18</v>
      </c>
      <c r="H4906" s="1" t="s">
        <v>19</v>
      </c>
      <c r="I4906" s="1" t="s">
        <v>20</v>
      </c>
      <c r="J4906" s="1" t="s">
        <v>21846</v>
      </c>
      <c r="K4906" s="1" t="s">
        <v>22</v>
      </c>
      <c r="L4906" s="1" t="str">
        <f>HYPERLINK("https://files.afu.se/Downloads/Transcripts/0%20-%20Government/USA%20-%20NASA/2010 04 14 - NASA - Former Teacher Calls Class from Space_dDjoD_rK-oY - transcript (automated).pdf","Transcript Link")</f>
        <v>Transcript Link</v>
      </c>
      <c r="M4906" s="2" t="str">
        <f>HYPERLINK("https://files.afu.se/Downloads/Transcripts/0%20-%20Government/USA%20-%20NASA/2010 04 14 - NASA - Former Teacher Calls Class from Space_dDjoD_rK-oY - transcript (automated).pdf","Transcript Link")</f>
        <v>Transcript Link</v>
      </c>
    </row>
    <row r="4907" ht="165" spans="1:13">
      <c r="A4907" s="1" t="s">
        <v>21838</v>
      </c>
      <c r="B4907" s="1" t="s">
        <v>13</v>
      </c>
      <c r="C4907" s="4" t="s">
        <v>21847</v>
      </c>
      <c r="D4907" s="1" t="s">
        <v>21848</v>
      </c>
      <c r="E4907" s="1" t="s">
        <v>21849</v>
      </c>
      <c r="F4907" s="4" t="s">
        <v>17</v>
      </c>
      <c r="G4907" s="1" t="s">
        <v>18</v>
      </c>
      <c r="H4907" s="1" t="s">
        <v>19</v>
      </c>
      <c r="I4907" s="1" t="s">
        <v>20</v>
      </c>
      <c r="J4907" s="1" t="s">
        <v>21850</v>
      </c>
      <c r="K4907" s="1" t="s">
        <v>22</v>
      </c>
      <c r="L4907" s="1" t="str">
        <f>HYPERLINK("https://files.afu.se/Downloads/Transcripts/0%20-%20Government/USA%20-%20NASA/2010 04 14 - NASA - Living It  Up  Together_L6vuOx7AN4w - transcript (automated).pdf","Transcript Link")</f>
        <v>Transcript Link</v>
      </c>
      <c r="M4907" s="2" t="str">
        <f>HYPERLINK("https://files.afu.se/Downloads/Transcripts/0%20-%20Government/USA%20-%20NASA/2010 04 14 - NASA - Living It  Up  Together_L6vuOx7AN4w - transcript (automated).pdf","Transcript Link")</f>
        <v>Transcript Link</v>
      </c>
    </row>
    <row r="4908" ht="165" spans="1:13">
      <c r="A4908" s="1" t="s">
        <v>21838</v>
      </c>
      <c r="B4908" s="1" t="s">
        <v>13</v>
      </c>
      <c r="C4908" s="4" t="s">
        <v>21851</v>
      </c>
      <c r="D4908" s="1" t="s">
        <v>21852</v>
      </c>
      <c r="E4908" s="1" t="s">
        <v>21853</v>
      </c>
      <c r="F4908" s="4" t="s">
        <v>17</v>
      </c>
      <c r="G4908" s="1" t="s">
        <v>18</v>
      </c>
      <c r="H4908" s="1" t="s">
        <v>19</v>
      </c>
      <c r="I4908" s="1" t="s">
        <v>20</v>
      </c>
      <c r="J4908" s="1" t="s">
        <v>21854</v>
      </c>
      <c r="K4908" s="1" t="s">
        <v>22</v>
      </c>
      <c r="L4908" s="1" t="str">
        <f>HYPERLINK("https://files.afu.se/Downloads/Transcripts/0%20-%20Government/USA%20-%20NASA/2010 04 14 - NASA - Supplies Split Up on ISS_zsF3WHWGuoE - transcript (automated).pdf","Transcript Link")</f>
        <v>Transcript Link</v>
      </c>
      <c r="M4908" s="2" t="str">
        <f>HYPERLINK("https://files.afu.se/Downloads/Transcripts/0%20-%20Government/USA%20-%20NASA/2010 04 14 - NASA - Supplies Split Up on ISS_zsF3WHWGuoE - transcript (automated).pdf","Transcript Link")</f>
        <v>Transcript Link</v>
      </c>
    </row>
    <row r="4909" ht="165" spans="1:13">
      <c r="A4909" s="1" t="s">
        <v>21838</v>
      </c>
      <c r="B4909" s="1" t="s">
        <v>13</v>
      </c>
      <c r="C4909" s="4" t="s">
        <v>21855</v>
      </c>
      <c r="D4909" s="1" t="s">
        <v>21856</v>
      </c>
      <c r="E4909" s="1" t="s">
        <v>21857</v>
      </c>
      <c r="F4909" s="4" t="s">
        <v>17</v>
      </c>
      <c r="G4909" s="1" t="s">
        <v>18</v>
      </c>
      <c r="H4909" s="1" t="s">
        <v>19</v>
      </c>
      <c r="I4909" s="1" t="s">
        <v>20</v>
      </c>
      <c r="J4909" s="1" t="s">
        <v>21858</v>
      </c>
      <c r="K4909" s="1" t="s">
        <v>22</v>
      </c>
      <c r="L4909" s="1" t="str">
        <f>HYPERLINK("https://files.afu.se/Downloads/Transcripts/0%20-%20Government/USA%20-%20NASA/2010 04 14 - NASA -  Moving  Continues In and Out of Station_8DDaWb-xUEs - transcript (automated).pdf","Transcript Link")</f>
        <v>Transcript Link</v>
      </c>
      <c r="M4909" s="2" t="str">
        <f>HYPERLINK("https://files.afu.se/Downloads/Transcripts/0%20-%20Government/USA%20-%20NASA/2010 04 14 - NASA -  Moving  Continues In and Out of Station_8DDaWb-xUEs - transcript (automated).pdf","Transcript Link")</f>
        <v>Transcript Link</v>
      </c>
    </row>
    <row r="4910" ht="165" spans="1:13">
      <c r="A4910" s="1" t="s">
        <v>21859</v>
      </c>
      <c r="B4910" s="1" t="s">
        <v>13</v>
      </c>
      <c r="C4910" s="4" t="s">
        <v>21860</v>
      </c>
      <c r="D4910" s="1" t="s">
        <v>21861</v>
      </c>
      <c r="E4910" s="1" t="s">
        <v>21862</v>
      </c>
      <c r="F4910" s="4" t="s">
        <v>17</v>
      </c>
      <c r="G4910" s="1" t="s">
        <v>18</v>
      </c>
      <c r="H4910" s="1" t="s">
        <v>19</v>
      </c>
      <c r="I4910" s="1" t="s">
        <v>20</v>
      </c>
      <c r="J4910" s="1" t="s">
        <v>21863</v>
      </c>
      <c r="K4910" s="1" t="s">
        <v>22</v>
      </c>
      <c r="L4910" s="1" t="str">
        <f>HYPERLINK("https://files.afu.se/Downloads/Transcripts/0%20-%20Government/USA%20-%20NASA/2010 04 12 - NASA - Astros Prep to Step In Space_wQUB_KveKxE - transcript (automated).pdf","Transcript Link")</f>
        <v>Transcript Link</v>
      </c>
      <c r="M4910" s="2" t="str">
        <f>HYPERLINK("https://files.afu.se/Downloads/Transcripts/0%20-%20Government/USA%20-%20NASA/2010 04 12 - NASA - Astros Prep to Step In Space_wQUB_KveKxE - transcript (automated).pdf","Transcript Link")</f>
        <v>Transcript Link</v>
      </c>
    </row>
    <row r="4911" ht="165" spans="1:13">
      <c r="A4911" s="1" t="s">
        <v>21859</v>
      </c>
      <c r="B4911" s="1" t="s">
        <v>13</v>
      </c>
      <c r="C4911" s="4" t="s">
        <v>21864</v>
      </c>
      <c r="D4911" s="1" t="s">
        <v>21865</v>
      </c>
      <c r="E4911" s="1" t="s">
        <v>21866</v>
      </c>
      <c r="F4911" s="4" t="s">
        <v>17</v>
      </c>
      <c r="G4911" s="1" t="s">
        <v>18</v>
      </c>
      <c r="H4911" s="1" t="s">
        <v>19</v>
      </c>
      <c r="I4911" s="1" t="s">
        <v>20</v>
      </c>
      <c r="J4911" s="1" t="s">
        <v>21867</v>
      </c>
      <c r="K4911" s="1" t="s">
        <v>22</v>
      </c>
      <c r="L4911" s="1" t="str">
        <f>HYPERLINK("https://files.afu.se/Downloads/Transcripts/0%20-%20Government/USA%20-%20NASA/2010 04 12 - NASA - Making the Rounds on Orbit_Ca0Mjoo-eGE - transcript (automated).pdf","Transcript Link")</f>
        <v>Transcript Link</v>
      </c>
      <c r="M4911" s="2" t="str">
        <f>HYPERLINK("https://files.afu.se/Downloads/Transcripts/0%20-%20Government/USA%20-%20NASA/2010 04 12 - NASA - Making the Rounds on Orbit_Ca0Mjoo-eGE - transcript (automated).pdf","Transcript Link")</f>
        <v>Transcript Link</v>
      </c>
    </row>
    <row r="4912" ht="165" spans="1:13">
      <c r="A4912" s="1" t="s">
        <v>21868</v>
      </c>
      <c r="B4912" s="1" t="s">
        <v>13</v>
      </c>
      <c r="C4912" s="4" t="s">
        <v>21869</v>
      </c>
      <c r="D4912" s="1" t="s">
        <v>21870</v>
      </c>
      <c r="E4912" s="1" t="s">
        <v>21871</v>
      </c>
      <c r="F4912" s="4" t="s">
        <v>17</v>
      </c>
      <c r="G4912" s="1" t="s">
        <v>18</v>
      </c>
      <c r="H4912" s="1" t="s">
        <v>19</v>
      </c>
      <c r="I4912" s="1" t="s">
        <v>20</v>
      </c>
      <c r="J4912" s="1" t="s">
        <v>21872</v>
      </c>
      <c r="K4912" s="1" t="s">
        <v>22</v>
      </c>
      <c r="L4912" s="1" t="str">
        <f>HYPERLINK("https://files.afu.se/Downloads/Transcripts/0%20-%20Government/USA%20-%20NASA/2010 04 11 - NASA - Astronauts  Grapple  In Orbit_rCn5TqEPXLs - transcript (automated).pdf","Transcript Link")</f>
        <v>Transcript Link</v>
      </c>
      <c r="M4912" s="2" t="str">
        <f>HYPERLINK("https://files.afu.se/Downloads/Transcripts/0%20-%20Government/USA%20-%20NASA/2010 04 11 - NASA - Astronauts  Grapple  In Orbit_rCn5TqEPXLs - transcript (automated).pdf","Transcript Link")</f>
        <v>Transcript Link</v>
      </c>
    </row>
    <row r="4913" ht="165" spans="1:13">
      <c r="A4913" s="1" t="s">
        <v>21868</v>
      </c>
      <c r="B4913" s="1" t="s">
        <v>13</v>
      </c>
      <c r="C4913" s="4" t="s">
        <v>21873</v>
      </c>
      <c r="D4913" s="1" t="s">
        <v>21874</v>
      </c>
      <c r="E4913" s="1" t="s">
        <v>21875</v>
      </c>
      <c r="F4913" s="4" t="s">
        <v>17</v>
      </c>
      <c r="G4913" s="1" t="s">
        <v>18</v>
      </c>
      <c r="H4913" s="1" t="s">
        <v>19</v>
      </c>
      <c r="I4913" s="1" t="s">
        <v>20</v>
      </c>
      <c r="J4913" s="1" t="s">
        <v>21876</v>
      </c>
      <c r="K4913" s="1" t="s">
        <v>22</v>
      </c>
      <c r="L4913" s="1" t="str">
        <f>HYPERLINK("https://files.afu.se/Downloads/Transcripts/0%20-%20Government/USA%20-%20NASA/2010 04 11 - NASA - HD  Crew Choice  Video_uftxel9ue3Y - transcript (automated).pdf","Transcript Link")</f>
        <v>Transcript Link</v>
      </c>
      <c r="M4913" s="2" t="str">
        <f>HYPERLINK("https://files.afu.se/Downloads/Transcripts/0%20-%20Government/USA%20-%20NASA/2010 04 11 - NASA - HD  Crew Choice  Video_uftxel9ue3Y - transcript (automated).pdf","Transcript Link")</f>
        <v>Transcript Link</v>
      </c>
    </row>
    <row r="4914" ht="165" spans="1:13">
      <c r="A4914" s="1" t="s">
        <v>21868</v>
      </c>
      <c r="B4914" s="1" t="s">
        <v>13</v>
      </c>
      <c r="C4914" s="4" t="s">
        <v>21877</v>
      </c>
      <c r="D4914" s="1" t="s">
        <v>21878</v>
      </c>
      <c r="E4914" s="1" t="s">
        <v>21879</v>
      </c>
      <c r="F4914" s="4" t="s">
        <v>17</v>
      </c>
      <c r="G4914" s="1" t="s">
        <v>18</v>
      </c>
      <c r="H4914" s="1" t="s">
        <v>19</v>
      </c>
      <c r="I4914" s="1" t="s">
        <v>20</v>
      </c>
      <c r="J4914" s="1" t="s">
        <v>21880</v>
      </c>
      <c r="K4914" s="1" t="s">
        <v>22</v>
      </c>
      <c r="L4914" s="1" t="str">
        <f>HYPERLINK("https://files.afu.se/Downloads/Transcripts/0%20-%20Government/USA%20-%20NASA/2010 04 11 - NASA - New Equipment Installed Outside ISS_tu0b2zEHiuk - transcript (automated).pdf","Transcript Link")</f>
        <v>Transcript Link</v>
      </c>
      <c r="M4914" s="2" t="str">
        <f>HYPERLINK("https://files.afu.se/Downloads/Transcripts/0%20-%20Government/USA%20-%20NASA/2010 04 11 - NASA - New Equipment Installed Outside ISS_tu0b2zEHiuk - transcript (automated).pdf","Transcript Link")</f>
        <v>Transcript Link</v>
      </c>
    </row>
    <row r="4915" ht="165" spans="1:13">
      <c r="A4915" s="1" t="s">
        <v>21868</v>
      </c>
      <c r="B4915" s="1" t="s">
        <v>13</v>
      </c>
      <c r="C4915" s="4" t="s">
        <v>21881</v>
      </c>
      <c r="D4915" s="1" t="s">
        <v>21882</v>
      </c>
      <c r="E4915" s="1" t="s">
        <v>21883</v>
      </c>
      <c r="F4915" s="4" t="s">
        <v>17</v>
      </c>
      <c r="G4915" s="1" t="s">
        <v>18</v>
      </c>
      <c r="H4915" s="1" t="s">
        <v>19</v>
      </c>
      <c r="I4915" s="1" t="s">
        <v>20</v>
      </c>
      <c r="J4915" s="1" t="s">
        <v>21884</v>
      </c>
      <c r="K4915" s="1" t="s">
        <v>22</v>
      </c>
      <c r="L4915" s="1" t="str">
        <f>HYPERLINK("https://files.afu.se/Downloads/Transcripts/0%20-%20Government/USA%20-%20NASA/2010 04 11 - NASA - Next Up  Spacewalk %232_Ftwromsqui8 - transcript (automated).pdf","Transcript Link")</f>
        <v>Transcript Link</v>
      </c>
      <c r="M4915" s="2" t="str">
        <f>HYPERLINK("https://files.afu.se/Downloads/Transcripts/0%20-%20Government/USA%20-%20NASA/2010 04 11 - NASA - Next Up  Spacewalk %232_Ftwromsqui8 - transcript (automated).pdf","Transcript Link")</f>
        <v>Transcript Link</v>
      </c>
    </row>
    <row r="4916" ht="165" spans="1:13">
      <c r="A4916" s="1" t="s">
        <v>21868</v>
      </c>
      <c r="B4916" s="1" t="s">
        <v>13</v>
      </c>
      <c r="C4916" s="4" t="s">
        <v>21885</v>
      </c>
      <c r="D4916" s="1" t="s">
        <v>21886</v>
      </c>
      <c r="E4916" s="1" t="s">
        <v>21887</v>
      </c>
      <c r="F4916" s="4" t="s">
        <v>17</v>
      </c>
      <c r="G4916" s="1" t="s">
        <v>18</v>
      </c>
      <c r="H4916" s="1" t="s">
        <v>19</v>
      </c>
      <c r="I4916" s="1" t="s">
        <v>20</v>
      </c>
      <c r="J4916" s="1" t="s">
        <v>21888</v>
      </c>
      <c r="K4916" s="1" t="s">
        <v>22</v>
      </c>
      <c r="L4916" s="1" t="str">
        <f>HYPERLINK("https://files.afu.se/Downloads/Transcripts/0%20-%20Government/USA%20-%20NASA/2010 04 11 - NASA - A Smooth Day 6 in Space_GZerpR-poSA - transcript (automated).pdf","Transcript Link")</f>
        <v>Transcript Link</v>
      </c>
      <c r="M4916" s="2" t="str">
        <f>HYPERLINK("https://files.afu.se/Downloads/Transcripts/0%20-%20Government/USA%20-%20NASA/2010 04 11 - NASA - A Smooth Day 6 in Space_GZerpR-poSA - transcript (automated).pdf","Transcript Link")</f>
        <v>Transcript Link</v>
      </c>
    </row>
    <row r="4917" ht="165" spans="1:13">
      <c r="A4917" s="1" t="s">
        <v>21868</v>
      </c>
      <c r="B4917" s="1" t="s">
        <v>13</v>
      </c>
      <c r="C4917" s="4" t="s">
        <v>21889</v>
      </c>
      <c r="D4917" s="1" t="s">
        <v>21890</v>
      </c>
      <c r="E4917" s="1" t="s">
        <v>21891</v>
      </c>
      <c r="F4917" s="4" t="s">
        <v>17</v>
      </c>
      <c r="G4917" s="1" t="s">
        <v>18</v>
      </c>
      <c r="H4917" s="1" t="s">
        <v>19</v>
      </c>
      <c r="I4917" s="1" t="s">
        <v>20</v>
      </c>
      <c r="J4917" s="1" t="s">
        <v>21892</v>
      </c>
      <c r="K4917" s="1" t="s">
        <v>22</v>
      </c>
      <c r="L4917" s="1" t="str">
        <f>HYPERLINK("https://files.afu.se/Downloads/Transcripts/0%20-%20Government/USA%20-%20NASA/2010 04 11 - NASA -  What's it Like in Space  _Iokt2j7KcGw - transcript (automated).pdf","Transcript Link")</f>
        <v>Transcript Link</v>
      </c>
      <c r="M4917" s="2" t="str">
        <f>HYPERLINK("https://files.afu.se/Downloads/Transcripts/0%20-%20Government/USA%20-%20NASA/2010 04 11 - NASA -  What's it Like in Space  _Iokt2j7KcGw - transcript (automated).pdf","Transcript Link")</f>
        <v>Transcript Link</v>
      </c>
    </row>
    <row r="4918" ht="165" spans="1:13">
      <c r="A4918" s="1" t="s">
        <v>21868</v>
      </c>
      <c r="B4918" s="1" t="s">
        <v>13</v>
      </c>
      <c r="C4918" s="4" t="s">
        <v>21893</v>
      </c>
      <c r="D4918" s="1" t="s">
        <v>21894</v>
      </c>
      <c r="E4918" s="1" t="s">
        <v>21895</v>
      </c>
      <c r="F4918" s="4" t="s">
        <v>17</v>
      </c>
      <c r="G4918" s="1" t="s">
        <v>18</v>
      </c>
      <c r="H4918" s="1" t="s">
        <v>19</v>
      </c>
      <c r="I4918" s="1" t="s">
        <v>20</v>
      </c>
      <c r="J4918" s="1" t="s">
        <v>21896</v>
      </c>
      <c r="K4918" s="1" t="s">
        <v>22</v>
      </c>
      <c r="L4918" s="1" t="str">
        <f>HYPERLINK("https://files.afu.se/Downloads/Transcripts/0%20-%20Government/USA%20-%20NASA/2010 04 11 - NASA - Spacewalkers  Chill,  Chat After First EVA_HF-Nx_ESe5o - transcript (automated).pdf","Transcript Link")</f>
        <v>Transcript Link</v>
      </c>
      <c r="M4918" s="2" t="str">
        <f>HYPERLINK("https://files.afu.se/Downloads/Transcripts/0%20-%20Government/USA%20-%20NASA/2010 04 11 - NASA - Spacewalkers  Chill,  Chat After First EVA_HF-Nx_ESe5o - transcript (automated).pdf","Transcript Link")</f>
        <v>Transcript Link</v>
      </c>
    </row>
    <row r="4919" ht="165" spans="1:13">
      <c r="A4919" s="1" t="s">
        <v>21897</v>
      </c>
      <c r="B4919" s="1" t="s">
        <v>13</v>
      </c>
      <c r="C4919" s="4" t="s">
        <v>21898</v>
      </c>
      <c r="D4919" s="1" t="s">
        <v>21899</v>
      </c>
      <c r="E4919" s="1" t="s">
        <v>21900</v>
      </c>
      <c r="F4919" s="4" t="s">
        <v>17</v>
      </c>
      <c r="G4919" s="1" t="s">
        <v>18</v>
      </c>
      <c r="H4919" s="1" t="s">
        <v>19</v>
      </c>
      <c r="I4919" s="1" t="s">
        <v>20</v>
      </c>
      <c r="J4919" s="1" t="s">
        <v>21901</v>
      </c>
      <c r="K4919" s="1" t="s">
        <v>22</v>
      </c>
      <c r="L4919" s="1" t="str">
        <f>HYPERLINK("https://files.afu.se/Downloads/Transcripts/0%20-%20Government/USA%20-%20NASA/2010 04 09 - NASA - Life On Orbit_J-CwYzo2tVE - transcript (automated).pdf","Transcript Link")</f>
        <v>Transcript Link</v>
      </c>
      <c r="M4919" s="2" t="str">
        <f>HYPERLINK("https://files.afu.se/Downloads/Transcripts/0%20-%20Government/USA%20-%20NASA/2010 04 09 - NASA - Life On Orbit_J-CwYzo2tVE - transcript (automated).pdf","Transcript Link")</f>
        <v>Transcript Link</v>
      </c>
    </row>
    <row r="4920" ht="165" spans="1:13">
      <c r="A4920" s="1" t="s">
        <v>21897</v>
      </c>
      <c r="B4920" s="1" t="s">
        <v>13</v>
      </c>
      <c r="C4920" s="4" t="s">
        <v>21902</v>
      </c>
      <c r="D4920" s="1" t="s">
        <v>21903</v>
      </c>
      <c r="E4920" s="1" t="s">
        <v>21904</v>
      </c>
      <c r="F4920" s="4" t="s">
        <v>17</v>
      </c>
      <c r="G4920" s="1" t="s">
        <v>18</v>
      </c>
      <c r="H4920" s="1" t="s">
        <v>19</v>
      </c>
      <c r="I4920" s="1" t="s">
        <v>20</v>
      </c>
      <c r="J4920" s="1" t="s">
        <v>21905</v>
      </c>
      <c r="K4920" s="1" t="s">
        <v>22</v>
      </c>
      <c r="L4920" s="1" t="str">
        <f>HYPERLINK("https://files.afu.se/Downloads/Transcripts/0%20-%20Government/USA%20-%20NASA/2010 04 09 - NASA - Volcanic Venus, Hi-Tech Tank Dome, and Just Another Day on Mars! on  This Week @ NASA _f9zIwdur1ns - transcript (automated).pdf","Transcript Link")</f>
        <v>Transcript Link</v>
      </c>
      <c r="M4920" s="2" t="str">
        <f>HYPERLINK("https://files.afu.se/Downloads/Transcripts/0%20-%20Government/USA%20-%20NASA/2010 04 09 - NASA - Volcanic Venus, Hi-Tech Tank Dome, and Just Another Day on Mars! on  This Week @ NASA _f9zIwdur1ns - transcript (automated).pdf","Transcript Link")</f>
        <v>Transcript Link</v>
      </c>
    </row>
    <row r="4921" ht="165" spans="1:13">
      <c r="A4921" s="1" t="s">
        <v>21897</v>
      </c>
      <c r="B4921" s="1" t="s">
        <v>13</v>
      </c>
      <c r="C4921" s="4" t="s">
        <v>21906</v>
      </c>
      <c r="D4921" s="1" t="s">
        <v>21907</v>
      </c>
      <c r="E4921" s="1" t="s">
        <v>21908</v>
      </c>
      <c r="F4921" s="4" t="s">
        <v>17</v>
      </c>
      <c r="G4921" s="1" t="s">
        <v>18</v>
      </c>
      <c r="H4921" s="1" t="s">
        <v>19</v>
      </c>
      <c r="I4921" s="1" t="s">
        <v>20</v>
      </c>
      <c r="J4921" s="1" t="s">
        <v>21909</v>
      </c>
      <c r="K4921" s="1" t="s">
        <v>22</v>
      </c>
      <c r="L4921" s="1" t="str">
        <f>HYPERLINK("https://files.afu.se/Downloads/Transcripts/0%20-%20Government/USA%20-%20NASA/2010 04 09 - NASA - Astronauts Have a Busy Work Day in Space_Vq3ciWeixlc - transcript (automated).pdf","Transcript Link")</f>
        <v>Transcript Link</v>
      </c>
      <c r="M4921" s="2" t="str">
        <f>HYPERLINK("https://files.afu.se/Downloads/Transcripts/0%20-%20Government/USA%20-%20NASA/2010 04 09 - NASA - Astronauts Have a Busy Work Day in Space_Vq3ciWeixlc - transcript (automated).pdf","Transcript Link")</f>
        <v>Transcript Link</v>
      </c>
    </row>
    <row r="4922" ht="165" spans="1:13">
      <c r="A4922" s="1" t="s">
        <v>21897</v>
      </c>
      <c r="B4922" s="1" t="s">
        <v>13</v>
      </c>
      <c r="C4922" s="4" t="s">
        <v>21910</v>
      </c>
      <c r="D4922" s="1" t="s">
        <v>21911</v>
      </c>
      <c r="E4922" s="1" t="s">
        <v>21912</v>
      </c>
      <c r="F4922" s="4" t="s">
        <v>17</v>
      </c>
      <c r="G4922" s="1" t="s">
        <v>18</v>
      </c>
      <c r="H4922" s="1" t="s">
        <v>19</v>
      </c>
      <c r="I4922" s="1" t="s">
        <v>20</v>
      </c>
      <c r="J4922" s="1" t="s">
        <v>21913</v>
      </c>
      <c r="K4922" s="1" t="s">
        <v>22</v>
      </c>
      <c r="L4922" s="1" t="str">
        <f>HYPERLINK("https://files.afu.se/Downloads/Transcripts/0%20-%20Government/USA%20-%20NASA/2010 04 09 - NASA - Astronauts Complete Mission's First Spacewalk_xrDiyL-EnF4 - transcript (automated).pdf","Transcript Link")</f>
        <v>Transcript Link</v>
      </c>
      <c r="M4922" s="2" t="str">
        <f>HYPERLINK("https://files.afu.se/Downloads/Transcripts/0%20-%20Government/USA%20-%20NASA/2010 04 09 - NASA - Astronauts Complete Mission's First Spacewalk_xrDiyL-EnF4 - transcript (automated).pdf","Transcript Link")</f>
        <v>Transcript Link</v>
      </c>
    </row>
    <row r="4923" ht="165" spans="1:13">
      <c r="A4923" s="1" t="s">
        <v>21914</v>
      </c>
      <c r="B4923" s="1" t="s">
        <v>13</v>
      </c>
      <c r="C4923" s="4" t="s">
        <v>21915</v>
      </c>
      <c r="D4923" s="1" t="s">
        <v>21916</v>
      </c>
      <c r="E4923" s="1" t="s">
        <v>21917</v>
      </c>
      <c r="F4923" s="4" t="s">
        <v>17</v>
      </c>
      <c r="G4923" s="1" t="s">
        <v>18</v>
      </c>
      <c r="H4923" s="1" t="s">
        <v>19</v>
      </c>
      <c r="I4923" s="1" t="s">
        <v>20</v>
      </c>
      <c r="J4923" s="1" t="s">
        <v>21918</v>
      </c>
      <c r="K4923" s="1" t="s">
        <v>22</v>
      </c>
      <c r="L4923" s="1" t="str">
        <f>HYPERLINK("https://files.afu.se/Downloads/Transcripts/0%20-%20Government/USA%20-%20NASA/2010 04 08 - NASA - Spacewalk Preps Among Highlights of Shuttle Crew's Fourth Day in Space_INvGFsDt2_0 - transcript (automated).pdf","Transcript Link")</f>
        <v>Transcript Link</v>
      </c>
      <c r="M4923" s="2" t="str">
        <f>HYPERLINK("https://files.afu.se/Downloads/Transcripts/0%20-%20Government/USA%20-%20NASA/2010 04 08 - NASA - Spacewalk Preps Among Highlights of Shuttle Crew's Fourth Day in Space_INvGFsDt2_0 - transcript (automated).pdf","Transcript Link")</f>
        <v>Transcript Link</v>
      </c>
    </row>
    <row r="4924" ht="165" spans="1:13">
      <c r="A4924" s="1" t="s">
        <v>21914</v>
      </c>
      <c r="B4924" s="1" t="s">
        <v>13</v>
      </c>
      <c r="C4924" s="4" t="s">
        <v>21919</v>
      </c>
      <c r="D4924" s="1" t="s">
        <v>21920</v>
      </c>
      <c r="E4924" s="1" t="s">
        <v>21921</v>
      </c>
      <c r="F4924" s="4" t="s">
        <v>17</v>
      </c>
      <c r="G4924" s="1" t="s">
        <v>18</v>
      </c>
      <c r="H4924" s="1" t="s">
        <v>19</v>
      </c>
      <c r="I4924" s="1" t="s">
        <v>20</v>
      </c>
      <c r="J4924" s="1" t="s">
        <v>21922</v>
      </c>
      <c r="K4924" s="1" t="s">
        <v>22</v>
      </c>
      <c r="L4924" s="1" t="str">
        <f>HYPERLINK("https://files.afu.se/Downloads/Transcripts/0%20-%20Government/USA%20-%20NASA/2010 04 08 - NASA - Shuttle Trio Working Hard, Enjoying Time in Space_-n-y1eiLJcM - transcript (automated).pdf","Transcript Link")</f>
        <v>Transcript Link</v>
      </c>
      <c r="M4924" s="2" t="str">
        <f>HYPERLINK("https://files.afu.se/Downloads/Transcripts/0%20-%20Government/USA%20-%20NASA/2010 04 08 - NASA - Shuttle Trio Working Hard, Enjoying Time in Space_-n-y1eiLJcM - transcript (automated).pdf","Transcript Link")</f>
        <v>Transcript Link</v>
      </c>
    </row>
    <row r="4925" ht="165" spans="1:13">
      <c r="A4925" s="1" t="s">
        <v>21923</v>
      </c>
      <c r="B4925" s="1" t="s">
        <v>13</v>
      </c>
      <c r="C4925" s="4" t="s">
        <v>21924</v>
      </c>
      <c r="D4925" s="1" t="s">
        <v>21925</v>
      </c>
      <c r="F4925" s="4" t="s">
        <v>17</v>
      </c>
      <c r="G4925" s="1" t="s">
        <v>18</v>
      </c>
      <c r="H4925" s="1" t="s">
        <v>19</v>
      </c>
      <c r="I4925" s="1" t="s">
        <v>20</v>
      </c>
      <c r="J4925" s="1" t="s">
        <v>21926</v>
      </c>
      <c r="K4925" s="1" t="s">
        <v>22</v>
      </c>
      <c r="L4925" s="1" t="str">
        <f>HYPERLINK("https://files.afu.se/Downloads/Transcripts/0%20-%20Government/USA%20-%20NASA/2010 04 07 - NASA - Space Shuttle Discovery Retrospective_pF4GMHTZNSI - transcript (automated).pdf","Transcript Link")</f>
        <v>Transcript Link</v>
      </c>
      <c r="M4925" s="2" t="str">
        <f>HYPERLINK("https://files.afu.se/Downloads/Transcripts/0%20-%20Government/USA%20-%20NASA/2010 04 07 - NASA - Space Shuttle Discovery Retrospective_pF4GMHTZNSI - transcript (automated).pdf","Transcript Link")</f>
        <v>Transcript Link</v>
      </c>
    </row>
    <row r="4926" ht="165" spans="1:13">
      <c r="A4926" s="1" t="s">
        <v>21923</v>
      </c>
      <c r="B4926" s="1" t="s">
        <v>13</v>
      </c>
      <c r="C4926" s="4" t="s">
        <v>21927</v>
      </c>
      <c r="D4926" s="1" t="s">
        <v>21928</v>
      </c>
      <c r="E4926" s="1" t="s">
        <v>21929</v>
      </c>
      <c r="F4926" s="4" t="s">
        <v>17</v>
      </c>
      <c r="G4926" s="1" t="s">
        <v>18</v>
      </c>
      <c r="H4926" s="1" t="s">
        <v>19</v>
      </c>
      <c r="I4926" s="1" t="s">
        <v>20</v>
      </c>
      <c r="J4926" s="1" t="s">
        <v>21930</v>
      </c>
      <c r="K4926" s="1" t="s">
        <v>22</v>
      </c>
      <c r="L4926" s="1" t="str">
        <f>HYPERLINK("https://files.afu.se/Downloads/Transcripts/0%20-%20Government/USA%20-%20NASA/2010 04 07 - NASA - Rendezvous Tops Flight Day 3 Highlights_816Y-FhplW8 - transcript (automated).pdf","Transcript Link")</f>
        <v>Transcript Link</v>
      </c>
      <c r="M4926" s="2" t="str">
        <f>HYPERLINK("https://files.afu.se/Downloads/Transcripts/0%20-%20Government/USA%20-%20NASA/2010 04 07 - NASA - Rendezvous Tops Flight Day 3 Highlights_816Y-FhplW8 - transcript (automated).pdf","Transcript Link")</f>
        <v>Transcript Link</v>
      </c>
    </row>
    <row r="4927" ht="180" spans="1:13">
      <c r="A4927" s="1" t="s">
        <v>21923</v>
      </c>
      <c r="B4927" s="1" t="s">
        <v>13</v>
      </c>
      <c r="C4927" s="4" t="s">
        <v>21931</v>
      </c>
      <c r="D4927" s="1" t="s">
        <v>21932</v>
      </c>
      <c r="E4927" s="1" t="s">
        <v>21933</v>
      </c>
      <c r="F4927" s="4" t="s">
        <v>17</v>
      </c>
      <c r="G4927" s="1" t="s">
        <v>18</v>
      </c>
      <c r="H4927" s="1" t="s">
        <v>19</v>
      </c>
      <c r="I4927" s="1" t="s">
        <v>20</v>
      </c>
      <c r="J4927" s="1" t="s">
        <v>21934</v>
      </c>
      <c r="K4927" s="1" t="s">
        <v>22</v>
      </c>
      <c r="L4927" s="1" t="str">
        <f>HYPERLINK("https://files.afu.se/Downloads/Transcripts/0%20-%20Government/USA%20-%20NASA/2010 04 07 - NASA - 131 Plus 23 Makes Baker's Dozen on Space Station_OX4bLGfl8k8 - transcript (automated).pdf","Transcript Link")</f>
        <v>Transcript Link</v>
      </c>
      <c r="M4927" s="2" t="str">
        <f>HYPERLINK("https://files.afu.se/Downloads/Transcripts/0%20-%20Government/USA%20-%20NASA/2010 04 07 - NASA - 131 Plus 23 Makes Baker's Dozen on Space Station_OX4bLGfl8k8 - transcript (automated).pdf","Transcript Link")</f>
        <v>Transcript Link</v>
      </c>
    </row>
    <row r="4928" ht="165" spans="1:13">
      <c r="A4928" s="1" t="s">
        <v>21923</v>
      </c>
      <c r="B4928" s="1" t="s">
        <v>13</v>
      </c>
      <c r="C4928" s="4" t="s">
        <v>21935</v>
      </c>
      <c r="D4928" s="1" t="s">
        <v>21936</v>
      </c>
      <c r="E4928" s="1" t="s">
        <v>21937</v>
      </c>
      <c r="F4928" s="4" t="s">
        <v>17</v>
      </c>
      <c r="G4928" s="1" t="s">
        <v>18</v>
      </c>
      <c r="H4928" s="1" t="s">
        <v>19</v>
      </c>
      <c r="I4928" s="1" t="s">
        <v>20</v>
      </c>
      <c r="J4928" s="1" t="s">
        <v>21938</v>
      </c>
      <c r="K4928" s="1" t="s">
        <v>22</v>
      </c>
      <c r="L4928" s="1" t="str">
        <f>HYPERLINK("https://files.afu.se/Downloads/Transcripts/0%20-%20Government/USA%20-%20NASA/2010 04 07 - NASA - STS-131 Crew Arrives Safely at Station_qWJoIsBVTp4 - transcript (automated).pdf","Transcript Link")</f>
        <v>Transcript Link</v>
      </c>
      <c r="M4928" s="2" t="str">
        <f>HYPERLINK("https://files.afu.se/Downloads/Transcripts/0%20-%20Government/USA%20-%20NASA/2010 04 07 - NASA - STS-131 Crew Arrives Safely at Station_qWJoIsBVTp4 - transcript (automated).pdf","Transcript Link")</f>
        <v>Transcript Link</v>
      </c>
    </row>
    <row r="4929" ht="165" spans="1:13">
      <c r="A4929" s="1" t="s">
        <v>21923</v>
      </c>
      <c r="B4929" s="1" t="s">
        <v>13</v>
      </c>
      <c r="C4929" s="4" t="s">
        <v>21939</v>
      </c>
      <c r="D4929" s="1" t="s">
        <v>21940</v>
      </c>
      <c r="E4929" s="1" t="s">
        <v>21941</v>
      </c>
      <c r="F4929" s="4" t="s">
        <v>17</v>
      </c>
      <c r="G4929" s="1" t="s">
        <v>18</v>
      </c>
      <c r="H4929" s="1" t="s">
        <v>19</v>
      </c>
      <c r="I4929" s="1" t="s">
        <v>20</v>
      </c>
      <c r="J4929" s="1" t="s">
        <v>21942</v>
      </c>
      <c r="K4929" s="1" t="s">
        <v>22</v>
      </c>
      <c r="L4929" s="1" t="str">
        <f>HYPERLINK("https://files.afu.se/Downloads/Transcripts/0%20-%20Government/USA%20-%20NASA/2010 04 07 - NASA - Discovery Back Flips for Safety_3i0oRu9dHoA - transcript (automated).pdf","Transcript Link")</f>
        <v>Transcript Link</v>
      </c>
      <c r="M4929" s="2" t="str">
        <f>HYPERLINK("https://files.afu.se/Downloads/Transcripts/0%20-%20Government/USA%20-%20NASA/2010 04 07 - NASA - Discovery Back Flips for Safety_3i0oRu9dHoA - transcript (automated).pdf","Transcript Link")</f>
        <v>Transcript Link</v>
      </c>
    </row>
    <row r="4930" ht="165" spans="1:13">
      <c r="A4930" s="1" t="s">
        <v>21943</v>
      </c>
      <c r="B4930" s="1" t="s">
        <v>13</v>
      </c>
      <c r="C4930" s="4" t="s">
        <v>21944</v>
      </c>
      <c r="D4930" s="1" t="s">
        <v>21945</v>
      </c>
      <c r="E4930" s="1" t="s">
        <v>21946</v>
      </c>
      <c r="F4930" s="4" t="s">
        <v>17</v>
      </c>
      <c r="G4930" s="1" t="s">
        <v>18</v>
      </c>
      <c r="H4930" s="1" t="s">
        <v>19</v>
      </c>
      <c r="I4930" s="1" t="s">
        <v>20</v>
      </c>
      <c r="J4930" s="1" t="s">
        <v>21947</v>
      </c>
      <c r="K4930" s="1" t="s">
        <v>22</v>
      </c>
      <c r="L4930" s="1" t="str">
        <f>HYPERLINK("https://files.afu.se/Downloads/Transcripts/0%20-%20Government/USA%20-%20NASA/2010 04 06 - NASA - Blended Wing Body Completes Phase-1Tests_GHz2B_4g2tM - transcript (automated).pdf","Transcript Link")</f>
        <v>Transcript Link</v>
      </c>
      <c r="M4930" s="2" t="str">
        <f>HYPERLINK("https://files.afu.se/Downloads/Transcripts/0%20-%20Government/USA%20-%20NASA/2010 04 06 - NASA - Blended Wing Body Completes Phase-1Tests_GHz2B_4g2tM - transcript (automated).pdf","Transcript Link")</f>
        <v>Transcript Link</v>
      </c>
    </row>
    <row r="4931" ht="165" spans="1:13">
      <c r="A4931" s="1" t="s">
        <v>21943</v>
      </c>
      <c r="B4931" s="1" t="s">
        <v>13</v>
      </c>
      <c r="C4931" s="4" t="s">
        <v>21948</v>
      </c>
      <c r="D4931" s="1" t="s">
        <v>21949</v>
      </c>
      <c r="E4931" s="1" t="s">
        <v>21950</v>
      </c>
      <c r="F4931" s="4" t="s">
        <v>17</v>
      </c>
      <c r="G4931" s="1" t="s">
        <v>18</v>
      </c>
      <c r="H4931" s="1" t="s">
        <v>19</v>
      </c>
      <c r="I4931" s="1" t="s">
        <v>20</v>
      </c>
      <c r="J4931" s="1" t="s">
        <v>21951</v>
      </c>
      <c r="K4931" s="1" t="s">
        <v>22</v>
      </c>
      <c r="L4931" s="1" t="str">
        <f>HYPERLINK("https://files.afu.se/Downloads/Transcripts/0%20-%20Government/USA%20-%20NASA/2010 04 06 - NASA - Hatch Opens To Complete Station Crew_-daDU6xe7Ks - transcript (automated).pdf","Transcript Link")</f>
        <v>Transcript Link</v>
      </c>
      <c r="M4931" s="2" t="str">
        <f>HYPERLINK("https://files.afu.se/Downloads/Transcripts/0%20-%20Government/USA%20-%20NASA/2010 04 06 - NASA - Hatch Opens To Complete Station Crew_-daDU6xe7Ks - transcript (automated).pdf","Transcript Link")</f>
        <v>Transcript Link</v>
      </c>
    </row>
    <row r="4932" ht="165" spans="1:13">
      <c r="A4932" s="1" t="s">
        <v>21943</v>
      </c>
      <c r="B4932" s="1" t="s">
        <v>13</v>
      </c>
      <c r="C4932" s="4" t="s">
        <v>21952</v>
      </c>
      <c r="D4932" s="1" t="s">
        <v>21953</v>
      </c>
      <c r="E4932" s="1" t="s">
        <v>21954</v>
      </c>
      <c r="F4932" s="4" t="s">
        <v>17</v>
      </c>
      <c r="G4932" s="1" t="s">
        <v>18</v>
      </c>
      <c r="H4932" s="1" t="s">
        <v>19</v>
      </c>
      <c r="I4932" s="1" t="s">
        <v>20</v>
      </c>
      <c r="J4932" s="1" t="s">
        <v>21955</v>
      </c>
      <c r="K4932" s="1" t="s">
        <v>22</v>
      </c>
      <c r="L4932" s="1" t="str">
        <f>HYPERLINK("https://files.afu.se/Downloads/Transcripts/0%20-%20Government/USA%20-%20NASA/2010 04 06 - NASA - Robotics Help Safety Review On Flight Day 2 Highlights_vO5dAouznCg - transcript (automated).pdf","Transcript Link")</f>
        <v>Transcript Link</v>
      </c>
      <c r="M4932" s="2" t="str">
        <f>HYPERLINK("https://files.afu.se/Downloads/Transcripts/0%20-%20Government/USA%20-%20NASA/2010 04 06 - NASA - Robotics Help Safety Review On Flight Day 2 Highlights_vO5dAouznCg - transcript (automated).pdf","Transcript Link")</f>
        <v>Transcript Link</v>
      </c>
    </row>
    <row r="4933" ht="165" spans="1:13">
      <c r="A4933" s="1" t="s">
        <v>21943</v>
      </c>
      <c r="B4933" s="1" t="s">
        <v>13</v>
      </c>
      <c r="C4933" s="4" t="s">
        <v>21956</v>
      </c>
      <c r="D4933" s="1" t="s">
        <v>21957</v>
      </c>
      <c r="E4933" s="1" t="s">
        <v>21958</v>
      </c>
      <c r="F4933" s="4" t="s">
        <v>17</v>
      </c>
      <c r="G4933" s="1" t="s">
        <v>18</v>
      </c>
      <c r="H4933" s="1" t="s">
        <v>19</v>
      </c>
      <c r="I4933" s="1" t="s">
        <v>20</v>
      </c>
      <c r="J4933" s="1" t="s">
        <v>21959</v>
      </c>
      <c r="K4933" s="1" t="s">
        <v>22</v>
      </c>
      <c r="L4933" s="1" t="str">
        <f>HYPERLINK("https://files.afu.se/Downloads/Transcripts/0%20-%20Government/USA%20-%20NASA/2010 04 06 - NASA - Luminious Launch Leads Flight Day 1 Highlights_8FDs9rxFrJ0 - transcript (automated).pdf","Transcript Link")</f>
        <v>Transcript Link</v>
      </c>
      <c r="M4933" s="2" t="str">
        <f>HYPERLINK("https://files.afu.se/Downloads/Transcripts/0%20-%20Government/USA%20-%20NASA/2010 04 06 - NASA - Luminious Launch Leads Flight Day 1 Highlights_8FDs9rxFrJ0 - transcript (automated).pdf","Transcript Link")</f>
        <v>Transcript Link</v>
      </c>
    </row>
    <row r="4934" ht="165" spans="1:13">
      <c r="A4934" s="1" t="s">
        <v>21960</v>
      </c>
      <c r="B4934" s="1" t="s">
        <v>13</v>
      </c>
      <c r="C4934" s="4" t="s">
        <v>21961</v>
      </c>
      <c r="D4934" s="1" t="s">
        <v>21962</v>
      </c>
      <c r="E4934" s="1" t="s">
        <v>21963</v>
      </c>
      <c r="F4934" s="4" t="s">
        <v>17</v>
      </c>
      <c r="G4934" s="1" t="s">
        <v>18</v>
      </c>
      <c r="H4934" s="1" t="s">
        <v>19</v>
      </c>
      <c r="I4934" s="1" t="s">
        <v>20</v>
      </c>
      <c r="J4934" s="1" t="s">
        <v>21964</v>
      </c>
      <c r="K4934" s="1" t="s">
        <v>22</v>
      </c>
      <c r="L4934" s="1" t="str">
        <f>HYPERLINK("https://files.afu.se/Downloads/Transcripts/0%20-%20Government/USA%20-%20NASA/2010 04 05 - NASA - Astronauts Get Help  Uphill  from Below_G8-w8lpba24 - transcript (automated).pdf","Transcript Link")</f>
        <v>Transcript Link</v>
      </c>
      <c r="M4934" s="2" t="str">
        <f>HYPERLINK("https://files.afu.se/Downloads/Transcripts/0%20-%20Government/USA%20-%20NASA/2010 04 05 - NASA - Astronauts Get Help  Uphill  from Below_G8-w8lpba24 - transcript (automated).pdf","Transcript Link")</f>
        <v>Transcript Link</v>
      </c>
    </row>
    <row r="4935" ht="165" spans="1:13">
      <c r="A4935" s="1" t="s">
        <v>21960</v>
      </c>
      <c r="B4935" s="1" t="s">
        <v>13</v>
      </c>
      <c r="C4935" s="4" t="s">
        <v>21965</v>
      </c>
      <c r="D4935" s="1" t="s">
        <v>21966</v>
      </c>
      <c r="E4935" s="1" t="s">
        <v>21967</v>
      </c>
      <c r="F4935" s="4" t="s">
        <v>17</v>
      </c>
      <c r="G4935" s="1" t="s">
        <v>18</v>
      </c>
      <c r="H4935" s="1" t="s">
        <v>19</v>
      </c>
      <c r="I4935" s="1" t="s">
        <v>20</v>
      </c>
      <c r="J4935" s="1" t="s">
        <v>21968</v>
      </c>
      <c r="K4935" s="1" t="s">
        <v>22</v>
      </c>
      <c r="L4935" s="1" t="str">
        <f>HYPERLINK("https://files.afu.se/Downloads/Transcripts/0%20-%20Government/USA%20-%20NASA/2010 04 05 - NASA - Completing the Crew and Climate Day in SoCal on This Week @ NASA_OcJnIuUFEfk - transcript (automated).pdf","Transcript Link")</f>
        <v>Transcript Link</v>
      </c>
      <c r="M4935" s="2" t="str">
        <f>HYPERLINK("https://files.afu.se/Downloads/Transcripts/0%20-%20Government/USA%20-%20NASA/2010 04 05 - NASA - Completing the Crew and Climate Day in SoCal on This Week @ NASA_OcJnIuUFEfk - transcript (automated).pdf","Transcript Link")</f>
        <v>Transcript Link</v>
      </c>
    </row>
    <row r="4936" ht="165" spans="1:13">
      <c r="A4936" s="1" t="s">
        <v>21960</v>
      </c>
      <c r="B4936" s="1" t="s">
        <v>13</v>
      </c>
      <c r="C4936" s="4" t="s">
        <v>21969</v>
      </c>
      <c r="D4936" s="1" t="s">
        <v>21970</v>
      </c>
      <c r="E4936" s="1" t="s">
        <v>21971</v>
      </c>
      <c r="F4936" s="4" t="s">
        <v>17</v>
      </c>
      <c r="G4936" s="1" t="s">
        <v>18</v>
      </c>
      <c r="H4936" s="1" t="s">
        <v>19</v>
      </c>
      <c r="I4936" s="1" t="s">
        <v>20</v>
      </c>
      <c r="J4936" s="1" t="s">
        <v>21972</v>
      </c>
      <c r="K4936" s="1" t="s">
        <v>22</v>
      </c>
      <c r="L4936" s="1" t="str">
        <f>HYPERLINK("https://files.afu.se/Downloads/Transcripts/0%20-%20Government/USA%20-%20NASA/2010 04 05 - NASA - Discovery and STS-131 Crew 2 Days from ISS_TvZH-nhuxgo - transcript (automated).pdf","Transcript Link")</f>
        <v>Transcript Link</v>
      </c>
      <c r="M4936" s="2" t="str">
        <f>HYPERLINK("https://files.afu.se/Downloads/Transcripts/0%20-%20Government/USA%20-%20NASA/2010 04 05 - NASA - Discovery and STS-131 Crew 2 Days from ISS_TvZH-nhuxgo - transcript (automated).pdf","Transcript Link")</f>
        <v>Transcript Link</v>
      </c>
    </row>
    <row r="4937" ht="165" spans="1:13">
      <c r="A4937" s="1" t="s">
        <v>21960</v>
      </c>
      <c r="B4937" s="1" t="s">
        <v>13</v>
      </c>
      <c r="C4937" s="4" t="s">
        <v>21973</v>
      </c>
      <c r="D4937" s="1" t="s">
        <v>21974</v>
      </c>
      <c r="E4937" s="1" t="s">
        <v>21975</v>
      </c>
      <c r="F4937" s="4" t="s">
        <v>17</v>
      </c>
      <c r="G4937" s="1" t="s">
        <v>18</v>
      </c>
      <c r="H4937" s="1" t="s">
        <v>19</v>
      </c>
      <c r="I4937" s="1" t="s">
        <v>20</v>
      </c>
      <c r="J4937" s="1" t="s">
        <v>21976</v>
      </c>
      <c r="K4937" s="1" t="s">
        <v>22</v>
      </c>
      <c r="L4937" s="1" t="str">
        <f>HYPERLINK("https://files.afu.se/Downloads/Transcripts/0%20-%20Government/USA%20-%20NASA/2010 04 05 - NASA - NASA Astronaut, Crewmates Reach ISS_hJhsi1AcD1k - transcript (automated).pdf","Transcript Link")</f>
        <v>Transcript Link</v>
      </c>
      <c r="M4937" s="2" t="str">
        <f>HYPERLINK("https://files.afu.se/Downloads/Transcripts/0%20-%20Government/USA%20-%20NASA/2010 04 05 - NASA - NASA Astronaut, Crewmates Reach ISS_hJhsi1AcD1k - transcript (automated).pdf","Transcript Link")</f>
        <v>Transcript Link</v>
      </c>
    </row>
    <row r="4938" ht="165" spans="1:13">
      <c r="A4938" s="1" t="s">
        <v>21960</v>
      </c>
      <c r="B4938" s="1" t="s">
        <v>13</v>
      </c>
      <c r="C4938" s="4" t="s">
        <v>21977</v>
      </c>
      <c r="D4938" s="1" t="s">
        <v>21978</v>
      </c>
      <c r="E4938" s="1" t="s">
        <v>21979</v>
      </c>
      <c r="F4938" s="4" t="s">
        <v>17</v>
      </c>
      <c r="G4938" s="1" t="s">
        <v>18</v>
      </c>
      <c r="H4938" s="1" t="s">
        <v>19</v>
      </c>
      <c r="I4938" s="1" t="s">
        <v>20</v>
      </c>
      <c r="J4938" s="1" t="s">
        <v>21980</v>
      </c>
      <c r="K4938" s="1" t="s">
        <v>22</v>
      </c>
      <c r="L4938" s="1" t="str">
        <f>HYPERLINK("https://files.afu.se/Downloads/Transcripts/0%20-%20Government/USA%20-%20NASA/2010 04 05 - NASA - Hot on the Trail of Earth's Changing Ice_9x6j2IAJAQs - transcript (automated).pdf","Transcript Link")</f>
        <v>Transcript Link</v>
      </c>
      <c r="M4938" s="2" t="str">
        <f>HYPERLINK("https://files.afu.se/Downloads/Transcripts/0%20-%20Government/USA%20-%20NASA/2010 04 05 - NASA - Hot on the Trail of Earth's Changing Ice_9x6j2IAJAQs - transcript (automated).pdf","Transcript Link")</f>
        <v>Transcript Link</v>
      </c>
    </row>
    <row r="4939" ht="165" spans="1:13">
      <c r="A4939" s="1" t="s">
        <v>21981</v>
      </c>
      <c r="B4939" s="1" t="s">
        <v>13</v>
      </c>
      <c r="C4939" s="4" t="s">
        <v>21982</v>
      </c>
      <c r="D4939" s="1" t="s">
        <v>21983</v>
      </c>
      <c r="E4939" s="1" t="s">
        <v>21984</v>
      </c>
      <c r="F4939" s="4" t="s">
        <v>17</v>
      </c>
      <c r="G4939" s="1" t="s">
        <v>18</v>
      </c>
      <c r="H4939" s="1" t="s">
        <v>19</v>
      </c>
      <c r="I4939" s="1" t="s">
        <v>20</v>
      </c>
      <c r="J4939" s="1" t="s">
        <v>21985</v>
      </c>
      <c r="K4939" s="1" t="s">
        <v>22</v>
      </c>
      <c r="L4939" s="1" t="str">
        <f>HYPERLINK("https://files.afu.se/Downloads/Transcripts/0%20-%20Government/USA%20-%20NASA/2010 04 02 - NASA - In HD  NASA Astronaut Travels to Space Station with Russian Crewmates_I4S3xp_j0uQ - transcript (automated).pdf","Transcript Link")</f>
        <v>Transcript Link</v>
      </c>
      <c r="M4939" s="2" t="str">
        <f>HYPERLINK("https://files.afu.se/Downloads/Transcripts/0%20-%20Government/USA%20-%20NASA/2010 04 02 - NASA - In HD  NASA Astronaut Travels to Space Station with Russian Crewmates_I4S3xp_j0uQ - transcript (automated).pdf","Transcript Link")</f>
        <v>Transcript Link</v>
      </c>
    </row>
    <row r="4940" ht="165" spans="1:13">
      <c r="A4940" s="1" t="s">
        <v>21981</v>
      </c>
      <c r="B4940" s="1" t="s">
        <v>13</v>
      </c>
      <c r="C4940" s="4" t="s">
        <v>21986</v>
      </c>
      <c r="D4940" s="1" t="s">
        <v>21987</v>
      </c>
      <c r="E4940" s="1" t="s">
        <v>21988</v>
      </c>
      <c r="F4940" s="4" t="s">
        <v>17</v>
      </c>
      <c r="G4940" s="1" t="s">
        <v>18</v>
      </c>
      <c r="H4940" s="1" t="s">
        <v>19</v>
      </c>
      <c r="I4940" s="1" t="s">
        <v>20</v>
      </c>
      <c r="J4940" s="1" t="s">
        <v>21989</v>
      </c>
      <c r="K4940" s="1" t="s">
        <v>22</v>
      </c>
      <c r="L4940" s="1" t="str">
        <f>HYPERLINK("https://files.afu.se/Downloads/Transcripts/0%20-%20Government/USA%20-%20NASA/2010 04 02 - NASA - NASA Astronaut Travels to Space Station with Russian Crewmates_0oboXn_Pi08 - transcript (automated).pdf","Transcript Link")</f>
        <v>Transcript Link</v>
      </c>
      <c r="M4940" s="2" t="str">
        <f>HYPERLINK("https://files.afu.se/Downloads/Transcripts/0%20-%20Government/USA%20-%20NASA/2010 04 02 - NASA - NASA Astronaut Travels to Space Station with Russian Crewmates_0oboXn_Pi08 - transcript (automated).pdf","Transcript Link")</f>
        <v>Transcript Link</v>
      </c>
    </row>
    <row r="4941" ht="165" spans="1:13">
      <c r="A4941" s="1" t="s">
        <v>21990</v>
      </c>
      <c r="B4941" s="1" t="s">
        <v>13</v>
      </c>
      <c r="C4941" s="4" t="s">
        <v>21991</v>
      </c>
      <c r="D4941" s="1" t="s">
        <v>21992</v>
      </c>
      <c r="E4941" s="1" t="s">
        <v>21993</v>
      </c>
      <c r="F4941" s="4" t="s">
        <v>17</v>
      </c>
      <c r="G4941" s="1" t="s">
        <v>18</v>
      </c>
      <c r="H4941" s="1" t="s">
        <v>19</v>
      </c>
      <c r="I4941" s="1" t="s">
        <v>20</v>
      </c>
      <c r="J4941" s="1" t="s">
        <v>21994</v>
      </c>
      <c r="K4941" s="1" t="s">
        <v>22</v>
      </c>
      <c r="L4941" s="1" t="str">
        <f>HYPERLINK("https://files.afu.se/Downloads/Transcripts/0%20-%20Government/USA%20-%20NASA/2010 04 01 - NASA - Expedition 23 Makes Rounds Before Launch_GuhzvAlUehU - transcript (automated).pdf","Transcript Link")</f>
        <v>Transcript Link</v>
      </c>
      <c r="M4941" s="2" t="str">
        <f>HYPERLINK("https://files.afu.se/Downloads/Transcripts/0%20-%20Government/USA%20-%20NASA/2010 04 01 - NASA - Expedition 23 Makes Rounds Before Launch_GuhzvAlUehU - transcript (automated).pdf","Transcript Link")</f>
        <v>Transcript Link</v>
      </c>
    </row>
    <row r="4942" ht="165" spans="1:13">
      <c r="A4942" s="1" t="s">
        <v>21990</v>
      </c>
      <c r="B4942" s="1" t="s">
        <v>13</v>
      </c>
      <c r="C4942" s="4" t="s">
        <v>21995</v>
      </c>
      <c r="D4942" s="1" t="s">
        <v>21996</v>
      </c>
      <c r="E4942" s="1" t="s">
        <v>21997</v>
      </c>
      <c r="F4942" s="4" t="s">
        <v>17</v>
      </c>
      <c r="G4942" s="1" t="s">
        <v>18</v>
      </c>
      <c r="H4942" s="1" t="s">
        <v>19</v>
      </c>
      <c r="I4942" s="1" t="s">
        <v>20</v>
      </c>
      <c r="J4942" s="1" t="s">
        <v>21998</v>
      </c>
      <c r="K4942" s="1" t="s">
        <v>22</v>
      </c>
      <c r="L4942" s="1" t="str">
        <f>HYPERLINK("https://files.afu.se/Downloads/Transcripts/0%20-%20Government/USA%20-%20NASA/2010 04 01 - NASA - Majestic Shuttle_X8ojgOGtqfY - transcript (automated).pdf","Transcript Link")</f>
        <v>Transcript Link</v>
      </c>
      <c r="M4942" s="2" t="str">
        <f>HYPERLINK("https://files.afu.se/Downloads/Transcripts/0%20-%20Government/USA%20-%20NASA/2010 04 01 - NASA - Majestic Shuttle_X8ojgOGtqfY - transcript (automated).pdf","Transcript Link")</f>
        <v>Transcript Link</v>
      </c>
    </row>
    <row r="4943" ht="165" spans="1:13">
      <c r="A4943" s="1" t="s">
        <v>21990</v>
      </c>
      <c r="B4943" s="1" t="s">
        <v>13</v>
      </c>
      <c r="C4943" s="4" t="s">
        <v>21999</v>
      </c>
      <c r="D4943" s="1" t="s">
        <v>22000</v>
      </c>
      <c r="E4943" s="1" t="s">
        <v>22001</v>
      </c>
      <c r="F4943" s="4" t="s">
        <v>17</v>
      </c>
      <c r="G4943" s="1" t="s">
        <v>18</v>
      </c>
      <c r="H4943" s="1" t="s">
        <v>19</v>
      </c>
      <c r="I4943" s="1" t="s">
        <v>20</v>
      </c>
      <c r="J4943" s="1" t="s">
        <v>22002</v>
      </c>
      <c r="K4943" s="1" t="s">
        <v>22</v>
      </c>
      <c r="L4943" s="1" t="str">
        <f>HYPERLINK("https://files.afu.se/Downloads/Transcripts/0%20-%20Government/USA%20-%20NASA/2010 04 01 - NASA - Practice, Practice, Practice_2csADJ2sbIA - transcript (automated).pdf","Transcript Link")</f>
        <v>Transcript Link</v>
      </c>
      <c r="M4943" s="2" t="str">
        <f>HYPERLINK("https://files.afu.se/Downloads/Transcripts/0%20-%20Government/USA%20-%20NASA/2010 04 01 - NASA - Practice, Practice, Practice_2csADJ2sbIA - transcript (automated).pdf","Transcript Link")</f>
        <v>Transcript Link</v>
      </c>
    </row>
    <row r="4944" ht="165" spans="1:13">
      <c r="A4944" s="1" t="s">
        <v>21990</v>
      </c>
      <c r="B4944" s="1" t="s">
        <v>13</v>
      </c>
      <c r="C4944" s="4" t="s">
        <v>22003</v>
      </c>
      <c r="D4944" s="1" t="s">
        <v>22004</v>
      </c>
      <c r="E4944" s="1" t="s">
        <v>22005</v>
      </c>
      <c r="F4944" s="4" t="s">
        <v>17</v>
      </c>
      <c r="G4944" s="1" t="s">
        <v>18</v>
      </c>
      <c r="H4944" s="1" t="s">
        <v>19</v>
      </c>
      <c r="I4944" s="1" t="s">
        <v>20</v>
      </c>
      <c r="J4944" s="1" t="s">
        <v>22006</v>
      </c>
      <c r="K4944" s="1" t="s">
        <v>22</v>
      </c>
      <c r="L4944" s="1" t="str">
        <f>HYPERLINK("https://files.afu.se/Downloads/Transcripts/0%20-%20Government/USA%20-%20NASA/2010 04 01 - NASA - Welcome Mat Out at Astros' Crew Quarters_NtJOH-aKEVY - transcript (automated).pdf","Transcript Link")</f>
        <v>Transcript Link</v>
      </c>
      <c r="M4944" s="2" t="str">
        <f>HYPERLINK("https://files.afu.se/Downloads/Transcripts/0%20-%20Government/USA%20-%20NASA/2010 04 01 - NASA - Welcome Mat Out at Astros' Crew Quarters_NtJOH-aKEVY - transcript (automated).pdf","Transcript Link")</f>
        <v>Transcript Link</v>
      </c>
    </row>
    <row r="4945" ht="165" spans="1:13">
      <c r="A4945" s="1" t="s">
        <v>21990</v>
      </c>
      <c r="B4945" s="1" t="s">
        <v>13</v>
      </c>
      <c r="C4945" s="4" t="s">
        <v>22007</v>
      </c>
      <c r="D4945" s="1" t="s">
        <v>22008</v>
      </c>
      <c r="E4945" s="1" t="s">
        <v>22009</v>
      </c>
      <c r="F4945" s="4" t="s">
        <v>17</v>
      </c>
      <c r="G4945" s="1" t="s">
        <v>18</v>
      </c>
      <c r="H4945" s="1" t="s">
        <v>19</v>
      </c>
      <c r="I4945" s="1" t="s">
        <v>20</v>
      </c>
      <c r="J4945" s="1" t="s">
        <v>22010</v>
      </c>
      <c r="K4945" s="1" t="s">
        <v>22</v>
      </c>
      <c r="L4945" s="1" t="str">
        <f>HYPERLINK("https://files.afu.se/Downloads/Transcripts/0%20-%20Government/USA%20-%20NASA/2010 04 01 - NASA - Three Days and a Wake-Up  STS-131 Crew Ready for Mission_jvW0clxVlZA - transcript (automated).pdf","Transcript Link")</f>
        <v>Transcript Link</v>
      </c>
      <c r="M4945" s="2" t="str">
        <f>HYPERLINK("https://files.afu.se/Downloads/Transcripts/0%20-%20Government/USA%20-%20NASA/2010 04 01 - NASA - Three Days and a Wake-Up  STS-131 Crew Ready for Mission_jvW0clxVlZA - transcript (automated).pdf","Transcript Link")</f>
        <v>Transcript Link</v>
      </c>
    </row>
    <row r="4946" ht="165" spans="1:13">
      <c r="A4946" s="1" t="s">
        <v>22011</v>
      </c>
      <c r="B4946" s="1" t="s">
        <v>13</v>
      </c>
      <c r="C4946" s="4" t="s">
        <v>22012</v>
      </c>
      <c r="D4946" s="1" t="s">
        <v>22013</v>
      </c>
      <c r="E4946" s="1" t="s">
        <v>22014</v>
      </c>
      <c r="F4946" s="4" t="s">
        <v>17</v>
      </c>
      <c r="G4946" s="1" t="s">
        <v>18</v>
      </c>
      <c r="H4946" s="1" t="s">
        <v>19</v>
      </c>
      <c r="I4946" s="1" t="s">
        <v>20</v>
      </c>
      <c r="J4946" s="1" t="s">
        <v>22015</v>
      </c>
      <c r="K4946" s="1" t="s">
        <v>22</v>
      </c>
      <c r="L4946" s="1" t="str">
        <f>HYPERLINK("https://files.afu.se/Downloads/Transcripts/0%20-%20Government/USA%20-%20NASA/2010 03 31 - NASA - Spacecraft  On Track  for Upcoming Launch_fd-BukUph9Q - transcript (automated).pdf","Transcript Link")</f>
        <v>Transcript Link</v>
      </c>
      <c r="M4946" s="2" t="str">
        <f>HYPERLINK("https://files.afu.se/Downloads/Transcripts/0%20-%20Government/USA%20-%20NASA/2010 03 31 - NASA - Spacecraft  On Track  for Upcoming Launch_fd-BukUph9Q - transcript (automated).pdf","Transcript Link")</f>
        <v>Transcript Link</v>
      </c>
    </row>
    <row r="4947" ht="165" spans="1:13">
      <c r="A4947" s="1" t="s">
        <v>22011</v>
      </c>
      <c r="B4947" s="1" t="s">
        <v>13</v>
      </c>
      <c r="C4947" s="4" t="s">
        <v>22016</v>
      </c>
      <c r="D4947" s="1" t="s">
        <v>22017</v>
      </c>
      <c r="E4947" s="1" t="s">
        <v>22018</v>
      </c>
      <c r="F4947" s="4" t="s">
        <v>17</v>
      </c>
      <c r="G4947" s="1" t="s">
        <v>18</v>
      </c>
      <c r="H4947" s="1" t="s">
        <v>19</v>
      </c>
      <c r="I4947" s="1" t="s">
        <v>20</v>
      </c>
      <c r="J4947" s="1" t="s">
        <v>22019</v>
      </c>
      <c r="K4947" s="1" t="s">
        <v>22</v>
      </c>
      <c r="L4947" s="1" t="str">
        <f>HYPERLINK("https://files.afu.se/Downloads/Transcripts/0%20-%20Government/USA%20-%20NASA/2010 03 31 - NASA - Salute to a Legendary Space Artist_ONvJ0xXT2xY - transcript (automated).pdf","Transcript Link")</f>
        <v>Transcript Link</v>
      </c>
      <c r="M4947" s="2" t="str">
        <f>HYPERLINK("https://files.afu.se/Downloads/Transcripts/0%20-%20Government/USA%20-%20NASA/2010 03 31 - NASA - Salute to a Legendary Space Artist_ONvJ0xXT2xY - transcript (automated).pdf","Transcript Link")</f>
        <v>Transcript Link</v>
      </c>
    </row>
    <row r="4948" ht="165" spans="1:13">
      <c r="A4948" s="1" t="s">
        <v>22020</v>
      </c>
      <c r="B4948" s="1" t="s">
        <v>13</v>
      </c>
      <c r="C4948" s="4" t="s">
        <v>22021</v>
      </c>
      <c r="D4948" s="1" t="s">
        <v>22022</v>
      </c>
      <c r="E4948" s="1" t="s">
        <v>22023</v>
      </c>
      <c r="F4948" s="4" t="s">
        <v>17</v>
      </c>
      <c r="G4948" s="1" t="s">
        <v>18</v>
      </c>
      <c r="H4948" s="1" t="s">
        <v>19</v>
      </c>
      <c r="I4948" s="1" t="s">
        <v>20</v>
      </c>
      <c r="J4948" s="1" t="s">
        <v>22024</v>
      </c>
      <c r="K4948" s="1" t="s">
        <v>22</v>
      </c>
      <c r="L4948" s="1" t="str">
        <f>HYPERLINK("https://files.afu.se/Downloads/Transcripts/0%20-%20Government/USA%20-%20NASA/2010 03 30 - NASA - On-Orbit and On The Record_Y00heegJEHA - transcript (automated).pdf","Transcript Link")</f>
        <v>Transcript Link</v>
      </c>
      <c r="M4948" s="2" t="str">
        <f>HYPERLINK("https://files.afu.se/Downloads/Transcripts/0%20-%20Government/USA%20-%20NASA/2010 03 30 - NASA - On-Orbit and On The Record_Y00heegJEHA - transcript (automated).pdf","Transcript Link")</f>
        <v>Transcript Link</v>
      </c>
    </row>
    <row r="4949" ht="165" spans="1:13">
      <c r="A4949" s="1" t="s">
        <v>22020</v>
      </c>
      <c r="B4949" s="1" t="s">
        <v>13</v>
      </c>
      <c r="C4949" s="4" t="s">
        <v>22025</v>
      </c>
      <c r="D4949" s="1" t="s">
        <v>22026</v>
      </c>
      <c r="E4949" s="1" t="s">
        <v>22027</v>
      </c>
      <c r="F4949" s="4" t="s">
        <v>17</v>
      </c>
      <c r="G4949" s="1" t="s">
        <v>18</v>
      </c>
      <c r="H4949" s="1" t="s">
        <v>19</v>
      </c>
      <c r="I4949" s="1" t="s">
        <v>20</v>
      </c>
      <c r="J4949" s="1" t="s">
        <v>22028</v>
      </c>
      <c r="K4949" s="1" t="s">
        <v>22</v>
      </c>
      <c r="L4949" s="1" t="str">
        <f>HYPERLINK("https://files.afu.se/Downloads/Transcripts/0%20-%20Government/USA%20-%20NASA/2010 03 30 - NASA - Visually-Impaired Students Touch the Stars in Special Hubble Image_31oNIKmQwOA - transcript (automated).pdf","Transcript Link")</f>
        <v>Transcript Link</v>
      </c>
      <c r="M4949" s="2" t="str">
        <f>HYPERLINK("https://files.afu.se/Downloads/Transcripts/0%20-%20Government/USA%20-%20NASA/2010 03 30 - NASA - Visually-Impaired Students Touch the Stars in Special Hubble Image_31oNIKmQwOA - transcript (automated).pdf","Transcript Link")</f>
        <v>Transcript Link</v>
      </c>
    </row>
    <row r="4950" ht="165" spans="1:13">
      <c r="A4950" s="1" t="s">
        <v>22020</v>
      </c>
      <c r="B4950" s="1" t="s">
        <v>13</v>
      </c>
      <c r="C4950" s="4" t="s">
        <v>22029</v>
      </c>
      <c r="D4950" s="1" t="s">
        <v>22030</v>
      </c>
      <c r="E4950" s="1" t="s">
        <v>22031</v>
      </c>
      <c r="F4950" s="4" t="s">
        <v>17</v>
      </c>
      <c r="G4950" s="1" t="s">
        <v>18</v>
      </c>
      <c r="H4950" s="1" t="s">
        <v>19</v>
      </c>
      <c r="I4950" s="1" t="s">
        <v>20</v>
      </c>
      <c r="J4950" s="1" t="s">
        <v>22032</v>
      </c>
      <c r="K4950" s="1" t="s">
        <v>22</v>
      </c>
      <c r="L4950" s="1" t="str">
        <f>HYPERLINK("https://files.afu.se/Downloads/Transcripts/0%20-%20Government/USA%20-%20NASA/2010 03 30 - NASA - NASA Goes to Extremes for Teachers_JHklvHMJ7Tw - transcript (automated).pdf","Transcript Link")</f>
        <v>Transcript Link</v>
      </c>
      <c r="M4950" s="2" t="str">
        <f>HYPERLINK("https://files.afu.se/Downloads/Transcripts/0%20-%20Government/USA%20-%20NASA/2010 03 30 - NASA - NASA Goes to Extremes for Teachers_JHklvHMJ7Tw - transcript (automated).pdf","Transcript Link")</f>
        <v>Transcript Link</v>
      </c>
    </row>
    <row r="4951" ht="165" spans="1:13">
      <c r="A4951" s="1" t="s">
        <v>22033</v>
      </c>
      <c r="B4951" s="1" t="s">
        <v>13</v>
      </c>
      <c r="C4951" s="4" t="s">
        <v>22034</v>
      </c>
      <c r="D4951" s="1" t="s">
        <v>22035</v>
      </c>
      <c r="E4951" s="1" t="s">
        <v>22036</v>
      </c>
      <c r="F4951" s="4" t="s">
        <v>17</v>
      </c>
      <c r="G4951" s="1" t="s">
        <v>18</v>
      </c>
      <c r="H4951" s="1" t="s">
        <v>19</v>
      </c>
      <c r="I4951" s="1" t="s">
        <v>20</v>
      </c>
      <c r="J4951" s="1" t="s">
        <v>22037</v>
      </c>
      <c r="K4951" s="1" t="s">
        <v>22</v>
      </c>
      <c r="L4951" s="1" t="str">
        <f>HYPERLINK("https://files.afu.se/Downloads/Transcripts/0%20-%20Government/USA%20-%20NASA/2010 03 29 - NASA - Roscosmos Shows Off Mini-Module_vOKkv2piOkw - transcript (automated).pdf","Transcript Link")</f>
        <v>Transcript Link</v>
      </c>
      <c r="M4951" s="2" t="str">
        <f>HYPERLINK("https://files.afu.se/Downloads/Transcripts/0%20-%20Government/USA%20-%20NASA/2010 03 29 - NASA - Roscosmos Shows Off Mini-Module_vOKkv2piOkw - transcript (automated).pdf","Transcript Link")</f>
        <v>Transcript Link</v>
      </c>
    </row>
    <row r="4952" ht="165" spans="1:13">
      <c r="A4952" s="1" t="s">
        <v>22033</v>
      </c>
      <c r="B4952" s="1" t="s">
        <v>13</v>
      </c>
      <c r="C4952" s="4" t="s">
        <v>22038</v>
      </c>
      <c r="D4952" s="1" t="s">
        <v>22039</v>
      </c>
      <c r="E4952" s="1" t="s">
        <v>22040</v>
      </c>
      <c r="F4952" s="4" t="s">
        <v>17</v>
      </c>
      <c r="G4952" s="1" t="s">
        <v>18</v>
      </c>
      <c r="H4952" s="1" t="s">
        <v>19</v>
      </c>
      <c r="I4952" s="1" t="s">
        <v>20</v>
      </c>
      <c r="J4952" s="1" t="s">
        <v>22041</v>
      </c>
      <c r="K4952" s="1" t="s">
        <v>22</v>
      </c>
      <c r="L4952" s="1" t="str">
        <f>HYPERLINK("https://files.afu.se/Downloads/Transcripts/0%20-%20Government/USA%20-%20NASA/2010 03 29 - NASA - Marshall Celebrates 50 Years Supporting America's Space Program_ogVIo38PdcM - transcript (automated).pdf","Transcript Link")</f>
        <v>Transcript Link</v>
      </c>
      <c r="M4952" s="2" t="str">
        <f>HYPERLINK("https://files.afu.se/Downloads/Transcripts/0%20-%20Government/USA%20-%20NASA/2010 03 29 - NASA - Marshall Celebrates 50 Years Supporting America's Space Program_ogVIo38PdcM - transcript (automated).pdf","Transcript Link")</f>
        <v>Transcript Link</v>
      </c>
    </row>
    <row r="4953" ht="165" spans="1:13">
      <c r="A4953" s="1" t="s">
        <v>22042</v>
      </c>
      <c r="B4953" s="1" t="s">
        <v>13</v>
      </c>
      <c r="C4953" s="4" t="s">
        <v>22043</v>
      </c>
      <c r="D4953" s="1" t="s">
        <v>22044</v>
      </c>
      <c r="E4953" s="1" t="s">
        <v>22045</v>
      </c>
      <c r="F4953" s="4" t="s">
        <v>17</v>
      </c>
      <c r="G4953" s="1" t="s">
        <v>18</v>
      </c>
      <c r="H4953" s="1" t="s">
        <v>19</v>
      </c>
      <c r="I4953" s="1" t="s">
        <v>20</v>
      </c>
      <c r="J4953" s="1" t="s">
        <v>22046</v>
      </c>
      <c r="K4953" s="1" t="s">
        <v>22</v>
      </c>
      <c r="L4953" s="1" t="str">
        <f>HYPERLINK("https://files.afu.se/Downloads/Transcripts/0%20-%20Government/USA%20-%20NASA/2010 03 26 - NASA - Telescope Test,  Topping Out  and the  Buzz on Buzz  on This Week @ NASA_G0N_K6LxSFc - transcript (automated).pdf","Transcript Link")</f>
        <v>Transcript Link</v>
      </c>
      <c r="M4953" s="2" t="str">
        <f>HYPERLINK("https://files.afu.se/Downloads/Transcripts/0%20-%20Government/USA%20-%20NASA/2010 03 26 - NASA - Telescope Test,  Topping Out  and the  Buzz on Buzz  on This Week @ NASA_G0N_K6LxSFc - transcript (automated).pdf","Transcript Link")</f>
        <v>Transcript Link</v>
      </c>
    </row>
    <row r="4954" ht="165" spans="1:13">
      <c r="A4954" s="1" t="s">
        <v>22042</v>
      </c>
      <c r="B4954" s="1" t="s">
        <v>13</v>
      </c>
      <c r="C4954" s="4" t="s">
        <v>22047</v>
      </c>
      <c r="D4954" s="1" t="s">
        <v>22048</v>
      </c>
      <c r="E4954" s="1" t="s">
        <v>22049</v>
      </c>
      <c r="F4954" s="4" t="s">
        <v>17</v>
      </c>
      <c r="G4954" s="1" t="s">
        <v>18</v>
      </c>
      <c r="H4954" s="1" t="s">
        <v>19</v>
      </c>
      <c r="I4954" s="1" t="s">
        <v>20</v>
      </c>
      <c r="J4954" s="1" t="s">
        <v>22050</v>
      </c>
      <c r="K4954" s="1" t="s">
        <v>22</v>
      </c>
      <c r="L4954" s="1" t="str">
        <f>HYPERLINK("https://files.afu.se/Downloads/Transcripts/0%20-%20Government/USA%20-%20NASA/2010 03 26 - NASA - Expedition 23 Crew Partners on Orbit_VMAwgdKfb0o - transcript (automated).pdf","Transcript Link")</f>
        <v>Transcript Link</v>
      </c>
      <c r="M4954" s="2" t="str">
        <f>HYPERLINK("https://files.afu.se/Downloads/Transcripts/0%20-%20Government/USA%20-%20NASA/2010 03 26 - NASA - Expedition 23 Crew Partners on Orbit_VMAwgdKfb0o - transcript (automated).pdf","Transcript Link")</f>
        <v>Transcript Link</v>
      </c>
    </row>
    <row r="4955" ht="165" spans="1:13">
      <c r="A4955" s="1" t="s">
        <v>22051</v>
      </c>
      <c r="B4955" s="1" t="s">
        <v>13</v>
      </c>
      <c r="C4955" s="4" t="s">
        <v>22052</v>
      </c>
      <c r="D4955" s="1" t="s">
        <v>22053</v>
      </c>
      <c r="E4955" s="1" t="s">
        <v>22054</v>
      </c>
      <c r="F4955" s="4" t="s">
        <v>17</v>
      </c>
      <c r="G4955" s="1" t="s">
        <v>18</v>
      </c>
      <c r="H4955" s="1" t="s">
        <v>19</v>
      </c>
      <c r="I4955" s="1" t="s">
        <v>20</v>
      </c>
      <c r="J4955" s="1" t="s">
        <v>22055</v>
      </c>
      <c r="K4955" s="1" t="s">
        <v>22</v>
      </c>
      <c r="L4955" s="1" t="str">
        <f>HYPERLINK("https://files.afu.se/Downloads/Transcripts/0%20-%20Government/USA%20-%20NASA/2010 03 25 - NASA - More Humans Living in Space_j2cVZM7n3JM - transcript (automated).pdf","Transcript Link")</f>
        <v>Transcript Link</v>
      </c>
      <c r="M4955" s="2" t="str">
        <f>HYPERLINK("https://files.afu.se/Downloads/Transcripts/0%20-%20Government/USA%20-%20NASA/2010 03 25 - NASA - More Humans Living in Space_j2cVZM7n3JM - transcript (automated).pdf","Transcript Link")</f>
        <v>Transcript Link</v>
      </c>
    </row>
    <row r="4956" ht="165" spans="1:13">
      <c r="A4956" s="1" t="s">
        <v>22051</v>
      </c>
      <c r="B4956" s="1" t="s">
        <v>13</v>
      </c>
      <c r="C4956" s="4" t="s">
        <v>22056</v>
      </c>
      <c r="D4956" s="1" t="s">
        <v>22057</v>
      </c>
      <c r="E4956" s="1" t="s">
        <v>22058</v>
      </c>
      <c r="F4956" s="4" t="s">
        <v>17</v>
      </c>
      <c r="G4956" s="1" t="s">
        <v>18</v>
      </c>
      <c r="H4956" s="1" t="s">
        <v>19</v>
      </c>
      <c r="I4956" s="1" t="s">
        <v>20</v>
      </c>
      <c r="J4956" s="1" t="s">
        <v>22059</v>
      </c>
      <c r="K4956" s="1" t="s">
        <v>22</v>
      </c>
      <c r="L4956" s="1" t="str">
        <f>HYPERLINK("https://files.afu.se/Downloads/Transcripts/0%20-%20Government/USA%20-%20NASA/2010 03 25 - NASA - NASA Oceanographer Uses Science to Study the Sea_buuIe5koJ3g - transcript (automated).pdf","Transcript Link")</f>
        <v>Transcript Link</v>
      </c>
      <c r="M4956" s="2" t="str">
        <f>HYPERLINK("https://files.afu.se/Downloads/Transcripts/0%20-%20Government/USA%20-%20NASA/2010 03 25 - NASA - NASA Oceanographer Uses Science to Study the Sea_buuIe5koJ3g - transcript (automated).pdf","Transcript Link")</f>
        <v>Transcript Link</v>
      </c>
    </row>
    <row r="4957" ht="165" spans="1:13">
      <c r="A4957" s="1" t="s">
        <v>22051</v>
      </c>
      <c r="B4957" s="1" t="s">
        <v>13</v>
      </c>
      <c r="C4957" s="4" t="s">
        <v>22060</v>
      </c>
      <c r="D4957" s="1" t="s">
        <v>22061</v>
      </c>
      <c r="E4957" s="1" t="s">
        <v>22062</v>
      </c>
      <c r="F4957" s="4" t="s">
        <v>17</v>
      </c>
      <c r="G4957" s="1" t="s">
        <v>18</v>
      </c>
      <c r="H4957" s="1" t="s">
        <v>19</v>
      </c>
      <c r="I4957" s="1" t="s">
        <v>20</v>
      </c>
      <c r="J4957" s="1" t="s">
        <v>22063</v>
      </c>
      <c r="K4957" s="1" t="s">
        <v>22</v>
      </c>
      <c r="L4957" s="1" t="str">
        <f>HYPERLINK("https://files.afu.se/Downloads/Transcripts/0%20-%20Government/USA%20-%20NASA/2010 03 25 - NASA - New Flight Engineer for Station_b1FftFdZjN4 - transcript (automated).pdf","Transcript Link")</f>
        <v>Transcript Link</v>
      </c>
      <c r="M4957" s="2" t="str">
        <f>HYPERLINK("https://files.afu.se/Downloads/Transcripts/0%20-%20Government/USA%20-%20NASA/2010 03 25 - NASA - New Flight Engineer for Station_b1FftFdZjN4 - transcript (automated).pdf","Transcript Link")</f>
        <v>Transcript Link</v>
      </c>
    </row>
    <row r="4958" ht="165" spans="1:13">
      <c r="A4958" s="1" t="s">
        <v>22051</v>
      </c>
      <c r="B4958" s="1" t="s">
        <v>13</v>
      </c>
      <c r="C4958" s="4" t="s">
        <v>22064</v>
      </c>
      <c r="D4958" s="1" t="s">
        <v>22065</v>
      </c>
      <c r="E4958" s="1" t="s">
        <v>22066</v>
      </c>
      <c r="F4958" s="4" t="s">
        <v>17</v>
      </c>
      <c r="G4958" s="1" t="s">
        <v>18</v>
      </c>
      <c r="H4958" s="1" t="s">
        <v>19</v>
      </c>
      <c r="I4958" s="1" t="s">
        <v>20</v>
      </c>
      <c r="J4958" s="1" t="s">
        <v>22067</v>
      </c>
      <c r="K4958" s="1" t="s">
        <v>22</v>
      </c>
      <c r="L4958" s="1" t="str">
        <f>HYPERLINK("https://files.afu.se/Downloads/Transcripts/0%20-%20Government/USA%20-%20NASA/2010 03 25 - NASA - Come  Fly  With Me_FD4o18HOzrE - transcript (automated).pdf","Transcript Link")</f>
        <v>Transcript Link</v>
      </c>
      <c r="M4958" s="2" t="str">
        <f>HYPERLINK("https://files.afu.se/Downloads/Transcripts/0%20-%20Government/USA%20-%20NASA/2010 03 25 - NASA - Come  Fly  With Me_FD4o18HOzrE - transcript (automated).pdf","Transcript Link")</f>
        <v>Transcript Link</v>
      </c>
    </row>
    <row r="4959" ht="165" spans="1:13">
      <c r="A4959" s="1" t="s">
        <v>22051</v>
      </c>
      <c r="B4959" s="1" t="s">
        <v>13</v>
      </c>
      <c r="C4959" s="4" t="s">
        <v>22068</v>
      </c>
      <c r="D4959" s="1" t="s">
        <v>22069</v>
      </c>
      <c r="E4959" s="1" t="s">
        <v>22070</v>
      </c>
      <c r="F4959" s="4" t="s">
        <v>17</v>
      </c>
      <c r="G4959" s="1" t="s">
        <v>18</v>
      </c>
      <c r="H4959" s="1" t="s">
        <v>19</v>
      </c>
      <c r="I4959" s="1" t="s">
        <v>20</v>
      </c>
      <c r="J4959" s="1" t="s">
        <v>22071</v>
      </c>
      <c r="K4959" s="1" t="s">
        <v>22</v>
      </c>
      <c r="L4959" s="1" t="str">
        <f>HYPERLINK("https://files.afu.se/Downloads/Transcripts/0%20-%20Government/USA%20-%20NASA/2010 03 25 - NASA - Shuttle's Underside Has  Mass  Appeal_PxZWnzmaJ2o - transcript (automated).pdf","Transcript Link")</f>
        <v>Transcript Link</v>
      </c>
      <c r="M4959" s="2" t="str">
        <f>HYPERLINK("https://files.afu.se/Downloads/Transcripts/0%20-%20Government/USA%20-%20NASA/2010 03 25 - NASA - Shuttle's Underside Has  Mass  Appeal_PxZWnzmaJ2o - transcript (automated).pdf","Transcript Link")</f>
        <v>Transcript Link</v>
      </c>
    </row>
    <row r="4960" ht="165" spans="1:13">
      <c r="A4960" s="1" t="s">
        <v>22072</v>
      </c>
      <c r="B4960" s="1" t="s">
        <v>13</v>
      </c>
      <c r="C4960" s="4" t="s">
        <v>22073</v>
      </c>
      <c r="D4960" s="1" t="s">
        <v>22074</v>
      </c>
      <c r="E4960" s="1" t="s">
        <v>22075</v>
      </c>
      <c r="F4960" s="4" t="s">
        <v>17</v>
      </c>
      <c r="G4960" s="1" t="s">
        <v>18</v>
      </c>
      <c r="H4960" s="1" t="s">
        <v>19</v>
      </c>
      <c r="I4960" s="1" t="s">
        <v>20</v>
      </c>
      <c r="J4960" s="1" t="s">
        <v>22076</v>
      </c>
      <c r="K4960" s="1" t="s">
        <v>22</v>
      </c>
      <c r="L4960" s="1" t="str">
        <f>HYPERLINK("https://files.afu.se/Downloads/Transcripts/0%20-%20Government/USA%20-%20NASA/2010 03 23 - NASA - High School Students Put Robots to the Test_48J5FJ12et8 - transcript (automated).pdf","Transcript Link")</f>
        <v>Transcript Link</v>
      </c>
      <c r="M4960" s="2" t="str">
        <f>HYPERLINK("https://files.afu.se/Downloads/Transcripts/0%20-%20Government/USA%20-%20NASA/2010 03 23 - NASA - High School Students Put Robots to the Test_48J5FJ12et8 - transcript (automated).pdf","Transcript Link")</f>
        <v>Transcript Link</v>
      </c>
    </row>
    <row r="4961" ht="165" spans="1:13">
      <c r="A4961" s="1" t="s">
        <v>22072</v>
      </c>
      <c r="B4961" s="1" t="s">
        <v>13</v>
      </c>
      <c r="C4961" s="4" t="s">
        <v>22077</v>
      </c>
      <c r="D4961" s="1" t="s">
        <v>22078</v>
      </c>
      <c r="E4961" s="1" t="s">
        <v>22079</v>
      </c>
      <c r="F4961" s="4" t="s">
        <v>17</v>
      </c>
      <c r="G4961" s="1" t="s">
        <v>18</v>
      </c>
      <c r="H4961" s="1" t="s">
        <v>19</v>
      </c>
      <c r="I4961" s="1" t="s">
        <v>20</v>
      </c>
      <c r="J4961" s="1" t="s">
        <v>22080</v>
      </c>
      <c r="K4961" s="1" t="s">
        <v>22</v>
      </c>
      <c r="L4961" s="1" t="str">
        <f>HYPERLINK("https://files.afu.se/Downloads/Transcripts/0%20-%20Government/USA%20-%20NASA/2010 03 23 - NASA - From Lunar Orbit to the Stars_gdSpKjkcbro - transcript (automated).pdf","Transcript Link")</f>
        <v>Transcript Link</v>
      </c>
      <c r="M4961" s="2" t="str">
        <f>HYPERLINK("https://files.afu.se/Downloads/Transcripts/0%20-%20Government/USA%20-%20NASA/2010 03 23 - NASA - From Lunar Orbit to the Stars_gdSpKjkcbro - transcript (automated).pdf","Transcript Link")</f>
        <v>Transcript Link</v>
      </c>
    </row>
    <row r="4962" ht="165" spans="1:13">
      <c r="A4962" s="1" t="s">
        <v>22081</v>
      </c>
      <c r="B4962" s="1" t="s">
        <v>13</v>
      </c>
      <c r="C4962" s="4" t="s">
        <v>22082</v>
      </c>
      <c r="D4962" s="1" t="s">
        <v>22083</v>
      </c>
      <c r="E4962" s="1" t="s">
        <v>22084</v>
      </c>
      <c r="F4962" s="4" t="s">
        <v>17</v>
      </c>
      <c r="G4962" s="1" t="s">
        <v>18</v>
      </c>
      <c r="H4962" s="1" t="s">
        <v>19</v>
      </c>
      <c r="I4962" s="1" t="s">
        <v>20</v>
      </c>
      <c r="J4962" s="1" t="s">
        <v>22085</v>
      </c>
      <c r="K4962" s="1" t="s">
        <v>22</v>
      </c>
      <c r="L4962" s="1" t="str">
        <f>HYPERLINK("https://files.afu.se/Downloads/Transcripts/0%20-%20Government/USA%20-%20NASA/2010 03 22 - NASA - Next Shuttle Mission's Payload Proceeds to Pad_BETvz98MPWU - transcript (automated).pdf","Transcript Link")</f>
        <v>Transcript Link</v>
      </c>
      <c r="M4962" s="2" t="str">
        <f>HYPERLINK("https://files.afu.se/Downloads/Transcripts/0%20-%20Government/USA%20-%20NASA/2010 03 22 - NASA - Next Shuttle Mission's Payload Proceeds to Pad_BETvz98MPWU - transcript (automated).pdf","Transcript Link")</f>
        <v>Transcript Link</v>
      </c>
    </row>
    <row r="4963" ht="165" spans="1:13">
      <c r="A4963" s="1" t="s">
        <v>22081</v>
      </c>
      <c r="B4963" s="1" t="s">
        <v>13</v>
      </c>
      <c r="C4963" s="4" t="s">
        <v>22086</v>
      </c>
      <c r="D4963" s="1" t="s">
        <v>22087</v>
      </c>
      <c r="E4963" s="1" t="s">
        <v>22088</v>
      </c>
      <c r="F4963" s="4" t="s">
        <v>17</v>
      </c>
      <c r="G4963" s="1" t="s">
        <v>18</v>
      </c>
      <c r="H4963" s="1" t="s">
        <v>19</v>
      </c>
      <c r="I4963" s="1" t="s">
        <v>20</v>
      </c>
      <c r="J4963" s="1" t="s">
        <v>22089</v>
      </c>
      <c r="K4963" s="1" t="s">
        <v>22</v>
      </c>
      <c r="L4963" s="1" t="str">
        <f>HYPERLINK("https://files.afu.se/Downloads/Transcripts/0%20-%20Government/USA%20-%20NASA/2010 03 22 - NASA - New Crew Leaves For Launch Site_FhQIrEQEfD8 - transcript (automated).pdf","Transcript Link")</f>
        <v>Transcript Link</v>
      </c>
      <c r="M4963" s="2" t="str">
        <f>HYPERLINK("https://files.afu.se/Downloads/Transcripts/0%20-%20Government/USA%20-%20NASA/2010 03 22 - NASA - New Crew Leaves For Launch Site_FhQIrEQEfD8 - transcript (automated).pdf","Transcript Link")</f>
        <v>Transcript Link</v>
      </c>
    </row>
    <row r="4964" ht="165" spans="1:13">
      <c r="A4964" s="1" t="s">
        <v>22081</v>
      </c>
      <c r="B4964" s="1" t="s">
        <v>13</v>
      </c>
      <c r="C4964" s="4" t="s">
        <v>22090</v>
      </c>
      <c r="D4964" s="1" t="s">
        <v>22091</v>
      </c>
      <c r="E4964" s="1" t="s">
        <v>22092</v>
      </c>
      <c r="F4964" s="4" t="s">
        <v>17</v>
      </c>
      <c r="G4964" s="1" t="s">
        <v>18</v>
      </c>
      <c r="H4964" s="1" t="s">
        <v>19</v>
      </c>
      <c r="I4964" s="1" t="s">
        <v>20</v>
      </c>
      <c r="J4964" s="1" t="s">
        <v>22093</v>
      </c>
      <c r="K4964" s="1" t="s">
        <v>22</v>
      </c>
      <c r="L4964" s="1" t="str">
        <f>HYPERLINK("https://files.afu.se/Downloads/Transcripts/0%20-%20Government/USA%20-%20NASA/2010 03 22 - NASA - Jaime Waydo   Managing Rover's Mars Mobility_q6mujJfFYrA - transcript (automated).pdf","Transcript Link")</f>
        <v>Transcript Link</v>
      </c>
      <c r="M4964" s="2" t="str">
        <f>HYPERLINK("https://files.afu.se/Downloads/Transcripts/0%20-%20Government/USA%20-%20NASA/2010 03 22 - NASA - Jaime Waydo   Managing Rover's Mars Mobility_q6mujJfFYrA - transcript (automated).pdf","Transcript Link")</f>
        <v>Transcript Link</v>
      </c>
    </row>
    <row r="4965" ht="165" spans="1:13">
      <c r="A4965" s="1" t="s">
        <v>22094</v>
      </c>
      <c r="B4965" s="1" t="s">
        <v>13</v>
      </c>
      <c r="C4965" s="4" t="s">
        <v>22095</v>
      </c>
      <c r="D4965" s="1" t="s">
        <v>22096</v>
      </c>
      <c r="E4965" s="1" t="s">
        <v>22097</v>
      </c>
      <c r="F4965" s="4" t="s">
        <v>17</v>
      </c>
      <c r="G4965" s="1" t="s">
        <v>18</v>
      </c>
      <c r="H4965" s="1" t="s">
        <v>19</v>
      </c>
      <c r="I4965" s="1" t="s">
        <v>20</v>
      </c>
      <c r="J4965" s="1" t="s">
        <v>22098</v>
      </c>
      <c r="K4965" s="1" t="s">
        <v>22</v>
      </c>
      <c r="L4965" s="1" t="str">
        <f>HYPERLINK("https://files.afu.se/Downloads/Transcripts/0%20-%20Government/USA%20-%20NASA/2010 03 19 - NASA - The  Down to Earth  Station Crew, Women on the Webb, and Exploration in 3-D on This Week @ NASA_SaSBOS47J-Y - transcript (automated).pdf","Transcript Link")</f>
        <v>Transcript Link</v>
      </c>
      <c r="M4965" s="2" t="str">
        <f>HYPERLINK("https://files.afu.se/Downloads/Transcripts/0%20-%20Government/USA%20-%20NASA/2010 03 19 - NASA - The  Down to Earth  Station Crew, Women on the Webb, and Exploration in 3-D on This Week @ NASA_SaSBOS47J-Y - transcript (automated).pdf","Transcript Link")</f>
        <v>Transcript Link</v>
      </c>
    </row>
    <row r="4966" ht="165" spans="1:13">
      <c r="A4966" s="1" t="s">
        <v>22094</v>
      </c>
      <c r="B4966" s="1" t="s">
        <v>13</v>
      </c>
      <c r="C4966" s="4" t="s">
        <v>22099</v>
      </c>
      <c r="D4966" s="1" t="s">
        <v>22100</v>
      </c>
      <c r="E4966" s="1" t="s">
        <v>22101</v>
      </c>
      <c r="F4966" s="4" t="s">
        <v>17</v>
      </c>
      <c r="G4966" s="1" t="s">
        <v>18</v>
      </c>
      <c r="H4966" s="1" t="s">
        <v>19</v>
      </c>
      <c r="I4966" s="1" t="s">
        <v>20</v>
      </c>
      <c r="J4966" s="1" t="s">
        <v>22102</v>
      </c>
      <c r="K4966" s="1" t="s">
        <v>22</v>
      </c>
      <c r="L4966" s="1" t="str">
        <f>HYPERLINK("https://files.afu.se/Downloads/Transcripts/0%20-%20Government/USA%20-%20NASA/2010 03 19 - NASA - Astronauts Honored as Bell Ringers in  Big Apple _xaykOzlXdRg - transcript (automated).pdf","Transcript Link")</f>
        <v>Transcript Link</v>
      </c>
      <c r="M4966" s="2" t="str">
        <f>HYPERLINK("https://files.afu.se/Downloads/Transcripts/0%20-%20Government/USA%20-%20NASA/2010 03 19 - NASA - Astronauts Honored as Bell Ringers in  Big Apple _xaykOzlXdRg - transcript (automated).pdf","Transcript Link")</f>
        <v>Transcript Link</v>
      </c>
    </row>
    <row r="4967" ht="165" spans="1:13">
      <c r="A4967" s="1" t="s">
        <v>22094</v>
      </c>
      <c r="B4967" s="1" t="s">
        <v>13</v>
      </c>
      <c r="C4967" s="4" t="s">
        <v>22103</v>
      </c>
      <c r="D4967" s="1" t="s">
        <v>22104</v>
      </c>
      <c r="E4967" s="1" t="s">
        <v>22105</v>
      </c>
      <c r="F4967" s="4" t="s">
        <v>17</v>
      </c>
      <c r="G4967" s="1" t="s">
        <v>18</v>
      </c>
      <c r="H4967" s="1" t="s">
        <v>19</v>
      </c>
      <c r="I4967" s="1" t="s">
        <v>20</v>
      </c>
      <c r="J4967" s="1" t="s">
        <v>22106</v>
      </c>
      <c r="K4967" s="1" t="s">
        <v>22</v>
      </c>
      <c r="L4967" s="1" t="str">
        <f>HYPERLINK("https://files.afu.se/Downloads/Transcripts/0%20-%20Government/USA%20-%20NASA/2010 03 19 - NASA - STS-131  Behind the Scenes, Vol. 1_x5DJZyXQvT4 - transcript (automated).pdf","Transcript Link")</f>
        <v>Transcript Link</v>
      </c>
      <c r="M4967" s="2" t="str">
        <f>HYPERLINK("https://files.afu.se/Downloads/Transcripts/0%20-%20Government/USA%20-%20NASA/2010 03 19 - NASA - STS-131  Behind the Scenes, Vol. 1_x5DJZyXQvT4 - transcript (automated).pdf","Transcript Link")</f>
        <v>Transcript Link</v>
      </c>
    </row>
    <row r="4968" ht="165" spans="1:13">
      <c r="A4968" s="1" t="s">
        <v>22107</v>
      </c>
      <c r="B4968" s="1" t="s">
        <v>13</v>
      </c>
      <c r="C4968" s="4" t="s">
        <v>22108</v>
      </c>
      <c r="D4968" s="1" t="s">
        <v>22109</v>
      </c>
      <c r="E4968" s="1" t="s">
        <v>22110</v>
      </c>
      <c r="F4968" s="4" t="s">
        <v>17</v>
      </c>
      <c r="G4968" s="1" t="s">
        <v>18</v>
      </c>
      <c r="H4968" s="1" t="s">
        <v>19</v>
      </c>
      <c r="I4968" s="1" t="s">
        <v>20</v>
      </c>
      <c r="J4968" s="1" t="s">
        <v>22111</v>
      </c>
      <c r="K4968" s="1" t="s">
        <v>22</v>
      </c>
      <c r="L4968" s="1" t="str">
        <f>HYPERLINK("https://files.afu.se/Downloads/Transcripts/0%20-%20Government/USA%20-%20NASA/2010 03 18 - NASA - Expedition Crew Makes Safe Landing in Kazakhstan_rij7fUe3Njg - transcript (automated).pdf","Transcript Link")</f>
        <v>Transcript Link</v>
      </c>
      <c r="M4968" s="2" t="str">
        <f>HYPERLINK("https://files.afu.se/Downloads/Transcripts/0%20-%20Government/USA%20-%20NASA/2010 03 18 - NASA - Expedition Crew Makes Safe Landing in Kazakhstan_rij7fUe3Njg - transcript (automated).pdf","Transcript Link")</f>
        <v>Transcript Link</v>
      </c>
    </row>
    <row r="4969" ht="165" spans="1:13">
      <c r="A4969" s="1" t="s">
        <v>22107</v>
      </c>
      <c r="B4969" s="1" t="s">
        <v>13</v>
      </c>
      <c r="C4969" s="4" t="s">
        <v>22112</v>
      </c>
      <c r="D4969" s="1" t="s">
        <v>22113</v>
      </c>
      <c r="E4969" s="1" t="s">
        <v>22114</v>
      </c>
      <c r="F4969" s="4" t="s">
        <v>17</v>
      </c>
      <c r="G4969" s="1" t="s">
        <v>18</v>
      </c>
      <c r="H4969" s="1" t="s">
        <v>19</v>
      </c>
      <c r="I4969" s="1" t="s">
        <v>20</v>
      </c>
      <c r="J4969" s="1" t="s">
        <v>22115</v>
      </c>
      <c r="K4969" s="1" t="s">
        <v>22</v>
      </c>
      <c r="L4969" s="1" t="str">
        <f>HYPERLINK("https://files.afu.se/Downloads/Transcripts/0%20-%20Government/USA%20-%20NASA/2010 03 18 - NASA - NASA, Entrepreneurs  Launch  Water Sustainability Effort_C5l671TErCQ - transcript (automated).pdf","Transcript Link")</f>
        <v>Transcript Link</v>
      </c>
      <c r="M4969" s="2" t="str">
        <f>HYPERLINK("https://files.afu.se/Downloads/Transcripts/0%20-%20Government/USA%20-%20NASA/2010 03 18 - NASA - NASA, Entrepreneurs  Launch  Water Sustainability Effort_C5l671TErCQ - transcript (automated).pdf","Transcript Link")</f>
        <v>Transcript Link</v>
      </c>
    </row>
    <row r="4970" ht="165" spans="1:13">
      <c r="A4970" s="1" t="s">
        <v>22107</v>
      </c>
      <c r="B4970" s="1" t="s">
        <v>13</v>
      </c>
      <c r="C4970" s="4" t="s">
        <v>22116</v>
      </c>
      <c r="D4970" s="1" t="s">
        <v>22117</v>
      </c>
      <c r="E4970" s="1" t="s">
        <v>22118</v>
      </c>
      <c r="F4970" s="4" t="s">
        <v>17</v>
      </c>
      <c r="G4970" s="1" t="s">
        <v>18</v>
      </c>
      <c r="H4970" s="1" t="s">
        <v>19</v>
      </c>
      <c r="I4970" s="1" t="s">
        <v>20</v>
      </c>
      <c r="J4970" s="1" t="s">
        <v>22119</v>
      </c>
      <c r="K4970" s="1" t="s">
        <v>22</v>
      </c>
      <c r="L4970" s="1" t="str">
        <f>HYPERLINK("https://files.afu.se/Downloads/Transcripts/0%20-%20Government/USA%20-%20NASA/2010 03 18 - NASA - Space Travelers Bid Farewell to International Space Station_3JC42BaPg5A - transcript (automated).pdf","Transcript Link")</f>
        <v>Transcript Link</v>
      </c>
      <c r="M4970" s="2" t="str">
        <f>HYPERLINK("https://files.afu.se/Downloads/Transcripts/0%20-%20Government/USA%20-%20NASA/2010 03 18 - NASA - Space Travelers Bid Farewell to International Space Station_3JC42BaPg5A - transcript (automated).pdf","Transcript Link")</f>
        <v>Transcript Link</v>
      </c>
    </row>
    <row r="4971" ht="165" spans="1:13">
      <c r="A4971" s="1" t="s">
        <v>22107</v>
      </c>
      <c r="B4971" s="1" t="s">
        <v>13</v>
      </c>
      <c r="C4971" s="4" t="s">
        <v>22120</v>
      </c>
      <c r="D4971" s="1" t="s">
        <v>22121</v>
      </c>
      <c r="E4971" s="1" t="s">
        <v>22122</v>
      </c>
      <c r="F4971" s="4" t="s">
        <v>17</v>
      </c>
      <c r="G4971" s="1" t="s">
        <v>18</v>
      </c>
      <c r="H4971" s="1" t="s">
        <v>19</v>
      </c>
      <c r="I4971" s="1" t="s">
        <v>20</v>
      </c>
      <c r="J4971" s="1" t="s">
        <v>22123</v>
      </c>
      <c r="K4971" s="1" t="s">
        <v>22</v>
      </c>
      <c r="L4971" s="1" t="str">
        <f>HYPERLINK("https://files.afu.se/Downloads/Transcripts/0%20-%20Government/USA%20-%20NASA/2010 03 18 - NASA - Soyuz Begins Journey Home with Undocking from Space Station_XrPvsbZoHtE - transcript (automated).pdf","Transcript Link")</f>
        <v>Transcript Link</v>
      </c>
      <c r="M4971" s="2" t="str">
        <f>HYPERLINK("https://files.afu.se/Downloads/Transcripts/0%20-%20Government/USA%20-%20NASA/2010 03 18 - NASA - Soyuz Begins Journey Home with Undocking from Space Station_XrPvsbZoHtE - transcript (automated).pdf","Transcript Link")</f>
        <v>Transcript Link</v>
      </c>
    </row>
    <row r="4972" ht="165" spans="1:13">
      <c r="A4972" s="1" t="s">
        <v>22124</v>
      </c>
      <c r="B4972" s="1" t="s">
        <v>13</v>
      </c>
      <c r="C4972" s="4" t="s">
        <v>22125</v>
      </c>
      <c r="D4972" s="1" t="s">
        <v>22126</v>
      </c>
      <c r="E4972" s="1" t="s">
        <v>22127</v>
      </c>
      <c r="F4972" s="4" t="s">
        <v>17</v>
      </c>
      <c r="G4972" s="1" t="s">
        <v>18</v>
      </c>
      <c r="H4972" s="1" t="s">
        <v>19</v>
      </c>
      <c r="I4972" s="1" t="s">
        <v>20</v>
      </c>
      <c r="J4972" s="1" t="s">
        <v>22128</v>
      </c>
      <c r="K4972" s="1" t="s">
        <v>22</v>
      </c>
      <c r="L4972" s="1" t="str">
        <f>HYPERLINK("https://files.afu.se/Downloads/Transcripts/0%20-%20Government/USA%20-%20NASA/2010 03 17 - NASA - Kids Get  Kicks  Collecting Soccer Balls with Robots_8qSTcXDApas - transcript (automated).pdf","Transcript Link")</f>
        <v>Transcript Link</v>
      </c>
      <c r="M4972" s="2" t="str">
        <f>HYPERLINK("https://files.afu.se/Downloads/Transcripts/0%20-%20Government/USA%20-%20NASA/2010 03 17 - NASA - Kids Get  Kicks  Collecting Soccer Balls with Robots_8qSTcXDApas - transcript (automated).pdf","Transcript Link")</f>
        <v>Transcript Link</v>
      </c>
    </row>
    <row r="4973" ht="165" spans="1:13">
      <c r="A4973" s="1" t="s">
        <v>22124</v>
      </c>
      <c r="B4973" s="1" t="s">
        <v>13</v>
      </c>
      <c r="C4973" s="4" t="s">
        <v>22129</v>
      </c>
      <c r="D4973" s="1" t="s">
        <v>22130</v>
      </c>
      <c r="E4973" s="1" t="s">
        <v>22131</v>
      </c>
      <c r="F4973" s="4" t="s">
        <v>17</v>
      </c>
      <c r="G4973" s="1" t="s">
        <v>18</v>
      </c>
      <c r="H4973" s="1" t="s">
        <v>19</v>
      </c>
      <c r="I4973" s="1" t="s">
        <v>20</v>
      </c>
      <c r="J4973" s="1" t="s">
        <v>22132</v>
      </c>
      <c r="K4973" s="1" t="s">
        <v>22</v>
      </c>
      <c r="L4973" s="1" t="str">
        <f>HYPERLINK("https://files.afu.se/Downloads/Transcripts/0%20-%20Government/USA%20-%20NASA/2010 03 17 - NASA - Small Shrimp a Big Surprise to Scientists_yp3GCw_F25I - transcript (automated).pdf","Transcript Link")</f>
        <v>Transcript Link</v>
      </c>
      <c r="M4973" s="2" t="str">
        <f>HYPERLINK("https://files.afu.se/Downloads/Transcripts/0%20-%20Government/USA%20-%20NASA/2010 03 17 - NASA - Small Shrimp a Big Surprise to Scientists_yp3GCw_F25I - transcript (automated).pdf","Transcript Link")</f>
        <v>Transcript Link</v>
      </c>
    </row>
    <row r="4974" ht="165" spans="1:13">
      <c r="A4974" s="1" t="s">
        <v>22124</v>
      </c>
      <c r="B4974" s="1" t="s">
        <v>13</v>
      </c>
      <c r="C4974" s="4" t="s">
        <v>22133</v>
      </c>
      <c r="D4974" s="1" t="s">
        <v>22134</v>
      </c>
      <c r="E4974" s="1" t="s">
        <v>22135</v>
      </c>
      <c r="F4974" s="4" t="s">
        <v>17</v>
      </c>
      <c r="G4974" s="1" t="s">
        <v>18</v>
      </c>
      <c r="H4974" s="1" t="s">
        <v>19</v>
      </c>
      <c r="I4974" s="1" t="s">
        <v>20</v>
      </c>
      <c r="J4974" s="1" t="s">
        <v>22136</v>
      </c>
      <c r="K4974" s="1" t="s">
        <v>22</v>
      </c>
      <c r="L4974" s="1" t="str">
        <f>HYPERLINK("https://files.afu.se/Downloads/Transcripts/0%20-%20Government/USA%20-%20NASA/2010 03 17 - NASA - Space Station   Under New Management _14YCj1SYX60 - transcript (automated).pdf","Transcript Link")</f>
        <v>Transcript Link</v>
      </c>
      <c r="M4974" s="2" t="str">
        <f>HYPERLINK("https://files.afu.se/Downloads/Transcripts/0%20-%20Government/USA%20-%20NASA/2010 03 17 - NASA - Space Station   Under New Management _14YCj1SYX60 - transcript (automated).pdf","Transcript Link")</f>
        <v>Transcript Link</v>
      </c>
    </row>
    <row r="4975" ht="165" spans="1:13">
      <c r="A4975" s="1" t="s">
        <v>22137</v>
      </c>
      <c r="B4975" s="1" t="s">
        <v>13</v>
      </c>
      <c r="C4975" s="4" t="s">
        <v>22138</v>
      </c>
      <c r="D4975" s="1" t="s">
        <v>22139</v>
      </c>
      <c r="E4975" s="1" t="s">
        <v>22140</v>
      </c>
      <c r="F4975" s="4" t="s">
        <v>17</v>
      </c>
      <c r="G4975" s="1" t="s">
        <v>18</v>
      </c>
      <c r="H4975" s="1" t="s">
        <v>19</v>
      </c>
      <c r="I4975" s="1" t="s">
        <v>20</v>
      </c>
      <c r="J4975" s="1" t="s">
        <v>22141</v>
      </c>
      <c r="K4975" s="1" t="s">
        <v>22</v>
      </c>
      <c r="L4975" s="1" t="str">
        <f>HYPERLINK("https://files.afu.se/Downloads/Transcripts/0%20-%20Government/USA%20-%20NASA/2010 03 16 - NASA - Handling Hardware Helps Shuttle Crew Prep for Flight_Kr80vrFe3Bw - transcript (automated).pdf","Transcript Link")</f>
        <v>Transcript Link</v>
      </c>
      <c r="M4975" s="2" t="str">
        <f>HYPERLINK("https://files.afu.se/Downloads/Transcripts/0%20-%20Government/USA%20-%20NASA/2010 03 16 - NASA - Handling Hardware Helps Shuttle Crew Prep for Flight_Kr80vrFe3Bw - transcript (automated).pdf","Transcript Link")</f>
        <v>Transcript Link</v>
      </c>
    </row>
    <row r="4976" ht="165" spans="1:13">
      <c r="A4976" s="1" t="s">
        <v>22137</v>
      </c>
      <c r="B4976" s="1" t="s">
        <v>13</v>
      </c>
      <c r="C4976" s="4" t="s">
        <v>22142</v>
      </c>
      <c r="D4976" s="1" t="s">
        <v>22143</v>
      </c>
      <c r="E4976" s="1" t="s">
        <v>22144</v>
      </c>
      <c r="F4976" s="4" t="s">
        <v>17</v>
      </c>
      <c r="G4976" s="1" t="s">
        <v>18</v>
      </c>
      <c r="H4976" s="1" t="s">
        <v>19</v>
      </c>
      <c r="I4976" s="1" t="s">
        <v>20</v>
      </c>
      <c r="J4976" s="1" t="s">
        <v>22145</v>
      </c>
      <c r="K4976" s="1" t="s">
        <v>22</v>
      </c>
      <c r="L4976" s="1" t="str">
        <f>HYPERLINK("https://files.afu.se/Downloads/Transcripts/0%20-%20Government/USA%20-%20NASA/2010 03 16 - NASA - Peggy Whitson's Command Performance_1v_oXMC6Hq0 - transcript (automated).pdf","Transcript Link")</f>
        <v>Transcript Link</v>
      </c>
      <c r="M4976" s="2" t="str">
        <f>HYPERLINK("https://files.afu.se/Downloads/Transcripts/0%20-%20Government/USA%20-%20NASA/2010 03 16 - NASA - Peggy Whitson's Command Performance_1v_oXMC6Hq0 - transcript (automated).pdf","Transcript Link")</f>
        <v>Transcript Link</v>
      </c>
    </row>
    <row r="4977" ht="165" spans="1:13">
      <c r="A4977" s="1" t="s">
        <v>22146</v>
      </c>
      <c r="B4977" s="1" t="s">
        <v>13</v>
      </c>
      <c r="C4977" s="4" t="s">
        <v>22147</v>
      </c>
      <c r="D4977" s="1" t="s">
        <v>22148</v>
      </c>
      <c r="E4977" s="1" t="s">
        <v>22149</v>
      </c>
      <c r="F4977" s="4" t="s">
        <v>17</v>
      </c>
      <c r="G4977" s="1" t="s">
        <v>18</v>
      </c>
      <c r="H4977" s="1" t="s">
        <v>19</v>
      </c>
      <c r="I4977" s="1" t="s">
        <v>20</v>
      </c>
      <c r="J4977" s="1" t="s">
        <v>22150</v>
      </c>
      <c r="K4977" s="1" t="s">
        <v>22</v>
      </c>
      <c r="L4977" s="1" t="str">
        <f>HYPERLINK("https://files.afu.se/Downloads/Transcripts/0%20-%20Government/USA%20-%20NASA/2010 03 12 - NASA -  Hubble 3-D , Tech Trek and Scientist  Lives with a Star  on This Week @ NASA_kHaj6EbxIuI - transcript (automated).pdf","Transcript Link")</f>
        <v>Transcript Link</v>
      </c>
      <c r="M4977" s="2" t="str">
        <f>HYPERLINK("https://files.afu.se/Downloads/Transcripts/0%20-%20Government/USA%20-%20NASA/2010 03 12 - NASA -  Hubble 3-D , Tech Trek and Scientist  Lives with a Star  on This Week @ NASA_kHaj6EbxIuI - transcript (automated).pdf","Transcript Link")</f>
        <v>Transcript Link</v>
      </c>
    </row>
    <row r="4978" ht="165" spans="1:13">
      <c r="A4978" s="1" t="s">
        <v>22151</v>
      </c>
      <c r="B4978" s="1" t="s">
        <v>13</v>
      </c>
      <c r="C4978" s="4" t="s">
        <v>22152</v>
      </c>
      <c r="D4978" s="1" t="s">
        <v>22153</v>
      </c>
      <c r="E4978" s="1" t="s">
        <v>22154</v>
      </c>
      <c r="F4978" s="4" t="s">
        <v>17</v>
      </c>
      <c r="G4978" s="1" t="s">
        <v>18</v>
      </c>
      <c r="H4978" s="1" t="s">
        <v>19</v>
      </c>
      <c r="I4978" s="1" t="s">
        <v>20</v>
      </c>
      <c r="J4978" s="1" t="s">
        <v>22155</v>
      </c>
      <c r="K4978" s="1" t="s">
        <v>22</v>
      </c>
      <c r="L4978" s="1" t="str">
        <f>HYPERLINK("https://files.afu.se/Downloads/Transcripts/0%20-%20Government/USA%20-%20NASA/2010 03 11 - NASA - Hubble Success Chronicled By IMAX in 3-D_aA6iy0qtpD8 - transcript (automated).pdf","Transcript Link")</f>
        <v>Transcript Link</v>
      </c>
      <c r="M4978" s="2" t="str">
        <f>HYPERLINK("https://files.afu.se/Downloads/Transcripts/0%20-%20Government/USA%20-%20NASA/2010 03 11 - NASA - Hubble Success Chronicled By IMAX in 3-D_aA6iy0qtpD8 - transcript (automated).pdf","Transcript Link")</f>
        <v>Transcript Link</v>
      </c>
    </row>
    <row r="4979" ht="165" spans="1:13">
      <c r="A4979" s="1" t="s">
        <v>22156</v>
      </c>
      <c r="B4979" s="1" t="s">
        <v>13</v>
      </c>
      <c r="C4979" s="4" t="s">
        <v>22157</v>
      </c>
      <c r="D4979" s="1" t="s">
        <v>22158</v>
      </c>
      <c r="E4979" s="1" t="s">
        <v>22159</v>
      </c>
      <c r="F4979" s="4" t="s">
        <v>17</v>
      </c>
      <c r="G4979" s="1" t="s">
        <v>18</v>
      </c>
      <c r="H4979" s="1" t="s">
        <v>19</v>
      </c>
      <c r="I4979" s="1" t="s">
        <v>20</v>
      </c>
      <c r="J4979" s="1" t="s">
        <v>22160</v>
      </c>
      <c r="K4979" s="1" t="s">
        <v>22</v>
      </c>
      <c r="L4979" s="1" t="str">
        <f>HYPERLINK("https://files.afu.se/Downloads/Transcripts/0%20-%20Government/USA%20-%20NASA/2010 03 10 - NASA - Shuttle Crew, Teams Say They're  Go  for Journey to Station_6L61bY7ZZas - transcript (automated).pdf","Transcript Link")</f>
        <v>Transcript Link</v>
      </c>
      <c r="M4979" s="2" t="str">
        <f>HYPERLINK("https://files.afu.se/Downloads/Transcripts/0%20-%20Government/USA%20-%20NASA/2010 03 10 - NASA - Shuttle Crew, Teams Say They're  Go  for Journey to Station_6L61bY7ZZas - transcript (automated).pdf","Transcript Link")</f>
        <v>Transcript Link</v>
      </c>
    </row>
    <row r="4980" ht="165" spans="1:13">
      <c r="A4980" s="1" t="s">
        <v>22161</v>
      </c>
      <c r="B4980" s="1" t="s">
        <v>13</v>
      </c>
      <c r="C4980" s="4" t="s">
        <v>22162</v>
      </c>
      <c r="D4980" s="1" t="s">
        <v>22163</v>
      </c>
      <c r="E4980" s="1" t="s">
        <v>22164</v>
      </c>
      <c r="F4980" s="4" t="s">
        <v>17</v>
      </c>
      <c r="G4980" s="1" t="s">
        <v>18</v>
      </c>
      <c r="H4980" s="1" t="s">
        <v>19</v>
      </c>
      <c r="I4980" s="1" t="s">
        <v>20</v>
      </c>
      <c r="J4980" s="1" t="s">
        <v>22165</v>
      </c>
      <c r="K4980" s="1" t="s">
        <v>22</v>
      </c>
      <c r="L4980" s="1" t="str">
        <f>HYPERLINK("https://files.afu.se/Downloads/Transcripts/0%20-%20Government/USA%20-%20NASA/2010 03 09 - NASA - Astronaut Duo Tapped for Trio of Spacewalks_GPvxOWOSZCE - transcript (automated).pdf","Transcript Link")</f>
        <v>Transcript Link</v>
      </c>
      <c r="M4980" s="2" t="str">
        <f>HYPERLINK("https://files.afu.se/Downloads/Transcripts/0%20-%20Government/USA%20-%20NASA/2010 03 09 - NASA - Astronaut Duo Tapped for Trio of Spacewalks_GPvxOWOSZCE - transcript (automated).pdf","Transcript Link")</f>
        <v>Transcript Link</v>
      </c>
    </row>
    <row r="4981" ht="165" spans="1:13">
      <c r="A4981" s="1" t="s">
        <v>22161</v>
      </c>
      <c r="B4981" s="1" t="s">
        <v>13</v>
      </c>
      <c r="C4981" s="4" t="s">
        <v>22166</v>
      </c>
      <c r="D4981" s="1" t="s">
        <v>22167</v>
      </c>
      <c r="E4981" s="1" t="s">
        <v>22168</v>
      </c>
      <c r="F4981" s="4" t="s">
        <v>17</v>
      </c>
      <c r="G4981" s="1" t="s">
        <v>18</v>
      </c>
      <c r="H4981" s="1" t="s">
        <v>19</v>
      </c>
      <c r="I4981" s="1" t="s">
        <v>20</v>
      </c>
      <c r="J4981" s="1" t="s">
        <v>22169</v>
      </c>
      <c r="K4981" s="1" t="s">
        <v>22</v>
      </c>
      <c r="L4981" s="1" t="str">
        <f>HYPERLINK("https://files.afu.se/Downloads/Transcripts/0%20-%20Government/USA%20-%20NASA/2010 03 09 - NASA - Woman Diver Trains Spacewalkers Underwater_TkRvWoBDO_0 - transcript (automated).pdf","Transcript Link")</f>
        <v>Transcript Link</v>
      </c>
      <c r="M4981" s="2" t="str">
        <f>HYPERLINK("https://files.afu.se/Downloads/Transcripts/0%20-%20Government/USA%20-%20NASA/2010 03 09 - NASA - Woman Diver Trains Spacewalkers Underwater_TkRvWoBDO_0 - transcript (automated).pdf","Transcript Link")</f>
        <v>Transcript Link</v>
      </c>
    </row>
    <row r="4982" ht="165" spans="1:13">
      <c r="A4982" s="1" t="s">
        <v>22161</v>
      </c>
      <c r="B4982" s="1" t="s">
        <v>13</v>
      </c>
      <c r="C4982" s="4" t="s">
        <v>22170</v>
      </c>
      <c r="D4982" s="1" t="s">
        <v>22171</v>
      </c>
      <c r="E4982" s="1" t="s">
        <v>22172</v>
      </c>
      <c r="F4982" s="4" t="s">
        <v>17</v>
      </c>
      <c r="G4982" s="1" t="s">
        <v>18</v>
      </c>
      <c r="H4982" s="1" t="s">
        <v>19</v>
      </c>
      <c r="I4982" s="1" t="s">
        <v>20</v>
      </c>
      <c r="J4982" s="1" t="s">
        <v>22173</v>
      </c>
      <c r="K4982" s="1" t="s">
        <v>22</v>
      </c>
      <c r="L4982" s="1" t="str">
        <f>HYPERLINK("https://files.afu.se/Downloads/Transcripts/0%20-%20Government/USA%20-%20NASA/2010 03 09 - NASA - What's Up For March_3OmVZTxfrNQ - transcript (automated).pdf","Transcript Link")</f>
        <v>Transcript Link</v>
      </c>
      <c r="M4982" s="2" t="str">
        <f>HYPERLINK("https://files.afu.se/Downloads/Transcripts/0%20-%20Government/USA%20-%20NASA/2010 03 09 - NASA - What's Up For March_3OmVZTxfrNQ - transcript (automated).pdf","Transcript Link")</f>
        <v>Transcript Link</v>
      </c>
    </row>
    <row r="4983" ht="165" spans="1:13">
      <c r="A4983" s="1" t="s">
        <v>22174</v>
      </c>
      <c r="B4983" s="1" t="s">
        <v>13</v>
      </c>
      <c r="C4983" s="4" t="s">
        <v>22175</v>
      </c>
      <c r="D4983" s="1" t="s">
        <v>22176</v>
      </c>
      <c r="E4983" s="1" t="s">
        <v>22177</v>
      </c>
      <c r="F4983" s="4" t="s">
        <v>17</v>
      </c>
      <c r="G4983" s="1" t="s">
        <v>18</v>
      </c>
      <c r="H4983" s="1" t="s">
        <v>19</v>
      </c>
      <c r="I4983" s="1" t="s">
        <v>20</v>
      </c>
      <c r="J4983" s="1" t="s">
        <v>22178</v>
      </c>
      <c r="K4983" s="1" t="s">
        <v>22</v>
      </c>
      <c r="L4983" s="1" t="str">
        <f>HYPERLINK("https://files.afu.se/Downloads/Transcripts/0%20-%20Government/USA%20-%20NASA/2010 03 08 - NASA - Student Cubesats  Small Payload, Big Payoff_K0NgxjHBzmM - transcript (automated).pdf","Transcript Link")</f>
        <v>Transcript Link</v>
      </c>
      <c r="M4983" s="2" t="str">
        <f>HYPERLINK("https://files.afu.se/Downloads/Transcripts/0%20-%20Government/USA%20-%20NASA/2010 03 08 - NASA - Student Cubesats  Small Payload, Big Payoff_K0NgxjHBzmM - transcript (automated).pdf","Transcript Link")</f>
        <v>Transcript Link</v>
      </c>
    </row>
    <row r="4984" ht="165" spans="1:13">
      <c r="A4984" s="1" t="s">
        <v>22179</v>
      </c>
      <c r="B4984" s="1" t="s">
        <v>13</v>
      </c>
      <c r="C4984" s="4" t="s">
        <v>22180</v>
      </c>
      <c r="D4984" s="1" t="s">
        <v>22181</v>
      </c>
      <c r="E4984" s="1" t="s">
        <v>22182</v>
      </c>
      <c r="F4984" s="4" t="s">
        <v>17</v>
      </c>
      <c r="G4984" s="1" t="s">
        <v>18</v>
      </c>
      <c r="H4984" s="1" t="s">
        <v>19</v>
      </c>
      <c r="I4984" s="1" t="s">
        <v>20</v>
      </c>
      <c r="J4984" s="1" t="s">
        <v>22183</v>
      </c>
      <c r="K4984" s="1" t="s">
        <v>22</v>
      </c>
      <c r="L4984" s="1" t="str">
        <f>HYPERLINK("https://files.afu.se/Downloads/Transcripts/0%20-%20Government/USA%20-%20NASA/2010 03 05 - NASA - STS-131 Crew Trains at the Kennedy Space Center_2baY3ofzk6Y - transcript (automated).pdf","Transcript Link")</f>
        <v>Transcript Link</v>
      </c>
      <c r="M4984" s="2" t="str">
        <f>HYPERLINK("https://files.afu.se/Downloads/Transcripts/0%20-%20Government/USA%20-%20NASA/2010 03 05 - NASA - STS-131 Crew Trains at the Kennedy Space Center_2baY3ofzk6Y - transcript (automated).pdf","Transcript Link")</f>
        <v>Transcript Link</v>
      </c>
    </row>
    <row r="4985" ht="165" spans="1:13">
      <c r="A4985" s="1" t="s">
        <v>22179</v>
      </c>
      <c r="B4985" s="1" t="s">
        <v>13</v>
      </c>
      <c r="C4985" s="4" t="s">
        <v>22184</v>
      </c>
      <c r="D4985" s="1" t="s">
        <v>22185</v>
      </c>
      <c r="E4985" s="1" t="s">
        <v>22186</v>
      </c>
      <c r="F4985" s="4" t="s">
        <v>17</v>
      </c>
      <c r="G4985" s="1" t="s">
        <v>18</v>
      </c>
      <c r="H4985" s="1" t="s">
        <v>19</v>
      </c>
      <c r="I4985" s="1" t="s">
        <v>20</v>
      </c>
      <c r="J4985" s="1" t="s">
        <v>22187</v>
      </c>
      <c r="K4985" s="1" t="s">
        <v>22</v>
      </c>
      <c r="L4985" s="1" t="str">
        <f>HYPERLINK("https://files.afu.se/Downloads/Transcripts/0%20-%20Government/USA%20-%20NASA/2010 03 05 - NASA - Saving Station's Solar Array, a  World Wind  Winner, and Discovery Moves Ahead on  This Week @ NASA _ZKIMBunPKQ4 - transcript (automated).pdf","Transcript Link")</f>
        <v>Transcript Link</v>
      </c>
      <c r="M4985" s="2" t="str">
        <f>HYPERLINK("https://files.afu.se/Downloads/Transcripts/0%20-%20Government/USA%20-%20NASA/2010 03 05 - NASA - Saving Station's Solar Array, a  World Wind  Winner, and Discovery Moves Ahead on  This Week @ NASA _ZKIMBunPKQ4 - transcript (automated).pdf","Transcript Link")</f>
        <v>Transcript Link</v>
      </c>
    </row>
    <row r="4986" ht="165" spans="1:13">
      <c r="A4986" s="1" t="s">
        <v>22179</v>
      </c>
      <c r="B4986" s="1" t="s">
        <v>13</v>
      </c>
      <c r="C4986" s="4" t="s">
        <v>22188</v>
      </c>
      <c r="D4986" s="1" t="s">
        <v>22189</v>
      </c>
      <c r="E4986" s="1" t="s">
        <v>22190</v>
      </c>
      <c r="F4986" s="4" t="s">
        <v>17</v>
      </c>
      <c r="G4986" s="1" t="s">
        <v>18</v>
      </c>
      <c r="H4986" s="1" t="s">
        <v>19</v>
      </c>
      <c r="I4986" s="1" t="s">
        <v>20</v>
      </c>
      <c r="J4986" s="1" t="s">
        <v>22191</v>
      </c>
      <c r="K4986" s="1" t="s">
        <v>22</v>
      </c>
      <c r="L4986" s="1" t="str">
        <f>HYPERLINK("https://files.afu.se/Downloads/Transcripts/0%20-%20Government/USA%20-%20NASA/2010 03 05 - NASA - State-of-the-Art Weather Satellite Sent Into Space_HY7F7Y0B4dY - transcript (automated).pdf","Transcript Link")</f>
        <v>Transcript Link</v>
      </c>
      <c r="M4986" s="2" t="str">
        <f>HYPERLINK("https://files.afu.se/Downloads/Transcripts/0%20-%20Government/USA%20-%20NASA/2010 03 05 - NASA - State-of-the-Art Weather Satellite Sent Into Space_HY7F7Y0B4dY - transcript (automated).pdf","Transcript Link")</f>
        <v>Transcript Link</v>
      </c>
    </row>
    <row r="4987" ht="165" spans="1:13">
      <c r="A4987" s="1" t="s">
        <v>22192</v>
      </c>
      <c r="B4987" s="1" t="s">
        <v>13</v>
      </c>
      <c r="C4987" s="4" t="s">
        <v>22193</v>
      </c>
      <c r="D4987" s="1" t="s">
        <v>22194</v>
      </c>
      <c r="E4987" s="1" t="s">
        <v>22195</v>
      </c>
      <c r="F4987" s="4" t="s">
        <v>17</v>
      </c>
      <c r="G4987" s="1" t="s">
        <v>18</v>
      </c>
      <c r="H4987" s="1" t="s">
        <v>19</v>
      </c>
      <c r="I4987" s="1" t="s">
        <v>20</v>
      </c>
      <c r="J4987" s="1" t="s">
        <v>22196</v>
      </c>
      <c r="K4987" s="1" t="s">
        <v>22</v>
      </c>
      <c r="L4987" s="1" t="str">
        <f>HYPERLINK("https://files.afu.se/Downloads/Transcripts/0%20-%20Government/USA%20-%20NASA/2010 03 04 - NASA - STS-131 Astronauts Talk to Reporters During Training Break_sEhi7NdFrag - transcript (automated).pdf","Transcript Link")</f>
        <v>Transcript Link</v>
      </c>
      <c r="M4987" s="2" t="str">
        <f>HYPERLINK("https://files.afu.se/Downloads/Transcripts/0%20-%20Government/USA%20-%20NASA/2010 03 04 - NASA - STS-131 Astronauts Talk to Reporters During Training Break_sEhi7NdFrag - transcript (automated).pdf","Transcript Link")</f>
        <v>Transcript Link</v>
      </c>
    </row>
    <row r="4988" ht="165" spans="1:13">
      <c r="A4988" s="1" t="s">
        <v>22197</v>
      </c>
      <c r="B4988" s="1" t="s">
        <v>13</v>
      </c>
      <c r="C4988" s="4" t="s">
        <v>22198</v>
      </c>
      <c r="D4988" s="1" t="s">
        <v>22199</v>
      </c>
      <c r="E4988" s="1" t="s">
        <v>22200</v>
      </c>
      <c r="F4988" s="4" t="s">
        <v>17</v>
      </c>
      <c r="G4988" s="1" t="s">
        <v>18</v>
      </c>
      <c r="H4988" s="1" t="s">
        <v>19</v>
      </c>
      <c r="I4988" s="1" t="s">
        <v>20</v>
      </c>
      <c r="J4988" s="1" t="s">
        <v>22201</v>
      </c>
      <c r="K4988" s="1" t="s">
        <v>22</v>
      </c>
      <c r="L4988" s="1" t="str">
        <f>HYPERLINK("https://files.afu.se/Downloads/Transcripts/0%20-%20Government/USA%20-%20NASA/2010 03 02 - NASA - Remembering NASA's First Senior Photographer_LbVQgqCzXLk - transcript (automated).pdf","Transcript Link")</f>
        <v>Transcript Link</v>
      </c>
      <c r="M4988" s="2" t="str">
        <f>HYPERLINK("https://files.afu.se/Downloads/Transcripts/0%20-%20Government/USA%20-%20NASA/2010 03 02 - NASA - Remembering NASA's First Senior Photographer_LbVQgqCzXLk - transcript (automated).pdf","Transcript Link")</f>
        <v>Transcript Link</v>
      </c>
    </row>
    <row r="4989" ht="180" spans="1:13">
      <c r="A4989" s="1" t="s">
        <v>22197</v>
      </c>
      <c r="B4989" s="1" t="s">
        <v>13</v>
      </c>
      <c r="C4989" s="4" t="s">
        <v>22202</v>
      </c>
      <c r="D4989" s="1" t="s">
        <v>22181</v>
      </c>
      <c r="E4989" s="1" t="s">
        <v>22203</v>
      </c>
      <c r="F4989" s="4" t="s">
        <v>17</v>
      </c>
      <c r="G4989" s="1" t="s">
        <v>18</v>
      </c>
      <c r="H4989" s="1" t="s">
        <v>19</v>
      </c>
      <c r="I4989" s="1" t="s">
        <v>20</v>
      </c>
      <c r="J4989" s="1" t="s">
        <v>22204</v>
      </c>
      <c r="K4989" s="1" t="s">
        <v>22</v>
      </c>
      <c r="L4989" s="1" t="str">
        <f>HYPERLINK("https://files.afu.se/Downloads/Transcripts/0%20-%20Government/USA%20-%20NASA/2010 03 02 - NASA - STS-131 Crew Trains at the Kennedy Space Center_GTLgdfojl2w - transcript (automated).pdf","Transcript Link")</f>
        <v>Transcript Link</v>
      </c>
      <c r="M4989" s="2" t="str">
        <f>HYPERLINK("https://files.afu.se/Downloads/Transcripts/0%20-%20Government/USA%20-%20NASA/2010 03 02 - NASA - STS-131 Crew Trains at the Kennedy Space Center_GTLgdfojl2w - transcript (automated).pdf","Transcript Link")</f>
        <v>Transcript Link</v>
      </c>
    </row>
    <row r="4990" ht="165" spans="1:13">
      <c r="A4990" s="1" t="s">
        <v>22197</v>
      </c>
      <c r="B4990" s="1" t="s">
        <v>13</v>
      </c>
      <c r="C4990" s="4" t="s">
        <v>22205</v>
      </c>
      <c r="D4990" s="1" t="s">
        <v>22206</v>
      </c>
      <c r="E4990" s="1" t="s">
        <v>22207</v>
      </c>
      <c r="F4990" s="4" t="s">
        <v>17</v>
      </c>
      <c r="G4990" s="1" t="s">
        <v>18</v>
      </c>
      <c r="H4990" s="1" t="s">
        <v>19</v>
      </c>
      <c r="I4990" s="1" t="s">
        <v>20</v>
      </c>
      <c r="J4990" s="1" t="s">
        <v>22208</v>
      </c>
      <c r="K4990" s="1" t="s">
        <v>22</v>
      </c>
      <c r="L4990" s="1" t="str">
        <f>HYPERLINK("https://files.afu.se/Downloads/Transcripts/0%20-%20Government/USA%20-%20NASA/2010 03 02 - NASA - NASA Pioneer Aaron Cohen Dead at 79_4UnIBnKNuB4 - transcript (automated).pdf","Transcript Link")</f>
        <v>Transcript Link</v>
      </c>
      <c r="M4990" s="2" t="str">
        <f>HYPERLINK("https://files.afu.se/Downloads/Transcripts/0%20-%20Government/USA%20-%20NASA/2010 03 02 - NASA - NASA Pioneer Aaron Cohen Dead at 79_4UnIBnKNuB4 - transcript (automated).pdf","Transcript Link")</f>
        <v>Transcript Link</v>
      </c>
    </row>
    <row r="4991" ht="165" spans="1:13">
      <c r="A4991" s="1" t="s">
        <v>22197</v>
      </c>
      <c r="B4991" s="1" t="s">
        <v>13</v>
      </c>
      <c r="C4991" s="4" t="s">
        <v>22209</v>
      </c>
      <c r="D4991" s="1" t="s">
        <v>22210</v>
      </c>
      <c r="E4991" s="1" t="s">
        <v>22211</v>
      </c>
      <c r="F4991" s="4" t="s">
        <v>17</v>
      </c>
      <c r="G4991" s="1" t="s">
        <v>18</v>
      </c>
      <c r="H4991" s="1" t="s">
        <v>19</v>
      </c>
      <c r="I4991" s="1" t="s">
        <v>20</v>
      </c>
      <c r="J4991" s="1" t="s">
        <v>22212</v>
      </c>
      <c r="K4991" s="1" t="s">
        <v>22</v>
      </c>
      <c r="L4991" s="1" t="str">
        <f>HYPERLINK("https://files.afu.se/Downloads/Transcripts/0%20-%20Government/USA%20-%20NASA/2010 03 02 - NASA - Wilson's Supporters  System for Her Success_YaMC3JwUfTI - transcript (automated).pdf","Transcript Link")</f>
        <v>Transcript Link</v>
      </c>
      <c r="M4991" s="2" t="str">
        <f>HYPERLINK("https://files.afu.se/Downloads/Transcripts/0%20-%20Government/USA%20-%20NASA/2010 03 02 - NASA - Wilson's Supporters  System for Her Success_YaMC3JwUfTI - transcript (automated).pdf","Transcript Link")</f>
        <v>Transcript Link</v>
      </c>
    </row>
    <row r="4992" ht="165" spans="1:13">
      <c r="A4992" s="1" t="s">
        <v>22213</v>
      </c>
      <c r="B4992" s="1" t="s">
        <v>13</v>
      </c>
      <c r="C4992" s="4" t="s">
        <v>22214</v>
      </c>
      <c r="D4992" s="1" t="s">
        <v>22215</v>
      </c>
      <c r="E4992" s="1" t="s">
        <v>22216</v>
      </c>
      <c r="F4992" s="4" t="s">
        <v>17</v>
      </c>
      <c r="G4992" s="1" t="s">
        <v>18</v>
      </c>
      <c r="H4992" s="1" t="s">
        <v>19</v>
      </c>
      <c r="I4992" s="1" t="s">
        <v>20</v>
      </c>
      <c r="J4992" s="1" t="s">
        <v>22217</v>
      </c>
      <c r="K4992" s="1" t="s">
        <v>22</v>
      </c>
      <c r="L4992" s="1" t="str">
        <f>HYPERLINK("https://files.afu.se/Downloads/Transcripts/0%20-%20Government/USA%20-%20NASA/2010 03 01 - NASA - Shuttle Crew to  Dress  for Success_owLGXHOWS8A - transcript (automated).pdf","Transcript Link")</f>
        <v>Transcript Link</v>
      </c>
      <c r="M4992" s="2" t="str">
        <f>HYPERLINK("https://files.afu.se/Downloads/Transcripts/0%20-%20Government/USA%20-%20NASA/2010 03 01 - NASA - Shuttle Crew to  Dress  for Success_owLGXHOWS8A - transcript (automated).pdf","Transcript Link")</f>
        <v>Transcript Link</v>
      </c>
    </row>
    <row r="4993" ht="165" spans="1:13">
      <c r="A4993" s="1" t="s">
        <v>22213</v>
      </c>
      <c r="B4993" s="1" t="s">
        <v>13</v>
      </c>
      <c r="C4993" s="4" t="s">
        <v>22218</v>
      </c>
      <c r="D4993" s="1" t="s">
        <v>22219</v>
      </c>
      <c r="E4993" s="1" t="s">
        <v>22220</v>
      </c>
      <c r="F4993" s="4" t="s">
        <v>17</v>
      </c>
      <c r="G4993" s="1" t="s">
        <v>18</v>
      </c>
      <c r="H4993" s="1" t="s">
        <v>19</v>
      </c>
      <c r="I4993" s="1" t="s">
        <v>20</v>
      </c>
      <c r="J4993" s="1" t="s">
        <v>22221</v>
      </c>
      <c r="K4993" s="1" t="s">
        <v>22</v>
      </c>
      <c r="L4993" s="1" t="str">
        <f>HYPERLINK("https://files.afu.se/Downloads/Transcripts/0%20-%20Government/USA%20-%20NASA/2010 03 01 - NASA - McCall Mourned by Aerospace Community, Space Enthusiasts_5yA5htCJsfQ - transcript (automated).pdf","Transcript Link")</f>
        <v>Transcript Link</v>
      </c>
      <c r="M4993" s="2" t="str">
        <f>HYPERLINK("https://files.afu.se/Downloads/Transcripts/0%20-%20Government/USA%20-%20NASA/2010 03 01 - NASA - McCall Mourned by Aerospace Community, Space Enthusiasts_5yA5htCJsfQ - transcript (automated).pdf","Transcript Link")</f>
        <v>Transcript Link</v>
      </c>
    </row>
    <row r="4994" ht="165" spans="1:13">
      <c r="A4994" s="1" t="s">
        <v>22213</v>
      </c>
      <c r="B4994" s="1" t="s">
        <v>13</v>
      </c>
      <c r="C4994" s="4" t="s">
        <v>22222</v>
      </c>
      <c r="D4994" s="1" t="s">
        <v>22223</v>
      </c>
      <c r="E4994" s="1" t="s">
        <v>22224</v>
      </c>
      <c r="F4994" s="4" t="s">
        <v>17</v>
      </c>
      <c r="G4994" s="1" t="s">
        <v>18</v>
      </c>
      <c r="H4994" s="1" t="s">
        <v>19</v>
      </c>
      <c r="I4994" s="1" t="s">
        <v>20</v>
      </c>
      <c r="J4994" s="1" t="s">
        <v>22225</v>
      </c>
      <c r="K4994" s="1" t="s">
        <v>22</v>
      </c>
      <c r="L4994" s="1" t="str">
        <f>HYPERLINK("https://files.afu.se/Downloads/Transcripts/0%20-%20Government/USA%20-%20NASA/2010 03 01 - NASA -  Es El Momento,  Heavenly Rendezvous  This Week @ NASA _ebB9Hkj4j_s - transcript (automated).pdf","Transcript Link")</f>
        <v>Transcript Link</v>
      </c>
      <c r="M4994" s="2" t="str">
        <f>HYPERLINK("https://files.afu.se/Downloads/Transcripts/0%20-%20Government/USA%20-%20NASA/2010 03 01 - NASA -  Es El Momento,  Heavenly Rendezvous  This Week @ NASA _ebB9Hkj4j_s - transcript (automated).pdf","Transcript Link")</f>
        <v>Transcript Link</v>
      </c>
    </row>
    <row r="4995" ht="165" spans="1:13">
      <c r="A4995" s="1" t="s">
        <v>22226</v>
      </c>
      <c r="B4995" s="1" t="s">
        <v>13</v>
      </c>
      <c r="C4995" s="4" t="s">
        <v>22227</v>
      </c>
      <c r="D4995" s="1" t="s">
        <v>22228</v>
      </c>
      <c r="E4995" s="1" t="s">
        <v>22229</v>
      </c>
      <c r="F4995" s="4" t="s">
        <v>17</v>
      </c>
      <c r="G4995" s="1" t="s">
        <v>18</v>
      </c>
      <c r="H4995" s="1" t="s">
        <v>19</v>
      </c>
      <c r="I4995" s="1" t="s">
        <v>20</v>
      </c>
      <c r="J4995" s="1" t="s">
        <v>22230</v>
      </c>
      <c r="K4995" s="1" t="s">
        <v>22</v>
      </c>
      <c r="L4995" s="1" t="str">
        <f>HYPERLINK("https://files.afu.se/Downloads/Transcripts/0%20-%20Government/USA%20-%20NASA/2010 02 26 - NASA - Solid Rocket Motor Passes Final Firing Test_qk7VrKDu11Y - transcript (automated).pdf","Transcript Link")</f>
        <v>Transcript Link</v>
      </c>
      <c r="M4995" s="2" t="str">
        <f>HYPERLINK("https://files.afu.se/Downloads/Transcripts/0%20-%20Government/USA%20-%20NASA/2010 02 26 - NASA - Solid Rocket Motor Passes Final Firing Test_qk7VrKDu11Y - transcript (automated).pdf","Transcript Link")</f>
        <v>Transcript Link</v>
      </c>
    </row>
    <row r="4996" ht="165" spans="1:13">
      <c r="A4996" s="1" t="s">
        <v>22226</v>
      </c>
      <c r="B4996" s="1" t="s">
        <v>13</v>
      </c>
      <c r="C4996" s="4" t="s">
        <v>22231</v>
      </c>
      <c r="D4996" s="1" t="s">
        <v>22232</v>
      </c>
      <c r="E4996" s="1" t="s">
        <v>22233</v>
      </c>
      <c r="F4996" s="4" t="s">
        <v>17</v>
      </c>
      <c r="G4996" s="1" t="s">
        <v>18</v>
      </c>
      <c r="H4996" s="1" t="s">
        <v>19</v>
      </c>
      <c r="I4996" s="1" t="s">
        <v>20</v>
      </c>
      <c r="J4996" s="1" t="s">
        <v>22234</v>
      </c>
      <c r="K4996" s="1" t="s">
        <v>22</v>
      </c>
      <c r="L4996" s="1" t="str">
        <f>HYPERLINK("https://files.afu.se/Downloads/Transcripts/0%20-%20Government/USA%20-%20NASA/2010 02 26 - NASA - Journey to the Sun  Living with a Star _ubWZOiEA5vE - transcript (automated).pdf","Transcript Link")</f>
        <v>Transcript Link</v>
      </c>
      <c r="M4996" s="2" t="str">
        <f>HYPERLINK("https://files.afu.se/Downloads/Transcripts/0%20-%20Government/USA%20-%20NASA/2010 02 26 - NASA - Journey to the Sun  Living with a Star _ubWZOiEA5vE - transcript (automated).pdf","Transcript Link")</f>
        <v>Transcript Link</v>
      </c>
    </row>
    <row r="4997" ht="165" spans="1:13">
      <c r="A4997" s="1" t="s">
        <v>22235</v>
      </c>
      <c r="B4997" s="1" t="s">
        <v>13</v>
      </c>
      <c r="C4997" s="4" t="s">
        <v>22236</v>
      </c>
      <c r="D4997" s="1" t="s">
        <v>22237</v>
      </c>
      <c r="E4997" s="1" t="s">
        <v>22238</v>
      </c>
      <c r="F4997" s="4" t="s">
        <v>17</v>
      </c>
      <c r="G4997" s="1" t="s">
        <v>18</v>
      </c>
      <c r="H4997" s="1" t="s">
        <v>19</v>
      </c>
      <c r="I4997" s="1" t="s">
        <v>20</v>
      </c>
      <c r="J4997" s="1" t="s">
        <v>22239</v>
      </c>
      <c r="K4997" s="1" t="s">
        <v>22</v>
      </c>
      <c r="L4997" s="1" t="str">
        <f>HYPERLINK("https://files.afu.se/Downloads/Transcripts/0%20-%20Government/USA%20-%20NASA/2010 02 25 - NASA -  Dishing  Data For Missions' Success_f7eRoxJvPIQ - transcript (automated).pdf","Transcript Link")</f>
        <v>Transcript Link</v>
      </c>
      <c r="M4997" s="2" t="str">
        <f>HYPERLINK("https://files.afu.se/Downloads/Transcripts/0%20-%20Government/USA%20-%20NASA/2010 02 25 - NASA -  Dishing  Data For Missions' Success_f7eRoxJvPIQ - transcript (automated).pdf","Transcript Link")</f>
        <v>Transcript Link</v>
      </c>
    </row>
    <row r="4998" ht="165" spans="1:13">
      <c r="A4998" s="1" t="s">
        <v>22235</v>
      </c>
      <c r="B4998" s="1" t="s">
        <v>13</v>
      </c>
      <c r="C4998" s="4" t="s">
        <v>22240</v>
      </c>
      <c r="D4998" s="1" t="s">
        <v>22241</v>
      </c>
      <c r="E4998" s="1" t="s">
        <v>22242</v>
      </c>
      <c r="F4998" s="4" t="s">
        <v>17</v>
      </c>
      <c r="G4998" s="1" t="s">
        <v>18</v>
      </c>
      <c r="H4998" s="1" t="s">
        <v>19</v>
      </c>
      <c r="I4998" s="1" t="s">
        <v>20</v>
      </c>
      <c r="J4998" s="1" t="s">
        <v>22243</v>
      </c>
      <c r="K4998" s="1" t="s">
        <v>22</v>
      </c>
      <c r="L4998" s="1" t="str">
        <f>HYPERLINK("https://files.afu.se/Downloads/Transcripts/0%20-%20Government/USA%20-%20NASA/2010 02 25 - NASA - NASA Supports Hispanic Education Campaign_YBTy_lUjIu0 - transcript (automated).pdf","Transcript Link")</f>
        <v>Transcript Link</v>
      </c>
      <c r="M4998" s="2" t="str">
        <f>HYPERLINK("https://files.afu.se/Downloads/Transcripts/0%20-%20Government/USA%20-%20NASA/2010 02 25 - NASA - NASA Supports Hispanic Education Campaign_YBTy_lUjIu0 - transcript (automated).pdf","Transcript Link")</f>
        <v>Transcript Link</v>
      </c>
    </row>
    <row r="4999" ht="165" spans="1:13">
      <c r="A4999" s="1" t="s">
        <v>22235</v>
      </c>
      <c r="B4999" s="1" t="s">
        <v>13</v>
      </c>
      <c r="C4999" s="4" t="s">
        <v>22244</v>
      </c>
      <c r="D4999" s="1" t="s">
        <v>22245</v>
      </c>
      <c r="E4999" s="1" t="s">
        <v>22246</v>
      </c>
      <c r="F4999" s="4" t="s">
        <v>17</v>
      </c>
      <c r="G4999" s="1" t="s">
        <v>18</v>
      </c>
      <c r="H4999" s="1" t="s">
        <v>19</v>
      </c>
      <c r="I4999" s="1" t="s">
        <v>20</v>
      </c>
      <c r="J4999" s="1" t="s">
        <v>22247</v>
      </c>
      <c r="K4999" s="1" t="s">
        <v>22</v>
      </c>
      <c r="L4999" s="1" t="str">
        <f>HYPERLINK("https://files.afu.se/Downloads/Transcripts/0%20-%20Government/USA%20-%20NASA/2010 02 25 - NASA - Discovery Hooked Up for Spring Mission_FQVA1e9RJzM - transcript (automated).pdf","Transcript Link")</f>
        <v>Transcript Link</v>
      </c>
      <c r="M4999" s="2" t="str">
        <f>HYPERLINK("https://files.afu.se/Downloads/Transcripts/0%20-%20Government/USA%20-%20NASA/2010 02 25 - NASA - Discovery Hooked Up for Spring Mission_FQVA1e9RJzM - transcript (automated).pdf","Transcript Link")</f>
        <v>Transcript Link</v>
      </c>
    </row>
    <row r="5000" ht="165" spans="1:13">
      <c r="A5000" s="1" t="s">
        <v>22248</v>
      </c>
      <c r="B5000" s="1" t="s">
        <v>13</v>
      </c>
      <c r="C5000" s="4" t="s">
        <v>22249</v>
      </c>
      <c r="D5000" s="1" t="s">
        <v>22250</v>
      </c>
      <c r="E5000" s="1" t="s">
        <v>22251</v>
      </c>
      <c r="F5000" s="4" t="s">
        <v>17</v>
      </c>
      <c r="G5000" s="1" t="s">
        <v>18</v>
      </c>
      <c r="H5000" s="1" t="s">
        <v>19</v>
      </c>
      <c r="I5000" s="1" t="s">
        <v>20</v>
      </c>
      <c r="J5000" s="1" t="s">
        <v>22252</v>
      </c>
      <c r="K5000" s="1" t="s">
        <v>22</v>
      </c>
      <c r="L5000" s="1" t="str">
        <f>HYPERLINK("https://files.afu.se/Downloads/Transcripts/0%20-%20Government/USA%20-%20NASA/2010 02 24 - NASA - Rankin's Rovers_e2ByHhf9fOU - transcript (automated).pdf","Transcript Link")</f>
        <v>Transcript Link</v>
      </c>
      <c r="M5000" s="2" t="str">
        <f>HYPERLINK("https://files.afu.se/Downloads/Transcripts/0%20-%20Government/USA%20-%20NASA/2010 02 24 - NASA - Rankin's Rovers_e2ByHhf9fOU - transcript (automated).pdf","Transcript Link")</f>
        <v>Transcript Link</v>
      </c>
    </row>
    <row r="5001" ht="165" spans="1:13">
      <c r="A5001" s="1" t="s">
        <v>22248</v>
      </c>
      <c r="B5001" s="1" t="s">
        <v>13</v>
      </c>
      <c r="C5001" s="4" t="s">
        <v>22253</v>
      </c>
      <c r="D5001" s="1" t="s">
        <v>22254</v>
      </c>
      <c r="E5001" s="1" t="s">
        <v>22255</v>
      </c>
      <c r="F5001" s="4" t="s">
        <v>17</v>
      </c>
      <c r="G5001" s="1" t="s">
        <v>18</v>
      </c>
      <c r="H5001" s="1" t="s">
        <v>19</v>
      </c>
      <c r="I5001" s="1" t="s">
        <v>20</v>
      </c>
      <c r="J5001" s="1" t="s">
        <v>22256</v>
      </c>
      <c r="K5001" s="1" t="s">
        <v>22</v>
      </c>
      <c r="L5001" s="1" t="str">
        <f>HYPERLINK("https://files.afu.se/Downloads/Transcripts/0%20-%20Government/USA%20-%20NASA/2010 02 24 - NASA - Soichi Samples Space Sushi_rfwqLSHvu3E - transcript (automated).pdf","Transcript Link")</f>
        <v>Transcript Link</v>
      </c>
      <c r="M5001" s="2" t="str">
        <f>HYPERLINK("https://files.afu.se/Downloads/Transcripts/0%20-%20Government/USA%20-%20NASA/2010 02 24 - NASA - Soichi Samples Space Sushi_rfwqLSHvu3E - transcript (automated).pdf","Transcript Link")</f>
        <v>Transcript Link</v>
      </c>
    </row>
    <row r="5002" ht="165" spans="1:13">
      <c r="A5002" s="1" t="s">
        <v>22257</v>
      </c>
      <c r="B5002" s="1" t="s">
        <v>13</v>
      </c>
      <c r="C5002" s="4" t="s">
        <v>22258</v>
      </c>
      <c r="D5002" s="1" t="s">
        <v>22259</v>
      </c>
      <c r="E5002" s="1" t="s">
        <v>22260</v>
      </c>
      <c r="F5002" s="4" t="s">
        <v>17</v>
      </c>
      <c r="G5002" s="1" t="s">
        <v>18</v>
      </c>
      <c r="H5002" s="1" t="s">
        <v>19</v>
      </c>
      <c r="I5002" s="1" t="s">
        <v>20</v>
      </c>
      <c r="J5002" s="1" t="s">
        <v>22261</v>
      </c>
      <c r="K5002" s="1" t="s">
        <v>22</v>
      </c>
      <c r="L5002" s="1" t="str">
        <f>HYPERLINK("https://files.afu.se/Downloads/Transcripts/0%20-%20Government/USA%20-%20NASA/2010 02 23 - NASA - Endeavour's Crew Back Home in Houston_B8fzZtfu8kk - transcript (automated).pdf","Transcript Link")</f>
        <v>Transcript Link</v>
      </c>
      <c r="M5002" s="2" t="str">
        <f>HYPERLINK("https://files.afu.se/Downloads/Transcripts/0%20-%20Government/USA%20-%20NASA/2010 02 23 - NASA - Endeavour's Crew Back Home in Houston_B8fzZtfu8kk - transcript (automated).pdf","Transcript Link")</f>
        <v>Transcript Link</v>
      </c>
    </row>
    <row r="5003" ht="165" spans="1:13">
      <c r="A5003" s="1" t="s">
        <v>22257</v>
      </c>
      <c r="B5003" s="1" t="s">
        <v>13</v>
      </c>
      <c r="C5003" s="4" t="s">
        <v>22262</v>
      </c>
      <c r="D5003" s="1" t="s">
        <v>22263</v>
      </c>
      <c r="E5003" s="1" t="s">
        <v>22264</v>
      </c>
      <c r="F5003" s="4" t="s">
        <v>17</v>
      </c>
      <c r="G5003" s="1" t="s">
        <v>18</v>
      </c>
      <c r="H5003" s="1" t="s">
        <v>19</v>
      </c>
      <c r="I5003" s="1" t="s">
        <v>20</v>
      </c>
      <c r="J5003" s="1" t="s">
        <v>22265</v>
      </c>
      <c r="K5003" s="1" t="s">
        <v>22</v>
      </c>
      <c r="L5003" s="1" t="str">
        <f>HYPERLINK("https://files.afu.se/Downloads/Transcripts/0%20-%20Government/USA%20-%20NASA/2010 02 23 - NASA - First of Final Four Shuttle Missions Moves Ahead_9lI6TajJRek - transcript (automated).pdf","Transcript Link")</f>
        <v>Transcript Link</v>
      </c>
      <c r="M5003" s="2" t="str">
        <f>HYPERLINK("https://files.afu.se/Downloads/Transcripts/0%20-%20Government/USA%20-%20NASA/2010 02 23 - NASA - First of Final Four Shuttle Missions Moves Ahead_9lI6TajJRek - transcript (automated).pdf","Transcript Link")</f>
        <v>Transcript Link</v>
      </c>
    </row>
    <row r="5004" ht="165" spans="1:13">
      <c r="A5004" s="1" t="s">
        <v>22266</v>
      </c>
      <c r="B5004" s="1" t="s">
        <v>13</v>
      </c>
      <c r="C5004" s="4" t="s">
        <v>22267</v>
      </c>
      <c r="D5004" s="1" t="s">
        <v>22268</v>
      </c>
      <c r="E5004" s="1" t="s">
        <v>22269</v>
      </c>
      <c r="F5004" s="4" t="s">
        <v>17</v>
      </c>
      <c r="G5004" s="1" t="s">
        <v>18</v>
      </c>
      <c r="H5004" s="1" t="s">
        <v>19</v>
      </c>
      <c r="I5004" s="1" t="s">
        <v>20</v>
      </c>
      <c r="J5004" s="1" t="s">
        <v>22270</v>
      </c>
      <c r="K5004" s="1" t="s">
        <v>22</v>
      </c>
      <c r="L5004" s="1" t="str">
        <f>HYPERLINK("https://files.afu.se/Downloads/Transcripts/0%20-%20Government/USA%20-%20NASA/2010 02 22 - NASA - Returning Shuttle Crew Comments on Successful Mission_Kkuih2XVa4c - transcript (automated).pdf","Transcript Link")</f>
        <v>Transcript Link</v>
      </c>
      <c r="M5004" s="2" t="str">
        <f>HYPERLINK("https://files.afu.se/Downloads/Transcripts/0%20-%20Government/USA%20-%20NASA/2010 02 22 - NASA - Returning Shuttle Crew Comments on Successful Mission_Kkuih2XVa4c - transcript (automated).pdf","Transcript Link")</f>
        <v>Transcript Link</v>
      </c>
    </row>
    <row r="5005" ht="165" spans="1:13">
      <c r="A5005" s="1" t="s">
        <v>22266</v>
      </c>
      <c r="B5005" s="1" t="s">
        <v>13</v>
      </c>
      <c r="C5005" s="4" t="s">
        <v>22271</v>
      </c>
      <c r="D5005" s="1" t="s">
        <v>22272</v>
      </c>
      <c r="E5005" s="1" t="s">
        <v>22273</v>
      </c>
      <c r="F5005" s="4" t="s">
        <v>17</v>
      </c>
      <c r="G5005" s="1" t="s">
        <v>18</v>
      </c>
      <c r="H5005" s="1" t="s">
        <v>19</v>
      </c>
      <c r="I5005" s="1" t="s">
        <v>20</v>
      </c>
      <c r="J5005" s="1" t="s">
        <v>22274</v>
      </c>
      <c r="K5005" s="1" t="s">
        <v>22</v>
      </c>
      <c r="L5005" s="1" t="str">
        <f>HYPERLINK("https://files.afu.se/Downloads/Transcripts/0%20-%20Government/USA%20-%20NASA/2010 02 22 - NASA - STS-130 Crew's Return, President's Call Top This Week @ NASA_Ot-SeKrPOXk - transcript (automated).pdf","Transcript Link")</f>
        <v>Transcript Link</v>
      </c>
      <c r="M5005" s="2" t="str">
        <f>HYPERLINK("https://files.afu.se/Downloads/Transcripts/0%20-%20Government/USA%20-%20NASA/2010 02 22 - NASA - STS-130 Crew's Return, President's Call Top This Week @ NASA_Ot-SeKrPOXk - transcript (automated).pdf","Transcript Link")</f>
        <v>Transcript Link</v>
      </c>
    </row>
    <row r="5006" ht="165" spans="1:13">
      <c r="A5006" s="1" t="s">
        <v>22266</v>
      </c>
      <c r="B5006" s="1" t="s">
        <v>13</v>
      </c>
      <c r="C5006" s="4" t="s">
        <v>22275</v>
      </c>
      <c r="D5006" s="1" t="s">
        <v>22276</v>
      </c>
      <c r="E5006" s="1" t="s">
        <v>22277</v>
      </c>
      <c r="F5006" s="4" t="s">
        <v>17</v>
      </c>
      <c r="G5006" s="1" t="s">
        <v>18</v>
      </c>
      <c r="H5006" s="1" t="s">
        <v>19</v>
      </c>
      <c r="I5006" s="1" t="s">
        <v>20</v>
      </c>
      <c r="J5006" s="1" t="s">
        <v>22278</v>
      </c>
      <c r="K5006" s="1" t="s">
        <v>22</v>
      </c>
      <c r="L5006" s="1" t="str">
        <f>HYPERLINK("https://files.afu.se/Downloads/Transcripts/0%20-%20Government/USA%20-%20NASA/2010 02 22 - NASA - New Node, New View, President's Call Top STS-130 Highlights__J56-WRfBFk - transcript (automated).pdf","Transcript Link")</f>
        <v>Transcript Link</v>
      </c>
      <c r="M5006" s="2" t="str">
        <f>HYPERLINK("https://files.afu.se/Downloads/Transcripts/0%20-%20Government/USA%20-%20NASA/2010 02 22 - NASA - New Node, New View, President's Call Top STS-130 Highlights__J56-WRfBFk - transcript (automated).pdf","Transcript Link")</f>
        <v>Transcript Link</v>
      </c>
    </row>
    <row r="5007" ht="165" spans="1:13">
      <c r="A5007" s="1" t="s">
        <v>22266</v>
      </c>
      <c r="B5007" s="1" t="s">
        <v>13</v>
      </c>
      <c r="C5007" s="4" t="s">
        <v>22279</v>
      </c>
      <c r="D5007" s="1" t="s">
        <v>22280</v>
      </c>
      <c r="E5007" s="1" t="s">
        <v>22281</v>
      </c>
      <c r="F5007" s="4" t="s">
        <v>17</v>
      </c>
      <c r="G5007" s="1" t="s">
        <v>18</v>
      </c>
      <c r="H5007" s="1" t="s">
        <v>19</v>
      </c>
      <c r="I5007" s="1" t="s">
        <v>20</v>
      </c>
      <c r="J5007" s="1" t="s">
        <v>22282</v>
      </c>
      <c r="K5007" s="1" t="s">
        <v>22</v>
      </c>
      <c r="L5007" s="1" t="str">
        <f>HYPERLINK("https://files.afu.se/Downloads/Transcripts/0%20-%20Government/USA%20-%20NASA/2010 02 22 - NASA - Mission Control Helps Synchronize Shuttle's Return_bumZc8M08Lc - transcript (automated).pdf","Transcript Link")</f>
        <v>Transcript Link</v>
      </c>
      <c r="M5007" s="2" t="str">
        <f>HYPERLINK("https://files.afu.se/Downloads/Transcripts/0%20-%20Government/USA%20-%20NASA/2010 02 22 - NASA - Mission Control Helps Synchronize Shuttle's Return_bumZc8M08Lc - transcript (automated).pdf","Transcript Link")</f>
        <v>Transcript Link</v>
      </c>
    </row>
    <row r="5008" ht="165" spans="1:13">
      <c r="A5008" s="1" t="s">
        <v>22266</v>
      </c>
      <c r="B5008" s="1" t="s">
        <v>13</v>
      </c>
      <c r="C5008" s="4" t="s">
        <v>22283</v>
      </c>
      <c r="D5008" s="1" t="s">
        <v>22284</v>
      </c>
      <c r="E5008" s="1" t="s">
        <v>22285</v>
      </c>
      <c r="F5008" s="4" t="s">
        <v>17</v>
      </c>
      <c r="G5008" s="1" t="s">
        <v>18</v>
      </c>
      <c r="H5008" s="1" t="s">
        <v>19</v>
      </c>
      <c r="I5008" s="1" t="s">
        <v>20</v>
      </c>
      <c r="J5008" s="1" t="s">
        <v>22286</v>
      </c>
      <c r="K5008" s="1" t="s">
        <v>22</v>
      </c>
      <c r="L5008" s="1" t="str">
        <f>HYPERLINK("https://files.afu.se/Downloads/Transcripts/0%20-%20Government/USA%20-%20NASA/2010 02 22 - NASA - Endeavour Makes Safe Return on Flight Day 15_e2dJiFv-R28 - transcript (automated).pdf","Transcript Link")</f>
        <v>Transcript Link</v>
      </c>
      <c r="M5008" s="2" t="str">
        <f>HYPERLINK("https://files.afu.se/Downloads/Transcripts/0%20-%20Government/USA%20-%20NASA/2010 02 22 - NASA - Endeavour Makes Safe Return on Flight Day 15_e2dJiFv-R28 - transcript (automated).pdf","Transcript Link")</f>
        <v>Transcript Link</v>
      </c>
    </row>
    <row r="5009" ht="165" spans="1:13">
      <c r="A5009" s="1" t="s">
        <v>22287</v>
      </c>
      <c r="B5009" s="1" t="s">
        <v>13</v>
      </c>
      <c r="C5009" s="4" t="s">
        <v>22288</v>
      </c>
      <c r="D5009" s="1" t="s">
        <v>22289</v>
      </c>
      <c r="E5009" s="1" t="s">
        <v>22290</v>
      </c>
      <c r="F5009" s="4" t="s">
        <v>17</v>
      </c>
      <c r="G5009" s="1" t="s">
        <v>18</v>
      </c>
      <c r="H5009" s="1" t="s">
        <v>19</v>
      </c>
      <c r="I5009" s="1" t="s">
        <v>20</v>
      </c>
      <c r="J5009" s="1" t="s">
        <v>22291</v>
      </c>
      <c r="K5009" s="1" t="s">
        <v>22</v>
      </c>
      <c r="L5009" s="1" t="str">
        <f>HYPERLINK("https://files.afu.se/Downloads/Transcripts/0%20-%20Government/USA%20-%20NASA/2010 02 21 - NASA - Flight Day 14  Crew Readies Endeavour for Landing_YJaI45wksTk - transcript (automated).pdf","Transcript Link")</f>
        <v>Transcript Link</v>
      </c>
      <c r="M5009" s="2" t="str">
        <f>HYPERLINK("https://files.afu.se/Downloads/Transcripts/0%20-%20Government/USA%20-%20NASA/2010 02 21 - NASA - Flight Day 14  Crew Readies Endeavour for Landing_YJaI45wksTk - transcript (automated).pdf","Transcript Link")</f>
        <v>Transcript Link</v>
      </c>
    </row>
    <row r="5010" ht="165" spans="1:13">
      <c r="A5010" s="1" t="s">
        <v>22287</v>
      </c>
      <c r="B5010" s="1" t="s">
        <v>13</v>
      </c>
      <c r="C5010" s="4" t="s">
        <v>22292</v>
      </c>
      <c r="D5010" s="1" t="s">
        <v>22293</v>
      </c>
      <c r="E5010" s="1" t="s">
        <v>22294</v>
      </c>
      <c r="F5010" s="4" t="s">
        <v>17</v>
      </c>
      <c r="G5010" s="1" t="s">
        <v>18</v>
      </c>
      <c r="H5010" s="1" t="s">
        <v>19</v>
      </c>
      <c r="I5010" s="1" t="s">
        <v>20</v>
      </c>
      <c r="J5010" s="1" t="s">
        <v>22295</v>
      </c>
      <c r="K5010" s="1" t="s">
        <v>22</v>
      </c>
      <c r="L5010" s="1" t="str">
        <f>HYPERLINK("https://files.afu.se/Downloads/Transcripts/0%20-%20Government/USA%20-%20NASA/2010 02 21 - NASA - STS-130 Crews Flight Day 13 Video in HD_XY3U5U-gO6A - transcript (automated).pdf","Transcript Link")</f>
        <v>Transcript Link</v>
      </c>
      <c r="M5010" s="2" t="str">
        <f>HYPERLINK("https://files.afu.se/Downloads/Transcripts/0%20-%20Government/USA%20-%20NASA/2010 02 21 - NASA - STS-130 Crews Flight Day 13 Video in HD_XY3U5U-gO6A - transcript (automated).pdf","Transcript Link")</f>
        <v>Transcript Link</v>
      </c>
    </row>
    <row r="5011" ht="165" spans="1:13">
      <c r="A5011" s="1" t="s">
        <v>22287</v>
      </c>
      <c r="B5011" s="1" t="s">
        <v>13</v>
      </c>
      <c r="C5011" s="4" t="s">
        <v>22296</v>
      </c>
      <c r="D5011" s="1" t="s">
        <v>22297</v>
      </c>
      <c r="E5011" s="1" t="s">
        <v>22298</v>
      </c>
      <c r="F5011" s="4" t="s">
        <v>17</v>
      </c>
      <c r="G5011" s="1" t="s">
        <v>18</v>
      </c>
      <c r="H5011" s="1" t="s">
        <v>19</v>
      </c>
      <c r="I5011" s="1" t="s">
        <v>20</v>
      </c>
      <c r="J5011" s="1" t="s">
        <v>22299</v>
      </c>
      <c r="K5011" s="1" t="s">
        <v>22</v>
      </c>
      <c r="L5011" s="1" t="str">
        <f>HYPERLINK("https://files.afu.se/Downloads/Transcripts/0%20-%20Government/USA%20-%20NASA/2010 02 21 - NASA - Endeavour Crew Takes Questions in Final On-Orbit Interviews_grJYTWXddto - transcript (automated).pdf","Transcript Link")</f>
        <v>Transcript Link</v>
      </c>
      <c r="M5011" s="2" t="str">
        <f>HYPERLINK("https://files.afu.se/Downloads/Transcripts/0%20-%20Government/USA%20-%20NASA/2010 02 21 - NASA - Endeavour Crew Takes Questions in Final On-Orbit Interviews_grJYTWXddto - transcript (automated).pdf","Transcript Link")</f>
        <v>Transcript Link</v>
      </c>
    </row>
    <row r="5012" ht="165" spans="1:13">
      <c r="A5012" s="1" t="s">
        <v>22300</v>
      </c>
      <c r="B5012" s="1" t="s">
        <v>13</v>
      </c>
      <c r="C5012" s="4" t="s">
        <v>22301</v>
      </c>
      <c r="D5012" s="1" t="s">
        <v>22302</v>
      </c>
      <c r="E5012" s="1" t="s">
        <v>22303</v>
      </c>
      <c r="F5012" s="4" t="s">
        <v>17</v>
      </c>
      <c r="G5012" s="1" t="s">
        <v>18</v>
      </c>
      <c r="H5012" s="1" t="s">
        <v>19</v>
      </c>
      <c r="I5012" s="1" t="s">
        <v>20</v>
      </c>
      <c r="J5012" s="1" t="s">
        <v>22304</v>
      </c>
      <c r="K5012" s="1" t="s">
        <v>22</v>
      </c>
      <c r="L5012" s="1" t="str">
        <f>HYPERLINK("https://files.afu.se/Downloads/Transcripts/0%20-%20Government/USA%20-%20NASA/2010 02 20 - NASA - Undocking, Flyaround Featured on Flight Day 13_rVRNLXx_b9U - transcript (automated).pdf","Transcript Link")</f>
        <v>Transcript Link</v>
      </c>
      <c r="M5012" s="2" t="str">
        <f>HYPERLINK("https://files.afu.se/Downloads/Transcripts/0%20-%20Government/USA%20-%20NASA/2010 02 20 - NASA - Undocking, Flyaround Featured on Flight Day 13_rVRNLXx_b9U - transcript (automated).pdf","Transcript Link")</f>
        <v>Transcript Link</v>
      </c>
    </row>
    <row r="5013" ht="165" spans="1:13">
      <c r="A5013" s="1" t="s">
        <v>22300</v>
      </c>
      <c r="B5013" s="1" t="s">
        <v>13</v>
      </c>
      <c r="C5013" s="4" t="s">
        <v>22305</v>
      </c>
      <c r="D5013" s="1" t="s">
        <v>22306</v>
      </c>
      <c r="E5013" s="1" t="s">
        <v>22307</v>
      </c>
      <c r="F5013" s="4" t="s">
        <v>17</v>
      </c>
      <c r="G5013" s="1" t="s">
        <v>18</v>
      </c>
      <c r="H5013" s="1" t="s">
        <v>19</v>
      </c>
      <c r="I5013" s="1" t="s">
        <v>20</v>
      </c>
      <c r="J5013" s="1" t="s">
        <v>22308</v>
      </c>
      <c r="K5013" s="1" t="s">
        <v>22</v>
      </c>
      <c r="L5013" s="1" t="str">
        <f>HYPERLINK("https://files.afu.se/Downloads/Transcripts/0%20-%20Government/USA%20-%20NASA/2010 02 20 - NASA - Endeavour Flyaround Of ISS Begins_aWdjte5Ttko - transcript (automated).pdf","Transcript Link")</f>
        <v>Transcript Link</v>
      </c>
      <c r="M5013" s="2" t="str">
        <f>HYPERLINK("https://files.afu.se/Downloads/Transcripts/0%20-%20Government/USA%20-%20NASA/2010 02 20 - NASA - Endeavour Flyaround Of ISS Begins_aWdjte5Ttko - transcript (automated).pdf","Transcript Link")</f>
        <v>Transcript Link</v>
      </c>
    </row>
    <row r="5014" ht="165" spans="1:13">
      <c r="A5014" s="1" t="s">
        <v>22300</v>
      </c>
      <c r="B5014" s="1" t="s">
        <v>13</v>
      </c>
      <c r="C5014" s="4" t="s">
        <v>22309</v>
      </c>
      <c r="D5014" s="1" t="s">
        <v>22310</v>
      </c>
      <c r="E5014" s="1" t="s">
        <v>22311</v>
      </c>
      <c r="F5014" s="4" t="s">
        <v>17</v>
      </c>
      <c r="G5014" s="1" t="s">
        <v>18</v>
      </c>
      <c r="H5014" s="1" t="s">
        <v>19</v>
      </c>
      <c r="I5014" s="1" t="s">
        <v>20</v>
      </c>
      <c r="J5014" s="1" t="s">
        <v>22312</v>
      </c>
      <c r="K5014" s="1" t="s">
        <v>22</v>
      </c>
      <c r="L5014" s="1" t="str">
        <f>HYPERLINK("https://files.afu.se/Downloads/Transcripts/0%20-%20Government/USA%20-%20NASA/2010 02 20 - NASA - Endeavour Undocks From ISS_0jMCh5l0hE8 - transcript (automated).pdf","Transcript Link")</f>
        <v>Transcript Link</v>
      </c>
      <c r="M5014" s="2" t="str">
        <f>HYPERLINK("https://files.afu.se/Downloads/Transcripts/0%20-%20Government/USA%20-%20NASA/2010 02 20 - NASA - Endeavour Undocks From ISS_0jMCh5l0hE8 - transcript (automated).pdf","Transcript Link")</f>
        <v>Transcript Link</v>
      </c>
    </row>
    <row r="5015" ht="165" spans="1:13">
      <c r="A5015" s="1" t="s">
        <v>22313</v>
      </c>
      <c r="B5015" s="1" t="s">
        <v>13</v>
      </c>
      <c r="C5015" s="4" t="s">
        <v>22314</v>
      </c>
      <c r="D5015" s="1" t="s">
        <v>22315</v>
      </c>
      <c r="E5015" s="1" t="s">
        <v>22316</v>
      </c>
      <c r="F5015" s="4" t="s">
        <v>17</v>
      </c>
      <c r="G5015" s="1" t="s">
        <v>18</v>
      </c>
      <c r="H5015" s="1" t="s">
        <v>19</v>
      </c>
      <c r="I5015" s="1" t="s">
        <v>20</v>
      </c>
      <c r="J5015" s="1" t="s">
        <v>22317</v>
      </c>
      <c r="K5015" s="1" t="s">
        <v>22</v>
      </c>
      <c r="L5015" s="1" t="str">
        <f>HYPERLINK("https://files.afu.se/Downloads/Transcripts/0%20-%20Government/USA%20-%20NASA/2010 02 19 - NASA - Friendship 7  Opening a New Era in Space_MwVD7xAbX_M - transcript (automated).pdf","Transcript Link")</f>
        <v>Transcript Link</v>
      </c>
      <c r="M5015" s="2" t="str">
        <f>HYPERLINK("https://files.afu.se/Downloads/Transcripts/0%20-%20Government/USA%20-%20NASA/2010 02 19 - NASA - Friendship 7  Opening a New Era in Space_MwVD7xAbX_M - transcript (automated).pdf","Transcript Link")</f>
        <v>Transcript Link</v>
      </c>
    </row>
    <row r="5016" ht="165" spans="1:13">
      <c r="A5016" s="1" t="s">
        <v>22313</v>
      </c>
      <c r="B5016" s="1" t="s">
        <v>13</v>
      </c>
      <c r="C5016" s="4" t="s">
        <v>22318</v>
      </c>
      <c r="D5016" s="1" t="s">
        <v>22319</v>
      </c>
      <c r="E5016" s="1" t="s">
        <v>22320</v>
      </c>
      <c r="F5016" s="4" t="s">
        <v>17</v>
      </c>
      <c r="G5016" s="1" t="s">
        <v>18</v>
      </c>
      <c r="H5016" s="1" t="s">
        <v>19</v>
      </c>
      <c r="I5016" s="1" t="s">
        <v>20</v>
      </c>
      <c r="J5016" s="1" t="s">
        <v>22321</v>
      </c>
      <c r="K5016" s="1" t="s">
        <v>22</v>
      </c>
      <c r="L5016" s="1" t="str">
        <f>HYPERLINK("https://files.afu.se/Downloads/Transcripts/0%20-%20Government/USA%20-%20NASA/2010 02 19 - NASA - Meet Robert Satcher Jr. -- Astronaut -- MD_0j4aB02DsNg - transcript (automated).pdf","Transcript Link")</f>
        <v>Transcript Link</v>
      </c>
      <c r="M5016" s="2" t="str">
        <f>HYPERLINK("https://files.afu.se/Downloads/Transcripts/0%20-%20Government/USA%20-%20NASA/2010 02 19 - NASA - Meet Robert Satcher Jr. -- Astronaut -- MD_0j4aB02DsNg - transcript (automated).pdf","Transcript Link")</f>
        <v>Transcript Link</v>
      </c>
    </row>
    <row r="5017" ht="165" spans="1:13">
      <c r="A5017" s="1" t="s">
        <v>22313</v>
      </c>
      <c r="B5017" s="1" t="s">
        <v>13</v>
      </c>
      <c r="C5017" s="4" t="s">
        <v>22322</v>
      </c>
      <c r="D5017" s="1" t="s">
        <v>22323</v>
      </c>
      <c r="E5017" s="1" t="s">
        <v>22324</v>
      </c>
      <c r="F5017" s="4" t="s">
        <v>17</v>
      </c>
      <c r="G5017" s="1" t="s">
        <v>18</v>
      </c>
      <c r="H5017" s="1" t="s">
        <v>19</v>
      </c>
      <c r="I5017" s="1" t="s">
        <v>20</v>
      </c>
      <c r="J5017" s="1" t="s">
        <v>22325</v>
      </c>
      <c r="K5017" s="1" t="s">
        <v>22</v>
      </c>
      <c r="L5017" s="1" t="str">
        <f>HYPERLINK("https://files.afu.se/Downloads/Transcripts/0%20-%20Government/USA%20-%20NASA/2010 02 19 - NASA - President's Congratulatory Call Tops  This Week @ NASA _uvLkNmu01HU - transcript (automated).pdf","Transcript Link")</f>
        <v>Transcript Link</v>
      </c>
      <c r="M5017" s="2" t="str">
        <f>HYPERLINK("https://files.afu.se/Downloads/Transcripts/0%20-%20Government/USA%20-%20NASA/2010 02 19 - NASA - President's Congratulatory Call Tops  This Week @ NASA _uvLkNmu01HU - transcript (automated).pdf","Transcript Link")</f>
        <v>Transcript Link</v>
      </c>
    </row>
    <row r="5018" ht="165" spans="1:13">
      <c r="A5018" s="1" t="s">
        <v>22313</v>
      </c>
      <c r="B5018" s="1" t="s">
        <v>13</v>
      </c>
      <c r="C5018" s="4" t="s">
        <v>22326</v>
      </c>
      <c r="D5018" s="1" t="s">
        <v>22327</v>
      </c>
      <c r="E5018" s="1" t="s">
        <v>22328</v>
      </c>
      <c r="F5018" s="4" t="s">
        <v>17</v>
      </c>
      <c r="G5018" s="1" t="s">
        <v>18</v>
      </c>
      <c r="H5018" s="1" t="s">
        <v>19</v>
      </c>
      <c r="I5018" s="1" t="s">
        <v>20</v>
      </c>
      <c r="J5018" s="1" t="s">
        <v>22329</v>
      </c>
      <c r="K5018" s="1" t="s">
        <v>22</v>
      </c>
      <c r="L5018" s="1" t="str">
        <f>HYPERLINK("https://files.afu.se/Downloads/Transcripts/0%20-%20Government/USA%20-%20NASA/2010 02 19 - NASA - Endeavour Crew's HD Highlights of Flight Day 12_0elUguk05b8 - transcript (automated).pdf","Transcript Link")</f>
        <v>Transcript Link</v>
      </c>
      <c r="M5018" s="2" t="str">
        <f>HYPERLINK("https://files.afu.se/Downloads/Transcripts/0%20-%20Government/USA%20-%20NASA/2010 02 19 - NASA - Endeavour Crew's HD Highlights of Flight Day 12_0elUguk05b8 - transcript (automated).pdf","Transcript Link")</f>
        <v>Transcript Link</v>
      </c>
    </row>
    <row r="5019" ht="165" spans="1:13">
      <c r="A5019" s="1" t="s">
        <v>22313</v>
      </c>
      <c r="B5019" s="1" t="s">
        <v>13</v>
      </c>
      <c r="C5019" s="4" t="s">
        <v>22330</v>
      </c>
      <c r="D5019" s="1" t="s">
        <v>22331</v>
      </c>
      <c r="E5019" s="1" t="s">
        <v>22316</v>
      </c>
      <c r="F5019" s="4" t="s">
        <v>17</v>
      </c>
      <c r="G5019" s="1" t="s">
        <v>18</v>
      </c>
      <c r="H5019" s="1" t="s">
        <v>19</v>
      </c>
      <c r="I5019" s="1" t="s">
        <v>20</v>
      </c>
      <c r="J5019" s="1" t="s">
        <v>22332</v>
      </c>
      <c r="K5019" s="1" t="s">
        <v>22</v>
      </c>
      <c r="L5019" s="1" t="str">
        <f>HYPERLINK("https://files.afu.se/Downloads/Transcripts/0%20-%20Government/USA%20-%20NASA/2010 02 19 - NASA - Friendship 7 - Anniversary Promo_Eusgq99qGLM - transcript (automated).pdf","Transcript Link")</f>
        <v>Transcript Link</v>
      </c>
      <c r="M5019" s="2" t="str">
        <f>HYPERLINK("https://files.afu.se/Downloads/Transcripts/0%20-%20Government/USA%20-%20NASA/2010 02 19 - NASA - Friendship 7 - Anniversary Promo_Eusgq99qGLM - transcript (automated).pdf","Transcript Link")</f>
        <v>Transcript Link</v>
      </c>
    </row>
    <row r="5020" ht="165" spans="1:13">
      <c r="A5020" s="1" t="s">
        <v>22313</v>
      </c>
      <c r="B5020" s="1" t="s">
        <v>13</v>
      </c>
      <c r="C5020" s="4" t="s">
        <v>22333</v>
      </c>
      <c r="D5020" s="1" t="s">
        <v>22334</v>
      </c>
      <c r="E5020" s="1" t="s">
        <v>22335</v>
      </c>
      <c r="F5020" s="4" t="s">
        <v>17</v>
      </c>
      <c r="G5020" s="1" t="s">
        <v>18</v>
      </c>
      <c r="H5020" s="1" t="s">
        <v>19</v>
      </c>
      <c r="I5020" s="1" t="s">
        <v>20</v>
      </c>
      <c r="J5020" s="1" t="s">
        <v>22336</v>
      </c>
      <c r="K5020" s="1" t="s">
        <v>22</v>
      </c>
      <c r="L5020" s="1" t="str">
        <f>HYPERLINK("https://files.afu.se/Downloads/Transcripts/0%20-%20Government/USA%20-%20NASA/2010 02 19 - NASA - Flight Day 12 Capped by Joint Crew News Conference_rVx5MDCstJ0 - transcript (automated).pdf","Transcript Link")</f>
        <v>Transcript Link</v>
      </c>
      <c r="M5020" s="2" t="str">
        <f>HYPERLINK("https://files.afu.se/Downloads/Transcripts/0%20-%20Government/USA%20-%20NASA/2010 02 19 - NASA - Flight Day 12 Capped by Joint Crew News Conference_rVx5MDCstJ0 - transcript (automated).pdf","Transcript Link")</f>
        <v>Transcript Link</v>
      </c>
    </row>
    <row r="5021" ht="165" spans="1:13">
      <c r="A5021" s="1" t="s">
        <v>22313</v>
      </c>
      <c r="B5021" s="1" t="s">
        <v>13</v>
      </c>
      <c r="C5021" s="4" t="s">
        <v>22337</v>
      </c>
      <c r="D5021" s="1" t="s">
        <v>22338</v>
      </c>
      <c r="E5021" s="1" t="s">
        <v>22339</v>
      </c>
      <c r="F5021" s="4" t="s">
        <v>17</v>
      </c>
      <c r="G5021" s="1" t="s">
        <v>18</v>
      </c>
      <c r="H5021" s="1" t="s">
        <v>19</v>
      </c>
      <c r="I5021" s="1" t="s">
        <v>20</v>
      </c>
      <c r="J5021" s="1" t="s">
        <v>22340</v>
      </c>
      <c r="K5021" s="1" t="s">
        <v>22</v>
      </c>
      <c r="L5021" s="1" t="str">
        <f>HYPERLINK("https://files.afu.se/Downloads/Transcripts/0%20-%20Government/USA%20-%20NASA/2010 02 19 - NASA - The Climb to Space_dzC9ZigQWqk - transcript (automated).pdf","Transcript Link")</f>
        <v>Transcript Link</v>
      </c>
      <c r="M5021" s="2" t="str">
        <f>HYPERLINK("https://files.afu.se/Downloads/Transcripts/0%20-%20Government/USA%20-%20NASA/2010 02 19 - NASA - The Climb to Space_dzC9ZigQWqk - transcript (automated).pdf","Transcript Link")</f>
        <v>Transcript Link</v>
      </c>
    </row>
    <row r="5022" ht="165" spans="1:13">
      <c r="A5022" s="1" t="s">
        <v>22313</v>
      </c>
      <c r="B5022" s="1" t="s">
        <v>13</v>
      </c>
      <c r="C5022" s="4" t="s">
        <v>22341</v>
      </c>
      <c r="D5022" s="1" t="s">
        <v>22342</v>
      </c>
      <c r="E5022" s="1" t="s">
        <v>22343</v>
      </c>
      <c r="F5022" s="4" t="s">
        <v>17</v>
      </c>
      <c r="G5022" s="1" t="s">
        <v>18</v>
      </c>
      <c r="H5022" s="1" t="s">
        <v>19</v>
      </c>
      <c r="I5022" s="1" t="s">
        <v>20</v>
      </c>
      <c r="J5022" s="1" t="s">
        <v>22344</v>
      </c>
      <c r="K5022" s="1" t="s">
        <v>22</v>
      </c>
      <c r="L5022" s="1" t="str">
        <f>HYPERLINK("https://files.afu.se/Downloads/Transcripts/0%20-%20Government/USA%20-%20NASA/2010 02 19 - NASA - Shuttle Crew Bids Fond Farewell_wPPLobVBG8g - transcript (automated).pdf","Transcript Link")</f>
        <v>Transcript Link</v>
      </c>
      <c r="M5022" s="2" t="str">
        <f>HYPERLINK("https://files.afu.se/Downloads/Transcripts/0%20-%20Government/USA%20-%20NASA/2010 02 19 - NASA - Shuttle Crew Bids Fond Farewell_wPPLobVBG8g - transcript (automated).pdf","Transcript Link")</f>
        <v>Transcript Link</v>
      </c>
    </row>
    <row r="5023" ht="165" spans="1:13">
      <c r="A5023" s="1" t="s">
        <v>22313</v>
      </c>
      <c r="B5023" s="1" t="s">
        <v>13</v>
      </c>
      <c r="C5023" s="4" t="s">
        <v>22345</v>
      </c>
      <c r="D5023" s="1" t="s">
        <v>22346</v>
      </c>
      <c r="E5023" s="1" t="s">
        <v>22347</v>
      </c>
      <c r="F5023" s="4" t="s">
        <v>17</v>
      </c>
      <c r="G5023" s="1" t="s">
        <v>18</v>
      </c>
      <c r="H5023" s="1" t="s">
        <v>19</v>
      </c>
      <c r="I5023" s="1" t="s">
        <v>20</v>
      </c>
      <c r="J5023" s="1" t="s">
        <v>22348</v>
      </c>
      <c r="K5023" s="1" t="s">
        <v>22</v>
      </c>
      <c r="L5023" s="1" t="str">
        <f>HYPERLINK("https://files.afu.se/Downloads/Transcripts/0%20-%20Government/USA%20-%20NASA/2010 02 19 - NASA - From the Moon to Everest and Back to Space_rO45KoVPsxk - transcript (automated).pdf","Transcript Link")</f>
        <v>Transcript Link</v>
      </c>
      <c r="M5023" s="2" t="str">
        <f>HYPERLINK("https://files.afu.se/Downloads/Transcripts/0%20-%20Government/USA%20-%20NASA/2010 02 19 - NASA - From the Moon to Everest and Back to Space_rO45KoVPsxk - transcript (automated).pdf","Transcript Link")</f>
        <v>Transcript Link</v>
      </c>
    </row>
    <row r="5024" ht="165" spans="1:13">
      <c r="A5024" s="1" t="s">
        <v>22313</v>
      </c>
      <c r="B5024" s="1" t="s">
        <v>13</v>
      </c>
      <c r="C5024" s="4" t="s">
        <v>22349</v>
      </c>
      <c r="D5024" s="1" t="s">
        <v>22350</v>
      </c>
      <c r="E5024" s="1" t="s">
        <v>22351</v>
      </c>
      <c r="F5024" s="4" t="s">
        <v>17</v>
      </c>
      <c r="G5024" s="1" t="s">
        <v>18</v>
      </c>
      <c r="H5024" s="1" t="s">
        <v>19</v>
      </c>
      <c r="I5024" s="1" t="s">
        <v>20</v>
      </c>
      <c r="J5024" s="1" t="s">
        <v>22352</v>
      </c>
      <c r="K5024" s="1" t="s">
        <v>22</v>
      </c>
      <c r="L5024" s="1" t="str">
        <f>HYPERLINK("https://files.afu.se/Downloads/Transcripts/0%20-%20Government/USA%20-%20NASA/2010 02 19 - NASA - Joint Crew News Conference_IGt-UkL05HA - transcript (automated).pdf","Transcript Link")</f>
        <v>Transcript Link</v>
      </c>
      <c r="M5024" s="2" t="str">
        <f>HYPERLINK("https://files.afu.se/Downloads/Transcripts/0%20-%20Government/USA%20-%20NASA/2010 02 19 - NASA - Joint Crew News Conference_IGt-UkL05HA - transcript (automated).pdf","Transcript Link")</f>
        <v>Transcript Link</v>
      </c>
    </row>
    <row r="5025" ht="165" spans="1:13">
      <c r="A5025" s="1" t="s">
        <v>22353</v>
      </c>
      <c r="B5025" s="1" t="s">
        <v>13</v>
      </c>
      <c r="C5025" s="4" t="s">
        <v>22354</v>
      </c>
      <c r="D5025" s="1" t="s">
        <v>22355</v>
      </c>
      <c r="E5025" s="1" t="s">
        <v>22356</v>
      </c>
      <c r="F5025" s="4" t="s">
        <v>17</v>
      </c>
      <c r="G5025" s="1" t="s">
        <v>18</v>
      </c>
      <c r="H5025" s="1" t="s">
        <v>19</v>
      </c>
      <c r="I5025" s="1" t="s">
        <v>20</v>
      </c>
      <c r="J5025" s="1" t="s">
        <v>22357</v>
      </c>
      <c r="K5025" s="1" t="s">
        <v>22</v>
      </c>
      <c r="L5025" s="1" t="str">
        <f>HYPERLINK("https://files.afu.se/Downloads/Transcripts/0%20-%20Government/USA%20-%20NASA/2010 02 18 - NASA - Crew Choice Video in HD of Flight Day 11_xCNpFNi8IMU - transcript (automated).pdf","Transcript Link")</f>
        <v>Transcript Link</v>
      </c>
      <c r="M5025" s="2" t="str">
        <f>HYPERLINK("https://files.afu.se/Downloads/Transcripts/0%20-%20Government/USA%20-%20NASA/2010 02 18 - NASA - Crew Choice Video in HD of Flight Day 11_xCNpFNi8IMU - transcript (automated).pdf","Transcript Link")</f>
        <v>Transcript Link</v>
      </c>
    </row>
    <row r="5026" ht="165" spans="1:13">
      <c r="A5026" s="1" t="s">
        <v>22353</v>
      </c>
      <c r="B5026" s="1" t="s">
        <v>13</v>
      </c>
      <c r="C5026" s="4" t="s">
        <v>22358</v>
      </c>
      <c r="D5026" s="1" t="s">
        <v>22359</v>
      </c>
      <c r="E5026" s="1" t="s">
        <v>22360</v>
      </c>
      <c r="F5026" s="4" t="s">
        <v>17</v>
      </c>
      <c r="G5026" s="1" t="s">
        <v>18</v>
      </c>
      <c r="H5026" s="1" t="s">
        <v>19</v>
      </c>
      <c r="I5026" s="1" t="s">
        <v>20</v>
      </c>
      <c r="J5026" s="1" t="s">
        <v>22361</v>
      </c>
      <c r="K5026" s="1" t="s">
        <v>22</v>
      </c>
      <c r="L5026" s="1" t="str">
        <f>HYPERLINK("https://files.afu.se/Downloads/Transcripts/0%20-%20Government/USA%20-%20NASA/2010 02 18 - NASA - President Phones Orbiting Astronauts_hOI0pYlYihc - transcript (automated).pdf","Transcript Link")</f>
        <v>Transcript Link</v>
      </c>
      <c r="M5026" s="2" t="str">
        <f>HYPERLINK("https://files.afu.se/Downloads/Transcripts/0%20-%20Government/USA%20-%20NASA/2010 02 18 - NASA - President Phones Orbiting Astronauts_hOI0pYlYihc - transcript (automated).pdf","Transcript Link")</f>
        <v>Transcript Link</v>
      </c>
    </row>
    <row r="5027" ht="165" spans="1:13">
      <c r="A5027" s="1" t="s">
        <v>22353</v>
      </c>
      <c r="B5027" s="1" t="s">
        <v>13</v>
      </c>
      <c r="C5027" s="4" t="s">
        <v>22362</v>
      </c>
      <c r="D5027" s="1" t="s">
        <v>22363</v>
      </c>
      <c r="E5027" s="1" t="s">
        <v>22364</v>
      </c>
      <c r="F5027" s="4" t="s">
        <v>17</v>
      </c>
      <c r="G5027" s="1" t="s">
        <v>18</v>
      </c>
      <c r="H5027" s="1" t="s">
        <v>19</v>
      </c>
      <c r="I5027" s="1" t="s">
        <v>20</v>
      </c>
      <c r="J5027" s="1" t="s">
        <v>22365</v>
      </c>
      <c r="K5027" s="1" t="s">
        <v>22</v>
      </c>
      <c r="L5027" s="1" t="str">
        <f>HYPERLINK("https://files.afu.se/Downloads/Transcripts/0%20-%20Government/USA%20-%20NASA/2010 02 18 - NASA - Shuttle Endeavour Crew's  Best of Flight Day 10 _32MRnh9dsv0 - transcript (automated).pdf","Transcript Link")</f>
        <v>Transcript Link</v>
      </c>
      <c r="M5027" s="2" t="str">
        <f>HYPERLINK("https://files.afu.se/Downloads/Transcripts/0%20-%20Government/USA%20-%20NASA/2010 02 18 - NASA - Shuttle Endeavour Crew's  Best of Flight Day 10 _32MRnh9dsv0 - transcript (automated).pdf","Transcript Link")</f>
        <v>Transcript Link</v>
      </c>
    </row>
    <row r="5028" ht="165" spans="1:13">
      <c r="A5028" s="1" t="s">
        <v>22353</v>
      </c>
      <c r="B5028" s="1" t="s">
        <v>13</v>
      </c>
      <c r="C5028" s="4" t="s">
        <v>22366</v>
      </c>
      <c r="D5028" s="1" t="s">
        <v>22367</v>
      </c>
      <c r="E5028" s="1" t="s">
        <v>22368</v>
      </c>
      <c r="F5028" s="4" t="s">
        <v>17</v>
      </c>
      <c r="G5028" s="1" t="s">
        <v>18</v>
      </c>
      <c r="H5028" s="1" t="s">
        <v>19</v>
      </c>
      <c r="I5028" s="1" t="s">
        <v>20</v>
      </c>
      <c r="J5028" s="1" t="s">
        <v>22369</v>
      </c>
      <c r="K5028" s="1" t="s">
        <v>22</v>
      </c>
      <c r="L5028" s="1" t="str">
        <f>HYPERLINK("https://files.afu.se/Downloads/Transcripts/0%20-%20Government/USA%20-%20NASA/2010 02 18 - NASA - President Congratulates Shuttle and ISS Crews_S2XwN_oQ_Yo - transcript (automated).pdf","Transcript Link")</f>
        <v>Transcript Link</v>
      </c>
      <c r="M5028" s="2" t="str">
        <f>HYPERLINK("https://files.afu.se/Downloads/Transcripts/0%20-%20Government/USA%20-%20NASA/2010 02 18 - NASA - President Congratulates Shuttle and ISS Crews_S2XwN_oQ_Yo - transcript (automated).pdf","Transcript Link")</f>
        <v>Transcript Link</v>
      </c>
    </row>
    <row r="5029" ht="165" spans="1:13">
      <c r="A5029" s="1" t="s">
        <v>22370</v>
      </c>
      <c r="B5029" s="1" t="s">
        <v>13</v>
      </c>
      <c r="C5029" s="4" t="s">
        <v>22371</v>
      </c>
      <c r="D5029" s="1" t="s">
        <v>22372</v>
      </c>
      <c r="E5029" s="1" t="s">
        <v>22373</v>
      </c>
      <c r="F5029" s="4" t="s">
        <v>17</v>
      </c>
      <c r="G5029" s="1" t="s">
        <v>18</v>
      </c>
      <c r="H5029" s="1" t="s">
        <v>19</v>
      </c>
      <c r="I5029" s="1" t="s">
        <v>20</v>
      </c>
      <c r="J5029" s="1" t="s">
        <v>22374</v>
      </c>
      <c r="K5029" s="1" t="s">
        <v>22</v>
      </c>
      <c r="L5029" s="1" t="str">
        <f>HYPERLINK("https://files.afu.se/Downloads/Transcripts/0%20-%20Government/USA%20-%20NASA/2010 02 17 - NASA - Kwatsi Alibaruho  In Control_NSPPFxbPi0c - transcript (automated).pdf","Transcript Link")</f>
        <v>Transcript Link</v>
      </c>
      <c r="M5029" s="2" t="str">
        <f>HYPERLINK("https://files.afu.se/Downloads/Transcripts/0%20-%20Government/USA%20-%20NASA/2010 02 17 - NASA - Kwatsi Alibaruho  In Control_NSPPFxbPi0c - transcript (automated).pdf","Transcript Link")</f>
        <v>Transcript Link</v>
      </c>
    </row>
    <row r="5030" ht="165" spans="1:13">
      <c r="A5030" s="1" t="s">
        <v>22370</v>
      </c>
      <c r="B5030" s="1" t="s">
        <v>13</v>
      </c>
      <c r="C5030" s="4" t="s">
        <v>22375</v>
      </c>
      <c r="D5030" s="1" t="s">
        <v>22376</v>
      </c>
      <c r="E5030" s="1" t="s">
        <v>22377</v>
      </c>
      <c r="F5030" s="4" t="s">
        <v>17</v>
      </c>
      <c r="G5030" s="1" t="s">
        <v>18</v>
      </c>
      <c r="H5030" s="1" t="s">
        <v>19</v>
      </c>
      <c r="I5030" s="1" t="s">
        <v>20</v>
      </c>
      <c r="J5030" s="1" t="s">
        <v>22378</v>
      </c>
      <c r="K5030" s="1" t="s">
        <v>22</v>
      </c>
      <c r="L5030" s="1" t="str">
        <f>HYPERLINK("https://files.afu.se/Downloads/Transcripts/0%20-%20Government/USA%20-%20NASA/2010 02 17 - NASA - Chandra Shines New Light on Dark Energy_wtear4aJvLw - transcript (automated).pdf","Transcript Link")</f>
        <v>Transcript Link</v>
      </c>
      <c r="M5030" s="2" t="str">
        <f>HYPERLINK("https://files.afu.se/Downloads/Transcripts/0%20-%20Government/USA%20-%20NASA/2010 02 17 - NASA - Chandra Shines New Light on Dark Energy_wtear4aJvLw - transcript (automated).pdf","Transcript Link")</f>
        <v>Transcript Link</v>
      </c>
    </row>
    <row r="5031" ht="165" spans="1:13">
      <c r="A5031" s="1" t="s">
        <v>22370</v>
      </c>
      <c r="B5031" s="1" t="s">
        <v>13</v>
      </c>
      <c r="C5031" s="4" t="s">
        <v>22379</v>
      </c>
      <c r="D5031" s="1" t="s">
        <v>22380</v>
      </c>
      <c r="E5031" s="1" t="s">
        <v>22381</v>
      </c>
      <c r="F5031" s="4" t="s">
        <v>17</v>
      </c>
      <c r="G5031" s="1" t="s">
        <v>18</v>
      </c>
      <c r="H5031" s="1" t="s">
        <v>19</v>
      </c>
      <c r="I5031" s="1" t="s">
        <v>20</v>
      </c>
      <c r="J5031" s="1" t="s">
        <v>22382</v>
      </c>
      <c r="K5031" s="1" t="s">
        <v>22</v>
      </c>
      <c r="L5031" s="1" t="str">
        <f>HYPERLINK("https://files.afu.se/Downloads/Transcripts/0%20-%20Government/USA%20-%20NASA/2010 02 17 - NASA - Final Spacewalk Adds Robotic Work Station to Cupola_KKqsJixa5UM - transcript (automated).pdf","Transcript Link")</f>
        <v>Transcript Link</v>
      </c>
      <c r="M5031" s="2" t="str">
        <f>HYPERLINK("https://files.afu.se/Downloads/Transcripts/0%20-%20Government/USA%20-%20NASA/2010 02 17 - NASA - Final Spacewalk Adds Robotic Work Station to Cupola_KKqsJixa5UM - transcript (automated).pdf","Transcript Link")</f>
        <v>Transcript Link</v>
      </c>
    </row>
    <row r="5032" ht="165" spans="1:13">
      <c r="A5032" s="1" t="s">
        <v>22383</v>
      </c>
      <c r="B5032" s="1" t="s">
        <v>13</v>
      </c>
      <c r="C5032" s="4" t="s">
        <v>22384</v>
      </c>
      <c r="D5032" s="1" t="s">
        <v>22385</v>
      </c>
      <c r="E5032" s="1" t="s">
        <v>22386</v>
      </c>
      <c r="F5032" s="4" t="s">
        <v>17</v>
      </c>
      <c r="G5032" s="1" t="s">
        <v>18</v>
      </c>
      <c r="H5032" s="1" t="s">
        <v>19</v>
      </c>
      <c r="I5032" s="1" t="s">
        <v>20</v>
      </c>
      <c r="J5032" s="1" t="s">
        <v>22387</v>
      </c>
      <c r="K5032" s="1" t="s">
        <v>22</v>
      </c>
      <c r="L5032" s="1" t="str">
        <f>HYPERLINK("https://files.afu.se/Downloads/Transcripts/0%20-%20Government/USA%20-%20NASA/2010 02 16 - NASA - Crew Highlights of Flight Day 9 in High Definition_ErqMNOz3bvM - transcript (automated).pdf","Transcript Link")</f>
        <v>Transcript Link</v>
      </c>
      <c r="M5032" s="2" t="str">
        <f>HYPERLINK("https://files.afu.se/Downloads/Transcripts/0%20-%20Government/USA%20-%20NASA/2010 02 16 - NASA - Crew Highlights of Flight Day 9 in High Definition_ErqMNOz3bvM - transcript (automated).pdf","Transcript Link")</f>
        <v>Transcript Link</v>
      </c>
    </row>
    <row r="5033" ht="165" spans="1:13">
      <c r="A5033" s="1" t="s">
        <v>22383</v>
      </c>
      <c r="B5033" s="1" t="s">
        <v>13</v>
      </c>
      <c r="C5033" s="4" t="s">
        <v>22388</v>
      </c>
      <c r="D5033" s="1" t="s">
        <v>22389</v>
      </c>
      <c r="E5033" s="1" t="s">
        <v>22390</v>
      </c>
      <c r="F5033" s="4" t="s">
        <v>17</v>
      </c>
      <c r="G5033" s="1" t="s">
        <v>18</v>
      </c>
      <c r="H5033" s="1" t="s">
        <v>19</v>
      </c>
      <c r="I5033" s="1" t="s">
        <v>20</v>
      </c>
      <c r="J5033" s="1" t="s">
        <v>22391</v>
      </c>
      <c r="K5033" s="1" t="s">
        <v>22</v>
      </c>
      <c r="L5033" s="1" t="str">
        <f>HYPERLINK("https://files.afu.se/Downloads/Transcripts/0%20-%20Government/USA%20-%20NASA/2010 02 16 - NASA - Flight Day 9 Sees Cupola Configured_ZVcYL_UVqno - transcript (automated).pdf","Transcript Link")</f>
        <v>Transcript Link</v>
      </c>
      <c r="M5033" s="2" t="str">
        <f>HYPERLINK("https://files.afu.se/Downloads/Transcripts/0%20-%20Government/USA%20-%20NASA/2010 02 16 - NASA - Flight Day 9 Sees Cupola Configured_ZVcYL_UVqno - transcript (automated).pdf","Transcript Link")</f>
        <v>Transcript Link</v>
      </c>
    </row>
    <row r="5034" ht="165" spans="1:13">
      <c r="A5034" s="1" t="s">
        <v>22392</v>
      </c>
      <c r="B5034" s="1" t="s">
        <v>13</v>
      </c>
      <c r="C5034" s="4" t="s">
        <v>22393</v>
      </c>
      <c r="D5034" s="1" t="s">
        <v>22394</v>
      </c>
      <c r="E5034" s="1" t="s">
        <v>22395</v>
      </c>
      <c r="F5034" s="4" t="s">
        <v>17</v>
      </c>
      <c r="G5034" s="1" t="s">
        <v>18</v>
      </c>
      <c r="H5034" s="1" t="s">
        <v>19</v>
      </c>
      <c r="I5034" s="1" t="s">
        <v>20</v>
      </c>
      <c r="J5034" s="1" t="s">
        <v>22396</v>
      </c>
      <c r="K5034" s="1" t="s">
        <v>22</v>
      </c>
      <c r="L5034" s="1" t="str">
        <f>HYPERLINK("https://files.afu.se/Downloads/Transcripts/0%20-%20Government/USA%20-%20NASA/2010 02 15 - NASA - New Spot for Systems on Tranquility (HD)_I0ZpOPjjDkM - transcript (automated).pdf","Transcript Link")</f>
        <v>Transcript Link</v>
      </c>
      <c r="M5034" s="2" t="str">
        <f>HYPERLINK("https://files.afu.se/Downloads/Transcripts/0%20-%20Government/USA%20-%20NASA/2010 02 15 - NASA - New Spot for Systems on Tranquility (HD)_I0ZpOPjjDkM - transcript (automated).pdf","Transcript Link")</f>
        <v>Transcript Link</v>
      </c>
    </row>
    <row r="5035" ht="165" spans="1:13">
      <c r="A5035" s="1" t="s">
        <v>22392</v>
      </c>
      <c r="B5035" s="1" t="s">
        <v>13</v>
      </c>
      <c r="C5035" s="4" t="s">
        <v>22397</v>
      </c>
      <c r="D5035" s="1" t="s">
        <v>22398</v>
      </c>
      <c r="E5035" s="1" t="s">
        <v>22399</v>
      </c>
      <c r="F5035" s="4" t="s">
        <v>17</v>
      </c>
      <c r="G5035" s="1" t="s">
        <v>18</v>
      </c>
      <c r="H5035" s="1" t="s">
        <v>19</v>
      </c>
      <c r="I5035" s="1" t="s">
        <v>20</v>
      </c>
      <c r="J5035" s="1" t="s">
        <v>22400</v>
      </c>
      <c r="K5035" s="1" t="s">
        <v>22</v>
      </c>
      <c r="L5035" s="1" t="str">
        <f>HYPERLINK("https://files.afu.se/Downloads/Transcripts/0%20-%20Government/USA%20-%20NASA/2010 02 15 - NASA - New Spot for Systems on Tranquility_hYN-7G7mMXE - transcript (automated).pdf","Transcript Link")</f>
        <v>Transcript Link</v>
      </c>
      <c r="M5035" s="2" t="str">
        <f>HYPERLINK("https://files.afu.se/Downloads/Transcripts/0%20-%20Government/USA%20-%20NASA/2010 02 15 - NASA - New Spot for Systems on Tranquility_hYN-7G7mMXE - transcript (automated).pdf","Transcript Link")</f>
        <v>Transcript Link</v>
      </c>
    </row>
    <row r="5036" ht="165" spans="1:13">
      <c r="A5036" s="1" t="s">
        <v>22392</v>
      </c>
      <c r="B5036" s="1" t="s">
        <v>13</v>
      </c>
      <c r="C5036" s="4" t="s">
        <v>22401</v>
      </c>
      <c r="D5036" s="1" t="s">
        <v>22402</v>
      </c>
      <c r="E5036" s="1" t="s">
        <v>22403</v>
      </c>
      <c r="F5036" s="4" t="s">
        <v>17</v>
      </c>
      <c r="G5036" s="1" t="s">
        <v>18</v>
      </c>
      <c r="H5036" s="1" t="s">
        <v>19</v>
      </c>
      <c r="I5036" s="1" t="s">
        <v>20</v>
      </c>
      <c r="J5036" s="1" t="s">
        <v>22404</v>
      </c>
      <c r="K5036" s="1" t="s">
        <v>22</v>
      </c>
      <c r="L5036" s="1" t="str">
        <f>HYPERLINK("https://files.afu.se/Downloads/Transcripts/0%20-%20Government/USA%20-%20NASA/2010 02 15 - NASA - Room With a View_UK6BJORv0zE - transcript (automated).pdf","Transcript Link")</f>
        <v>Transcript Link</v>
      </c>
      <c r="M5036" s="2" t="str">
        <f>HYPERLINK("https://files.afu.se/Downloads/Transcripts/0%20-%20Government/USA%20-%20NASA/2010 02 15 - NASA - Room With a View_UK6BJORv0zE - transcript (automated).pdf","Transcript Link")</f>
        <v>Transcript Link</v>
      </c>
    </row>
    <row r="5037" ht="165" spans="1:13">
      <c r="A5037" s="1" t="s">
        <v>22392</v>
      </c>
      <c r="B5037" s="1" t="s">
        <v>13</v>
      </c>
      <c r="C5037" s="4" t="s">
        <v>22405</v>
      </c>
      <c r="D5037" s="1" t="s">
        <v>22406</v>
      </c>
      <c r="E5037" s="1" t="s">
        <v>22407</v>
      </c>
      <c r="F5037" s="4" t="s">
        <v>17</v>
      </c>
      <c r="G5037" s="1" t="s">
        <v>18</v>
      </c>
      <c r="H5037" s="1" t="s">
        <v>19</v>
      </c>
      <c r="I5037" s="1" t="s">
        <v>20</v>
      </c>
      <c r="J5037" s="1" t="s">
        <v>22408</v>
      </c>
      <c r="K5037" s="1" t="s">
        <v>22</v>
      </c>
      <c r="L5037" s="1" t="str">
        <f>HYPERLINK("https://files.afu.se/Downloads/Transcripts/0%20-%20Government/USA%20-%20NASA/2010 02 15 - NASA - Shuttle Boosters Provide New Views of Launch_7H-d9ZyTLyU - transcript (automated).pdf","Transcript Link")</f>
        <v>Transcript Link</v>
      </c>
      <c r="M5037" s="2" t="str">
        <f>HYPERLINK("https://files.afu.se/Downloads/Transcripts/0%20-%20Government/USA%20-%20NASA/2010 02 15 - NASA - Shuttle Boosters Provide New Views of Launch_7H-d9ZyTLyU - transcript (automated).pdf","Transcript Link")</f>
        <v>Transcript Link</v>
      </c>
    </row>
    <row r="5038" ht="165" spans="1:13">
      <c r="A5038" s="1" t="s">
        <v>22392</v>
      </c>
      <c r="B5038" s="1" t="s">
        <v>13</v>
      </c>
      <c r="C5038" s="4" t="s">
        <v>22409</v>
      </c>
      <c r="D5038" s="1" t="s">
        <v>22410</v>
      </c>
      <c r="E5038" s="1" t="s">
        <v>22411</v>
      </c>
      <c r="F5038" s="4" t="s">
        <v>17</v>
      </c>
      <c r="G5038" s="1" t="s">
        <v>18</v>
      </c>
      <c r="H5038" s="1" t="s">
        <v>19</v>
      </c>
      <c r="I5038" s="1" t="s">
        <v>20</v>
      </c>
      <c r="J5038" s="1" t="s">
        <v>22412</v>
      </c>
      <c r="K5038" s="1" t="s">
        <v>22</v>
      </c>
      <c r="L5038" s="1" t="str">
        <f>HYPERLINK("https://files.afu.se/Downloads/Transcripts/0%20-%20Government/USA%20-%20NASA/2010 02 15 - NASA - Space Ed 101_8Lh-BGOl5Ps - transcript (automated).pdf","Transcript Link")</f>
        <v>Transcript Link</v>
      </c>
      <c r="M5038" s="2" t="str">
        <f>HYPERLINK("https://files.afu.se/Downloads/Transcripts/0%20-%20Government/USA%20-%20NASA/2010 02 15 - NASA - Space Ed 101_8Lh-BGOl5Ps - transcript (automated).pdf","Transcript Link")</f>
        <v>Transcript Link</v>
      </c>
    </row>
    <row r="5039" ht="165" spans="1:13">
      <c r="A5039" s="1" t="s">
        <v>22413</v>
      </c>
      <c r="B5039" s="1" t="s">
        <v>13</v>
      </c>
      <c r="C5039" s="4" t="s">
        <v>22414</v>
      </c>
      <c r="D5039" s="1" t="s">
        <v>22415</v>
      </c>
      <c r="E5039" s="1" t="s">
        <v>22416</v>
      </c>
      <c r="F5039" s="4" t="s">
        <v>17</v>
      </c>
      <c r="G5039" s="1" t="s">
        <v>18</v>
      </c>
      <c r="H5039" s="1" t="s">
        <v>19</v>
      </c>
      <c r="I5039" s="1" t="s">
        <v>20</v>
      </c>
      <c r="J5039" s="1" t="s">
        <v>22417</v>
      </c>
      <c r="K5039" s="1" t="s">
        <v>22</v>
      </c>
      <c r="L5039" s="1" t="str">
        <f>HYPERLINK("https://files.afu.se/Downloads/Transcripts/0%20-%20Government/USA%20-%20NASA/2010 02 14 - NASA - Flight Day 7 Highlighted by STS-130 Space Outfitters_PmWvZ1kyKwQ - transcript (automated).pdf","Transcript Link")</f>
        <v>Transcript Link</v>
      </c>
      <c r="M5039" s="2" t="str">
        <f>HYPERLINK("https://files.afu.se/Downloads/Transcripts/0%20-%20Government/USA%20-%20NASA/2010 02 14 - NASA - Flight Day 7 Highlighted by STS-130 Space Outfitters_PmWvZ1kyKwQ - transcript (automated).pdf","Transcript Link")</f>
        <v>Transcript Link</v>
      </c>
    </row>
    <row r="5040" ht="165" spans="1:13">
      <c r="A5040" s="1" t="s">
        <v>22413</v>
      </c>
      <c r="B5040" s="1" t="s">
        <v>13</v>
      </c>
      <c r="C5040" s="4" t="s">
        <v>22418</v>
      </c>
      <c r="D5040" s="1" t="s">
        <v>22419</v>
      </c>
      <c r="E5040" s="1" t="s">
        <v>22420</v>
      </c>
      <c r="F5040" s="4" t="s">
        <v>17</v>
      </c>
      <c r="G5040" s="1" t="s">
        <v>18</v>
      </c>
      <c r="H5040" s="1" t="s">
        <v>19</v>
      </c>
      <c r="I5040" s="1" t="s">
        <v>20</v>
      </c>
      <c r="J5040" s="1" t="s">
        <v>22421</v>
      </c>
      <c r="K5040" s="1" t="s">
        <v>22</v>
      </c>
      <c r="L5040" s="1" t="str">
        <f>HYPERLINK("https://files.afu.se/Downloads/Transcripts/0%20-%20Government/USA%20-%20NASA/2010 02 14 - NASA - Spacewalk %232_QGw07D0aI8k - transcript (automated).pdf","Transcript Link")</f>
        <v>Transcript Link</v>
      </c>
      <c r="M5040" s="2" t="str">
        <f>HYPERLINK("https://files.afu.se/Downloads/Transcripts/0%20-%20Government/USA%20-%20NASA/2010 02 14 - NASA - Spacewalk %232_QGw07D0aI8k - transcript (automated).pdf","Transcript Link")</f>
        <v>Transcript Link</v>
      </c>
    </row>
    <row r="5041" ht="165" spans="1:13">
      <c r="A5041" s="1" t="s">
        <v>22413</v>
      </c>
      <c r="B5041" s="1" t="s">
        <v>13</v>
      </c>
      <c r="C5041" s="4" t="s">
        <v>22422</v>
      </c>
      <c r="D5041" s="1" t="s">
        <v>22423</v>
      </c>
      <c r="E5041" s="1" t="s">
        <v>22424</v>
      </c>
      <c r="F5041" s="4" t="s">
        <v>17</v>
      </c>
      <c r="G5041" s="1" t="s">
        <v>18</v>
      </c>
      <c r="H5041" s="1" t="s">
        <v>19</v>
      </c>
      <c r="I5041" s="1" t="s">
        <v>20</v>
      </c>
      <c r="J5041" s="1" t="s">
        <v>22425</v>
      </c>
      <c r="K5041" s="1" t="s">
        <v>22</v>
      </c>
      <c r="L5041" s="1" t="str">
        <f>HYPERLINK("https://files.afu.se/Downloads/Transcripts/0%20-%20Government/USA%20-%20NASA/2010 02 14 - NASA - Shuttle Endeavour, a History-Making Spacecraft_vd4-Q-G5ke8 - transcript (automated).pdf","Transcript Link")</f>
        <v>Transcript Link</v>
      </c>
      <c r="M5041" s="2" t="str">
        <f>HYPERLINK("https://files.afu.se/Downloads/Transcripts/0%20-%20Government/USA%20-%20NASA/2010 02 14 - NASA - Shuttle Endeavour, a History-Making Spacecraft_vd4-Q-G5ke8 - transcript (automated).pdf","Transcript Link")</f>
        <v>Transcript Link</v>
      </c>
    </row>
    <row r="5042" ht="165" spans="1:13">
      <c r="A5042" s="1" t="s">
        <v>22413</v>
      </c>
      <c r="B5042" s="1" t="s">
        <v>13</v>
      </c>
      <c r="C5042" s="4" t="s">
        <v>22426</v>
      </c>
      <c r="D5042" s="1" t="s">
        <v>22427</v>
      </c>
      <c r="E5042" s="1" t="s">
        <v>22428</v>
      </c>
      <c r="F5042" s="4" t="s">
        <v>17</v>
      </c>
      <c r="G5042" s="1" t="s">
        <v>18</v>
      </c>
      <c r="H5042" s="1" t="s">
        <v>19</v>
      </c>
      <c r="I5042" s="1" t="s">
        <v>20</v>
      </c>
      <c r="J5042" s="1" t="s">
        <v>22429</v>
      </c>
      <c r="K5042" s="1" t="s">
        <v>22</v>
      </c>
      <c r="L5042" s="1" t="str">
        <f>HYPERLINK("https://files.afu.se/Downloads/Transcripts/0%20-%20Government/USA%20-%20NASA/2010 02 14 - NASA - STS-130 - The Crew_gblxIAW7BDw - transcript (automated).pdf","Transcript Link")</f>
        <v>Transcript Link</v>
      </c>
      <c r="M5042" s="2" t="str">
        <f>HYPERLINK("https://files.afu.se/Downloads/Transcripts/0%20-%20Government/USA%20-%20NASA/2010 02 14 - NASA - STS-130 - The Crew_gblxIAW7BDw - transcript (automated).pdf","Transcript Link")</f>
        <v>Transcript Link</v>
      </c>
    </row>
    <row r="5043" ht="165" spans="1:13">
      <c r="A5043" s="1" t="s">
        <v>22430</v>
      </c>
      <c r="B5043" s="1" t="s">
        <v>13</v>
      </c>
      <c r="C5043" s="4" t="s">
        <v>22431</v>
      </c>
      <c r="D5043" s="1" t="s">
        <v>22432</v>
      </c>
      <c r="E5043" s="1" t="s">
        <v>22433</v>
      </c>
      <c r="F5043" s="4" t="s">
        <v>17</v>
      </c>
      <c r="G5043" s="1" t="s">
        <v>18</v>
      </c>
      <c r="H5043" s="1" t="s">
        <v>19</v>
      </c>
      <c r="I5043" s="1" t="s">
        <v>20</v>
      </c>
      <c r="J5043" s="1" t="s">
        <v>22434</v>
      </c>
      <c r="K5043" s="1" t="s">
        <v>22</v>
      </c>
      <c r="L5043" s="1" t="str">
        <f>HYPERLINK("https://files.afu.se/Downloads/Transcripts/0%20-%20Government/USA%20-%20NASA/2010 02 13 - NASA - A New View Opens on Flight Day 6_-b7ftih04C4 - transcript (automated).pdf","Transcript Link")</f>
        <v>Transcript Link</v>
      </c>
      <c r="M5043" s="2" t="str">
        <f>HYPERLINK("https://files.afu.se/Downloads/Transcripts/0%20-%20Government/USA%20-%20NASA/2010 02 13 - NASA - A New View Opens on Flight Day 6_-b7ftih04C4 - transcript (automated).pdf","Transcript Link")</f>
        <v>Transcript Link</v>
      </c>
    </row>
    <row r="5044" ht="165" spans="1:13">
      <c r="A5044" s="1" t="s">
        <v>22430</v>
      </c>
      <c r="B5044" s="1" t="s">
        <v>13</v>
      </c>
      <c r="C5044" s="4" t="s">
        <v>22435</v>
      </c>
      <c r="D5044" s="1" t="s">
        <v>22436</v>
      </c>
      <c r="E5044" s="1" t="s">
        <v>22437</v>
      </c>
      <c r="F5044" s="4" t="s">
        <v>17</v>
      </c>
      <c r="G5044" s="1" t="s">
        <v>18</v>
      </c>
      <c r="H5044" s="1" t="s">
        <v>19</v>
      </c>
      <c r="I5044" s="1" t="s">
        <v>20</v>
      </c>
      <c r="J5044" s="1" t="s">
        <v>22438</v>
      </c>
      <c r="K5044" s="1" t="s">
        <v>22</v>
      </c>
      <c r="L5044" s="1" t="str">
        <f>HYPERLINK("https://files.afu.se/Downloads/Transcripts/0%20-%20Government/USA%20-%20NASA/2010 02 13 - NASA - Space Travelers Take Media Queries_ORR_ppabVUY - transcript (automated).pdf","Transcript Link")</f>
        <v>Transcript Link</v>
      </c>
      <c r="M5044" s="2" t="str">
        <f>HYPERLINK("https://files.afu.se/Downloads/Transcripts/0%20-%20Government/USA%20-%20NASA/2010 02 13 - NASA - Space Travelers Take Media Queries_ORR_ppabVUY - transcript (automated).pdf","Transcript Link")</f>
        <v>Transcript Link</v>
      </c>
    </row>
    <row r="5045" ht="165" spans="1:13">
      <c r="A5045" s="1" t="s">
        <v>22430</v>
      </c>
      <c r="B5045" s="1" t="s">
        <v>13</v>
      </c>
      <c r="C5045" s="4" t="s">
        <v>22439</v>
      </c>
      <c r="D5045" s="1" t="s">
        <v>22440</v>
      </c>
      <c r="E5045" s="1" t="s">
        <v>22441</v>
      </c>
      <c r="F5045" s="4" t="s">
        <v>17</v>
      </c>
      <c r="G5045" s="1" t="s">
        <v>18</v>
      </c>
      <c r="H5045" s="1" t="s">
        <v>19</v>
      </c>
      <c r="I5045" s="1" t="s">
        <v>20</v>
      </c>
      <c r="J5045" s="1" t="s">
        <v>22442</v>
      </c>
      <c r="K5045" s="1" t="s">
        <v>22</v>
      </c>
      <c r="L5045" s="1" t="str">
        <f>HYPERLINK("https://files.afu.se/Downloads/Transcripts/0%20-%20Government/USA%20-%20NASA/2010 02 13 - NASA - Astro Mike Twitters_ZfxV_fH_TSo - transcript (automated).pdf","Transcript Link")</f>
        <v>Transcript Link</v>
      </c>
      <c r="M5045" s="2" t="str">
        <f>HYPERLINK("https://files.afu.se/Downloads/Transcripts/0%20-%20Government/USA%20-%20NASA/2010 02 13 - NASA - Astro Mike Twitters_ZfxV_fH_TSo - transcript (automated).pdf","Transcript Link")</f>
        <v>Transcript Link</v>
      </c>
    </row>
    <row r="5046" ht="165" spans="1:13">
      <c r="A5046" s="1" t="s">
        <v>22443</v>
      </c>
      <c r="B5046" s="1" t="s">
        <v>13</v>
      </c>
      <c r="C5046" s="4" t="s">
        <v>22444</v>
      </c>
      <c r="D5046" s="1" t="s">
        <v>22445</v>
      </c>
      <c r="E5046" s="1" t="s">
        <v>22446</v>
      </c>
      <c r="F5046" s="4" t="s">
        <v>17</v>
      </c>
      <c r="G5046" s="1" t="s">
        <v>18</v>
      </c>
      <c r="H5046" s="1" t="s">
        <v>19</v>
      </c>
      <c r="I5046" s="1" t="s">
        <v>20</v>
      </c>
      <c r="J5046" s="1" t="s">
        <v>22447</v>
      </c>
      <c r="K5046" s="1" t="s">
        <v>22</v>
      </c>
      <c r="L5046" s="1" t="str">
        <f>HYPERLINK("https://files.afu.se/Downloads/Transcripts/0%20-%20Government/USA%20-%20NASA/2010 02 12 - NASA - Tranquility-to-Unity Tops Flight Day 5 [HD]_01zDCRnMWuo - transcript (automated).pdf","Transcript Link")</f>
        <v>Transcript Link</v>
      </c>
      <c r="M5046" s="2" t="str">
        <f>HYPERLINK("https://files.afu.se/Downloads/Transcripts/0%20-%20Government/USA%20-%20NASA/2010 02 12 - NASA - Tranquility-to-Unity Tops Flight Day 5 [HD]_01zDCRnMWuo - transcript (automated).pdf","Transcript Link")</f>
        <v>Transcript Link</v>
      </c>
    </row>
    <row r="5047" ht="165" spans="1:13">
      <c r="A5047" s="1" t="s">
        <v>22443</v>
      </c>
      <c r="B5047" s="1" t="s">
        <v>13</v>
      </c>
      <c r="C5047" s="4" t="s">
        <v>22448</v>
      </c>
      <c r="D5047" s="1" t="s">
        <v>22449</v>
      </c>
      <c r="E5047" s="1" t="s">
        <v>22450</v>
      </c>
      <c r="F5047" s="4" t="s">
        <v>17</v>
      </c>
      <c r="G5047" s="1" t="s">
        <v>18</v>
      </c>
      <c r="H5047" s="1" t="s">
        <v>19</v>
      </c>
      <c r="I5047" s="1" t="s">
        <v>20</v>
      </c>
      <c r="J5047" s="1" t="s">
        <v>22451</v>
      </c>
      <c r="K5047" s="1" t="s">
        <v>22</v>
      </c>
      <c r="L5047" s="1" t="str">
        <f>HYPERLINK("https://files.afu.se/Downloads/Transcripts/0%20-%20Government/USA%20-%20NASA/2010 02 12 - NASA - Tranquility-to-Unity Tops Flight Day 5_POMFrN3_BCc - transcript (automated).pdf","Transcript Link")</f>
        <v>Transcript Link</v>
      </c>
      <c r="M5047" s="2" t="str">
        <f>HYPERLINK("https://files.afu.se/Downloads/Transcripts/0%20-%20Government/USA%20-%20NASA/2010 02 12 - NASA - Tranquility-to-Unity Tops Flight Day 5_POMFrN3_BCc - transcript (automated).pdf","Transcript Link")</f>
        <v>Transcript Link</v>
      </c>
    </row>
    <row r="5048" ht="165" spans="1:13">
      <c r="A5048" s="1" t="s">
        <v>22452</v>
      </c>
      <c r="B5048" s="1" t="s">
        <v>13</v>
      </c>
      <c r="C5048" s="4" t="s">
        <v>22453</v>
      </c>
      <c r="D5048" s="1" t="s">
        <v>22454</v>
      </c>
      <c r="E5048" s="1" t="s">
        <v>22455</v>
      </c>
      <c r="F5048" s="4" t="s">
        <v>17</v>
      </c>
      <c r="G5048" s="1" t="s">
        <v>18</v>
      </c>
      <c r="H5048" s="1" t="s">
        <v>19</v>
      </c>
      <c r="I5048" s="1" t="s">
        <v>20</v>
      </c>
      <c r="J5048" s="1" t="s">
        <v>22456</v>
      </c>
      <c r="K5048" s="1" t="s">
        <v>22</v>
      </c>
      <c r="L5048" s="1" t="str">
        <f>HYPERLINK("https://files.afu.se/Downloads/Transcripts/0%20-%20Government/USA%20-%20NASA/2010 02 11 - NASA - Separation Confirmed - Eye on Solar Weather on its Way_50g_BGMqMdg - transcript (automated).pdf","Transcript Link")</f>
        <v>Transcript Link</v>
      </c>
      <c r="M5048" s="2" t="str">
        <f>HYPERLINK("https://files.afu.se/Downloads/Transcripts/0%20-%20Government/USA%20-%20NASA/2010 02 11 - NASA - Separation Confirmed - Eye on Solar Weather on its Way_50g_BGMqMdg - transcript (automated).pdf","Transcript Link")</f>
        <v>Transcript Link</v>
      </c>
    </row>
    <row r="5049" ht="165" spans="1:13">
      <c r="A5049" s="1" t="s">
        <v>22452</v>
      </c>
      <c r="B5049" s="1" t="s">
        <v>13</v>
      </c>
      <c r="C5049" s="4" t="s">
        <v>22457</v>
      </c>
      <c r="D5049" s="1" t="s">
        <v>22458</v>
      </c>
      <c r="E5049" s="1" t="s">
        <v>22459</v>
      </c>
      <c r="F5049" s="4" t="s">
        <v>17</v>
      </c>
      <c r="G5049" s="1" t="s">
        <v>18</v>
      </c>
      <c r="H5049" s="1" t="s">
        <v>19</v>
      </c>
      <c r="I5049" s="1" t="s">
        <v>20</v>
      </c>
      <c r="J5049" s="1" t="s">
        <v>22460</v>
      </c>
      <c r="K5049" s="1" t="s">
        <v>22</v>
      </c>
      <c r="L5049" s="1" t="str">
        <f>HYPERLINK("https://files.afu.se/Downloads/Transcripts/0%20-%20Government/USA%20-%20NASA/2010 02 11 - NASA - Solar Dynamics Observatory Lifts Off_wdnxze8f7xU - transcript (automated).pdf","Transcript Link")</f>
        <v>Transcript Link</v>
      </c>
      <c r="M5049" s="2" t="str">
        <f>HYPERLINK("https://files.afu.se/Downloads/Transcripts/0%20-%20Government/USA%20-%20NASA/2010 02 11 - NASA - Solar Dynamics Observatory Lifts Off_wdnxze8f7xU - transcript (automated).pdf","Transcript Link")</f>
        <v>Transcript Link</v>
      </c>
    </row>
    <row r="5050" ht="165" spans="1:13">
      <c r="A5050" s="1" t="s">
        <v>22452</v>
      </c>
      <c r="B5050" s="1" t="s">
        <v>13</v>
      </c>
      <c r="C5050" s="4" t="s">
        <v>22461</v>
      </c>
      <c r="D5050" s="1" t="s">
        <v>22462</v>
      </c>
      <c r="E5050" s="1" t="s">
        <v>22463</v>
      </c>
      <c r="F5050" s="4" t="s">
        <v>17</v>
      </c>
      <c r="G5050" s="1" t="s">
        <v>18</v>
      </c>
      <c r="H5050" s="1" t="s">
        <v>19</v>
      </c>
      <c r="I5050" s="1" t="s">
        <v>20</v>
      </c>
      <c r="J5050" s="1" t="s">
        <v>22464</v>
      </c>
      <c r="K5050" s="1" t="s">
        <v>22</v>
      </c>
      <c r="L5050" s="1" t="str">
        <f>HYPERLINK("https://files.afu.se/Downloads/Transcripts/0%20-%20Government/USA%20-%20NASA/2010 02 11 - NASA - Prep for Spacewalk Leads Flight Day 4 Highlights_keEoobGLC1M - transcript (automated).pdf","Transcript Link")</f>
        <v>Transcript Link</v>
      </c>
      <c r="M5050" s="2" t="str">
        <f>HYPERLINK("https://files.afu.se/Downloads/Transcripts/0%20-%20Government/USA%20-%20NASA/2010 02 11 - NASA - Prep for Spacewalk Leads Flight Day 4 Highlights_keEoobGLC1M - transcript (automated).pdf","Transcript Link")</f>
        <v>Transcript Link</v>
      </c>
    </row>
    <row r="5051" ht="165" spans="1:13">
      <c r="A5051" s="1" t="s">
        <v>22452</v>
      </c>
      <c r="B5051" s="1" t="s">
        <v>13</v>
      </c>
      <c r="C5051" s="4" t="s">
        <v>22465</v>
      </c>
      <c r="D5051" s="1" t="s">
        <v>22466</v>
      </c>
      <c r="E5051" s="1" t="s">
        <v>22467</v>
      </c>
      <c r="F5051" s="4" t="s">
        <v>17</v>
      </c>
      <c r="G5051" s="1" t="s">
        <v>18</v>
      </c>
      <c r="H5051" s="1" t="s">
        <v>19</v>
      </c>
      <c r="I5051" s="1" t="s">
        <v>20</v>
      </c>
      <c r="J5051" s="1" t="s">
        <v>22468</v>
      </c>
      <c r="K5051" s="1" t="s">
        <v>22</v>
      </c>
      <c r="L5051" s="1" t="str">
        <f>HYPERLINK("https://files.afu.se/Downloads/Transcripts/0%20-%20Government/USA%20-%20NASA/2010 02 11 - NASA - TV Stations Chat with STS-130 Crew_1w1YPhSVVcY - transcript (automated).pdf","Transcript Link")</f>
        <v>Transcript Link</v>
      </c>
      <c r="M5051" s="2" t="str">
        <f>HYPERLINK("https://files.afu.se/Downloads/Transcripts/0%20-%20Government/USA%20-%20NASA/2010 02 11 - NASA - TV Stations Chat with STS-130 Crew_1w1YPhSVVcY - transcript (automated).pdf","Transcript Link")</f>
        <v>Transcript Link</v>
      </c>
    </row>
    <row r="5052" ht="165" spans="1:13">
      <c r="A5052" s="1" t="s">
        <v>22469</v>
      </c>
      <c r="B5052" s="1" t="s">
        <v>13</v>
      </c>
      <c r="C5052" s="4" t="s">
        <v>22470</v>
      </c>
      <c r="D5052" s="1" t="s">
        <v>22471</v>
      </c>
      <c r="E5052" s="1" t="s">
        <v>22472</v>
      </c>
      <c r="F5052" s="4" t="s">
        <v>17</v>
      </c>
      <c r="G5052" s="1" t="s">
        <v>18</v>
      </c>
      <c r="H5052" s="1" t="s">
        <v>19</v>
      </c>
      <c r="I5052" s="1" t="s">
        <v>20</v>
      </c>
      <c r="J5052" s="1" t="s">
        <v>22473</v>
      </c>
      <c r="K5052" s="1" t="s">
        <v>22</v>
      </c>
      <c r="L5052" s="1" t="str">
        <f>HYPERLINK("https://files.afu.se/Downloads/Transcripts/0%20-%20Government/USA%20-%20NASA/2010 02 10 - NASA - After Completing Backflip STS-130 Crew Joins Expedition 22 Crew on ISS_789JQPh3-o8 - transcript (automated).pdf","Transcript Link")</f>
        <v>Transcript Link</v>
      </c>
      <c r="M5052" s="2" t="str">
        <f>HYPERLINK("https://files.afu.se/Downloads/Transcripts/0%20-%20Government/USA%20-%20NASA/2010 02 10 - NASA - After Completing Backflip STS-130 Crew Joins Expedition 22 Crew on ISS_789JQPh3-o8 - transcript (automated).pdf","Transcript Link")</f>
        <v>Transcript Link</v>
      </c>
    </row>
    <row r="5053" ht="165" spans="1:13">
      <c r="A5053" s="1" t="s">
        <v>22469</v>
      </c>
      <c r="B5053" s="1" t="s">
        <v>13</v>
      </c>
      <c r="C5053" s="4" t="s">
        <v>22474</v>
      </c>
      <c r="D5053" s="1" t="s">
        <v>22475</v>
      </c>
      <c r="E5053" s="1" t="s">
        <v>22476</v>
      </c>
      <c r="F5053" s="4" t="s">
        <v>17</v>
      </c>
      <c r="G5053" s="1" t="s">
        <v>18</v>
      </c>
      <c r="H5053" s="1" t="s">
        <v>19</v>
      </c>
      <c r="I5053" s="1" t="s">
        <v>20</v>
      </c>
      <c r="J5053" s="1" t="s">
        <v>22477</v>
      </c>
      <c r="K5053" s="1" t="s">
        <v>22</v>
      </c>
      <c r="L5053" s="1" t="str">
        <f>HYPERLINK("https://files.afu.se/Downloads/Transcripts/0%20-%20Government/USA%20-%20NASA/2010 02 10 - NASA - Hello, There!_UP_KySLxq6Y - transcript (automated).pdf","Transcript Link")</f>
        <v>Transcript Link</v>
      </c>
      <c r="M5053" s="2" t="str">
        <f>HYPERLINK("https://files.afu.se/Downloads/Transcripts/0%20-%20Government/USA%20-%20NASA/2010 02 10 - NASA - Hello, There!_UP_KySLxq6Y - transcript (automated).pdf","Transcript Link")</f>
        <v>Transcript Link</v>
      </c>
    </row>
    <row r="5054" ht="165" spans="1:13">
      <c r="A5054" s="1" t="s">
        <v>22469</v>
      </c>
      <c r="B5054" s="1" t="s">
        <v>13</v>
      </c>
      <c r="C5054" s="4" t="s">
        <v>22478</v>
      </c>
      <c r="D5054" s="1" t="s">
        <v>22479</v>
      </c>
      <c r="E5054" s="1" t="s">
        <v>22480</v>
      </c>
      <c r="F5054" s="4" t="s">
        <v>17</v>
      </c>
      <c r="G5054" s="1" t="s">
        <v>18</v>
      </c>
      <c r="H5054" s="1" t="s">
        <v>19</v>
      </c>
      <c r="I5054" s="1" t="s">
        <v>20</v>
      </c>
      <c r="J5054" s="1" t="s">
        <v>22481</v>
      </c>
      <c r="K5054" s="1" t="s">
        <v>22</v>
      </c>
      <c r="L5054" s="1" t="str">
        <f>HYPERLINK("https://files.afu.se/Downloads/Transcripts/0%20-%20Government/USA%20-%20NASA/2010 02 10 - NASA - Shuttle  Flips  For Safety_eQz_XsV8e3s - transcript (automated).pdf","Transcript Link")</f>
        <v>Transcript Link</v>
      </c>
      <c r="M5054" s="2" t="str">
        <f>HYPERLINK("https://files.afu.se/Downloads/Transcripts/0%20-%20Government/USA%20-%20NASA/2010 02 10 - NASA - Shuttle  Flips  For Safety_eQz_XsV8e3s - transcript (automated).pdf","Transcript Link")</f>
        <v>Transcript Link</v>
      </c>
    </row>
    <row r="5055" ht="165" spans="1:13">
      <c r="A5055" s="1" t="s">
        <v>22469</v>
      </c>
      <c r="B5055" s="1" t="s">
        <v>13</v>
      </c>
      <c r="C5055" s="4" t="s">
        <v>22482</v>
      </c>
      <c r="D5055" s="1" t="s">
        <v>22483</v>
      </c>
      <c r="E5055" s="1" t="s">
        <v>22484</v>
      </c>
      <c r="F5055" s="4" t="s">
        <v>17</v>
      </c>
      <c r="G5055" s="1" t="s">
        <v>18</v>
      </c>
      <c r="H5055" s="1" t="s">
        <v>19</v>
      </c>
      <c r="I5055" s="1" t="s">
        <v>20</v>
      </c>
      <c r="J5055" s="1" t="s">
        <v>22485</v>
      </c>
      <c r="K5055" s="1" t="s">
        <v>22</v>
      </c>
      <c r="L5055" s="1" t="str">
        <f>HYPERLINK("https://files.afu.se/Downloads/Transcripts/0%20-%20Government/USA%20-%20NASA/2010 02 10 - NASA - Shuttle Endeavour Docks with International Space Station.mp4_CqV7LE-rM9U - transcript (automated).pdf","Transcript Link")</f>
        <v>Transcript Link</v>
      </c>
      <c r="M5055" s="2" t="str">
        <f>HYPERLINK("https://files.afu.se/Downloads/Transcripts/0%20-%20Government/USA%20-%20NASA/2010 02 10 - NASA - Shuttle Endeavour Docks with International Space Station.mp4_CqV7LE-rM9U - transcript (automated).pdf","Transcript Link")</f>
        <v>Transcript Link</v>
      </c>
    </row>
    <row r="5056" ht="165" spans="1:13">
      <c r="A5056" s="1" t="s">
        <v>22486</v>
      </c>
      <c r="B5056" s="1" t="s">
        <v>13</v>
      </c>
      <c r="C5056" s="4" t="s">
        <v>22487</v>
      </c>
      <c r="D5056" s="1" t="s">
        <v>22488</v>
      </c>
      <c r="E5056" s="1" t="s">
        <v>22489</v>
      </c>
      <c r="F5056" s="4" t="s">
        <v>17</v>
      </c>
      <c r="G5056" s="1" t="s">
        <v>18</v>
      </c>
      <c r="H5056" s="1" t="s">
        <v>19</v>
      </c>
      <c r="I5056" s="1" t="s">
        <v>20</v>
      </c>
      <c r="J5056" s="1" t="s">
        <v>22490</v>
      </c>
      <c r="K5056" s="1" t="s">
        <v>22</v>
      </c>
      <c r="L5056" s="1" t="str">
        <f>HYPERLINK("https://files.afu.se/Downloads/Transcripts/0%20-%20Government/USA%20-%20NASA/2010 02 09 - NASA - Webcast Sheds  Light  on New NASA Mission_KJbwru8RAMQ - transcript (automated).pdf","Transcript Link")</f>
        <v>Transcript Link</v>
      </c>
      <c r="M5056" s="2" t="str">
        <f>HYPERLINK("https://files.afu.se/Downloads/Transcripts/0%20-%20Government/USA%20-%20NASA/2010 02 09 - NASA - Webcast Sheds  Light  on New NASA Mission_KJbwru8RAMQ - transcript (automated).pdf","Transcript Link")</f>
        <v>Transcript Link</v>
      </c>
    </row>
    <row r="5057" ht="165" spans="1:13">
      <c r="A5057" s="1" t="s">
        <v>22486</v>
      </c>
      <c r="B5057" s="1" t="s">
        <v>13</v>
      </c>
      <c r="C5057" s="4" t="s">
        <v>22491</v>
      </c>
      <c r="D5057" s="1" t="s">
        <v>22492</v>
      </c>
      <c r="E5057" s="1" t="s">
        <v>22493</v>
      </c>
      <c r="F5057" s="4" t="s">
        <v>17</v>
      </c>
      <c r="G5057" s="1" t="s">
        <v>18</v>
      </c>
      <c r="H5057" s="1" t="s">
        <v>19</v>
      </c>
      <c r="I5057" s="1" t="s">
        <v>20</v>
      </c>
      <c r="J5057" s="1" t="s">
        <v>22494</v>
      </c>
      <c r="K5057" s="1" t="s">
        <v>22</v>
      </c>
      <c r="L5057" s="1" t="str">
        <f>HYPERLINK("https://files.afu.se/Downloads/Transcripts/0%20-%20Government/USA%20-%20NASA/2010 02 09 - NASA - Launch Leads Shuttle Highlights_FMVlmTrzaos - transcript (automated).pdf","Transcript Link")</f>
        <v>Transcript Link</v>
      </c>
      <c r="M5057" s="2" t="str">
        <f>HYPERLINK("https://files.afu.se/Downloads/Transcripts/0%20-%20Government/USA%20-%20NASA/2010 02 09 - NASA - Launch Leads Shuttle Highlights_FMVlmTrzaos - transcript (automated).pdf","Transcript Link")</f>
        <v>Transcript Link</v>
      </c>
    </row>
    <row r="5058" ht="165" spans="1:13">
      <c r="A5058" s="1" t="s">
        <v>22495</v>
      </c>
      <c r="B5058" s="1" t="s">
        <v>13</v>
      </c>
      <c r="C5058" s="4" t="s">
        <v>22496</v>
      </c>
      <c r="D5058" s="1" t="s">
        <v>22497</v>
      </c>
      <c r="E5058" s="1" t="s">
        <v>22498</v>
      </c>
      <c r="F5058" s="4" t="s">
        <v>17</v>
      </c>
      <c r="G5058" s="1" t="s">
        <v>18</v>
      </c>
      <c r="H5058" s="1" t="s">
        <v>19</v>
      </c>
      <c r="I5058" s="1" t="s">
        <v>20</v>
      </c>
      <c r="J5058" s="1" t="s">
        <v>22499</v>
      </c>
      <c r="K5058" s="1" t="s">
        <v>22</v>
      </c>
      <c r="L5058" s="1" t="str">
        <f>HYPERLINK("https://files.afu.se/Downloads/Transcripts/0%20-%20Government/USA%20-%20NASA/2010 02 08 - NASA - A Splendid Endeavour!_W-aDSv494v4 - transcript (automated).pdf","Transcript Link")</f>
        <v>Transcript Link</v>
      </c>
      <c r="M5058" s="2" t="str">
        <f>HYPERLINK("https://files.afu.se/Downloads/Transcripts/0%20-%20Government/USA%20-%20NASA/2010 02 08 - NASA - A Splendid Endeavour!_W-aDSv494v4 - transcript (automated).pdf","Transcript Link")</f>
        <v>Transcript Link</v>
      </c>
    </row>
    <row r="5059" ht="165" spans="1:13">
      <c r="A5059" s="1" t="s">
        <v>22500</v>
      </c>
      <c r="B5059" s="1" t="s">
        <v>13</v>
      </c>
      <c r="C5059" s="4" t="s">
        <v>22501</v>
      </c>
      <c r="D5059" s="1" t="s">
        <v>22502</v>
      </c>
      <c r="E5059" s="1" t="s">
        <v>22503</v>
      </c>
      <c r="F5059" s="4" t="s">
        <v>17</v>
      </c>
      <c r="G5059" s="1" t="s">
        <v>18</v>
      </c>
      <c r="H5059" s="1" t="s">
        <v>19</v>
      </c>
      <c r="I5059" s="1" t="s">
        <v>20</v>
      </c>
      <c r="J5059" s="1" t="s">
        <v>22504</v>
      </c>
      <c r="K5059" s="1" t="s">
        <v>22</v>
      </c>
      <c r="L5059" s="1" t="str">
        <f>HYPERLINK("https://files.afu.se/Downloads/Transcripts/0%20-%20Government/USA%20-%20NASA/2010 02 05 - NASA - Space Station's New Era of Science and Discovery_oFklGdM7cK0 - transcript (automated).pdf","Transcript Link")</f>
        <v>Transcript Link</v>
      </c>
      <c r="M5059" s="2" t="str">
        <f>HYPERLINK("https://files.afu.se/Downloads/Transcripts/0%20-%20Government/USA%20-%20NASA/2010 02 05 - NASA - Space Station's New Era of Science and Discovery_oFklGdM7cK0 - transcript (automated).pdf","Transcript Link")</f>
        <v>Transcript Link</v>
      </c>
    </row>
    <row r="5060" ht="165" spans="1:13">
      <c r="A5060" s="1" t="s">
        <v>22500</v>
      </c>
      <c r="B5060" s="1" t="s">
        <v>13</v>
      </c>
      <c r="C5060" s="4" t="s">
        <v>22505</v>
      </c>
      <c r="D5060" s="1" t="s">
        <v>22506</v>
      </c>
      <c r="E5060" s="1" t="s">
        <v>22507</v>
      </c>
      <c r="F5060" s="4" t="s">
        <v>17</v>
      </c>
      <c r="G5060" s="1" t="s">
        <v>18</v>
      </c>
      <c r="H5060" s="1" t="s">
        <v>19</v>
      </c>
      <c r="I5060" s="1" t="s">
        <v>20</v>
      </c>
      <c r="J5060" s="1" t="s">
        <v>22508</v>
      </c>
      <c r="K5060" s="1" t="s">
        <v>22</v>
      </c>
      <c r="L5060" s="1" t="str">
        <f>HYPERLINK("https://files.afu.se/Downloads/Transcripts/0%20-%20Government/USA%20-%20NASA/2010 02 05 - NASA - What's Up for February _lsHKfWmfBig - transcript (automated).pdf","Transcript Link")</f>
        <v>Transcript Link</v>
      </c>
      <c r="M5060" s="2" t="str">
        <f>HYPERLINK("https://files.afu.se/Downloads/Transcripts/0%20-%20Government/USA%20-%20NASA/2010 02 05 - NASA - What's Up for February _lsHKfWmfBig - transcript (automated).pdf","Transcript Link")</f>
        <v>Transcript Link</v>
      </c>
    </row>
    <row r="5061" ht="165" spans="1:13">
      <c r="A5061" s="1" t="s">
        <v>22500</v>
      </c>
      <c r="B5061" s="1" t="s">
        <v>13</v>
      </c>
      <c r="C5061" s="4" t="s">
        <v>22509</v>
      </c>
      <c r="D5061" s="1" t="s">
        <v>22510</v>
      </c>
      <c r="E5061" s="1" t="s">
        <v>22511</v>
      </c>
      <c r="F5061" s="4" t="s">
        <v>17</v>
      </c>
      <c r="G5061" s="1" t="s">
        <v>18</v>
      </c>
      <c r="H5061" s="1" t="s">
        <v>19</v>
      </c>
      <c r="I5061" s="1" t="s">
        <v>20</v>
      </c>
      <c r="J5061" s="1" t="s">
        <v>22512</v>
      </c>
      <c r="K5061" s="1" t="s">
        <v>22</v>
      </c>
      <c r="L5061" s="1" t="str">
        <f>HYPERLINK("https://files.afu.se/Downloads/Transcripts/0%20-%20Government/USA%20-%20NASA/2010 02 05 - NASA - Keeping it Cool_cdfcYjpR7bE - transcript (automated).pdf","Transcript Link")</f>
        <v>Transcript Link</v>
      </c>
      <c r="M5061" s="2" t="str">
        <f>HYPERLINK("https://files.afu.se/Downloads/Transcripts/0%20-%20Government/USA%20-%20NASA/2010 02 05 - NASA - Keeping it Cool_cdfcYjpR7bE - transcript (automated).pdf","Transcript Link")</f>
        <v>Transcript Link</v>
      </c>
    </row>
    <row r="5062" ht="165" spans="1:13">
      <c r="A5062" s="1" t="s">
        <v>22500</v>
      </c>
      <c r="B5062" s="1" t="s">
        <v>13</v>
      </c>
      <c r="C5062" s="4" t="s">
        <v>22513</v>
      </c>
      <c r="D5062" s="1" t="s">
        <v>22514</v>
      </c>
      <c r="E5062" s="1" t="s">
        <v>22515</v>
      </c>
      <c r="F5062" s="4" t="s">
        <v>17</v>
      </c>
      <c r="G5062" s="1" t="s">
        <v>18</v>
      </c>
      <c r="H5062" s="1" t="s">
        <v>19</v>
      </c>
      <c r="I5062" s="1" t="s">
        <v>20</v>
      </c>
      <c r="J5062" s="1" t="s">
        <v>22516</v>
      </c>
      <c r="K5062" s="1" t="s">
        <v>22</v>
      </c>
      <c r="L5062" s="1" t="str">
        <f>HYPERLINK("https://files.afu.se/Downloads/Transcripts/0%20-%20Government/USA%20-%20NASA/2010 02 05 - NASA - GM Joins the NASA Team_lfYD3MAAa0Y - transcript (automated).pdf","Transcript Link")</f>
        <v>Transcript Link</v>
      </c>
      <c r="M5062" s="2" t="str">
        <f>HYPERLINK("https://files.afu.se/Downloads/Transcripts/0%20-%20Government/USA%20-%20NASA/2010 02 05 - NASA - GM Joins the NASA Team_lfYD3MAAa0Y - transcript (automated).pdf","Transcript Link")</f>
        <v>Transcript Link</v>
      </c>
    </row>
    <row r="5063" ht="165" spans="1:13">
      <c r="A5063" s="1" t="s">
        <v>22500</v>
      </c>
      <c r="B5063" s="1" t="s">
        <v>13</v>
      </c>
      <c r="C5063" s="4" t="s">
        <v>22517</v>
      </c>
      <c r="D5063" s="1" t="s">
        <v>22518</v>
      </c>
      <c r="E5063" s="1" t="s">
        <v>22519</v>
      </c>
      <c r="F5063" s="4" t="s">
        <v>17</v>
      </c>
      <c r="G5063" s="1" t="s">
        <v>18</v>
      </c>
      <c r="H5063" s="1" t="s">
        <v>19</v>
      </c>
      <c r="I5063" s="1" t="s">
        <v>20</v>
      </c>
      <c r="J5063" s="1" t="s">
        <v>22520</v>
      </c>
      <c r="K5063" s="1" t="s">
        <v>22</v>
      </c>
      <c r="L5063" s="1" t="str">
        <f>HYPERLINK("https://files.afu.se/Downloads/Transcripts/0%20-%20Government/USA%20-%20NASA/2010 02 05 - NASA - Special Delivery From Russia_coFgBbaFOog - transcript (automated).pdf","Transcript Link")</f>
        <v>Transcript Link</v>
      </c>
      <c r="M5063" s="2" t="str">
        <f>HYPERLINK("https://files.afu.se/Downloads/Transcripts/0%20-%20Government/USA%20-%20NASA/2010 02 05 - NASA - Special Delivery From Russia_coFgBbaFOog - transcript (automated).pdf","Transcript Link")</f>
        <v>Transcript Link</v>
      </c>
    </row>
    <row r="5064" ht="165" spans="1:13">
      <c r="A5064" s="1" t="s">
        <v>22521</v>
      </c>
      <c r="B5064" s="1" t="s">
        <v>13</v>
      </c>
      <c r="C5064" s="4" t="s">
        <v>22522</v>
      </c>
      <c r="D5064" s="1" t="s">
        <v>22523</v>
      </c>
      <c r="E5064" s="1" t="s">
        <v>22524</v>
      </c>
      <c r="F5064" s="4" t="s">
        <v>17</v>
      </c>
      <c r="G5064" s="1" t="s">
        <v>18</v>
      </c>
      <c r="H5064" s="1" t="s">
        <v>19</v>
      </c>
      <c r="I5064" s="1" t="s">
        <v>20</v>
      </c>
      <c r="J5064" s="1" t="s">
        <v>22525</v>
      </c>
      <c r="K5064" s="1" t="s">
        <v>22</v>
      </c>
      <c r="L5064" s="1" t="str">
        <f>HYPERLINK("https://files.afu.se/Downloads/Transcripts/0%20-%20Government/USA%20-%20NASA/2010 02 03 - NASA - Paving the Way_8R9OUmuAY7o - transcript (automated).pdf","Transcript Link")</f>
        <v>Transcript Link</v>
      </c>
      <c r="M5064" s="2" t="str">
        <f>HYPERLINK("https://files.afu.se/Downloads/Transcripts/0%20-%20Government/USA%20-%20NASA/2010 02 03 - NASA - Paving the Way_8R9OUmuAY7o - transcript (automated).pdf","Transcript Link")</f>
        <v>Transcript Link</v>
      </c>
    </row>
    <row r="5065" ht="165" spans="1:13">
      <c r="A5065" s="1" t="s">
        <v>22521</v>
      </c>
      <c r="B5065" s="1" t="s">
        <v>13</v>
      </c>
      <c r="C5065" s="4" t="s">
        <v>22526</v>
      </c>
      <c r="D5065" s="1" t="s">
        <v>22527</v>
      </c>
      <c r="E5065" s="1" t="s">
        <v>22528</v>
      </c>
      <c r="F5065" s="4" t="s">
        <v>17</v>
      </c>
      <c r="G5065" s="1" t="s">
        <v>18</v>
      </c>
      <c r="H5065" s="1" t="s">
        <v>19</v>
      </c>
      <c r="I5065" s="1" t="s">
        <v>20</v>
      </c>
      <c r="J5065" s="1" t="s">
        <v>22529</v>
      </c>
      <c r="K5065" s="1" t="s">
        <v>22</v>
      </c>
      <c r="L5065" s="1" t="str">
        <f>HYPERLINK("https://files.afu.se/Downloads/Transcripts/0%20-%20Government/USA%20-%20NASA/2010 02 03 - NASA - Eileen Collins  Space Pioneer_SMlCj6og5JA - transcript (automated).pdf","Transcript Link")</f>
        <v>Transcript Link</v>
      </c>
      <c r="M5065" s="2" t="str">
        <f>HYPERLINK("https://files.afu.se/Downloads/Transcripts/0%20-%20Government/USA%20-%20NASA/2010 02 03 - NASA - Eileen Collins  Space Pioneer_SMlCj6og5JA - transcript (automated).pdf","Transcript Link")</f>
        <v>Transcript Link</v>
      </c>
    </row>
    <row r="5066" ht="165" spans="1:13">
      <c r="A5066" s="1" t="s">
        <v>22521</v>
      </c>
      <c r="B5066" s="1" t="s">
        <v>13</v>
      </c>
      <c r="C5066" s="4" t="s">
        <v>22530</v>
      </c>
      <c r="D5066" s="1" t="s">
        <v>22531</v>
      </c>
      <c r="E5066" s="1" t="s">
        <v>22532</v>
      </c>
      <c r="F5066" s="4" t="s">
        <v>17</v>
      </c>
      <c r="G5066" s="1" t="s">
        <v>18</v>
      </c>
      <c r="H5066" s="1" t="s">
        <v>19</v>
      </c>
      <c r="I5066" s="1" t="s">
        <v>20</v>
      </c>
      <c r="J5066" s="1" t="s">
        <v>22533</v>
      </c>
      <c r="K5066" s="1" t="s">
        <v>22</v>
      </c>
      <c r="L5066" s="1" t="str">
        <f>HYPERLINK("https://files.afu.se/Downloads/Transcripts/0%20-%20Government/USA%20-%20NASA/2010 02 03 - NASA - Five Days 3 2 1!_0rFbcJy7ItQ - transcript (automated).pdf","Transcript Link")</f>
        <v>Transcript Link</v>
      </c>
      <c r="M5066" s="2" t="str">
        <f>HYPERLINK("https://files.afu.se/Downloads/Transcripts/0%20-%20Government/USA%20-%20NASA/2010 02 03 - NASA - Five Days 3 2 1!_0rFbcJy7ItQ - transcript (automated).pdf","Transcript Link")</f>
        <v>Transcript Link</v>
      </c>
    </row>
    <row r="5067" ht="165" spans="1:13">
      <c r="A5067" s="1" t="s">
        <v>22534</v>
      </c>
      <c r="B5067" s="1" t="s">
        <v>13</v>
      </c>
      <c r="C5067" s="4" t="s">
        <v>22535</v>
      </c>
      <c r="D5067" s="1" t="s">
        <v>22536</v>
      </c>
      <c r="E5067" s="1" t="s">
        <v>22537</v>
      </c>
      <c r="F5067" s="4" t="s">
        <v>17</v>
      </c>
      <c r="G5067" s="1" t="s">
        <v>18</v>
      </c>
      <c r="H5067" s="1" t="s">
        <v>19</v>
      </c>
      <c r="I5067" s="1" t="s">
        <v>20</v>
      </c>
      <c r="J5067" s="1" t="s">
        <v>22538</v>
      </c>
      <c r="K5067" s="1" t="s">
        <v>22</v>
      </c>
      <c r="L5067" s="1" t="str">
        <f>HYPERLINK("https://files.afu.se/Downloads/Transcripts/0%20-%20Government/USA%20-%20NASA/2010 02 02 - NASA - NASA Enters A New Era of Innovation and Discovery_e9YvIESqDUk - transcript (automated).pdf","Transcript Link")</f>
        <v>Transcript Link</v>
      </c>
      <c r="M5067" s="2" t="str">
        <f>HYPERLINK("https://files.afu.se/Downloads/Transcripts/0%20-%20Government/USA%20-%20NASA/2010 02 02 - NASA - NASA Enters A New Era of Innovation and Discovery_e9YvIESqDUk - transcript (automated).pdf","Transcript Link")</f>
        <v>Transcript Link</v>
      </c>
    </row>
    <row r="5068" ht="165" spans="1:13">
      <c r="A5068" s="1" t="s">
        <v>22539</v>
      </c>
      <c r="B5068" s="1" t="s">
        <v>13</v>
      </c>
      <c r="C5068" s="4" t="s">
        <v>22540</v>
      </c>
      <c r="D5068" s="1" t="s">
        <v>22541</v>
      </c>
      <c r="E5068" s="1" t="s">
        <v>22542</v>
      </c>
      <c r="F5068" s="4" t="s">
        <v>17</v>
      </c>
      <c r="G5068" s="1" t="s">
        <v>18</v>
      </c>
      <c r="H5068" s="1" t="s">
        <v>19</v>
      </c>
      <c r="I5068" s="1" t="s">
        <v>20</v>
      </c>
      <c r="J5068" s="1" t="s">
        <v>22543</v>
      </c>
      <c r="K5068" s="1" t="s">
        <v>22</v>
      </c>
      <c r="L5068" s="1" t="str">
        <f>HYPERLINK("https://files.afu.se/Downloads/Transcripts/0%20-%20Government/USA%20-%20NASA/2010 02 01 - NASA - Space Shuttle Endeavour  Behind the Scenes_fmsJamYFeLg - transcript (automated).pdf","Transcript Link")</f>
        <v>Transcript Link</v>
      </c>
      <c r="M5068" s="2" t="str">
        <f>HYPERLINK("https://files.afu.se/Downloads/Transcripts/0%20-%20Government/USA%20-%20NASA/2010 02 01 - NASA - Space Shuttle Endeavour  Behind the Scenes_fmsJamYFeLg - transcript (automated).pdf","Transcript Link")</f>
        <v>Transcript Link</v>
      </c>
    </row>
    <row r="5069" ht="165" spans="1:13">
      <c r="A5069" s="1" t="s">
        <v>22539</v>
      </c>
      <c r="B5069" s="1" t="s">
        <v>13</v>
      </c>
      <c r="C5069" s="4" t="s">
        <v>22544</v>
      </c>
      <c r="D5069" s="1" t="s">
        <v>22545</v>
      </c>
      <c r="E5069" s="1" t="s">
        <v>22546</v>
      </c>
      <c r="F5069" s="4" t="s">
        <v>17</v>
      </c>
      <c r="G5069" s="1" t="s">
        <v>18</v>
      </c>
      <c r="H5069" s="1" t="s">
        <v>19</v>
      </c>
      <c r="I5069" s="1" t="s">
        <v>20</v>
      </c>
      <c r="J5069" s="1" t="s">
        <v>22547</v>
      </c>
      <c r="K5069" s="1" t="s">
        <v>22</v>
      </c>
      <c r="L5069" s="1" t="str">
        <f>HYPERLINK("https://files.afu.se/Downloads/Transcripts/0%20-%20Government/USA%20-%20NASA/2010 02 01 - NASA - HIGHER EDUCATION_rPQ6LoX8MhQ - transcript (automated).pdf","Transcript Link")</f>
        <v>Transcript Link</v>
      </c>
      <c r="M5069" s="2" t="str">
        <f>HYPERLINK("https://files.afu.se/Downloads/Transcripts/0%20-%20Government/USA%20-%20NASA/2010 02 01 - NASA - HIGHER EDUCATION_rPQ6LoX8MhQ - transcript (automated).pdf","Transcript Link")</f>
        <v>Transcript Link</v>
      </c>
    </row>
    <row r="5070" ht="165" spans="1:13">
      <c r="A5070" s="1" t="s">
        <v>22548</v>
      </c>
      <c r="B5070" s="1" t="s">
        <v>13</v>
      </c>
      <c r="C5070" s="4" t="s">
        <v>22549</v>
      </c>
      <c r="D5070" s="1" t="s">
        <v>22550</v>
      </c>
      <c r="E5070" s="1" t="s">
        <v>22551</v>
      </c>
      <c r="F5070" s="4" t="s">
        <v>17</v>
      </c>
      <c r="G5070" s="1" t="s">
        <v>18</v>
      </c>
      <c r="H5070" s="1" t="s">
        <v>19</v>
      </c>
      <c r="I5070" s="1" t="s">
        <v>20</v>
      </c>
      <c r="J5070" s="1" t="s">
        <v>22552</v>
      </c>
      <c r="K5070" s="1" t="s">
        <v>22</v>
      </c>
      <c r="L5070" s="1" t="str">
        <f>HYPERLINK("https://files.afu.se/Downloads/Transcripts/0%20-%20Government/USA%20-%20NASA/2010 01 29 - NASA - NASA Heroes Remembered_TamYPxZqIuI - transcript (automated).pdf","Transcript Link")</f>
        <v>Transcript Link</v>
      </c>
      <c r="M5070" s="2" t="str">
        <f>HYPERLINK("https://files.afu.se/Downloads/Transcripts/0%20-%20Government/USA%20-%20NASA/2010 01 29 - NASA - NASA Heroes Remembered_TamYPxZqIuI - transcript (automated).pdf","Transcript Link")</f>
        <v>Transcript Link</v>
      </c>
    </row>
    <row r="5071" ht="165" spans="1:13">
      <c r="A5071" s="1" t="s">
        <v>22548</v>
      </c>
      <c r="B5071" s="1" t="s">
        <v>13</v>
      </c>
      <c r="C5071" s="4" t="s">
        <v>22553</v>
      </c>
      <c r="D5071" s="1" t="s">
        <v>22554</v>
      </c>
      <c r="E5071" s="1" t="s">
        <v>22555</v>
      </c>
      <c r="F5071" s="4" t="s">
        <v>17</v>
      </c>
      <c r="G5071" s="1" t="s">
        <v>18</v>
      </c>
      <c r="H5071" s="1" t="s">
        <v>19</v>
      </c>
      <c r="I5071" s="1" t="s">
        <v>20</v>
      </c>
      <c r="J5071" s="1" t="s">
        <v>22556</v>
      </c>
      <c r="K5071" s="1" t="s">
        <v>22</v>
      </c>
      <c r="L5071" s="1" t="str">
        <f>HYPERLINK("https://files.afu.se/Downloads/Transcripts/0%20-%20Government/USA%20-%20NASA/2010 01 29 - NASA - Team 129 at the NBA_cL9C9TzsZaw - transcript (automated).pdf","Transcript Link")</f>
        <v>Transcript Link</v>
      </c>
      <c r="M5071" s="2" t="str">
        <f>HYPERLINK("https://files.afu.se/Downloads/Transcripts/0%20-%20Government/USA%20-%20NASA/2010 01 29 - NASA - Team 129 at the NBA_cL9C9TzsZaw - transcript (automated).pdf","Transcript Link")</f>
        <v>Transcript Link</v>
      </c>
    </row>
    <row r="5072" ht="165" spans="1:13">
      <c r="A5072" s="1" t="s">
        <v>22548</v>
      </c>
      <c r="B5072" s="1" t="s">
        <v>13</v>
      </c>
      <c r="C5072" s="4" t="s">
        <v>22557</v>
      </c>
      <c r="D5072" s="1" t="s">
        <v>22558</v>
      </c>
      <c r="E5072" s="1" t="s">
        <v>22559</v>
      </c>
      <c r="F5072" s="4" t="s">
        <v>17</v>
      </c>
      <c r="G5072" s="1" t="s">
        <v>18</v>
      </c>
      <c r="H5072" s="1" t="s">
        <v>19</v>
      </c>
      <c r="I5072" s="1" t="s">
        <v>20</v>
      </c>
      <c r="J5072" s="1" t="s">
        <v>22560</v>
      </c>
      <c r="K5072" s="1" t="s">
        <v>22</v>
      </c>
      <c r="L5072" s="1" t="str">
        <f>HYPERLINK("https://files.afu.se/Downloads/Transcripts/0%20-%20Government/USA%20-%20NASA/2010 01 29 - NASA - WISE Eyes, Haitian Quake Study, More on This Week @ NASA!_B2j0pBVkvqw - transcript (automated).pdf","Transcript Link")</f>
        <v>Transcript Link</v>
      </c>
      <c r="M5072" s="2" t="str">
        <f>HYPERLINK("https://files.afu.se/Downloads/Transcripts/0%20-%20Government/USA%20-%20NASA/2010 01 29 - NASA - WISE Eyes, Haitian Quake Study, More on This Week @ NASA!_B2j0pBVkvqw - transcript (automated).pdf","Transcript Link")</f>
        <v>Transcript Link</v>
      </c>
    </row>
    <row r="5073" ht="285" spans="1:13">
      <c r="A5073" s="1" t="s">
        <v>22548</v>
      </c>
      <c r="B5073" s="1" t="s">
        <v>13</v>
      </c>
      <c r="C5073" s="4" t="s">
        <v>22561</v>
      </c>
      <c r="D5073" s="1" t="s">
        <v>22562</v>
      </c>
      <c r="E5073" s="1" t="s">
        <v>22563</v>
      </c>
      <c r="F5073" s="4" t="s">
        <v>17</v>
      </c>
      <c r="G5073" s="1" t="s">
        <v>18</v>
      </c>
      <c r="H5073" s="1" t="s">
        <v>19</v>
      </c>
      <c r="I5073" s="1" t="s">
        <v>20</v>
      </c>
      <c r="J5073" s="1" t="s">
        <v>22564</v>
      </c>
      <c r="K5073" s="1" t="s">
        <v>22</v>
      </c>
      <c r="L5073" s="1" t="str">
        <f>HYPERLINK("https://files.afu.se/Downloads/Transcripts/0%20-%20Government/USA%20-%20NASA/2010 01 29 - NASA - Astros Confident, Ready_eW3BHibc49o - transcript (automated).pdf","Transcript Link")</f>
        <v>Transcript Link</v>
      </c>
      <c r="M5073" s="2" t="str">
        <f>HYPERLINK("https://files.afu.se/Downloads/Transcripts/0%20-%20Government/USA%20-%20NASA/2010 01 29 - NASA - Astros Confident, Ready_eW3BHibc49o - transcript (automated).pdf","Transcript Link")</f>
        <v>Transcript Link</v>
      </c>
    </row>
    <row r="5074" ht="180" spans="1:13">
      <c r="A5074" s="1" t="s">
        <v>22548</v>
      </c>
      <c r="B5074" s="1" t="s">
        <v>13</v>
      </c>
      <c r="C5074" s="4" t="s">
        <v>22565</v>
      </c>
      <c r="D5074" s="1" t="s">
        <v>22566</v>
      </c>
      <c r="E5074" s="1" t="s">
        <v>22567</v>
      </c>
      <c r="F5074" s="4" t="s">
        <v>17</v>
      </c>
      <c r="G5074" s="1" t="s">
        <v>18</v>
      </c>
      <c r="H5074" s="1" t="s">
        <v>19</v>
      </c>
      <c r="I5074" s="1" t="s">
        <v>20</v>
      </c>
      <c r="J5074" s="1" t="s">
        <v>22568</v>
      </c>
      <c r="K5074" s="1" t="s">
        <v>22</v>
      </c>
      <c r="L5074" s="1" t="str">
        <f>HYPERLINK("https://files.afu.se/Downloads/Transcripts/0%20-%20Government/USA%20-%20NASA/2010 01 29 - NASA - Making the Connection_Y0rEEPibKV4 - transcript (automated).pdf","Transcript Link")</f>
        <v>Transcript Link</v>
      </c>
      <c r="M5074" s="2" t="str">
        <f>HYPERLINK("https://files.afu.se/Downloads/Transcripts/0%20-%20Government/USA%20-%20NASA/2010 01 29 - NASA - Making the Connection_Y0rEEPibKV4 - transcript (automated).pdf","Transcript Link")</f>
        <v>Transcript Link</v>
      </c>
    </row>
    <row r="5075" ht="165" spans="1:13">
      <c r="A5075" s="1" t="s">
        <v>22569</v>
      </c>
      <c r="B5075" s="1" t="s">
        <v>13</v>
      </c>
      <c r="C5075" s="4" t="s">
        <v>22570</v>
      </c>
      <c r="D5075" s="1" t="s">
        <v>268</v>
      </c>
      <c r="E5075" s="1" t="s">
        <v>22571</v>
      </c>
      <c r="F5075" s="4" t="s">
        <v>17</v>
      </c>
      <c r="G5075" s="1" t="s">
        <v>18</v>
      </c>
      <c r="H5075" s="1" t="s">
        <v>19</v>
      </c>
      <c r="I5075" s="1" t="s">
        <v>20</v>
      </c>
      <c r="J5075" s="1" t="s">
        <v>22572</v>
      </c>
      <c r="K5075" s="1" t="s">
        <v>22</v>
      </c>
      <c r="L5075" s="1" t="str">
        <f>HYPERLINK("https://files.afu.se/Downloads/Transcripts/0%20-%20Government/USA%20-%20NASA/2010 01 28 - NASA - NASA Remembers Fallen Heroes_UNr27umchN4 - transcript (automated).pdf","Transcript Link")</f>
        <v>Transcript Link</v>
      </c>
      <c r="M5075" s="2" t="str">
        <f>HYPERLINK("https://files.afu.se/Downloads/Transcripts/0%20-%20Government/USA%20-%20NASA/2010 01 28 - NASA - NASA Remembers Fallen Heroes_UNr27umchN4 - transcript (automated).pdf","Transcript Link")</f>
        <v>Transcript Link</v>
      </c>
    </row>
    <row r="5076" ht="165" spans="1:13">
      <c r="A5076" s="1" t="s">
        <v>22569</v>
      </c>
      <c r="B5076" s="1" t="s">
        <v>13</v>
      </c>
      <c r="C5076" s="4" t="s">
        <v>22573</v>
      </c>
      <c r="D5076" s="1" t="s">
        <v>22574</v>
      </c>
      <c r="E5076" s="1" t="s">
        <v>22575</v>
      </c>
      <c r="F5076" s="4" t="s">
        <v>17</v>
      </c>
      <c r="G5076" s="1" t="s">
        <v>18</v>
      </c>
      <c r="H5076" s="1" t="s">
        <v>19</v>
      </c>
      <c r="I5076" s="1" t="s">
        <v>20</v>
      </c>
      <c r="J5076" s="1" t="s">
        <v>22576</v>
      </c>
      <c r="K5076" s="1" t="s">
        <v>22</v>
      </c>
      <c r="L5076" s="1" t="str">
        <f>HYPERLINK("https://files.afu.se/Downloads/Transcripts/0%20-%20Government/USA%20-%20NASA/2010 01 28 - NASA - Mate-up!_VTy4wrioFMQ - transcript (automated).pdf","Transcript Link")</f>
        <v>Transcript Link</v>
      </c>
      <c r="M5076" s="2" t="str">
        <f>HYPERLINK("https://files.afu.se/Downloads/Transcripts/0%20-%20Government/USA%20-%20NASA/2010 01 28 - NASA - Mate-up!_VTy4wrioFMQ - transcript (automated).pdf","Transcript Link")</f>
        <v>Transcript Link</v>
      </c>
    </row>
    <row r="5077" ht="165" spans="1:13">
      <c r="A5077" s="1" t="s">
        <v>22577</v>
      </c>
      <c r="B5077" s="1" t="s">
        <v>13</v>
      </c>
      <c r="C5077" s="4" t="s">
        <v>22578</v>
      </c>
      <c r="D5077" s="1" t="s">
        <v>22579</v>
      </c>
      <c r="E5077" s="1" t="s">
        <v>22580</v>
      </c>
      <c r="F5077" s="4" t="s">
        <v>17</v>
      </c>
      <c r="G5077" s="1" t="s">
        <v>18</v>
      </c>
      <c r="H5077" s="1" t="s">
        <v>19</v>
      </c>
      <c r="I5077" s="1" t="s">
        <v>20</v>
      </c>
      <c r="J5077" s="1" t="s">
        <v>22581</v>
      </c>
      <c r="K5077" s="1" t="s">
        <v>22</v>
      </c>
      <c r="L5077" s="1" t="str">
        <f>HYPERLINK("https://files.afu.se/Downloads/Transcripts/0%20-%20Government/USA%20-%20NASA/2010 01 27 - NASA - Reviewed and Ready!_KzhCGzNbyd8 - transcript (automated).pdf","Transcript Link")</f>
        <v>Transcript Link</v>
      </c>
      <c r="M5077" s="2" t="str">
        <f>HYPERLINK("https://files.afu.se/Downloads/Transcripts/0%20-%20Government/USA%20-%20NASA/2010 01 27 - NASA - Reviewed and Ready!_KzhCGzNbyd8 - transcript (automated).pdf","Transcript Link")</f>
        <v>Transcript Link</v>
      </c>
    </row>
    <row r="5078" ht="165" spans="1:13">
      <c r="A5078" s="1" t="s">
        <v>22582</v>
      </c>
      <c r="B5078" s="1" t="s">
        <v>13</v>
      </c>
      <c r="C5078" s="4" t="s">
        <v>22583</v>
      </c>
      <c r="D5078" s="1" t="s">
        <v>22584</v>
      </c>
      <c r="E5078" s="1" t="s">
        <v>22585</v>
      </c>
      <c r="F5078" s="4" t="s">
        <v>17</v>
      </c>
      <c r="G5078" s="1" t="s">
        <v>18</v>
      </c>
      <c r="H5078" s="1" t="s">
        <v>19</v>
      </c>
      <c r="I5078" s="1" t="s">
        <v>20</v>
      </c>
      <c r="J5078" s="1" t="s">
        <v>22586</v>
      </c>
      <c r="K5078" s="1" t="s">
        <v>22</v>
      </c>
      <c r="L5078" s="1" t="str">
        <f>HYPERLINK("https://files.afu.se/Downloads/Transcripts/0%20-%20Government/USA%20-%20NASA/2010 01 26 - NASA - Spirit Renewed_uB8CpstmAus - transcript (automated).pdf","Transcript Link")</f>
        <v>Transcript Link</v>
      </c>
      <c r="M5078" s="2" t="str">
        <f>HYPERLINK("https://files.afu.se/Downloads/Transcripts/0%20-%20Government/USA%20-%20NASA/2010 01 26 - NASA - Spirit Renewed_uB8CpstmAus - transcript (automated).pdf","Transcript Link")</f>
        <v>Transcript Link</v>
      </c>
    </row>
    <row r="5079" ht="165" spans="1:13">
      <c r="A5079" s="1" t="s">
        <v>22587</v>
      </c>
      <c r="B5079" s="1" t="s">
        <v>13</v>
      </c>
      <c r="C5079" s="4" t="s">
        <v>22588</v>
      </c>
      <c r="D5079" s="1" t="s">
        <v>22589</v>
      </c>
      <c r="E5079" s="1" t="s">
        <v>22590</v>
      </c>
      <c r="F5079" s="4" t="s">
        <v>17</v>
      </c>
      <c r="G5079" s="1" t="s">
        <v>18</v>
      </c>
      <c r="H5079" s="1" t="s">
        <v>19</v>
      </c>
      <c r="I5079" s="1" t="s">
        <v>20</v>
      </c>
      <c r="J5079" s="1" t="s">
        <v>22591</v>
      </c>
      <c r="K5079" s="1" t="s">
        <v>22</v>
      </c>
      <c r="L5079" s="1" t="str">
        <f>HYPERLINK("https://files.afu.se/Downloads/Transcripts/0%20-%20Government/USA%20-%20NASA/2010 01 25 - NASA - Rock On, Opportunity!_1RfPVmSCKc0 - transcript (automated).pdf","Transcript Link")</f>
        <v>Transcript Link</v>
      </c>
      <c r="M5079" s="2" t="str">
        <f>HYPERLINK("https://files.afu.se/Downloads/Transcripts/0%20-%20Government/USA%20-%20NASA/2010 01 25 - NASA - Rock On, Opportunity!_1RfPVmSCKc0 - transcript (automated).pdf","Transcript Link")</f>
        <v>Transcript Link</v>
      </c>
    </row>
    <row r="5080" ht="165" spans="1:13">
      <c r="A5080" s="1" t="s">
        <v>22587</v>
      </c>
      <c r="B5080" s="1" t="s">
        <v>13</v>
      </c>
      <c r="C5080" s="4" t="s">
        <v>22592</v>
      </c>
      <c r="D5080" s="1" t="s">
        <v>22593</v>
      </c>
      <c r="E5080" s="1" t="s">
        <v>22594</v>
      </c>
      <c r="F5080" s="4" t="s">
        <v>17</v>
      </c>
      <c r="G5080" s="1" t="s">
        <v>18</v>
      </c>
      <c r="H5080" s="1" t="s">
        <v>19</v>
      </c>
      <c r="I5080" s="1" t="s">
        <v>20</v>
      </c>
      <c r="J5080" s="1" t="s">
        <v>22595</v>
      </c>
      <c r="K5080" s="1" t="s">
        <v>22</v>
      </c>
      <c r="L5080" s="1" t="str">
        <f>HYPERLINK("https://files.afu.se/Downloads/Transcripts/0%20-%20Government/USA%20-%20NASA/2010 01 25 - NASA - Astro Mike Goes Behind The Scenes of STS-130_SmzJeIUIvv4 - transcript (automated).pdf","Transcript Link")</f>
        <v>Transcript Link</v>
      </c>
      <c r="M5080" s="2" t="str">
        <f>HYPERLINK("https://files.afu.se/Downloads/Transcripts/0%20-%20Government/USA%20-%20NASA/2010 01 25 - NASA - Astro Mike Goes Behind The Scenes of STS-130_SmzJeIUIvv4 - transcript (automated).pdf","Transcript Link")</f>
        <v>Transcript Link</v>
      </c>
    </row>
    <row r="5081" ht="195" spans="1:13">
      <c r="A5081" s="1" t="s">
        <v>22587</v>
      </c>
      <c r="B5081" s="1" t="s">
        <v>13</v>
      </c>
      <c r="C5081" s="4" t="s">
        <v>22596</v>
      </c>
      <c r="D5081" s="1" t="s">
        <v>22597</v>
      </c>
      <c r="E5081" s="1" t="s">
        <v>22598</v>
      </c>
      <c r="F5081" s="4" t="s">
        <v>17</v>
      </c>
      <c r="G5081" s="1" t="s">
        <v>18</v>
      </c>
      <c r="H5081" s="1" t="s">
        <v>19</v>
      </c>
      <c r="I5081" s="1" t="s">
        <v>20</v>
      </c>
      <c r="J5081" s="1" t="s">
        <v>22599</v>
      </c>
      <c r="K5081" s="1" t="s">
        <v>22</v>
      </c>
      <c r="L5081" s="1" t="str">
        <f>HYPERLINK("https://files.afu.se/Downloads/Transcripts/0%20-%20Government/USA%20-%20NASA/2010 01 25 - NASA - Practice Makes Perfect_w3GyeeOgMa0 - transcript (automated).pdf","Transcript Link")</f>
        <v>Transcript Link</v>
      </c>
      <c r="M5081" s="2" t="str">
        <f>HYPERLINK("https://files.afu.se/Downloads/Transcripts/0%20-%20Government/USA%20-%20NASA/2010 01 25 - NASA - Practice Makes Perfect_w3GyeeOgMa0 - transcript (automated).pdf","Transcript Link")</f>
        <v>Transcript Link</v>
      </c>
    </row>
    <row r="5082" ht="165" spans="1:13">
      <c r="A5082" s="1" t="s">
        <v>22600</v>
      </c>
      <c r="B5082" s="1" t="s">
        <v>13</v>
      </c>
      <c r="C5082" s="4" t="s">
        <v>22601</v>
      </c>
      <c r="D5082" s="1" t="s">
        <v>22602</v>
      </c>
      <c r="E5082" s="1" t="s">
        <v>22603</v>
      </c>
      <c r="F5082" s="4" t="s">
        <v>17</v>
      </c>
      <c r="G5082" s="1" t="s">
        <v>18</v>
      </c>
      <c r="H5082" s="1" t="s">
        <v>19</v>
      </c>
      <c r="I5082" s="1" t="s">
        <v>20</v>
      </c>
      <c r="J5082" s="1" t="s">
        <v>22604</v>
      </c>
      <c r="K5082" s="1" t="s">
        <v>22</v>
      </c>
      <c r="L5082" s="1" t="str">
        <f>HYPERLINK("https://files.afu.se/Downloads/Transcripts/0%20-%20Government/USA%20-%20NASA/2010 01 22 - NASA - Cutting-Edge Capsule_wXzw5LqK5Yg - transcript (automated).pdf","Transcript Link")</f>
        <v>Transcript Link</v>
      </c>
      <c r="M5082" s="2" t="str">
        <f>HYPERLINK("https://files.afu.se/Downloads/Transcripts/0%20-%20Government/USA%20-%20NASA/2010 01 22 - NASA - Cutting-Edge Capsule_wXzw5LqK5Yg - transcript (automated).pdf","Transcript Link")</f>
        <v>Transcript Link</v>
      </c>
    </row>
    <row r="5083" ht="165" spans="1:13">
      <c r="A5083" s="1" t="s">
        <v>22600</v>
      </c>
      <c r="B5083" s="1" t="s">
        <v>13</v>
      </c>
      <c r="C5083" s="4" t="s">
        <v>22605</v>
      </c>
      <c r="D5083" s="1" t="s">
        <v>22606</v>
      </c>
      <c r="E5083" s="1" t="s">
        <v>22607</v>
      </c>
      <c r="F5083" s="4" t="s">
        <v>17</v>
      </c>
      <c r="G5083" s="1" t="s">
        <v>18</v>
      </c>
      <c r="H5083" s="1" t="s">
        <v>19</v>
      </c>
      <c r="I5083" s="1" t="s">
        <v>20</v>
      </c>
      <c r="J5083" s="1" t="s">
        <v>22608</v>
      </c>
      <c r="K5083" s="1" t="s">
        <v>22</v>
      </c>
      <c r="L5083" s="1" t="str">
        <f>HYPERLINK("https://files.afu.se/Downloads/Transcripts/0%20-%20Government/USA%20-%20NASA/2010 01 22 - NASA - By the Numbers  130, 129 and 23 Updates!_KCJPZIWm_Ow - transcript (automated).pdf","Transcript Link")</f>
        <v>Transcript Link</v>
      </c>
      <c r="M5083" s="2" t="str">
        <f>HYPERLINK("https://files.afu.se/Downloads/Transcripts/0%20-%20Government/USA%20-%20NASA/2010 01 22 - NASA - By the Numbers  130, 129 and 23 Updates!_KCJPZIWm_Ow - transcript (automated).pdf","Transcript Link")</f>
        <v>Transcript Link</v>
      </c>
    </row>
    <row r="5084" ht="195" spans="1:13">
      <c r="A5084" s="1" t="s">
        <v>22600</v>
      </c>
      <c r="B5084" s="1" t="s">
        <v>13</v>
      </c>
      <c r="C5084" s="4" t="s">
        <v>22609</v>
      </c>
      <c r="D5084" s="1" t="s">
        <v>22610</v>
      </c>
      <c r="E5084" s="1" t="s">
        <v>22598</v>
      </c>
      <c r="F5084" s="4" t="s">
        <v>17</v>
      </c>
      <c r="G5084" s="1" t="s">
        <v>18</v>
      </c>
      <c r="H5084" s="1" t="s">
        <v>19</v>
      </c>
      <c r="I5084" s="1" t="s">
        <v>20</v>
      </c>
      <c r="J5084" s="1" t="s">
        <v>22611</v>
      </c>
      <c r="K5084" s="1" t="s">
        <v>22</v>
      </c>
      <c r="L5084" s="1" t="str">
        <f>HYPERLINK("https://files.afu.se/Downloads/Transcripts/0%20-%20Government/USA%20-%20NASA/2010 01 22 - NASA - Getting Ready!_QZl3IBIHy1c - transcript (automated).pdf","Transcript Link")</f>
        <v>Transcript Link</v>
      </c>
      <c r="M5084" s="2" t="str">
        <f>HYPERLINK("https://files.afu.se/Downloads/Transcripts/0%20-%20Government/USA%20-%20NASA/2010 01 22 - NASA - Getting Ready!_QZl3IBIHy1c - transcript (automated).pdf","Transcript Link")</f>
        <v>Transcript Link</v>
      </c>
    </row>
    <row r="5085" ht="165" spans="1:13">
      <c r="A5085" s="1" t="s">
        <v>22600</v>
      </c>
      <c r="B5085" s="1" t="s">
        <v>13</v>
      </c>
      <c r="C5085" s="4" t="s">
        <v>22612</v>
      </c>
      <c r="D5085" s="1" t="s">
        <v>22613</v>
      </c>
      <c r="E5085" s="1" t="s">
        <v>22614</v>
      </c>
      <c r="F5085" s="4" t="s">
        <v>17</v>
      </c>
      <c r="G5085" s="1" t="s">
        <v>18</v>
      </c>
      <c r="H5085" s="1" t="s">
        <v>19</v>
      </c>
      <c r="I5085" s="1" t="s">
        <v>20</v>
      </c>
      <c r="J5085" s="1" t="s">
        <v>22615</v>
      </c>
      <c r="K5085" s="1" t="s">
        <v>22</v>
      </c>
      <c r="L5085" s="1" t="str">
        <f>HYPERLINK("https://files.afu.se/Downloads/Transcripts/0%20-%20Government/USA%20-%20NASA/2010 01 22 - NASA - Life in Space_tJmwXDxZ6j4 - transcript (automated).pdf","Transcript Link")</f>
        <v>Transcript Link</v>
      </c>
      <c r="M5085" s="2" t="str">
        <f>HYPERLINK("https://files.afu.se/Downloads/Transcripts/0%20-%20Government/USA%20-%20NASA/2010 01 22 - NASA - Life in Space_tJmwXDxZ6j4 - transcript (automated).pdf","Transcript Link")</f>
        <v>Transcript Link</v>
      </c>
    </row>
    <row r="5086" ht="165" spans="1:13">
      <c r="A5086" s="1" t="s">
        <v>22616</v>
      </c>
      <c r="B5086" s="1" t="s">
        <v>13</v>
      </c>
      <c r="C5086" s="4" t="s">
        <v>22617</v>
      </c>
      <c r="D5086" s="1" t="s">
        <v>22618</v>
      </c>
      <c r="E5086" s="1" t="s">
        <v>22619</v>
      </c>
      <c r="F5086" s="4" t="s">
        <v>17</v>
      </c>
      <c r="G5086" s="1" t="s">
        <v>18</v>
      </c>
      <c r="H5086" s="1" t="s">
        <v>19</v>
      </c>
      <c r="I5086" s="1" t="s">
        <v>20</v>
      </c>
      <c r="J5086" s="1" t="s">
        <v>22620</v>
      </c>
      <c r="K5086" s="1" t="s">
        <v>22</v>
      </c>
      <c r="L5086" s="1" t="str">
        <f>HYPERLINK("https://files.afu.se/Downloads/Transcripts/0%20-%20Government/USA%20-%20NASA/2010 01 21 - NASA - Sizing Up The Sun_MLWnaDpYaZ8 - transcript (automated).pdf","Transcript Link")</f>
        <v>Transcript Link</v>
      </c>
      <c r="M5086" s="2" t="str">
        <f>HYPERLINK("https://files.afu.se/Downloads/Transcripts/0%20-%20Government/USA%20-%20NASA/2010 01 21 - NASA - Sizing Up The Sun_MLWnaDpYaZ8 - transcript (automated).pdf","Transcript Link")</f>
        <v>Transcript Link</v>
      </c>
    </row>
    <row r="5087" ht="225" spans="1:13">
      <c r="A5087" s="1" t="s">
        <v>22616</v>
      </c>
      <c r="B5087" s="1" t="s">
        <v>13</v>
      </c>
      <c r="C5087" s="4" t="s">
        <v>22621</v>
      </c>
      <c r="D5087" s="1" t="s">
        <v>22622</v>
      </c>
      <c r="E5087" s="1" t="s">
        <v>22623</v>
      </c>
      <c r="F5087" s="4" t="s">
        <v>17</v>
      </c>
      <c r="G5087" s="1" t="s">
        <v>18</v>
      </c>
      <c r="H5087" s="1" t="s">
        <v>19</v>
      </c>
      <c r="I5087" s="1" t="s">
        <v>20</v>
      </c>
      <c r="J5087" s="1" t="s">
        <v>22624</v>
      </c>
      <c r="K5087" s="1" t="s">
        <v>22</v>
      </c>
      <c r="L5087" s="1" t="str">
        <f>HYPERLINK("https://files.afu.se/Downloads/Transcripts/0%20-%20Government/USA%20-%20NASA/2010 01 21 - NASA - Safety by Slidewire_HCNdP_zHDNA - transcript (automated).pdf","Transcript Link")</f>
        <v>Transcript Link</v>
      </c>
      <c r="M5087" s="2" t="str">
        <f>HYPERLINK("https://files.afu.se/Downloads/Transcripts/0%20-%20Government/USA%20-%20NASA/2010 01 21 - NASA - Safety by Slidewire_HCNdP_zHDNA - transcript (automated).pdf","Transcript Link")</f>
        <v>Transcript Link</v>
      </c>
    </row>
    <row r="5088" ht="300" spans="1:13">
      <c r="A5088" s="1" t="s">
        <v>22616</v>
      </c>
      <c r="B5088" s="1" t="s">
        <v>13</v>
      </c>
      <c r="C5088" s="4" t="s">
        <v>22625</v>
      </c>
      <c r="D5088" s="1" t="s">
        <v>22626</v>
      </c>
      <c r="E5088" s="1" t="s">
        <v>22627</v>
      </c>
      <c r="F5088" s="4" t="s">
        <v>17</v>
      </c>
      <c r="G5088" s="1" t="s">
        <v>18</v>
      </c>
      <c r="H5088" s="1" t="s">
        <v>19</v>
      </c>
      <c r="I5088" s="1" t="s">
        <v>20</v>
      </c>
      <c r="J5088" s="1" t="s">
        <v>22628</v>
      </c>
      <c r="K5088" s="1" t="s">
        <v>22</v>
      </c>
      <c r="L5088" s="1" t="str">
        <f>HYPERLINK("https://files.afu.se/Downloads/Transcripts/0%20-%20Government/USA%20-%20NASA/2010 01 21 - NASA - Emergency Escape Training_5egbt5ToIVk - transcript (automated).pdf","Transcript Link")</f>
        <v>Transcript Link</v>
      </c>
      <c r="M5088" s="2" t="str">
        <f>HYPERLINK("https://files.afu.se/Downloads/Transcripts/0%20-%20Government/USA%20-%20NASA/2010 01 21 - NASA - Emergency Escape Training_5egbt5ToIVk - transcript (automated).pdf","Transcript Link")</f>
        <v>Transcript Link</v>
      </c>
    </row>
    <row r="5089" ht="270" spans="1:13">
      <c r="A5089" s="1" t="s">
        <v>22616</v>
      </c>
      <c r="B5089" s="1" t="s">
        <v>13</v>
      </c>
      <c r="C5089" s="4" t="s">
        <v>22629</v>
      </c>
      <c r="D5089" s="1" t="s">
        <v>22597</v>
      </c>
      <c r="E5089" s="1" t="s">
        <v>22630</v>
      </c>
      <c r="F5089" s="4" t="s">
        <v>17</v>
      </c>
      <c r="G5089" s="1" t="s">
        <v>18</v>
      </c>
      <c r="H5089" s="1" t="s">
        <v>19</v>
      </c>
      <c r="I5089" s="1" t="s">
        <v>20</v>
      </c>
      <c r="J5089" s="1" t="s">
        <v>22631</v>
      </c>
      <c r="K5089" s="1" t="s">
        <v>22</v>
      </c>
      <c r="L5089" s="1" t="str">
        <f>HYPERLINK("https://files.afu.se/Downloads/Transcripts/0%20-%20Government/USA%20-%20NASA/2010 01 21 - NASA - Practice Makes Perfect_4Fn7zNeOras - transcript (automated).pdf","Transcript Link")</f>
        <v>Transcript Link</v>
      </c>
      <c r="M5089" s="2" t="str">
        <f>HYPERLINK("https://files.afu.se/Downloads/Transcripts/0%20-%20Government/USA%20-%20NASA/2010 01 21 - NASA - Practice Makes Perfect_4Fn7zNeOras - transcript (automated).pdf","Transcript Link")</f>
        <v>Transcript Link</v>
      </c>
    </row>
    <row r="5090" ht="165" spans="1:13">
      <c r="A5090" s="1" t="s">
        <v>22616</v>
      </c>
      <c r="B5090" s="1" t="s">
        <v>13</v>
      </c>
      <c r="C5090" s="4" t="s">
        <v>22632</v>
      </c>
      <c r="D5090" s="1" t="s">
        <v>22633</v>
      </c>
      <c r="E5090" s="1" t="s">
        <v>22634</v>
      </c>
      <c r="F5090" s="4" t="s">
        <v>17</v>
      </c>
      <c r="G5090" s="1" t="s">
        <v>18</v>
      </c>
      <c r="H5090" s="1" t="s">
        <v>19</v>
      </c>
      <c r="I5090" s="1" t="s">
        <v>20</v>
      </c>
      <c r="J5090" s="1" t="s">
        <v>22635</v>
      </c>
      <c r="K5090" s="1" t="s">
        <v>22</v>
      </c>
      <c r="L5090" s="1" t="str">
        <f>HYPERLINK("https://files.afu.se/Downloads/Transcripts/0%20-%20Government/USA%20-%20NASA/2010 01 21 - NASA - It Was a Hot One!_181SD3jY82Q - transcript (automated).pdf","Transcript Link")</f>
        <v>Transcript Link</v>
      </c>
      <c r="M5090" s="2" t="str">
        <f>HYPERLINK("https://files.afu.se/Downloads/Transcripts/0%20-%20Government/USA%20-%20NASA/2010 01 21 - NASA - It Was a Hot One!_181SD3jY82Q - transcript (automated).pdf","Transcript Link")</f>
        <v>Transcript Link</v>
      </c>
    </row>
    <row r="5091" ht="165" spans="1:13">
      <c r="A5091" s="1" t="s">
        <v>22616</v>
      </c>
      <c r="B5091" s="1" t="s">
        <v>13</v>
      </c>
      <c r="C5091" s="4" t="s">
        <v>22636</v>
      </c>
      <c r="D5091" s="1" t="s">
        <v>22637</v>
      </c>
      <c r="E5091" s="1" t="s">
        <v>22638</v>
      </c>
      <c r="F5091" s="4" t="s">
        <v>17</v>
      </c>
      <c r="G5091" s="1" t="s">
        <v>18</v>
      </c>
      <c r="H5091" s="1" t="s">
        <v>19</v>
      </c>
      <c r="I5091" s="1" t="s">
        <v>20</v>
      </c>
      <c r="J5091" s="1" t="s">
        <v>22639</v>
      </c>
      <c r="K5091" s="1" t="s">
        <v>22</v>
      </c>
      <c r="L5091" s="1" t="str">
        <f>HYPERLINK("https://files.afu.se/Downloads/Transcripts/0%20-%20Government/USA%20-%20NASA/2010 01 21 - NASA - Soyuz Gets New Parking Spot_g8NNzyh2pK0 - transcript (automated).pdf","Transcript Link")</f>
        <v>Transcript Link</v>
      </c>
      <c r="M5091" s="2" t="str">
        <f>HYPERLINK("https://files.afu.se/Downloads/Transcripts/0%20-%20Government/USA%20-%20NASA/2010 01 21 - NASA - Soyuz Gets New Parking Spot_g8NNzyh2pK0 - transcript (automated).pdf","Transcript Link")</f>
        <v>Transcript Link</v>
      </c>
    </row>
    <row r="5092" ht="270" spans="1:13">
      <c r="A5092" s="1" t="s">
        <v>22640</v>
      </c>
      <c r="B5092" s="1" t="s">
        <v>13</v>
      </c>
      <c r="C5092" s="4" t="s">
        <v>22641</v>
      </c>
      <c r="D5092" s="1" t="s">
        <v>22642</v>
      </c>
      <c r="E5092" s="1" t="s">
        <v>22643</v>
      </c>
      <c r="F5092" s="4" t="s">
        <v>17</v>
      </c>
      <c r="G5092" s="1" t="s">
        <v>18</v>
      </c>
      <c r="H5092" s="1" t="s">
        <v>19</v>
      </c>
      <c r="I5092" s="1" t="s">
        <v>20</v>
      </c>
      <c r="J5092" s="1" t="s">
        <v>22644</v>
      </c>
      <c r="K5092" s="1" t="s">
        <v>22</v>
      </c>
      <c r="L5092" s="1" t="str">
        <f>HYPERLINK("https://files.afu.se/Downloads/Transcripts/0%20-%20Government/USA%20-%20NASA/2010 01 20 - NASA - Shuttle Astronauts Hold Launch Pad Press Conference_4fQkUCHHHt0 - transcript (automated).pdf","Transcript Link")</f>
        <v>Transcript Link</v>
      </c>
      <c r="M5092" s="2" t="str">
        <f>HYPERLINK("https://files.afu.se/Downloads/Transcripts/0%20-%20Government/USA%20-%20NASA/2010 01 20 - NASA - Shuttle Astronauts Hold Launch Pad Press Conference_4fQkUCHHHt0 - transcript (automated).pdf","Transcript Link")</f>
        <v>Transcript Link</v>
      </c>
    </row>
    <row r="5093" ht="165" spans="1:13">
      <c r="A5093" s="1" t="s">
        <v>22640</v>
      </c>
      <c r="B5093" s="1" t="s">
        <v>13</v>
      </c>
      <c r="C5093" s="4" t="s">
        <v>22645</v>
      </c>
      <c r="D5093" s="1" t="s">
        <v>22646</v>
      </c>
      <c r="E5093" s="1" t="s">
        <v>22647</v>
      </c>
      <c r="F5093" s="4" t="s">
        <v>17</v>
      </c>
      <c r="G5093" s="1" t="s">
        <v>18</v>
      </c>
      <c r="H5093" s="1" t="s">
        <v>19</v>
      </c>
      <c r="I5093" s="1" t="s">
        <v>20</v>
      </c>
      <c r="J5093" s="1" t="s">
        <v>22648</v>
      </c>
      <c r="K5093" s="1" t="s">
        <v>22</v>
      </c>
      <c r="L5093" s="1" t="str">
        <f>HYPERLINK("https://files.afu.se/Downloads/Transcripts/0%20-%20Government/USA%20-%20NASA/2010 01 20 - NASA - Super Module at the Pad_x7LHk4TcT3s - transcript (automated).pdf","Transcript Link")</f>
        <v>Transcript Link</v>
      </c>
      <c r="M5093" s="2" t="str">
        <f>HYPERLINK("https://files.afu.se/Downloads/Transcripts/0%20-%20Government/USA%20-%20NASA/2010 01 20 - NASA - Super Module at the Pad_x7LHk4TcT3s - transcript (automated).pdf","Transcript Link")</f>
        <v>Transcript Link</v>
      </c>
    </row>
    <row r="5094" ht="180" spans="1:13">
      <c r="A5094" s="1" t="s">
        <v>22649</v>
      </c>
      <c r="B5094" s="1" t="s">
        <v>13</v>
      </c>
      <c r="C5094" s="4" t="s">
        <v>22650</v>
      </c>
      <c r="D5094" s="1" t="s">
        <v>22651</v>
      </c>
      <c r="E5094" s="1" t="s">
        <v>22652</v>
      </c>
      <c r="F5094" s="4" t="s">
        <v>17</v>
      </c>
      <c r="G5094" s="1" t="s">
        <v>18</v>
      </c>
      <c r="H5094" s="1" t="s">
        <v>19</v>
      </c>
      <c r="I5094" s="1" t="s">
        <v>20</v>
      </c>
      <c r="J5094" s="1" t="s">
        <v>22653</v>
      </c>
      <c r="K5094" s="1" t="s">
        <v>22</v>
      </c>
      <c r="L5094" s="1" t="str">
        <f>HYPERLINK("https://files.afu.se/Downloads/Transcripts/0%20-%20Government/USA%20-%20NASA/2010 01 19 - NASA - Indomitable Spirit, Impossible Odds_ND9_Uzv7dOk - transcript (automated).pdf","Transcript Link")</f>
        <v>Transcript Link</v>
      </c>
      <c r="M5094" s="2" t="str">
        <f>HYPERLINK("https://files.afu.se/Downloads/Transcripts/0%20-%20Government/USA%20-%20NASA/2010 01 19 - NASA - Indomitable Spirit, Impossible Odds_ND9_Uzv7dOk - transcript (automated).pdf","Transcript Link")</f>
        <v>Transcript Link</v>
      </c>
    </row>
    <row r="5095" ht="165" spans="1:13">
      <c r="A5095" s="1" t="s">
        <v>22649</v>
      </c>
      <c r="B5095" s="1" t="s">
        <v>13</v>
      </c>
      <c r="C5095" s="4" t="s">
        <v>22654</v>
      </c>
      <c r="D5095" s="1" t="s">
        <v>22655</v>
      </c>
      <c r="E5095" s="1" t="s">
        <v>22656</v>
      </c>
      <c r="F5095" s="4" t="s">
        <v>17</v>
      </c>
      <c r="G5095" s="1" t="s">
        <v>18</v>
      </c>
      <c r="H5095" s="1" t="s">
        <v>19</v>
      </c>
      <c r="I5095" s="1" t="s">
        <v>20</v>
      </c>
      <c r="J5095" s="1" t="s">
        <v>22657</v>
      </c>
      <c r="K5095" s="1" t="s">
        <v>22</v>
      </c>
      <c r="L5095" s="1" t="str">
        <f>HYPERLINK("https://files.afu.se/Downloads/Transcripts/0%20-%20Government/USA%20-%20NASA/2010 01 19 - NASA - Dress Rehearsal_poBj2O4EYQw - transcript (automated).pdf","Transcript Link")</f>
        <v>Transcript Link</v>
      </c>
      <c r="M5095" s="2" t="str">
        <f>HYPERLINK("https://files.afu.se/Downloads/Transcripts/0%20-%20Government/USA%20-%20NASA/2010 01 19 - NASA - Dress Rehearsal_poBj2O4EYQw - transcript (automated).pdf","Transcript Link")</f>
        <v>Transcript Link</v>
      </c>
    </row>
    <row r="5096" ht="165" spans="1:13">
      <c r="A5096" s="1" t="s">
        <v>22649</v>
      </c>
      <c r="B5096" s="1" t="s">
        <v>13</v>
      </c>
      <c r="C5096" s="4" t="s">
        <v>22658</v>
      </c>
      <c r="D5096" s="1" t="s">
        <v>22659</v>
      </c>
      <c r="E5096" s="1" t="s">
        <v>22660</v>
      </c>
      <c r="F5096" s="4" t="s">
        <v>17</v>
      </c>
      <c r="G5096" s="1" t="s">
        <v>18</v>
      </c>
      <c r="H5096" s="1" t="s">
        <v>19</v>
      </c>
      <c r="I5096" s="1" t="s">
        <v>20</v>
      </c>
      <c r="J5096" s="1" t="s">
        <v>22661</v>
      </c>
      <c r="K5096" s="1" t="s">
        <v>22</v>
      </c>
      <c r="L5096" s="1" t="str">
        <f>HYPERLINK("https://files.afu.se/Downloads/Transcripts/0%20-%20Government/USA%20-%20NASA/2010 01 19 - NASA - Landslide Alert_Nt-FFV9TJnc - transcript (automated).pdf","Transcript Link")</f>
        <v>Transcript Link</v>
      </c>
      <c r="M5096" s="2" t="str">
        <f>HYPERLINK("https://files.afu.se/Downloads/Transcripts/0%20-%20Government/USA%20-%20NASA/2010 01 19 - NASA - Landslide Alert_Nt-FFV9TJnc - transcript (automated).pdf","Transcript Link")</f>
        <v>Transcript Link</v>
      </c>
    </row>
    <row r="5097" ht="165" spans="1:13">
      <c r="A5097" s="1" t="s">
        <v>22649</v>
      </c>
      <c r="B5097" s="1" t="s">
        <v>13</v>
      </c>
      <c r="C5097" s="4" t="s">
        <v>22662</v>
      </c>
      <c r="D5097" s="1" t="s">
        <v>22663</v>
      </c>
      <c r="E5097" s="1" t="s">
        <v>22664</v>
      </c>
      <c r="F5097" s="4" t="s">
        <v>17</v>
      </c>
      <c r="G5097" s="1" t="s">
        <v>18</v>
      </c>
      <c r="H5097" s="1" t="s">
        <v>19</v>
      </c>
      <c r="I5097" s="1" t="s">
        <v>20</v>
      </c>
      <c r="J5097" s="1" t="s">
        <v>22665</v>
      </c>
      <c r="K5097" s="1" t="s">
        <v>22</v>
      </c>
      <c r="L5097" s="1" t="str">
        <f>HYPERLINK("https://files.afu.se/Downloads/Transcripts/0%20-%20Government/USA%20-%20NASA/2010 01 19 - NASA - Short &amp; Tweet!_XXK17hLMPMQ - transcript (automated).pdf","Transcript Link")</f>
        <v>Transcript Link</v>
      </c>
      <c r="M5097" s="2" t="str">
        <f>HYPERLINK("https://files.afu.se/Downloads/Transcripts/0%20-%20Government/USA%20-%20NASA/2010 01 19 - NASA - Short &amp; Tweet!_XXK17hLMPMQ - transcript (automated).pdf","Transcript Link")</f>
        <v>Transcript Link</v>
      </c>
    </row>
    <row r="5098" ht="165" spans="1:13">
      <c r="A5098" s="1" t="s">
        <v>22649</v>
      </c>
      <c r="B5098" s="1" t="s">
        <v>13</v>
      </c>
      <c r="C5098" s="4" t="s">
        <v>22666</v>
      </c>
      <c r="D5098" s="1" t="s">
        <v>22667</v>
      </c>
      <c r="E5098" s="1" t="s">
        <v>22668</v>
      </c>
      <c r="F5098" s="4" t="s">
        <v>17</v>
      </c>
      <c r="G5098" s="1" t="s">
        <v>18</v>
      </c>
      <c r="H5098" s="1" t="s">
        <v>19</v>
      </c>
      <c r="I5098" s="1" t="s">
        <v>20</v>
      </c>
      <c r="J5098" s="1" t="s">
        <v>22669</v>
      </c>
      <c r="K5098" s="1" t="s">
        <v>22</v>
      </c>
      <c r="L5098" s="1" t="str">
        <f>HYPERLINK("https://files.afu.se/Downloads/Transcripts/0%20-%20Government/USA%20-%20NASA/2010 01 19 - NASA - NASA Helps I.D. Landslide Threats in Haiti_KhK-opi7g_E - transcript (automated).pdf","Transcript Link")</f>
        <v>Transcript Link</v>
      </c>
      <c r="M5098" s="2" t="str">
        <f>HYPERLINK("https://files.afu.se/Downloads/Transcripts/0%20-%20Government/USA%20-%20NASA/2010 01 19 - NASA - NASA Helps I.D. Landslide Threats in Haiti_KhK-opi7g_E - transcript (automated).pdf","Transcript Link")</f>
        <v>Transcript Link</v>
      </c>
    </row>
    <row r="5099" ht="195" spans="1:13">
      <c r="A5099" s="1" t="s">
        <v>22670</v>
      </c>
      <c r="B5099" s="1" t="s">
        <v>13</v>
      </c>
      <c r="C5099" s="4" t="s">
        <v>22671</v>
      </c>
      <c r="D5099" s="1" t="s">
        <v>22655</v>
      </c>
      <c r="E5099" s="1" t="s">
        <v>22672</v>
      </c>
      <c r="F5099" s="4" t="s">
        <v>17</v>
      </c>
      <c r="G5099" s="1" t="s">
        <v>18</v>
      </c>
      <c r="H5099" s="1" t="s">
        <v>19</v>
      </c>
      <c r="I5099" s="1" t="s">
        <v>20</v>
      </c>
      <c r="J5099" s="1" t="s">
        <v>22673</v>
      </c>
      <c r="K5099" s="1" t="s">
        <v>22</v>
      </c>
      <c r="L5099" s="1" t="str">
        <f>HYPERLINK("https://files.afu.se/Downloads/Transcripts/0%20-%20Government/USA%20-%20NASA/2010 01 18 - NASA - Dress Rehearsal_Rm-BtDKXM-0 - transcript (automated).pdf","Transcript Link")</f>
        <v>Transcript Link</v>
      </c>
      <c r="M5099" s="2" t="str">
        <f>HYPERLINK("https://files.afu.se/Downloads/Transcripts/0%20-%20Government/USA%20-%20NASA/2010 01 18 - NASA - Dress Rehearsal_Rm-BtDKXM-0 - transcript (automated).pdf","Transcript Link")</f>
        <v>Transcript Link</v>
      </c>
    </row>
    <row r="5100" ht="165" spans="1:13">
      <c r="A5100" s="1" t="s">
        <v>22674</v>
      </c>
      <c r="B5100" s="1" t="s">
        <v>13</v>
      </c>
      <c r="C5100" s="4" t="s">
        <v>22675</v>
      </c>
      <c r="D5100" s="1" t="s">
        <v>22676</v>
      </c>
      <c r="E5100" s="1" t="s">
        <v>22677</v>
      </c>
      <c r="F5100" s="4" t="s">
        <v>17</v>
      </c>
      <c r="G5100" s="1" t="s">
        <v>18</v>
      </c>
      <c r="H5100" s="1" t="s">
        <v>19</v>
      </c>
      <c r="I5100" s="1" t="s">
        <v>20</v>
      </c>
      <c r="J5100" s="1" t="s">
        <v>22678</v>
      </c>
      <c r="K5100" s="1" t="s">
        <v>22</v>
      </c>
      <c r="L5100" s="1" t="str">
        <f>HYPERLINK("https://files.afu.se/Downloads/Transcripts/0%20-%20Government/USA%20-%20NASA/2010 01 16 - NASA - Port-Au-Prince via Satellite_AOo30B8exyA - transcript (automated).pdf","Transcript Link")</f>
        <v>Transcript Link</v>
      </c>
      <c r="M5100" s="2" t="str">
        <f>HYPERLINK("https://files.afu.se/Downloads/Transcripts/0%20-%20Government/USA%20-%20NASA/2010 01 16 - NASA - Port-Au-Prince via Satellite_AOo30B8exyA - transcript (automated).pdf","Transcript Link")</f>
        <v>Transcript Link</v>
      </c>
    </row>
    <row r="5101" ht="165" spans="1:13">
      <c r="A5101" s="1" t="s">
        <v>22679</v>
      </c>
      <c r="B5101" s="1" t="s">
        <v>13</v>
      </c>
      <c r="C5101" s="4" t="s">
        <v>22680</v>
      </c>
      <c r="D5101" s="1" t="s">
        <v>22681</v>
      </c>
      <c r="E5101" s="1" t="s">
        <v>22682</v>
      </c>
      <c r="F5101" s="4" t="s">
        <v>17</v>
      </c>
      <c r="G5101" s="1" t="s">
        <v>18</v>
      </c>
      <c r="H5101" s="1" t="s">
        <v>19</v>
      </c>
      <c r="I5101" s="1" t="s">
        <v>20</v>
      </c>
      <c r="J5101" s="1" t="s">
        <v>22683</v>
      </c>
      <c r="K5101" s="1" t="s">
        <v>22</v>
      </c>
      <c r="L5101" s="1" t="str">
        <f>HYPERLINK("https://files.afu.se/Downloads/Transcripts/0%20-%20Government/USA%20-%20NASA/2010 01 15 - NASA -  Crew Calls ,  Mirror Tests , and More!_oWk1szuV9RA - transcript (automated).pdf","Transcript Link")</f>
        <v>Transcript Link</v>
      </c>
      <c r="M5101" s="2" t="str">
        <f>HYPERLINK("https://files.afu.se/Downloads/Transcripts/0%20-%20Government/USA%20-%20NASA/2010 01 15 - NASA -  Crew Calls ,  Mirror Tests , and More!_oWk1szuV9RA - transcript (automated).pdf","Transcript Link")</f>
        <v>Transcript Link</v>
      </c>
    </row>
    <row r="5102" ht="165" spans="1:13">
      <c r="A5102" s="1" t="s">
        <v>22684</v>
      </c>
      <c r="B5102" s="1" t="s">
        <v>13</v>
      </c>
      <c r="C5102" s="4" t="s">
        <v>22685</v>
      </c>
      <c r="D5102" s="1" t="s">
        <v>22686</v>
      </c>
      <c r="E5102" s="1" t="s">
        <v>22687</v>
      </c>
      <c r="F5102" s="4" t="s">
        <v>17</v>
      </c>
      <c r="G5102" s="1" t="s">
        <v>18</v>
      </c>
      <c r="H5102" s="1" t="s">
        <v>19</v>
      </c>
      <c r="I5102" s="1" t="s">
        <v>20</v>
      </c>
      <c r="J5102" s="1" t="s">
        <v>22688</v>
      </c>
      <c r="K5102" s="1" t="s">
        <v>22</v>
      </c>
      <c r="L5102" s="1" t="str">
        <f>HYPERLINK("https://files.afu.se/Downloads/Transcripts/0%20-%20Government/USA%20-%20NASA/2010 01 14 - NASA - Spacewalking!_0BTg-epGt1M - transcript (automated).pdf","Transcript Link")</f>
        <v>Transcript Link</v>
      </c>
      <c r="M5102" s="2" t="str">
        <f>HYPERLINK("https://files.afu.se/Downloads/Transcripts/0%20-%20Government/USA%20-%20NASA/2010 01 14 - NASA - Spacewalking!_0BTg-epGt1M - transcript (automated).pdf","Transcript Link")</f>
        <v>Transcript Link</v>
      </c>
    </row>
    <row r="5103" ht="165" spans="1:13">
      <c r="A5103" s="1" t="s">
        <v>22689</v>
      </c>
      <c r="B5103" s="1" t="s">
        <v>13</v>
      </c>
      <c r="C5103" s="4" t="s">
        <v>22690</v>
      </c>
      <c r="D5103" s="1" t="s">
        <v>22691</v>
      </c>
      <c r="E5103" s="1" t="s">
        <v>22692</v>
      </c>
      <c r="F5103" s="4" t="s">
        <v>17</v>
      </c>
      <c r="G5103" s="1" t="s">
        <v>18</v>
      </c>
      <c r="H5103" s="1" t="s">
        <v>19</v>
      </c>
      <c r="I5103" s="1" t="s">
        <v>20</v>
      </c>
      <c r="J5103" s="1" t="s">
        <v>22693</v>
      </c>
      <c r="K5103" s="1" t="s">
        <v>22</v>
      </c>
      <c r="L5103" s="1" t="str">
        <f>HYPERLINK("https://files.afu.se/Downloads/Transcripts/0%20-%20Government/USA%20-%20NASA/2010 01 13 - NASA - Tweet! Tweet!_yRIKIjohCCk - transcript (automated).pdf","Transcript Link")</f>
        <v>Transcript Link</v>
      </c>
      <c r="M5103" s="2" t="str">
        <f>HYPERLINK("https://files.afu.se/Downloads/Transcripts/0%20-%20Government/USA%20-%20NASA/2010 01 13 - NASA - Tweet! Tweet!_yRIKIjohCCk - transcript (automated).pdf","Transcript Link")</f>
        <v>Transcript Link</v>
      </c>
    </row>
    <row r="5104" ht="165" spans="1:13">
      <c r="A5104" s="1" t="s">
        <v>22689</v>
      </c>
      <c r="B5104" s="1" t="s">
        <v>13</v>
      </c>
      <c r="C5104" s="4" t="s">
        <v>22694</v>
      </c>
      <c r="D5104" s="1" t="s">
        <v>22695</v>
      </c>
      <c r="E5104" s="1" t="s">
        <v>22696</v>
      </c>
      <c r="F5104" s="4" t="s">
        <v>17</v>
      </c>
      <c r="G5104" s="1" t="s">
        <v>18</v>
      </c>
      <c r="H5104" s="1" t="s">
        <v>19</v>
      </c>
      <c r="I5104" s="1" t="s">
        <v>20</v>
      </c>
      <c r="J5104" s="1" t="s">
        <v>22697</v>
      </c>
      <c r="K5104" s="1" t="s">
        <v>22</v>
      </c>
      <c r="L5104" s="1" t="str">
        <f>HYPERLINK("https://files.afu.se/Downloads/Transcripts/0%20-%20Government/USA%20-%20NASA/2010 01 13 - NASA - Administrator Bolden Commemorates Dr. King's Legacy_M0nEs69ZW90 - transcript (automated).pdf","Transcript Link")</f>
        <v>Transcript Link</v>
      </c>
      <c r="M5104" s="2" t="str">
        <f>HYPERLINK("https://files.afu.se/Downloads/Transcripts/0%20-%20Government/USA%20-%20NASA/2010 01 13 - NASA - Administrator Bolden Commemorates Dr. King's Legacy_M0nEs69ZW90 - transcript (automated).pdf","Transcript Link")</f>
        <v>Transcript Link</v>
      </c>
    </row>
    <row r="5105" ht="165" spans="1:13">
      <c r="A5105" s="1" t="s">
        <v>22689</v>
      </c>
      <c r="B5105" s="1" t="s">
        <v>13</v>
      </c>
      <c r="C5105" s="4" t="s">
        <v>22698</v>
      </c>
      <c r="D5105" s="1" t="s">
        <v>22699</v>
      </c>
      <c r="E5105" s="1" t="s">
        <v>22700</v>
      </c>
      <c r="F5105" s="4" t="s">
        <v>17</v>
      </c>
      <c r="G5105" s="1" t="s">
        <v>18</v>
      </c>
      <c r="H5105" s="1" t="s">
        <v>19</v>
      </c>
      <c r="I5105" s="1" t="s">
        <v>20</v>
      </c>
      <c r="J5105" s="1" t="s">
        <v>22701</v>
      </c>
      <c r="K5105" s="1" t="s">
        <v>22</v>
      </c>
      <c r="L5105" s="1" t="str">
        <f>HYPERLINK("https://files.afu.se/Downloads/Transcripts/0%20-%20Government/USA%20-%20NASA/2010 01 13 - NASA - Space and Basketball_Gfl48eMPFiA - transcript (automated).pdf","Transcript Link")</f>
        <v>Transcript Link</v>
      </c>
      <c r="M5105" s="2" t="str">
        <f>HYPERLINK("https://files.afu.se/Downloads/Transcripts/0%20-%20Government/USA%20-%20NASA/2010 01 13 - NASA - Space and Basketball_Gfl48eMPFiA - transcript (automated).pdf","Transcript Link")</f>
        <v>Transcript Link</v>
      </c>
    </row>
    <row r="5106" ht="165" spans="1:13">
      <c r="A5106" s="1" t="s">
        <v>22702</v>
      </c>
      <c r="B5106" s="1" t="s">
        <v>13</v>
      </c>
      <c r="C5106" s="4" t="s">
        <v>22703</v>
      </c>
      <c r="D5106" s="1" t="s">
        <v>22704</v>
      </c>
      <c r="E5106" s="1" t="s">
        <v>22705</v>
      </c>
      <c r="F5106" s="4" t="s">
        <v>17</v>
      </c>
      <c r="G5106" s="1" t="s">
        <v>18</v>
      </c>
      <c r="H5106" s="1" t="s">
        <v>19</v>
      </c>
      <c r="I5106" s="1" t="s">
        <v>20</v>
      </c>
      <c r="J5106" s="1" t="s">
        <v>22706</v>
      </c>
      <c r="K5106" s="1" t="s">
        <v>22</v>
      </c>
      <c r="L5106" s="1" t="str">
        <f>HYPERLINK("https://files.afu.se/Downloads/Transcripts/0%20-%20Government/USA%20-%20NASA/2010 01 12 - NASA - Satcher, Melvin and Howard_CYyi93QOtO0 - transcript (automated).pdf","Transcript Link")</f>
        <v>Transcript Link</v>
      </c>
      <c r="M5106" s="2" t="str">
        <f>HYPERLINK("https://files.afu.se/Downloads/Transcripts/0%20-%20Government/USA%20-%20NASA/2010 01 12 - NASA - Satcher, Melvin and Howard_CYyi93QOtO0 - transcript (automated).pdf","Transcript Link")</f>
        <v>Transcript Link</v>
      </c>
    </row>
    <row r="5107" ht="165" spans="1:13">
      <c r="A5107" s="1" t="s">
        <v>22702</v>
      </c>
      <c r="B5107" s="1" t="s">
        <v>13</v>
      </c>
      <c r="C5107" s="4" t="s">
        <v>22707</v>
      </c>
      <c r="D5107" s="1" t="s">
        <v>22708</v>
      </c>
      <c r="E5107" s="1" t="s">
        <v>22709</v>
      </c>
      <c r="F5107" s="4" t="s">
        <v>17</v>
      </c>
      <c r="G5107" s="1" t="s">
        <v>18</v>
      </c>
      <c r="H5107" s="1" t="s">
        <v>19</v>
      </c>
      <c r="I5107" s="1" t="s">
        <v>20</v>
      </c>
      <c r="J5107" s="1" t="s">
        <v>22710</v>
      </c>
      <c r="K5107" s="1" t="s">
        <v>22</v>
      </c>
      <c r="L5107" s="1" t="str">
        <f>HYPERLINK("https://files.afu.se/Downloads/Transcripts/0%20-%20Government/USA%20-%20NASA/2010 01 12 - NASA - Check It Out_3iXQSnwLqMA - transcript (automated).pdf","Transcript Link")</f>
        <v>Transcript Link</v>
      </c>
      <c r="M5107" s="2" t="str">
        <f>HYPERLINK("https://files.afu.se/Downloads/Transcripts/0%20-%20Government/USA%20-%20NASA/2010 01 12 - NASA - Check It Out_3iXQSnwLqMA - transcript (automated).pdf","Transcript Link")</f>
        <v>Transcript Link</v>
      </c>
    </row>
    <row r="5108" ht="165" spans="1:13">
      <c r="A5108" s="1" t="s">
        <v>22711</v>
      </c>
      <c r="B5108" s="1" t="s">
        <v>13</v>
      </c>
      <c r="C5108" s="4" t="s">
        <v>22712</v>
      </c>
      <c r="D5108" s="1" t="s">
        <v>22713</v>
      </c>
      <c r="E5108" s="1" t="s">
        <v>22714</v>
      </c>
      <c r="F5108" s="4" t="s">
        <v>17</v>
      </c>
      <c r="G5108" s="1" t="s">
        <v>18</v>
      </c>
      <c r="H5108" s="1" t="s">
        <v>19</v>
      </c>
      <c r="I5108" s="1" t="s">
        <v>20</v>
      </c>
      <c r="J5108" s="1" t="s">
        <v>22715</v>
      </c>
      <c r="K5108" s="1" t="s">
        <v>22</v>
      </c>
      <c r="L5108" s="1" t="str">
        <f>HYPERLINK("https://files.afu.se/Downloads/Transcripts/0%20-%20Government/USA%20-%20NASA/2010 01 11 - NASA - E.T. Gets Home_RE11Om4lgms - transcript (automated).pdf","Transcript Link")</f>
        <v>Transcript Link</v>
      </c>
      <c r="M5108" s="2" t="str">
        <f>HYPERLINK("https://files.afu.se/Downloads/Transcripts/0%20-%20Government/USA%20-%20NASA/2010 01 11 - NASA - E.T. Gets Home_RE11Om4lgms - transcript (automated).pdf","Transcript Link")</f>
        <v>Transcript Link</v>
      </c>
    </row>
    <row r="5109" ht="165" spans="1:13">
      <c r="A5109" s="1" t="s">
        <v>22711</v>
      </c>
      <c r="B5109" s="1" t="s">
        <v>13</v>
      </c>
      <c r="C5109" s="4" t="s">
        <v>22716</v>
      </c>
      <c r="D5109" s="1" t="s">
        <v>22717</v>
      </c>
      <c r="E5109" s="1" t="s">
        <v>22718</v>
      </c>
      <c r="F5109" s="4" t="s">
        <v>17</v>
      </c>
      <c r="G5109" s="1" t="s">
        <v>18</v>
      </c>
      <c r="H5109" s="1" t="s">
        <v>19</v>
      </c>
      <c r="I5109" s="1" t="s">
        <v>20</v>
      </c>
      <c r="J5109" s="1" t="s">
        <v>22719</v>
      </c>
      <c r="K5109" s="1" t="s">
        <v>22</v>
      </c>
      <c r="L5109" s="1" t="str">
        <f>HYPERLINK("https://files.afu.se/Downloads/Transcripts/0%20-%20Government/USA%20-%20NASA/2010 01 11 - NASA - Presenting  11 Days in Space!_qxFErjGc60E - transcript (automated).pdf","Transcript Link")</f>
        <v>Transcript Link</v>
      </c>
      <c r="M5109" s="2" t="str">
        <f>HYPERLINK("https://files.afu.se/Downloads/Transcripts/0%20-%20Government/USA%20-%20NASA/2010 01 11 - NASA - Presenting  11 Days in Space!_qxFErjGc60E - transcript (automated).pdf","Transcript Link")</f>
        <v>Transcript Link</v>
      </c>
    </row>
    <row r="5110" ht="165" spans="1:13">
      <c r="A5110" s="1" t="s">
        <v>22720</v>
      </c>
      <c r="B5110" s="1" t="s">
        <v>13</v>
      </c>
      <c r="C5110" s="4" t="s">
        <v>22721</v>
      </c>
      <c r="D5110" s="1" t="s">
        <v>22722</v>
      </c>
      <c r="E5110" s="1" t="s">
        <v>22723</v>
      </c>
      <c r="F5110" s="4" t="s">
        <v>17</v>
      </c>
      <c r="G5110" s="1" t="s">
        <v>18</v>
      </c>
      <c r="H5110" s="1" t="s">
        <v>19</v>
      </c>
      <c r="I5110" s="1" t="s">
        <v>20</v>
      </c>
      <c r="J5110" s="1" t="s">
        <v>22724</v>
      </c>
      <c r="K5110" s="1" t="s">
        <v>22</v>
      </c>
      <c r="L5110" s="1" t="str">
        <f>HYPERLINK("https://files.afu.se/Downloads/Transcripts/0%20-%20Government/USA%20-%20NASA/2010 01 08 - NASA - Sea Turtle Rescue_lyYgi_BfHz8 - transcript (automated).pdf","Transcript Link")</f>
        <v>Transcript Link</v>
      </c>
      <c r="M5110" s="2" t="str">
        <f>HYPERLINK("https://files.afu.se/Downloads/Transcripts/0%20-%20Government/USA%20-%20NASA/2010 01 08 - NASA - Sea Turtle Rescue_lyYgi_BfHz8 - transcript (automated).pdf","Transcript Link")</f>
        <v>Transcript Link</v>
      </c>
    </row>
    <row r="5111" ht="165" spans="1:13">
      <c r="A5111" s="1" t="s">
        <v>22720</v>
      </c>
      <c r="B5111" s="1" t="s">
        <v>13</v>
      </c>
      <c r="C5111" s="4" t="s">
        <v>22725</v>
      </c>
      <c r="D5111" s="1" t="s">
        <v>22726</v>
      </c>
      <c r="E5111" s="1" t="s">
        <v>22727</v>
      </c>
      <c r="F5111" s="4" t="s">
        <v>17</v>
      </c>
      <c r="G5111" s="1" t="s">
        <v>18</v>
      </c>
      <c r="H5111" s="1" t="s">
        <v>19</v>
      </c>
      <c r="I5111" s="1" t="s">
        <v>20</v>
      </c>
      <c r="J5111" s="1" t="s">
        <v>22728</v>
      </c>
      <c r="K5111" s="1" t="s">
        <v>22</v>
      </c>
      <c r="L5111" s="1" t="str">
        <f>HYPERLINK("https://files.afu.se/Downloads/Transcripts/0%20-%20Government/USA%20-%20NASA/2010 01 08 - NASA - Rollout!_lqDQXiSxuQY - transcript (automated).pdf","Transcript Link")</f>
        <v>Transcript Link</v>
      </c>
      <c r="M5111" s="2" t="str">
        <f>HYPERLINK("https://files.afu.se/Downloads/Transcripts/0%20-%20Government/USA%20-%20NASA/2010 01 08 - NASA - Rollout!_lqDQXiSxuQY - transcript (automated).pdf","Transcript Link")</f>
        <v>Transcript Link</v>
      </c>
    </row>
    <row r="5112" ht="165" spans="1:13">
      <c r="A5112" s="1" t="s">
        <v>22720</v>
      </c>
      <c r="B5112" s="1" t="s">
        <v>13</v>
      </c>
      <c r="C5112" s="4" t="s">
        <v>22729</v>
      </c>
      <c r="D5112" s="1" t="s">
        <v>22730</v>
      </c>
      <c r="E5112" s="1" t="s">
        <v>22731</v>
      </c>
      <c r="F5112" s="4" t="s">
        <v>17</v>
      </c>
      <c r="G5112" s="1" t="s">
        <v>18</v>
      </c>
      <c r="H5112" s="1" t="s">
        <v>19</v>
      </c>
      <c r="I5112" s="1" t="s">
        <v>20</v>
      </c>
      <c r="J5112" s="1" t="s">
        <v>22732</v>
      </c>
      <c r="K5112" s="1" t="s">
        <v>22</v>
      </c>
      <c r="L5112" s="1" t="str">
        <f>HYPERLINK("https://files.afu.se/Downloads/Transcripts/0%20-%20Government/USA%20-%20NASA/2010 01 08 - NASA - Up Close and Personal_Ln92K3eeUaw - transcript (automated).pdf","Transcript Link")</f>
        <v>Transcript Link</v>
      </c>
      <c r="M5112" s="2" t="str">
        <f>HYPERLINK("https://files.afu.se/Downloads/Transcripts/0%20-%20Government/USA%20-%20NASA/2010 01 08 - NASA - Up Close and Personal_Ln92K3eeUaw - transcript (automated).pdf","Transcript Link")</f>
        <v>Transcript Link</v>
      </c>
    </row>
    <row r="5113" ht="165" spans="1:13">
      <c r="A5113" s="1" t="s">
        <v>22720</v>
      </c>
      <c r="B5113" s="1" t="s">
        <v>13</v>
      </c>
      <c r="C5113" s="4" t="s">
        <v>22733</v>
      </c>
      <c r="D5113" s="1" t="s">
        <v>22734</v>
      </c>
      <c r="E5113" s="1" t="s">
        <v>22735</v>
      </c>
      <c r="F5113" s="4" t="s">
        <v>17</v>
      </c>
      <c r="G5113" s="1" t="s">
        <v>18</v>
      </c>
      <c r="H5113" s="1" t="s">
        <v>19</v>
      </c>
      <c r="I5113" s="1" t="s">
        <v>20</v>
      </c>
      <c r="J5113" s="1" t="s">
        <v>22736</v>
      </c>
      <c r="K5113" s="1" t="s">
        <v>22</v>
      </c>
      <c r="L5113" s="1" t="str">
        <f>HYPERLINK("https://files.afu.se/Downloads/Transcripts/0%20-%20Government/USA%20-%20NASA/2010 01 08 - NASA - This Week @ NASA_bHYmhLnotRk - transcript (automated).pdf","Transcript Link")</f>
        <v>Transcript Link</v>
      </c>
      <c r="M5113" s="2" t="str">
        <f>HYPERLINK("https://files.afu.se/Downloads/Transcripts/0%20-%20Government/USA%20-%20NASA/2010 01 08 - NASA - This Week @ NASA_bHYmhLnotRk - transcript (automated).pdf","Transcript Link")</f>
        <v>Transcript Link</v>
      </c>
    </row>
    <row r="5114" ht="180" spans="1:13">
      <c r="A5114" s="1" t="s">
        <v>22737</v>
      </c>
      <c r="B5114" s="1" t="s">
        <v>13</v>
      </c>
      <c r="C5114" s="4" t="s">
        <v>22738</v>
      </c>
      <c r="D5114" s="1" t="s">
        <v>22739</v>
      </c>
      <c r="E5114" s="1" t="s">
        <v>22740</v>
      </c>
      <c r="F5114" s="4" t="s">
        <v>17</v>
      </c>
      <c r="G5114" s="1" t="s">
        <v>18</v>
      </c>
      <c r="H5114" s="1" t="s">
        <v>19</v>
      </c>
      <c r="I5114" s="1" t="s">
        <v>20</v>
      </c>
      <c r="J5114" s="1" t="s">
        <v>22741</v>
      </c>
      <c r="K5114" s="1" t="s">
        <v>22</v>
      </c>
      <c r="L5114" s="1" t="str">
        <f>HYPERLINK("https://files.afu.se/Downloads/Transcripts/0%20-%20Government/USA%20-%20NASA/2010 01 07 - NASA - Space Rocks_E3St_RRXZLU - transcript (automated).pdf","Transcript Link")</f>
        <v>Transcript Link</v>
      </c>
      <c r="M5114" s="2" t="str">
        <f>HYPERLINK("https://files.afu.se/Downloads/Transcripts/0%20-%20Government/USA%20-%20NASA/2010 01 07 - NASA - Space Rocks_E3St_RRXZLU - transcript (automated).pdf","Transcript Link")</f>
        <v>Transcript Link</v>
      </c>
    </row>
    <row r="5115" ht="165" spans="1:13">
      <c r="A5115" s="1" t="s">
        <v>22737</v>
      </c>
      <c r="B5115" s="1" t="s">
        <v>13</v>
      </c>
      <c r="C5115" s="4" t="s">
        <v>22742</v>
      </c>
      <c r="D5115" s="1" t="s">
        <v>22743</v>
      </c>
      <c r="E5115" s="1" t="s">
        <v>22744</v>
      </c>
      <c r="F5115" s="4" t="s">
        <v>17</v>
      </c>
      <c r="G5115" s="1" t="s">
        <v>18</v>
      </c>
      <c r="H5115" s="1" t="s">
        <v>19</v>
      </c>
      <c r="I5115" s="1" t="s">
        <v>20</v>
      </c>
      <c r="J5115" s="1" t="s">
        <v>22745</v>
      </c>
      <c r="K5115" s="1" t="s">
        <v>22</v>
      </c>
      <c r="L5115" s="1" t="str">
        <f>HYPERLINK("https://files.afu.se/Downloads/Transcripts/0%20-%20Government/USA%20-%20NASA/2010 01 07 - NASA - JAXA Astronaut  Discusses Life in Space_fMXZvUabLDs - transcript (automated).pdf","Transcript Link")</f>
        <v>Transcript Link</v>
      </c>
      <c r="M5115" s="2" t="str">
        <f>HYPERLINK("https://files.afu.se/Downloads/Transcripts/0%20-%20Government/USA%20-%20NASA/2010 01 07 - NASA - JAXA Astronaut  Discusses Life in Space_fMXZvUabLDs - transcript (automated).pdf","Transcript Link")</f>
        <v>Transcript Link</v>
      </c>
    </row>
    <row r="5116" ht="195" spans="1:13">
      <c r="A5116" s="1" t="s">
        <v>22746</v>
      </c>
      <c r="B5116" s="1" t="s">
        <v>13</v>
      </c>
      <c r="C5116" s="4" t="s">
        <v>22747</v>
      </c>
      <c r="D5116" s="1" t="s">
        <v>22748</v>
      </c>
      <c r="E5116" s="1" t="s">
        <v>22749</v>
      </c>
      <c r="F5116" s="4" t="s">
        <v>17</v>
      </c>
      <c r="G5116" s="1" t="s">
        <v>18</v>
      </c>
      <c r="H5116" s="1" t="s">
        <v>19</v>
      </c>
      <c r="I5116" s="1" t="s">
        <v>20</v>
      </c>
      <c r="J5116" s="1" t="s">
        <v>22750</v>
      </c>
      <c r="K5116" s="1" t="s">
        <v>22</v>
      </c>
      <c r="L5116" s="1" t="str">
        <f>HYPERLINK("https://files.afu.se/Downloads/Transcripts/0%20-%20Government/USA%20-%20NASA/2010 01 06 - NASA - President Says,  Educate and Innovate! _J8CdtDSztFA - transcript (automated).pdf","Transcript Link")</f>
        <v>Transcript Link</v>
      </c>
      <c r="M5116" s="2" t="str">
        <f>HYPERLINK("https://files.afu.se/Downloads/Transcripts/0%20-%20Government/USA%20-%20NASA/2010 01 06 - NASA - President Says,  Educate and Innovate! _J8CdtDSztFA - transcript (automated).pdf","Transcript Link")</f>
        <v>Transcript Link</v>
      </c>
    </row>
    <row r="5117" ht="180" spans="1:13">
      <c r="A5117" s="1" t="s">
        <v>22746</v>
      </c>
      <c r="B5117" s="1" t="s">
        <v>13</v>
      </c>
      <c r="C5117" s="4" t="s">
        <v>22751</v>
      </c>
      <c r="D5117" s="1" t="s">
        <v>22726</v>
      </c>
      <c r="E5117" s="1" t="s">
        <v>22752</v>
      </c>
      <c r="F5117" s="4" t="s">
        <v>17</v>
      </c>
      <c r="G5117" s="1" t="s">
        <v>18</v>
      </c>
      <c r="H5117" s="1" t="s">
        <v>19</v>
      </c>
      <c r="I5117" s="1" t="s">
        <v>20</v>
      </c>
      <c r="J5117" s="1" t="s">
        <v>22753</v>
      </c>
      <c r="K5117" s="1" t="s">
        <v>22</v>
      </c>
      <c r="L5117" s="1" t="str">
        <f>HYPERLINK("https://files.afu.se/Downloads/Transcripts/0%20-%20Government/USA%20-%20NASA/2010 01 06 - NASA - Rollout!_64m9xAzIhtU - transcript (automated).pdf","Transcript Link")</f>
        <v>Transcript Link</v>
      </c>
      <c r="M5117" s="2" t="str">
        <f>HYPERLINK("https://files.afu.se/Downloads/Transcripts/0%20-%20Government/USA%20-%20NASA/2010 01 06 - NASA - Rollout!_64m9xAzIhtU - transcript (automated).pdf","Transcript Link")</f>
        <v>Transcript Link</v>
      </c>
    </row>
    <row r="5118" ht="165" spans="1:13">
      <c r="A5118" s="1" t="s">
        <v>22746</v>
      </c>
      <c r="B5118" s="1" t="s">
        <v>13</v>
      </c>
      <c r="C5118" s="4" t="s">
        <v>22754</v>
      </c>
      <c r="D5118" s="1" t="s">
        <v>22755</v>
      </c>
      <c r="E5118" s="1" t="s">
        <v>22756</v>
      </c>
      <c r="F5118" s="4" t="s">
        <v>17</v>
      </c>
      <c r="G5118" s="1" t="s">
        <v>18</v>
      </c>
      <c r="H5118" s="1" t="s">
        <v>19</v>
      </c>
      <c r="I5118" s="1" t="s">
        <v>20</v>
      </c>
      <c r="J5118" s="1" t="s">
        <v>22757</v>
      </c>
      <c r="K5118" s="1" t="s">
        <v>22</v>
      </c>
      <c r="L5118" s="1" t="str">
        <f>HYPERLINK("https://files.afu.se/Downloads/Transcripts/0%20-%20Government/USA%20-%20NASA/2010 01 06 - NASA - Expedition 22 Educational Event 1 6 2010_mSca7luw9Uo - transcript (automated).pdf","Transcript Link")</f>
        <v>Transcript Link</v>
      </c>
      <c r="M5118" s="2" t="str">
        <f>HYPERLINK("https://files.afu.se/Downloads/Transcripts/0%20-%20Government/USA%20-%20NASA/2010 01 06 - NASA - Expedition 22 Educational Event 1 6 2010_mSca7luw9Uo - transcript (automated).pdf","Transcript Link")</f>
        <v>Transcript Link</v>
      </c>
    </row>
    <row r="5119" ht="165" spans="1:13">
      <c r="A5119" s="1" t="s">
        <v>22758</v>
      </c>
      <c r="B5119" s="1" t="s">
        <v>13</v>
      </c>
      <c r="C5119" s="4" t="s">
        <v>22759</v>
      </c>
      <c r="D5119" s="1" t="s">
        <v>22760</v>
      </c>
      <c r="E5119" s="1" t="s">
        <v>22761</v>
      </c>
      <c r="F5119" s="4" t="s">
        <v>17</v>
      </c>
      <c r="G5119" s="1" t="s">
        <v>18</v>
      </c>
      <c r="H5119" s="1" t="s">
        <v>19</v>
      </c>
      <c r="I5119" s="1" t="s">
        <v>20</v>
      </c>
      <c r="J5119" s="1" t="s">
        <v>22762</v>
      </c>
      <c r="K5119" s="1" t="s">
        <v>22</v>
      </c>
      <c r="L5119" s="1" t="str">
        <f>HYPERLINK("https://files.afu.se/Downloads/Transcripts/0%20-%20Government/USA%20-%20NASA/2010 01 05 - NASA - NASA Administrator Keynotes Astronomers_UjExJGhUbkI - transcript (automated).pdf","Transcript Link")</f>
        <v>Transcript Link</v>
      </c>
      <c r="M5119" s="2" t="str">
        <f>HYPERLINK("https://files.afu.se/Downloads/Transcripts/0%20-%20Government/USA%20-%20NASA/2010 01 05 - NASA - NASA Administrator Keynotes Astronomers_UjExJGhUbkI - transcript (automated).pdf","Transcript Link")</f>
        <v>Transcript Link</v>
      </c>
    </row>
    <row r="5120" ht="165" spans="1:13">
      <c r="A5120" s="1" t="s">
        <v>22758</v>
      </c>
      <c r="B5120" s="1" t="s">
        <v>13</v>
      </c>
      <c r="C5120" s="4" t="s">
        <v>22763</v>
      </c>
      <c r="D5120" s="1" t="s">
        <v>22764</v>
      </c>
      <c r="E5120" s="1" t="s">
        <v>22765</v>
      </c>
      <c r="F5120" s="4" t="s">
        <v>17</v>
      </c>
      <c r="G5120" s="1" t="s">
        <v>18</v>
      </c>
      <c r="H5120" s="1" t="s">
        <v>19</v>
      </c>
      <c r="I5120" s="1" t="s">
        <v>20</v>
      </c>
      <c r="J5120" s="1" t="s">
        <v>22766</v>
      </c>
      <c r="K5120" s="1" t="s">
        <v>22</v>
      </c>
      <c r="L5120" s="1" t="str">
        <f>HYPERLINK("https://files.afu.se/Downloads/Transcripts/0%20-%20Government/USA%20-%20NASA/2010 01 05 - NASA - Captain Sully Speaks to Station Crew_EUqhhiGtyUU - transcript (automated).pdf","Transcript Link")</f>
        <v>Transcript Link</v>
      </c>
      <c r="M5120" s="2" t="str">
        <f>HYPERLINK("https://files.afu.se/Downloads/Transcripts/0%20-%20Government/USA%20-%20NASA/2010 01 05 - NASA - Captain Sully Speaks to Station Crew_EUqhhiGtyUU - transcript (automated).pdf","Transcript Link")</f>
        <v>Transcript Link</v>
      </c>
    </row>
    <row r="5121" ht="165" spans="1:13">
      <c r="A5121" s="1" t="s">
        <v>22767</v>
      </c>
      <c r="B5121" s="1" t="s">
        <v>13</v>
      </c>
      <c r="C5121" s="4" t="s">
        <v>22768</v>
      </c>
      <c r="D5121" s="1" t="s">
        <v>22769</v>
      </c>
      <c r="E5121" s="1" t="s">
        <v>22770</v>
      </c>
      <c r="F5121" s="4" t="s">
        <v>17</v>
      </c>
      <c r="G5121" s="1" t="s">
        <v>18</v>
      </c>
      <c r="H5121" s="1" t="s">
        <v>19</v>
      </c>
      <c r="I5121" s="1" t="s">
        <v>20</v>
      </c>
      <c r="J5121" s="1" t="s">
        <v>22771</v>
      </c>
      <c r="K5121" s="1" t="s">
        <v>22</v>
      </c>
      <c r="L5121" s="1" t="str">
        <f>HYPERLINK("https://files.afu.se/Downloads/Transcripts/0%20-%20Government/USA%20-%20NASA/2009 12 30 - NASA - NASA Televisions 2010 Happy New Year ID_CYrgbqUWeZM - transcript (automated).pdf","Transcript Link")</f>
        <v>Transcript Link</v>
      </c>
      <c r="M5121" s="2" t="str">
        <f>HYPERLINK("https://files.afu.se/Downloads/Transcripts/0%20-%20Government/USA%20-%20NASA/2009 12 30 - NASA - NASA Televisions 2010 Happy New Year ID_CYrgbqUWeZM - transcript (automated).pdf","Transcript Link")</f>
        <v>Transcript Link</v>
      </c>
    </row>
    <row r="5122" ht="165" spans="1:13">
      <c r="A5122" s="1" t="s">
        <v>22767</v>
      </c>
      <c r="B5122" s="1" t="s">
        <v>13</v>
      </c>
      <c r="C5122" s="4" t="s">
        <v>22772</v>
      </c>
      <c r="D5122" s="1" t="s">
        <v>22773</v>
      </c>
      <c r="E5122" s="1" t="s">
        <v>22774</v>
      </c>
      <c r="F5122" s="4" t="s">
        <v>17</v>
      </c>
      <c r="G5122" s="1" t="s">
        <v>18</v>
      </c>
      <c r="H5122" s="1" t="s">
        <v>19</v>
      </c>
      <c r="I5122" s="1" t="s">
        <v>20</v>
      </c>
      <c r="J5122" s="1" t="s">
        <v>22775</v>
      </c>
      <c r="K5122" s="1" t="s">
        <v>22</v>
      </c>
      <c r="L5122" s="1" t="str">
        <f>HYPERLINK("https://files.afu.se/Downloads/Transcripts/0%20-%20Government/USA%20-%20NASA/2009 12 30 - NASA -  How's Life  _vg4A_McYCYk - transcript (automated).pdf","Transcript Link")</f>
        <v>Transcript Link</v>
      </c>
      <c r="M5122" s="2" t="str">
        <f>HYPERLINK("https://files.afu.se/Downloads/Transcripts/0%20-%20Government/USA%20-%20NASA/2009 12 30 - NASA -  How's Life  _vg4A_McYCYk - transcript (automated).pdf","Transcript Link")</f>
        <v>Transcript Link</v>
      </c>
    </row>
    <row r="5123" ht="180" spans="1:13">
      <c r="A5123" s="1" t="s">
        <v>22776</v>
      </c>
      <c r="B5123" s="1" t="s">
        <v>13</v>
      </c>
      <c r="C5123" s="4" t="s">
        <v>22777</v>
      </c>
      <c r="D5123" s="1" t="s">
        <v>22778</v>
      </c>
      <c r="E5123" s="1" t="s">
        <v>22779</v>
      </c>
      <c r="F5123" s="4" t="s">
        <v>17</v>
      </c>
      <c r="G5123" s="1" t="s">
        <v>18</v>
      </c>
      <c r="H5123" s="1" t="s">
        <v>19</v>
      </c>
      <c r="I5123" s="1" t="s">
        <v>20</v>
      </c>
      <c r="J5123" s="1" t="s">
        <v>22780</v>
      </c>
      <c r="K5123" s="1" t="s">
        <v>22</v>
      </c>
      <c r="L5123" s="1" t="str">
        <f>HYPERLINK("https://files.afu.se/Downloads/Transcripts/0%20-%20Government/USA%20-%20NASA/2009 12 29 - NASA - AMERICAN FORCES IN IRAQ GET HOLIDAY GREETINGS FROM SPACE_QowJhdRf5dU - transcript (automated).pdf","Transcript Link")</f>
        <v>Transcript Link</v>
      </c>
      <c r="M5123" s="2" t="str">
        <f>HYPERLINK("https://files.afu.se/Downloads/Transcripts/0%20-%20Government/USA%20-%20NASA/2009 12 29 - NASA - AMERICAN FORCES IN IRAQ GET HOLIDAY GREETINGS FROM SPACE_QowJhdRf5dU - transcript (automated).pdf","Transcript Link")</f>
        <v>Transcript Link</v>
      </c>
    </row>
    <row r="5124" ht="165" spans="1:13">
      <c r="A5124" s="1" t="s">
        <v>22781</v>
      </c>
      <c r="B5124" s="1" t="s">
        <v>13</v>
      </c>
      <c r="C5124" s="4" t="s">
        <v>22782</v>
      </c>
      <c r="D5124" s="1" t="s">
        <v>22783</v>
      </c>
      <c r="E5124" s="1" t="s">
        <v>22784</v>
      </c>
      <c r="F5124" s="4" t="s">
        <v>17</v>
      </c>
      <c r="G5124" s="1" t="s">
        <v>18</v>
      </c>
      <c r="H5124" s="1" t="s">
        <v>19</v>
      </c>
      <c r="I5124" s="1" t="s">
        <v>20</v>
      </c>
      <c r="J5124" s="1" t="s">
        <v>22785</v>
      </c>
      <c r="K5124" s="1" t="s">
        <v>22</v>
      </c>
      <c r="L5124" s="1" t="str">
        <f>HYPERLINK("https://files.afu.se/Downloads/Transcripts/0%20-%20Government/USA%20-%20NASA/2009 12 23 - NASA - HOLIDAY DANCE OF THE MOONS_y_bTY57xTmg - transcript (automated).pdf","Transcript Link")</f>
        <v>Transcript Link</v>
      </c>
      <c r="M5124" s="2" t="str">
        <f>HYPERLINK("https://files.afu.se/Downloads/Transcripts/0%20-%20Government/USA%20-%20NASA/2009 12 23 - NASA - HOLIDAY DANCE OF THE MOONS_y_bTY57xTmg - transcript (automated).pdf","Transcript Link")</f>
        <v>Transcript Link</v>
      </c>
    </row>
    <row r="5125" ht="165" spans="1:13">
      <c r="A5125" s="1" t="s">
        <v>22781</v>
      </c>
      <c r="B5125" s="1" t="s">
        <v>13</v>
      </c>
      <c r="C5125" s="4" t="s">
        <v>22786</v>
      </c>
      <c r="D5125" s="1" t="s">
        <v>22787</v>
      </c>
      <c r="E5125" s="1" t="s">
        <v>22788</v>
      </c>
      <c r="F5125" s="4" t="s">
        <v>17</v>
      </c>
      <c r="G5125" s="1" t="s">
        <v>18</v>
      </c>
      <c r="H5125" s="1" t="s">
        <v>19</v>
      </c>
      <c r="I5125" s="1" t="s">
        <v>20</v>
      </c>
      <c r="J5125" s="1" t="s">
        <v>22789</v>
      </c>
      <c r="K5125" s="1" t="s">
        <v>22</v>
      </c>
      <c r="L5125" s="1" t="str">
        <f>HYPERLINK("https://files.afu.se/Downloads/Transcripts/0%20-%20Government/USA%20-%20NASA/2009 12 23 - NASA - GREETINGS, EARTHLINGS!_93p8zpghB5k - transcript (automated).pdf","Transcript Link")</f>
        <v>Transcript Link</v>
      </c>
      <c r="M5125" s="2" t="str">
        <f>HYPERLINK("https://files.afu.se/Downloads/Transcripts/0%20-%20Government/USA%20-%20NASA/2009 12 23 - NASA - GREETINGS, EARTHLINGS!_93p8zpghB5k - transcript (automated).pdf","Transcript Link")</f>
        <v>Transcript Link</v>
      </c>
    </row>
    <row r="5126" ht="165" spans="1:13">
      <c r="A5126" s="1" t="s">
        <v>22790</v>
      </c>
      <c r="B5126" s="1" t="s">
        <v>13</v>
      </c>
      <c r="C5126" s="4" t="s">
        <v>22791</v>
      </c>
      <c r="D5126" s="1" t="s">
        <v>22792</v>
      </c>
      <c r="E5126" s="1" t="s">
        <v>22793</v>
      </c>
      <c r="F5126" s="4" t="s">
        <v>17</v>
      </c>
      <c r="G5126" s="1" t="s">
        <v>18</v>
      </c>
      <c r="H5126" s="1" t="s">
        <v>19</v>
      </c>
      <c r="I5126" s="1" t="s">
        <v>20</v>
      </c>
      <c r="J5126" s="1" t="s">
        <v>22794</v>
      </c>
      <c r="K5126" s="1" t="s">
        <v>22</v>
      </c>
      <c r="L5126" s="1" t="str">
        <f>HYPERLINK("https://files.afu.se/Downloads/Transcripts/0%20-%20Government/USA%20-%20NASA/2009 12 18 - NASA - HOLIDAY GREETINGS_oxXHb-SIN_I - transcript (automated).pdf","Transcript Link")</f>
        <v>Transcript Link</v>
      </c>
      <c r="M5126" s="2" t="str">
        <f>HYPERLINK("https://files.afu.se/Downloads/Transcripts/0%20-%20Government/USA%20-%20NASA/2009 12 18 - NASA - HOLIDAY GREETINGS_oxXHb-SIN_I - transcript (automated).pdf","Transcript Link")</f>
        <v>Transcript Link</v>
      </c>
    </row>
    <row r="5127" ht="165" spans="1:13">
      <c r="A5127" s="1" t="s">
        <v>22790</v>
      </c>
      <c r="B5127" s="1" t="s">
        <v>13</v>
      </c>
      <c r="C5127" s="4" t="s">
        <v>22795</v>
      </c>
      <c r="D5127" s="1" t="s">
        <v>22796</v>
      </c>
      <c r="E5127" s="1" t="s">
        <v>22797</v>
      </c>
      <c r="F5127" s="4" t="s">
        <v>17</v>
      </c>
      <c r="G5127" s="1" t="s">
        <v>18</v>
      </c>
      <c r="H5127" s="1" t="s">
        <v>19</v>
      </c>
      <c r="I5127" s="1" t="s">
        <v>20</v>
      </c>
      <c r="J5127" s="1" t="s">
        <v>22798</v>
      </c>
      <c r="K5127" s="1" t="s">
        <v>22</v>
      </c>
      <c r="L5127" s="1" t="str">
        <f>HYPERLINK("https://files.afu.se/Downloads/Transcripts/0%20-%20Government/USA%20-%20NASA/2009 12 18 - NASA - NASA TV Season's Greetings 2009_tNIfETPTXxM - transcript (automated).pdf","Transcript Link")</f>
        <v>Transcript Link</v>
      </c>
      <c r="M5127" s="2" t="str">
        <f>HYPERLINK("https://files.afu.se/Downloads/Transcripts/0%20-%20Government/USA%20-%20NASA/2009 12 18 - NASA - NASA TV Season's Greetings 2009_tNIfETPTXxM - transcript (automated).pdf","Transcript Link")</f>
        <v>Transcript Link</v>
      </c>
    </row>
    <row r="5128" ht="165" spans="1:13">
      <c r="A5128" s="1" t="s">
        <v>22790</v>
      </c>
      <c r="B5128" s="1" t="s">
        <v>13</v>
      </c>
      <c r="C5128" s="4" t="s">
        <v>22799</v>
      </c>
      <c r="D5128" s="1" t="s">
        <v>22800</v>
      </c>
      <c r="E5128" s="1" t="s">
        <v>22801</v>
      </c>
      <c r="F5128" s="4" t="s">
        <v>17</v>
      </c>
      <c r="G5128" s="1" t="s">
        <v>18</v>
      </c>
      <c r="H5128" s="1" t="s">
        <v>19</v>
      </c>
      <c r="I5128" s="1" t="s">
        <v>20</v>
      </c>
      <c r="J5128" s="1" t="s">
        <v>22802</v>
      </c>
      <c r="K5128" s="1" t="s">
        <v>22</v>
      </c>
      <c r="L5128" s="1" t="str">
        <f>HYPERLINK("https://files.afu.se/Downloads/Transcripts/0%20-%20Government/USA%20-%20NASA/2009 12 18 - NASA - BIG THANKS! FROM BOLDEN_h0VCPu84WU8 - transcript (automated).pdf","Transcript Link")</f>
        <v>Transcript Link</v>
      </c>
      <c r="M5128" s="2" t="str">
        <f>HYPERLINK("https://files.afu.se/Downloads/Transcripts/0%20-%20Government/USA%20-%20NASA/2009 12 18 - NASA - BIG THANKS! FROM BOLDEN_h0VCPu84WU8 - transcript (automated).pdf","Transcript Link")</f>
        <v>Transcript Link</v>
      </c>
    </row>
    <row r="5129" ht="165" spans="1:13">
      <c r="A5129" s="1" t="s">
        <v>22803</v>
      </c>
      <c r="B5129" s="1" t="s">
        <v>13</v>
      </c>
      <c r="C5129" s="4" t="s">
        <v>22804</v>
      </c>
      <c r="D5129" s="1" t="s">
        <v>22805</v>
      </c>
      <c r="E5129" s="1" t="s">
        <v>22806</v>
      </c>
      <c r="F5129" s="4" t="s">
        <v>17</v>
      </c>
      <c r="G5129" s="1" t="s">
        <v>18</v>
      </c>
      <c r="H5129" s="1" t="s">
        <v>19</v>
      </c>
      <c r="I5129" s="1" t="s">
        <v>20</v>
      </c>
      <c r="J5129" s="1" t="s">
        <v>22807</v>
      </c>
      <c r="K5129" s="1" t="s">
        <v>22</v>
      </c>
      <c r="L5129" s="1" t="str">
        <f>HYPERLINK("https://files.afu.se/Downloads/Transcripts/0%20-%20Government/USA%20-%20NASA/2009 12 17 - NASA - EXPEDITIONS 22 23  THE MISSIONS_FRJSE3LmVAI - transcript (automated).pdf","Transcript Link")</f>
        <v>Transcript Link</v>
      </c>
      <c r="M5129" s="2" t="str">
        <f>HYPERLINK("https://files.afu.se/Downloads/Transcripts/0%20-%20Government/USA%20-%20NASA/2009 12 17 - NASA - EXPEDITIONS 22 23  THE MISSIONS_FRJSE3LmVAI - transcript (automated).pdf","Transcript Link")</f>
        <v>Transcript Link</v>
      </c>
    </row>
    <row r="5130" ht="165" spans="1:13">
      <c r="A5130" s="1" t="s">
        <v>22808</v>
      </c>
      <c r="B5130" s="1" t="s">
        <v>13</v>
      </c>
      <c r="C5130" s="4" t="s">
        <v>22809</v>
      </c>
      <c r="D5130" s="1" t="s">
        <v>22810</v>
      </c>
      <c r="E5130" s="1" t="s">
        <v>22811</v>
      </c>
      <c r="F5130" s="4" t="s">
        <v>17</v>
      </c>
      <c r="G5130" s="1" t="s">
        <v>18</v>
      </c>
      <c r="H5130" s="1" t="s">
        <v>19</v>
      </c>
      <c r="I5130" s="1" t="s">
        <v>20</v>
      </c>
      <c r="J5130" s="1" t="s">
        <v>22812</v>
      </c>
      <c r="K5130" s="1" t="s">
        <v>22</v>
      </c>
      <c r="L5130" s="1" t="str">
        <f>HYPERLINK("https://files.afu.se/Downloads/Transcripts/0%20-%20Government/USA%20-%20NASA/2009 12 16 - NASA - NASA TV Schedule on the Web_LEcvTuSih2A - transcript (automated).pdf","Transcript Link")</f>
        <v>Transcript Link</v>
      </c>
      <c r="M5130" s="2" t="str">
        <f>HYPERLINK("https://files.afu.se/Downloads/Transcripts/0%20-%20Government/USA%20-%20NASA/2009 12 16 - NASA - NASA TV Schedule on the Web_LEcvTuSih2A - transcript (automated).pdf","Transcript Link")</f>
        <v>Transcript Link</v>
      </c>
    </row>
    <row r="5131" ht="180" spans="1:13">
      <c r="A5131" s="1" t="s">
        <v>22808</v>
      </c>
      <c r="B5131" s="1" t="s">
        <v>13</v>
      </c>
      <c r="C5131" s="4" t="s">
        <v>22813</v>
      </c>
      <c r="D5131" s="1" t="s">
        <v>22814</v>
      </c>
      <c r="E5131" s="1" t="s">
        <v>22815</v>
      </c>
      <c r="F5131" s="4" t="s">
        <v>17</v>
      </c>
      <c r="G5131" s="1" t="s">
        <v>18</v>
      </c>
      <c r="H5131" s="1" t="s">
        <v>19</v>
      </c>
      <c r="I5131" s="1" t="s">
        <v>20</v>
      </c>
      <c r="J5131" s="1" t="s">
        <v>22816</v>
      </c>
      <c r="K5131" s="1" t="s">
        <v>22</v>
      </c>
      <c r="L5131" s="1" t="str">
        <f>HYPERLINK("https://files.afu.se/Downloads/Transcripts/0%20-%20Government/USA%20-%20NASA/2009 12 16 - NASA - NASA TELEVISION MOVING TO SATELLITE AMC3_NSG21JmpeqQ - transcript (automated).pdf","Transcript Link")</f>
        <v>Transcript Link</v>
      </c>
      <c r="M5131" s="2" t="str">
        <f>HYPERLINK("https://files.afu.se/Downloads/Transcripts/0%20-%20Government/USA%20-%20NASA/2009 12 16 - NASA - NASA TELEVISION MOVING TO SATELLITE AMC3_NSG21JmpeqQ - transcript (automated).pdf","Transcript Link")</f>
        <v>Transcript Link</v>
      </c>
    </row>
    <row r="5132" ht="165" spans="1:13">
      <c r="A5132" s="1" t="s">
        <v>22817</v>
      </c>
      <c r="B5132" s="1" t="s">
        <v>13</v>
      </c>
      <c r="C5132" s="4" t="s">
        <v>22818</v>
      </c>
      <c r="D5132" s="1" t="s">
        <v>22819</v>
      </c>
      <c r="E5132" s="1" t="s">
        <v>22820</v>
      </c>
      <c r="F5132" s="4" t="s">
        <v>17</v>
      </c>
      <c r="G5132" s="1" t="s">
        <v>18</v>
      </c>
      <c r="H5132" s="1" t="s">
        <v>19</v>
      </c>
      <c r="I5132" s="1" t="s">
        <v>20</v>
      </c>
      <c r="J5132" s="1" t="s">
        <v>22821</v>
      </c>
      <c r="K5132" s="1" t="s">
        <v>22</v>
      </c>
      <c r="L5132" s="1" t="str">
        <f>HYPERLINK("https://files.afu.se/Downloads/Transcripts/0%20-%20Government/USA%20-%20NASA/2009 12 14 - NASA -  The WISE launch, SOFIA tests, a dropped 'copter and more. _Lb_TEqtmeLU - transcript (automated).pdf","Transcript Link")</f>
        <v>Transcript Link</v>
      </c>
      <c r="M5132" s="2" t="str">
        <f>HYPERLINK("https://files.afu.se/Downloads/Transcripts/0%20-%20Government/USA%20-%20NASA/2009 12 14 - NASA -  The WISE launch, SOFIA tests, a dropped 'copter and more. _Lb_TEqtmeLU - transcript (automated).pdf","Transcript Link")</f>
        <v>Transcript Link</v>
      </c>
    </row>
    <row r="5133" ht="165" spans="1:13">
      <c r="A5133" s="1" t="s">
        <v>22817</v>
      </c>
      <c r="B5133" s="1" t="s">
        <v>13</v>
      </c>
      <c r="C5133" s="4" t="s">
        <v>22822</v>
      </c>
      <c r="D5133" s="1" t="s">
        <v>22823</v>
      </c>
      <c r="E5133" s="1" t="s">
        <v>22824</v>
      </c>
      <c r="F5133" s="4" t="s">
        <v>17</v>
      </c>
      <c r="G5133" s="1" t="s">
        <v>18</v>
      </c>
      <c r="H5133" s="1" t="s">
        <v>19</v>
      </c>
      <c r="I5133" s="1" t="s">
        <v>20</v>
      </c>
      <c r="J5133" s="1" t="s">
        <v>22825</v>
      </c>
      <c r="K5133" s="1" t="s">
        <v>22</v>
      </c>
      <c r="L5133" s="1" t="str">
        <f>HYPERLINK("https://files.afu.se/Downloads/Transcripts/0%20-%20Government/USA%20-%20NASA/2009 12 14 - NASA - WISE Launch_45NAENHol24 - transcript (automated).pdf","Transcript Link")</f>
        <v>Transcript Link</v>
      </c>
      <c r="M5133" s="2" t="str">
        <f>HYPERLINK("https://files.afu.se/Downloads/Transcripts/0%20-%20Government/USA%20-%20NASA/2009 12 14 - NASA - WISE Launch_45NAENHol24 - transcript (automated).pdf","Transcript Link")</f>
        <v>Transcript Link</v>
      </c>
    </row>
    <row r="5134" ht="165" spans="1:13">
      <c r="A5134" s="1" t="s">
        <v>22826</v>
      </c>
      <c r="B5134" s="1" t="s">
        <v>13</v>
      </c>
      <c r="C5134" s="4" t="s">
        <v>22827</v>
      </c>
      <c r="D5134" s="1" t="s">
        <v>22828</v>
      </c>
      <c r="E5134" s="1" t="s">
        <v>22829</v>
      </c>
      <c r="F5134" s="4" t="s">
        <v>17</v>
      </c>
      <c r="G5134" s="1" t="s">
        <v>18</v>
      </c>
      <c r="H5134" s="1" t="s">
        <v>19</v>
      </c>
      <c r="I5134" s="1" t="s">
        <v>20</v>
      </c>
      <c r="J5134" s="1" t="s">
        <v>22830</v>
      </c>
      <c r="K5134" s="1" t="s">
        <v>22</v>
      </c>
      <c r="L5134" s="1" t="str">
        <f>HYPERLINK("https://files.afu.se/Downloads/Transcripts/0%20-%20Government/USA%20-%20NASA/2009 12 10 - NASA - WISE Mission Science Briefing 12 9 09_nWdXcpCqbtI - transcript (automated).pdf","Transcript Link")</f>
        <v>Transcript Link</v>
      </c>
      <c r="M5134" s="2" t="str">
        <f>HYPERLINK("https://files.afu.se/Downloads/Transcripts/0%20-%20Government/USA%20-%20NASA/2009 12 10 - NASA - WISE Mission Science Briefing 12 9 09_nWdXcpCqbtI - transcript (automated).pdf","Transcript Link")</f>
        <v>Transcript Link</v>
      </c>
    </row>
    <row r="5135" ht="165" spans="1:13">
      <c r="A5135" s="1" t="s">
        <v>22831</v>
      </c>
      <c r="B5135" s="1" t="s">
        <v>13</v>
      </c>
      <c r="C5135" s="4" t="s">
        <v>22832</v>
      </c>
      <c r="D5135" s="1" t="s">
        <v>22833</v>
      </c>
      <c r="E5135" s="1" t="s">
        <v>22829</v>
      </c>
      <c r="F5135" s="4" t="s">
        <v>17</v>
      </c>
      <c r="G5135" s="1" t="s">
        <v>18</v>
      </c>
      <c r="H5135" s="1" t="s">
        <v>19</v>
      </c>
      <c r="I5135" s="1" t="s">
        <v>20</v>
      </c>
      <c r="J5135" s="1" t="s">
        <v>22834</v>
      </c>
      <c r="K5135" s="1" t="s">
        <v>22</v>
      </c>
      <c r="L5135" s="1" t="str">
        <f>HYPERLINK("https://files.afu.se/Downloads/Transcripts/0%20-%20Government/USA%20-%20NASA/2009 12 09 - NASA - WISE Prelaunch News Conference 12 9 09_FIUyKf08CRQ - transcript (automated).pdf","Transcript Link")</f>
        <v>Transcript Link</v>
      </c>
      <c r="M5135" s="2" t="str">
        <f>HYPERLINK("https://files.afu.se/Downloads/Transcripts/0%20-%20Government/USA%20-%20NASA/2009 12 09 - NASA - WISE Prelaunch News Conference 12 9 09_FIUyKf08CRQ - transcript (automated).pdf","Transcript Link")</f>
        <v>Transcript Link</v>
      </c>
    </row>
    <row r="5136" ht="165" spans="1:13">
      <c r="A5136" s="1" t="s">
        <v>22835</v>
      </c>
      <c r="B5136" s="1" t="s">
        <v>13</v>
      </c>
      <c r="C5136" s="4" t="s">
        <v>22836</v>
      </c>
      <c r="D5136" s="1" t="s">
        <v>22837</v>
      </c>
      <c r="E5136" s="1" t="s">
        <v>22838</v>
      </c>
      <c r="F5136" s="4" t="s">
        <v>17</v>
      </c>
      <c r="G5136" s="1" t="s">
        <v>18</v>
      </c>
      <c r="H5136" s="1" t="s">
        <v>19</v>
      </c>
      <c r="I5136" s="1" t="s">
        <v>20</v>
      </c>
      <c r="J5136" s="1" t="s">
        <v>22839</v>
      </c>
      <c r="K5136" s="1" t="s">
        <v>22</v>
      </c>
      <c r="L5136" s="1" t="str">
        <f>HYPERLINK("https://files.afu.se/Downloads/Transcripts/0%20-%20Government/USA%20-%20NASA/2009 12 03 - NASA - Fred Haise Ambassador Of Exploration Award_gtxPyaUbljo - transcript (automated).pdf","Transcript Link")</f>
        <v>Transcript Link</v>
      </c>
      <c r="M5136" s="2" t="str">
        <f>HYPERLINK("https://files.afu.se/Downloads/Transcripts/0%20-%20Government/USA%20-%20NASA/2009 12 03 - NASA - Fred Haise Ambassador Of Exploration Award_gtxPyaUbljo - transcript (automated).pdf","Transcript Link")</f>
        <v>Transcript Link</v>
      </c>
    </row>
    <row r="5137" ht="165" spans="1:13">
      <c r="A5137" s="1" t="s">
        <v>22840</v>
      </c>
      <c r="B5137" s="1" t="s">
        <v>13</v>
      </c>
      <c r="C5137" s="4" t="s">
        <v>22841</v>
      </c>
      <c r="D5137" s="1" t="s">
        <v>22842</v>
      </c>
      <c r="E5137" s="1" t="s">
        <v>22843</v>
      </c>
      <c r="F5137" s="4" t="s">
        <v>17</v>
      </c>
      <c r="G5137" s="1" t="s">
        <v>18</v>
      </c>
      <c r="H5137" s="1" t="s">
        <v>19</v>
      </c>
      <c r="I5137" s="1" t="s">
        <v>20</v>
      </c>
      <c r="J5137" s="1" t="s">
        <v>22844</v>
      </c>
      <c r="K5137" s="1" t="s">
        <v>22</v>
      </c>
      <c r="L5137" s="1" t="str">
        <f>HYPERLINK("https://files.afu.se/Downloads/Transcripts/0%20-%20Government/USA%20-%20NASA/2009 11 27 - NASA - NASA STS-129 Mission Highlights_6L_LkrHG6Nk - transcript (automated).pdf","Transcript Link")</f>
        <v>Transcript Link</v>
      </c>
      <c r="M5137" s="2" t="str">
        <f>HYPERLINK("https://files.afu.se/Downloads/Transcripts/0%20-%20Government/USA%20-%20NASA/2009 11 27 - NASA - NASA STS-129 Mission Highlights_6L_LkrHG6Nk - transcript (automated).pdf","Transcript Link")</f>
        <v>Transcript Link</v>
      </c>
    </row>
    <row r="5138" ht="180" spans="1:13">
      <c r="A5138" s="1" t="s">
        <v>22840</v>
      </c>
      <c r="B5138" s="1" t="s">
        <v>13</v>
      </c>
      <c r="C5138" s="4" t="s">
        <v>22845</v>
      </c>
      <c r="D5138" s="1" t="s">
        <v>22846</v>
      </c>
      <c r="E5138" s="1" t="s">
        <v>22847</v>
      </c>
      <c r="F5138" s="4" t="s">
        <v>17</v>
      </c>
      <c r="G5138" s="1" t="s">
        <v>18</v>
      </c>
      <c r="H5138" s="1" t="s">
        <v>19</v>
      </c>
      <c r="I5138" s="1" t="s">
        <v>20</v>
      </c>
      <c r="J5138" s="1" t="s">
        <v>22848</v>
      </c>
      <c r="K5138" s="1" t="s">
        <v>22</v>
      </c>
      <c r="L5138" s="1" t="str">
        <f>HYPERLINK("https://files.afu.se/Downloads/Transcripts/0%20-%20Government/USA%20-%20NASA/2009 11 27 - NASA - STS-129 HD Landing_7rfmb3uuLE8 - transcript (automated).pdf","Transcript Link")</f>
        <v>Transcript Link</v>
      </c>
      <c r="M5138" s="2" t="str">
        <f>HYPERLINK("https://files.afu.se/Downloads/Transcripts/0%20-%20Government/USA%20-%20NASA/2009 11 27 - NASA - STS-129 HD Landing_7rfmb3uuLE8 - transcript (automated).pdf","Transcript Link")</f>
        <v>Transcript Link</v>
      </c>
    </row>
    <row r="5139" ht="165" spans="1:13">
      <c r="A5139" s="1" t="s">
        <v>22849</v>
      </c>
      <c r="B5139" s="1" t="s">
        <v>13</v>
      </c>
      <c r="C5139" s="4" t="s">
        <v>22850</v>
      </c>
      <c r="D5139" s="1" t="s">
        <v>3051</v>
      </c>
      <c r="E5139" s="1" t="s">
        <v>22851</v>
      </c>
      <c r="F5139" s="4" t="s">
        <v>17</v>
      </c>
      <c r="G5139" s="1" t="s">
        <v>18</v>
      </c>
      <c r="H5139" s="1" t="s">
        <v>19</v>
      </c>
      <c r="I5139" s="1" t="s">
        <v>20</v>
      </c>
      <c r="J5139" s="1" t="s">
        <v>22852</v>
      </c>
      <c r="K5139" s="1" t="s">
        <v>22</v>
      </c>
      <c r="L5139" s="1" t="str">
        <f>HYPERLINK("https://files.afu.se/Downloads/Transcripts/0%20-%20Government/USA%20-%20NASA/2009 11 24 - NASA - Happy Thanksgiving from NASA_iSEeaLb705A - transcript (automated).pdf","Transcript Link")</f>
        <v>Transcript Link</v>
      </c>
      <c r="M5139" s="2" t="str">
        <f>HYPERLINK("https://files.afu.se/Downloads/Transcripts/0%20-%20Government/USA%20-%20NASA/2009 11 24 - NASA - Happy Thanksgiving from NASA_iSEeaLb705A - transcript (automated).pdf","Transcript Link")</f>
        <v>Transcript Link</v>
      </c>
    </row>
    <row r="5140" ht="165" spans="1:13">
      <c r="A5140" s="1" t="s">
        <v>22849</v>
      </c>
      <c r="B5140" s="1" t="s">
        <v>13</v>
      </c>
      <c r="C5140" s="4" t="s">
        <v>22853</v>
      </c>
      <c r="D5140" s="1" t="s">
        <v>22854</v>
      </c>
      <c r="E5140" s="1" t="s">
        <v>22855</v>
      </c>
      <c r="F5140" s="4" t="s">
        <v>17</v>
      </c>
      <c r="G5140" s="1" t="s">
        <v>18</v>
      </c>
      <c r="H5140" s="1" t="s">
        <v>19</v>
      </c>
      <c r="I5140" s="1" t="s">
        <v>20</v>
      </c>
      <c r="J5140" s="1" t="s">
        <v>22856</v>
      </c>
      <c r="K5140" s="1" t="s">
        <v>22</v>
      </c>
      <c r="L5140" s="1" t="str">
        <f>HYPERLINK("https://files.afu.se/Downloads/Transcripts/0%20-%20Government/USA%20-%20NASA/2009 11 24 - NASA - Administrator Charles Bolden interview  on Public Radio Internationals The Takeaway_kxmr-0kbMkM - transcript (automated).pdf","Transcript Link")</f>
        <v>Transcript Link</v>
      </c>
      <c r="M5140" s="2" t="str">
        <f>HYPERLINK("https://files.afu.se/Downloads/Transcripts/0%20-%20Government/USA%20-%20NASA/2009 11 24 - NASA - Administrator Charles Bolden interview  on Public Radio Internationals The Takeaway_kxmr-0kbMkM - transcript (automated).pdf","Transcript Link")</f>
        <v>Transcript Link</v>
      </c>
    </row>
    <row r="5141" ht="165" spans="1:13">
      <c r="A5141" s="1" t="s">
        <v>22857</v>
      </c>
      <c r="B5141" s="1" t="s">
        <v>13</v>
      </c>
      <c r="C5141" s="4" t="s">
        <v>22858</v>
      </c>
      <c r="D5141" s="1" t="s">
        <v>22859</v>
      </c>
      <c r="E5141" s="1" t="s">
        <v>22860</v>
      </c>
      <c r="F5141" s="4" t="s">
        <v>17</v>
      </c>
      <c r="G5141" s="1" t="s">
        <v>18</v>
      </c>
      <c r="H5141" s="1" t="s">
        <v>19</v>
      </c>
      <c r="I5141" s="1" t="s">
        <v>20</v>
      </c>
      <c r="J5141" s="1" t="s">
        <v>22861</v>
      </c>
      <c r="K5141" s="1" t="s">
        <v>22</v>
      </c>
      <c r="L5141" s="1" t="str">
        <f>HYPERLINK("https://files.afu.se/Downloads/Transcripts/0%20-%20Government/USA%20-%20NASA/2009 11 20 - NASA - STS-129 Flight Day 4 Highlights_SEilwepb4hw - transcript (automated).pdf","Transcript Link")</f>
        <v>Transcript Link</v>
      </c>
      <c r="M5141" s="2" t="str">
        <f>HYPERLINK("https://files.afu.se/Downloads/Transcripts/0%20-%20Government/USA%20-%20NASA/2009 11 20 - NASA - STS-129 Flight Day 4 Highlights_SEilwepb4hw - transcript (automated).pdf","Transcript Link")</f>
        <v>Transcript Link</v>
      </c>
    </row>
    <row r="5142" ht="165" spans="1:13">
      <c r="A5142" s="1" t="s">
        <v>22857</v>
      </c>
      <c r="B5142" s="1" t="s">
        <v>13</v>
      </c>
      <c r="C5142" s="4" t="s">
        <v>22862</v>
      </c>
      <c r="D5142" s="1" t="s">
        <v>22863</v>
      </c>
      <c r="E5142" s="1" t="s">
        <v>22864</v>
      </c>
      <c r="F5142" s="4" t="s">
        <v>17</v>
      </c>
      <c r="G5142" s="1" t="s">
        <v>18</v>
      </c>
      <c r="H5142" s="1" t="s">
        <v>19</v>
      </c>
      <c r="I5142" s="1" t="s">
        <v>20</v>
      </c>
      <c r="J5142" s="1" t="s">
        <v>22865</v>
      </c>
      <c r="K5142" s="1" t="s">
        <v>22</v>
      </c>
      <c r="L5142" s="1" t="str">
        <f>HYPERLINK("https://files.afu.se/Downloads/Transcripts/0%20-%20Government/USA%20-%20NASA/2009 11 20 - NASA - STS-129 EVA %231 Highlights_dKx8AQc4rFI - transcript (automated).pdf","Transcript Link")</f>
        <v>Transcript Link</v>
      </c>
      <c r="M5142" s="2" t="str">
        <f>HYPERLINK("https://files.afu.se/Downloads/Transcripts/0%20-%20Government/USA%20-%20NASA/2009 11 20 - NASA - STS-129 EVA %231 Highlights_dKx8AQc4rFI - transcript (automated).pdf","Transcript Link")</f>
        <v>Transcript Link</v>
      </c>
    </row>
    <row r="5143" ht="165" spans="1:13">
      <c r="A5143" s="1" t="s">
        <v>22866</v>
      </c>
      <c r="B5143" s="1" t="s">
        <v>13</v>
      </c>
      <c r="C5143" s="4" t="s">
        <v>22867</v>
      </c>
      <c r="D5143" s="1" t="s">
        <v>22868</v>
      </c>
      <c r="E5143" s="1" t="s">
        <v>22869</v>
      </c>
      <c r="F5143" s="4" t="s">
        <v>17</v>
      </c>
      <c r="G5143" s="1" t="s">
        <v>18</v>
      </c>
      <c r="H5143" s="1" t="s">
        <v>19</v>
      </c>
      <c r="I5143" s="1" t="s">
        <v>20</v>
      </c>
      <c r="J5143" s="1" t="s">
        <v>22870</v>
      </c>
      <c r="K5143" s="1" t="s">
        <v>22</v>
      </c>
      <c r="L5143" s="1" t="str">
        <f>HYPERLINK("https://files.afu.se/Downloads/Transcripts/0%20-%20Government/USA%20-%20NASA/2009 11 19 - NASA - Celestial Treasure Hunt_DWT66OtVKuk - transcript (automated).pdf","Transcript Link")</f>
        <v>Transcript Link</v>
      </c>
      <c r="M5143" s="2" t="str">
        <f>HYPERLINK("https://files.afu.se/Downloads/Transcripts/0%20-%20Government/USA%20-%20NASA/2009 11 19 - NASA - Celestial Treasure Hunt_DWT66OtVKuk - transcript (automated).pdf","Transcript Link")</f>
        <v>Transcript Link</v>
      </c>
    </row>
    <row r="5144" ht="165" spans="1:13">
      <c r="A5144" s="1" t="s">
        <v>22871</v>
      </c>
      <c r="B5144" s="1" t="s">
        <v>13</v>
      </c>
      <c r="C5144" s="4" t="s">
        <v>22872</v>
      </c>
      <c r="D5144" s="1" t="s">
        <v>22873</v>
      </c>
      <c r="E5144" s="1" t="s">
        <v>22874</v>
      </c>
      <c r="F5144" s="4" t="s">
        <v>17</v>
      </c>
      <c r="G5144" s="1" t="s">
        <v>18</v>
      </c>
      <c r="H5144" s="1" t="s">
        <v>19</v>
      </c>
      <c r="I5144" s="1" t="s">
        <v>20</v>
      </c>
      <c r="J5144" s="1" t="s">
        <v>22875</v>
      </c>
      <c r="K5144" s="1" t="s">
        <v>22</v>
      </c>
      <c r="L5144" s="1" t="str">
        <f>HYPERLINK("https://files.afu.se/Downloads/Transcripts/0%20-%20Government/USA%20-%20NASA/2009 11 18 - NASA - Antarctica 2009  The Sea Ice Below (Webisode 9)_wFd-SfZN1X0 - transcript (automated).pdf","Transcript Link")</f>
        <v>Transcript Link</v>
      </c>
      <c r="M5144" s="2" t="str">
        <f>HYPERLINK("https://files.afu.se/Downloads/Transcripts/0%20-%20Government/USA%20-%20NASA/2009 11 18 - NASA - Antarctica 2009  The Sea Ice Below (Webisode 9)_wFd-SfZN1X0 - transcript (automated).pdf","Transcript Link")</f>
        <v>Transcript Link</v>
      </c>
    </row>
    <row r="5145" ht="165" spans="1:13">
      <c r="A5145" s="1" t="s">
        <v>22871</v>
      </c>
      <c r="B5145" s="1" t="s">
        <v>13</v>
      </c>
      <c r="C5145" s="4" t="s">
        <v>22876</v>
      </c>
      <c r="D5145" s="1" t="s">
        <v>22877</v>
      </c>
      <c r="E5145" s="1" t="s">
        <v>22860</v>
      </c>
      <c r="F5145" s="4" t="s">
        <v>17</v>
      </c>
      <c r="G5145" s="1" t="s">
        <v>18</v>
      </c>
      <c r="H5145" s="1" t="s">
        <v>19</v>
      </c>
      <c r="I5145" s="1" t="s">
        <v>20</v>
      </c>
      <c r="J5145" s="1" t="s">
        <v>22878</v>
      </c>
      <c r="K5145" s="1" t="s">
        <v>22</v>
      </c>
      <c r="L5145" s="1" t="str">
        <f>HYPERLINK("https://files.afu.se/Downloads/Transcripts/0%20-%20Government/USA%20-%20NASA/2009 11 18 - NASA - STS-129 Flight Day 2 Highlights_vnHLHOqdgWQ - transcript (automated).pdf","Transcript Link")</f>
        <v>Transcript Link</v>
      </c>
      <c r="M5145" s="2" t="str">
        <f>HYPERLINK("https://files.afu.se/Downloads/Transcripts/0%20-%20Government/USA%20-%20NASA/2009 11 18 - NASA - STS-129 Flight Day 2 Highlights_vnHLHOqdgWQ - transcript (automated).pdf","Transcript Link")</f>
        <v>Transcript Link</v>
      </c>
    </row>
    <row r="5146" ht="165" spans="1:13">
      <c r="A5146" s="1" t="s">
        <v>22871</v>
      </c>
      <c r="B5146" s="1" t="s">
        <v>13</v>
      </c>
      <c r="C5146" s="4" t="s">
        <v>22879</v>
      </c>
      <c r="D5146" s="1" t="s">
        <v>22880</v>
      </c>
      <c r="E5146" s="1" t="s">
        <v>22881</v>
      </c>
      <c r="F5146" s="4" t="s">
        <v>17</v>
      </c>
      <c r="G5146" s="1" t="s">
        <v>18</v>
      </c>
      <c r="H5146" s="1" t="s">
        <v>19</v>
      </c>
      <c r="I5146" s="1" t="s">
        <v>20</v>
      </c>
      <c r="J5146" s="1" t="s">
        <v>22882</v>
      </c>
      <c r="K5146" s="1" t="s">
        <v>22</v>
      </c>
      <c r="L5146" s="1" t="str">
        <f>HYPERLINK("https://files.afu.se/Downloads/Transcripts/0%20-%20Government/USA%20-%20NASA/2009 11 18 - NASA - STS-129 Rendezvous Pitch Maneuver Sped Up_BqcWnKkEOLs - transcript (automated).pdf","Transcript Link")</f>
        <v>Transcript Link</v>
      </c>
      <c r="M5146" s="2" t="str">
        <f>HYPERLINK("https://files.afu.se/Downloads/Transcripts/0%20-%20Government/USA%20-%20NASA/2009 11 18 - NASA - STS-129 Rendezvous Pitch Maneuver Sped Up_BqcWnKkEOLs - transcript (automated).pdf","Transcript Link")</f>
        <v>Transcript Link</v>
      </c>
    </row>
    <row r="5147" ht="405" spans="1:13">
      <c r="A5147" s="1" t="s">
        <v>22883</v>
      </c>
      <c r="B5147" s="1" t="s">
        <v>13</v>
      </c>
      <c r="C5147" s="4" t="s">
        <v>22884</v>
      </c>
      <c r="D5147" s="1" t="s">
        <v>22885</v>
      </c>
      <c r="E5147" s="1" t="s">
        <v>22886</v>
      </c>
      <c r="F5147" s="4" t="s">
        <v>17</v>
      </c>
      <c r="G5147" s="1" t="s">
        <v>18</v>
      </c>
      <c r="H5147" s="1" t="s">
        <v>19</v>
      </c>
      <c r="I5147" s="1" t="s">
        <v>20</v>
      </c>
      <c r="J5147" s="1" t="s">
        <v>22887</v>
      </c>
      <c r="K5147" s="1" t="s">
        <v>22</v>
      </c>
      <c r="L5147" s="1" t="str">
        <f>HYPERLINK("https://files.afu.se/Downloads/Transcripts/0%20-%20Government/USA%20-%20NASA/2009 11 17 - NASA - WISE L-20 News Conference_6Yxilm4PmdM - transcript (automated).pdf","Transcript Link")</f>
        <v>Transcript Link</v>
      </c>
      <c r="M5147" s="2" t="str">
        <f>HYPERLINK("https://files.afu.se/Downloads/Transcripts/0%20-%20Government/USA%20-%20NASA/2009 11 17 - NASA - WISE L-20 News Conference_6Yxilm4PmdM - transcript (automated).pdf","Transcript Link")</f>
        <v>Transcript Link</v>
      </c>
    </row>
    <row r="5148" ht="180" spans="1:13">
      <c r="A5148" s="1" t="s">
        <v>22888</v>
      </c>
      <c r="B5148" s="1" t="s">
        <v>13</v>
      </c>
      <c r="C5148" s="4" t="s">
        <v>22889</v>
      </c>
      <c r="D5148" s="1" t="s">
        <v>22890</v>
      </c>
      <c r="E5148" s="1" t="s">
        <v>22891</v>
      </c>
      <c r="F5148" s="4" t="s">
        <v>17</v>
      </c>
      <c r="G5148" s="1" t="s">
        <v>18</v>
      </c>
      <c r="H5148" s="1" t="s">
        <v>19</v>
      </c>
      <c r="I5148" s="1" t="s">
        <v>20</v>
      </c>
      <c r="J5148" s="1" t="s">
        <v>22892</v>
      </c>
      <c r="K5148" s="1" t="s">
        <v>22</v>
      </c>
      <c r="L5148" s="1" t="str">
        <f>HYPERLINK("https://files.afu.se/Downloads/Transcripts/0%20-%20Government/USA%20-%20NASA/2009 11 16 - NASA - STS-129 HD Launch_zsJpUCWfyPE - transcript (automated).pdf","Transcript Link")</f>
        <v>Transcript Link</v>
      </c>
      <c r="M5148" s="2" t="str">
        <f>HYPERLINK("https://files.afu.se/Downloads/Transcripts/0%20-%20Government/USA%20-%20NASA/2009 11 16 - NASA - STS-129 HD Launch_zsJpUCWfyPE - transcript (automated).pdf","Transcript Link")</f>
        <v>Transcript Link</v>
      </c>
    </row>
    <row r="5149" ht="165" spans="1:13">
      <c r="A5149" s="1" t="s">
        <v>22893</v>
      </c>
      <c r="B5149" s="1" t="s">
        <v>13</v>
      </c>
      <c r="C5149" s="4" t="s">
        <v>22894</v>
      </c>
      <c r="D5149" s="1" t="s">
        <v>22895</v>
      </c>
      <c r="F5149" s="4" t="s">
        <v>17</v>
      </c>
      <c r="G5149" s="1" t="s">
        <v>18</v>
      </c>
      <c r="H5149" s="1" t="s">
        <v>19</v>
      </c>
      <c r="I5149" s="1" t="s">
        <v>20</v>
      </c>
      <c r="J5149" s="1" t="s">
        <v>22896</v>
      </c>
      <c r="K5149" s="1" t="s">
        <v>22</v>
      </c>
      <c r="L5149" s="1" t="str">
        <f>HYPERLINK("https://files.afu.se/Downloads/Transcripts/0%20-%20Government/USA%20-%20NASA/2009 11 10 - NASA - NASA Lunar Challenge Music Video_BqUcK8omedU - transcript (automated).pdf","Transcript Link")</f>
        <v>Transcript Link</v>
      </c>
      <c r="M5149" s="2" t="str">
        <f>HYPERLINK("https://files.afu.se/Downloads/Transcripts/0%20-%20Government/USA%20-%20NASA/2009 11 10 - NASA - NASA Lunar Challenge Music Video_BqUcK8omedU - transcript (automated).pdf","Transcript Link")</f>
        <v>Transcript Link</v>
      </c>
    </row>
    <row r="5150" ht="165" spans="1:13">
      <c r="A5150" s="1" t="s">
        <v>22897</v>
      </c>
      <c r="B5150" s="1" t="s">
        <v>13</v>
      </c>
      <c r="C5150" s="4" t="s">
        <v>22898</v>
      </c>
      <c r="D5150" s="1" t="s">
        <v>22899</v>
      </c>
      <c r="F5150" s="4" t="s">
        <v>17</v>
      </c>
      <c r="G5150" s="1" t="s">
        <v>18</v>
      </c>
      <c r="H5150" s="1" t="s">
        <v>19</v>
      </c>
      <c r="I5150" s="1" t="s">
        <v>20</v>
      </c>
      <c r="J5150" s="1" t="s">
        <v>22900</v>
      </c>
      <c r="K5150" s="1" t="s">
        <v>22</v>
      </c>
      <c r="L5150" s="1" t="str">
        <f>HYPERLINK("https://files.afu.se/Downloads/Transcripts/0%20-%20Government/USA%20-%20NASA/2009 11 06 - NASA - STS-129 Mission Profile_VvkGSpB5i08 - transcript (automated).pdf","Transcript Link")</f>
        <v>Transcript Link</v>
      </c>
      <c r="M5150" s="2" t="str">
        <f>HYPERLINK("https://files.afu.se/Downloads/Transcripts/0%20-%20Government/USA%20-%20NASA/2009 11 06 - NASA - STS-129 Mission Profile_VvkGSpB5i08 - transcript (automated).pdf","Transcript Link")</f>
        <v>Transcript Link</v>
      </c>
    </row>
    <row r="5151" ht="165" spans="1:13">
      <c r="A5151" s="1" t="s">
        <v>22901</v>
      </c>
      <c r="B5151" s="1" t="s">
        <v>13</v>
      </c>
      <c r="C5151" s="4" t="s">
        <v>22902</v>
      </c>
      <c r="D5151" s="1" t="s">
        <v>22903</v>
      </c>
      <c r="E5151" s="1" t="s">
        <v>22904</v>
      </c>
      <c r="F5151" s="4" t="s">
        <v>17</v>
      </c>
      <c r="G5151" s="1" t="s">
        <v>18</v>
      </c>
      <c r="H5151" s="1" t="s">
        <v>19</v>
      </c>
      <c r="I5151" s="1" t="s">
        <v>20</v>
      </c>
      <c r="J5151" s="1" t="s">
        <v>22905</v>
      </c>
      <c r="K5151" s="1" t="s">
        <v>22</v>
      </c>
      <c r="L5151" s="1" t="str">
        <f>HYPERLINK("https://files.afu.se/Downloads/Transcripts/0%20-%20Government/USA%20-%20NASA/2009 10 15 - NASA - NASA IBEX Science Update_mTnwjd8CF1c - transcript (automated).pdf","Transcript Link")</f>
        <v>Transcript Link</v>
      </c>
      <c r="M5151" s="2" t="str">
        <f>HYPERLINK("https://files.afu.se/Downloads/Transcripts/0%20-%20Government/USA%20-%20NASA/2009 10 15 - NASA - NASA IBEX Science Update_mTnwjd8CF1c - transcript (automated).pdf","Transcript Link")</f>
        <v>Transcript Link</v>
      </c>
    </row>
    <row r="5152" ht="165" spans="1:13">
      <c r="A5152" s="1" t="s">
        <v>22901</v>
      </c>
      <c r="B5152" s="1" t="s">
        <v>13</v>
      </c>
      <c r="C5152" s="4" t="s">
        <v>22906</v>
      </c>
      <c r="D5152" s="1" t="s">
        <v>22907</v>
      </c>
      <c r="E5152" s="1" t="s">
        <v>22908</v>
      </c>
      <c r="F5152" s="4" t="s">
        <v>17</v>
      </c>
      <c r="G5152" s="1" t="s">
        <v>18</v>
      </c>
      <c r="H5152" s="1" t="s">
        <v>19</v>
      </c>
      <c r="I5152" s="1" t="s">
        <v>20</v>
      </c>
      <c r="J5152" s="1" t="s">
        <v>22909</v>
      </c>
      <c r="K5152" s="1" t="s">
        <v>22</v>
      </c>
      <c r="L5152" s="1" t="str">
        <f>HYPERLINK("https://files.afu.se/Downloads/Transcripts/0%20-%20Government/USA%20-%20NASA/2009 10 15 - NASA - NGC 6240 in 60 Seconds_sugWiV9Slis - transcript (automated).pdf","Transcript Link")</f>
        <v>Transcript Link</v>
      </c>
      <c r="M5152" s="2" t="str">
        <f>HYPERLINK("https://files.afu.se/Downloads/Transcripts/0%20-%20Government/USA%20-%20NASA/2009 10 15 - NASA - NGC 6240 in 60 Seconds_sugWiV9Slis - transcript (automated).pdf","Transcript Link")</f>
        <v>Transcript Link</v>
      </c>
    </row>
    <row r="5153" ht="210" spans="1:13">
      <c r="A5153" s="1" t="s">
        <v>22910</v>
      </c>
      <c r="B5153" s="1" t="s">
        <v>13</v>
      </c>
      <c r="C5153" s="4" t="s">
        <v>22911</v>
      </c>
      <c r="D5153" s="1" t="s">
        <v>22912</v>
      </c>
      <c r="E5153" s="1" t="s">
        <v>22913</v>
      </c>
      <c r="F5153" s="4" t="s">
        <v>17</v>
      </c>
      <c r="G5153" s="1" t="s">
        <v>18</v>
      </c>
      <c r="H5153" s="1" t="s">
        <v>19</v>
      </c>
      <c r="I5153" s="1" t="s">
        <v>20</v>
      </c>
      <c r="J5153" s="1" t="s">
        <v>22914</v>
      </c>
      <c r="K5153" s="1" t="s">
        <v>22</v>
      </c>
      <c r="L5153" s="1" t="str">
        <f>HYPERLINK("https://files.afu.se/Downloads/Transcripts/0%20-%20Government/USA%20-%20NASA/2009 10 11 - NASA - Rice University B-Roll_b650wG8xPS4 - transcript (automated).pdf","Transcript Link")</f>
        <v>Transcript Link</v>
      </c>
      <c r="M5153" s="2" t="str">
        <f>HYPERLINK("https://files.afu.se/Downloads/Transcripts/0%20-%20Government/USA%20-%20NASA/2009 10 11 - NASA - Rice University B-Roll_b650wG8xPS4 - transcript (automated).pdf","Transcript Link")</f>
        <v>Transcript Link</v>
      </c>
    </row>
    <row r="5154" ht="165" spans="1:13">
      <c r="A5154" s="1" t="s">
        <v>22915</v>
      </c>
      <c r="B5154" s="1" t="s">
        <v>13</v>
      </c>
      <c r="C5154" s="4" t="s">
        <v>22916</v>
      </c>
      <c r="D5154" s="1" t="s">
        <v>22917</v>
      </c>
      <c r="E5154" s="1" t="s">
        <v>22918</v>
      </c>
      <c r="F5154" s="4" t="s">
        <v>17</v>
      </c>
      <c r="G5154" s="1" t="s">
        <v>18</v>
      </c>
      <c r="H5154" s="1" t="s">
        <v>19</v>
      </c>
      <c r="I5154" s="1" t="s">
        <v>20</v>
      </c>
      <c r="J5154" s="1" t="s">
        <v>22919</v>
      </c>
      <c r="K5154" s="1" t="s">
        <v>22</v>
      </c>
      <c r="L5154" s="1" t="str">
        <f>HYPERLINK("https://files.afu.se/Downloads/Transcripts/0%20-%20Government/USA%20-%20NASA/2009 10 09 - NASA - LCROSS Post-Impact News Conference_MEV4IoUh_Gk - transcript (automated).pdf","Transcript Link")</f>
        <v>Transcript Link</v>
      </c>
      <c r="M5154" s="2" t="str">
        <f>HYPERLINK("https://files.afu.se/Downloads/Transcripts/0%20-%20Government/USA%20-%20NASA/2009 10 09 - NASA - LCROSS Post-Impact News Conference_MEV4IoUh_Gk - transcript (automated).pdf","Transcript Link")</f>
        <v>Transcript Link</v>
      </c>
    </row>
    <row r="5155" ht="285" spans="1:13">
      <c r="A5155" s="1" t="s">
        <v>22915</v>
      </c>
      <c r="B5155" s="1" t="s">
        <v>13</v>
      </c>
      <c r="C5155" s="4" t="s">
        <v>22920</v>
      </c>
      <c r="D5155" s="1" t="s">
        <v>22921</v>
      </c>
      <c r="E5155" s="1" t="s">
        <v>22922</v>
      </c>
      <c r="F5155" s="4" t="s">
        <v>17</v>
      </c>
      <c r="G5155" s="1" t="s">
        <v>18</v>
      </c>
      <c r="H5155" s="1" t="s">
        <v>19</v>
      </c>
      <c r="I5155" s="1" t="s">
        <v>20</v>
      </c>
      <c r="J5155" s="1" t="s">
        <v>22923</v>
      </c>
      <c r="K5155" s="1" t="s">
        <v>22</v>
      </c>
      <c r="L5155" s="1" t="str">
        <f>HYPERLINK("https://files.afu.se/Downloads/Transcripts/0%20-%20Government/USA%20-%20NASA/2009 10 09 - NASA - LCROSS Lunar Impact_VVYKjR1sJY4 - transcript (automated).pdf","Transcript Link")</f>
        <v>Transcript Link</v>
      </c>
      <c r="M5155" s="2" t="str">
        <f>HYPERLINK("https://files.afu.se/Downloads/Transcripts/0%20-%20Government/USA%20-%20NASA/2009 10 09 - NASA - LCROSS Lunar Impact_VVYKjR1sJY4 - transcript (automated).pdf","Transcript Link")</f>
        <v>Transcript Link</v>
      </c>
    </row>
    <row r="5156" ht="165" spans="1:13">
      <c r="A5156" s="1" t="s">
        <v>22915</v>
      </c>
      <c r="B5156" s="1" t="s">
        <v>13</v>
      </c>
      <c r="C5156" s="4" t="s">
        <v>22924</v>
      </c>
      <c r="D5156" s="1" t="s">
        <v>22925</v>
      </c>
      <c r="E5156" s="1" t="s">
        <v>22926</v>
      </c>
      <c r="F5156" s="4" t="s">
        <v>17</v>
      </c>
      <c r="G5156" s="1" t="s">
        <v>18</v>
      </c>
      <c r="H5156" s="1" t="s">
        <v>19</v>
      </c>
      <c r="I5156" s="1" t="s">
        <v>20</v>
      </c>
      <c r="J5156" s="1" t="s">
        <v>22927</v>
      </c>
      <c r="K5156" s="1" t="s">
        <v>22</v>
      </c>
      <c r="L5156" s="1" t="str">
        <f>HYPERLINK("https://files.afu.se/Downloads/Transcripts/0%20-%20Government/USA%20-%20NASA/2009 10 09 - NASA - NASA SELECTS TARGET CRATER FOR LUNAR IMPACT OF LCROSS SPACECRAFT_eG0APKeWjIA - transcript (automated).pdf","Transcript Link")</f>
        <v>Transcript Link</v>
      </c>
      <c r="M5156" s="2" t="str">
        <f>HYPERLINK("https://files.afu.se/Downloads/Transcripts/0%20-%20Government/USA%20-%20NASA/2009 10 09 - NASA - NASA SELECTS TARGET CRATER FOR LUNAR IMPACT OF LCROSS SPACECRAFT_eG0APKeWjIA - transcript (automated).pdf","Transcript Link")</f>
        <v>Transcript Link</v>
      </c>
    </row>
    <row r="5157" ht="165" spans="1:13">
      <c r="A5157" s="1" t="s">
        <v>22928</v>
      </c>
      <c r="B5157" s="1" t="s">
        <v>13</v>
      </c>
      <c r="C5157" s="4" t="s">
        <v>22929</v>
      </c>
      <c r="D5157" s="1" t="s">
        <v>22930</v>
      </c>
      <c r="E5157" s="1" t="s">
        <v>22931</v>
      </c>
      <c r="F5157" s="4" t="s">
        <v>17</v>
      </c>
      <c r="G5157" s="1" t="s">
        <v>18</v>
      </c>
      <c r="H5157" s="1" t="s">
        <v>19</v>
      </c>
      <c r="I5157" s="1" t="s">
        <v>20</v>
      </c>
      <c r="J5157" s="1" t="s">
        <v>22932</v>
      </c>
      <c r="K5157" s="1" t="s">
        <v>22</v>
      </c>
      <c r="L5157" s="1" t="str">
        <f>HYPERLINK("https://files.afu.se/Downloads/Transcripts/0%20-%20Government/USA%20-%20NASA/2009 10 08 - NASA - Reporters Interview Space Station Crews 100809_iWhFMFi1KXM - transcript (automated).pdf","Transcript Link")</f>
        <v>Transcript Link</v>
      </c>
      <c r="M5157" s="2" t="str">
        <f>HYPERLINK("https://files.afu.se/Downloads/Transcripts/0%20-%20Government/USA%20-%20NASA/2009 10 08 - NASA - Reporters Interview Space Station Crews 100809_iWhFMFi1KXM - transcript (automated).pdf","Transcript Link")</f>
        <v>Transcript Link</v>
      </c>
    </row>
    <row r="5158" ht="195" spans="1:13">
      <c r="A5158" s="1" t="s">
        <v>22928</v>
      </c>
      <c r="B5158" s="1" t="s">
        <v>13</v>
      </c>
      <c r="C5158" s="4" t="s">
        <v>22933</v>
      </c>
      <c r="D5158" s="1" t="s">
        <v>22934</v>
      </c>
      <c r="E5158" s="1" t="s">
        <v>22935</v>
      </c>
      <c r="F5158" s="4" t="s">
        <v>17</v>
      </c>
      <c r="G5158" s="1" t="s">
        <v>18</v>
      </c>
      <c r="H5158" s="1" t="s">
        <v>19</v>
      </c>
      <c r="I5158" s="1" t="s">
        <v>20</v>
      </c>
      <c r="J5158" s="1" t="s">
        <v>22936</v>
      </c>
      <c r="K5158" s="1" t="s">
        <v>22</v>
      </c>
      <c r="L5158" s="1" t="str">
        <f>HYPERLINK("https://files.afu.se/Downloads/Transcripts/0%20-%20Government/USA%20-%20NASA/2009 10 08 - NASA - Astronomy Night At The White House_JSgtXggeUKA - transcript (automated).pdf","Transcript Link")</f>
        <v>Transcript Link</v>
      </c>
      <c r="M5158" s="2" t="str">
        <f>HYPERLINK("https://files.afu.se/Downloads/Transcripts/0%20-%20Government/USA%20-%20NASA/2009 10 08 - NASA - Astronomy Night At The White House_JSgtXggeUKA - transcript (automated).pdf","Transcript Link")</f>
        <v>Transcript Link</v>
      </c>
    </row>
    <row r="5159" ht="210" spans="1:13">
      <c r="A5159" s="1" t="s">
        <v>22937</v>
      </c>
      <c r="B5159" s="1" t="s">
        <v>13</v>
      </c>
      <c r="C5159" s="4" t="s">
        <v>22938</v>
      </c>
      <c r="D5159" s="1" t="s">
        <v>22939</v>
      </c>
      <c r="E5159" s="1" t="s">
        <v>22940</v>
      </c>
      <c r="F5159" s="4" t="s">
        <v>17</v>
      </c>
      <c r="G5159" s="1" t="s">
        <v>18</v>
      </c>
      <c r="H5159" s="1" t="s">
        <v>19</v>
      </c>
      <c r="I5159" s="1" t="s">
        <v>20</v>
      </c>
      <c r="J5159" s="1" t="s">
        <v>22941</v>
      </c>
      <c r="K5159" s="1" t="s">
        <v>22</v>
      </c>
      <c r="L5159" s="1" t="str">
        <f>HYPERLINK("https://files.afu.se/Downloads/Transcripts/0%20-%20Government/USA%20-%20NASA/2009 09 29 - NASA - NASA TV History Emmy Award Video 2009_Cqv5gH5Y5P8 - transcript (automated).pdf","Transcript Link")</f>
        <v>Transcript Link</v>
      </c>
      <c r="M5159" s="2" t="str">
        <f>HYPERLINK("https://files.afu.se/Downloads/Transcripts/0%20-%20Government/USA%20-%20NASA/2009 09 29 - NASA - NASA TV History Emmy Award Video 2009_Cqv5gH5Y5P8 - transcript (automated).pdf","Transcript Link")</f>
        <v>Transcript Link</v>
      </c>
    </row>
    <row r="5160" ht="165" spans="1:13">
      <c r="A5160" s="1" t="s">
        <v>22942</v>
      </c>
      <c r="B5160" s="1" t="s">
        <v>13</v>
      </c>
      <c r="C5160" s="4" t="s">
        <v>22943</v>
      </c>
      <c r="D5160" s="1" t="s">
        <v>22944</v>
      </c>
      <c r="E5160" s="1" t="s">
        <v>22945</v>
      </c>
      <c r="F5160" s="4" t="s">
        <v>17</v>
      </c>
      <c r="G5160" s="1" t="s">
        <v>18</v>
      </c>
      <c r="H5160" s="1" t="s">
        <v>19</v>
      </c>
      <c r="I5160" s="1" t="s">
        <v>20</v>
      </c>
      <c r="J5160" s="1" t="s">
        <v>22946</v>
      </c>
      <c r="K5160" s="1" t="s">
        <v>22</v>
      </c>
      <c r="L5160" s="1" t="str">
        <f>HYPERLINK("https://files.afu.se/Downloads/Transcripts/0%20-%20Government/USA%20-%20NASA/2009 09 25 - NASA - NASA Science Briefing - A New Moon_je0FviGlBz8 - transcript (automated).pdf","Transcript Link")</f>
        <v>Transcript Link</v>
      </c>
      <c r="M5160" s="2" t="str">
        <f>HYPERLINK("https://files.afu.se/Downloads/Transcripts/0%20-%20Government/USA%20-%20NASA/2009 09 25 - NASA - NASA Science Briefing - A New Moon_je0FviGlBz8 - transcript (automated).pdf","Transcript Link")</f>
        <v>Transcript Link</v>
      </c>
    </row>
    <row r="5161" ht="165" spans="1:13">
      <c r="A5161" s="1" t="s">
        <v>22947</v>
      </c>
      <c r="B5161" s="1" t="s">
        <v>13</v>
      </c>
      <c r="C5161" s="4" t="s">
        <v>22948</v>
      </c>
      <c r="D5161" s="1" t="s">
        <v>22949</v>
      </c>
      <c r="E5161" s="1" t="s">
        <v>22950</v>
      </c>
      <c r="F5161" s="4" t="s">
        <v>17</v>
      </c>
      <c r="G5161" s="1" t="s">
        <v>18</v>
      </c>
      <c r="H5161" s="1" t="s">
        <v>19</v>
      </c>
      <c r="I5161" s="1" t="s">
        <v>20</v>
      </c>
      <c r="J5161" s="1" t="s">
        <v>22951</v>
      </c>
      <c r="K5161" s="1" t="s">
        <v>22</v>
      </c>
      <c r="L5161" s="1" t="str">
        <f>HYPERLINK("https://files.afu.se/Downloads/Transcripts/0%20-%20Government/USA%20-%20NASA/2009 09 16 - NASA - Desert Rats MJ Steady Interview_LTfJOa9BLak - transcript (automated).pdf","Transcript Link")</f>
        <v>Transcript Link</v>
      </c>
      <c r="M5161" s="2" t="str">
        <f>HYPERLINK("https://files.afu.se/Downloads/Transcripts/0%20-%20Government/USA%20-%20NASA/2009 09 16 - NASA - Desert Rats MJ Steady Interview_LTfJOa9BLak - transcript (automated).pdf","Transcript Link")</f>
        <v>Transcript Link</v>
      </c>
    </row>
    <row r="5162" ht="165" spans="1:13">
      <c r="A5162" s="1" t="s">
        <v>22947</v>
      </c>
      <c r="B5162" s="1" t="s">
        <v>13</v>
      </c>
      <c r="C5162" s="4" t="s">
        <v>22952</v>
      </c>
      <c r="D5162" s="1" t="s">
        <v>22953</v>
      </c>
      <c r="E5162" s="1" t="s">
        <v>22954</v>
      </c>
      <c r="F5162" s="4" t="s">
        <v>17</v>
      </c>
      <c r="G5162" s="1" t="s">
        <v>18</v>
      </c>
      <c r="H5162" s="1" t="s">
        <v>19</v>
      </c>
      <c r="I5162" s="1" t="s">
        <v>20</v>
      </c>
      <c r="J5162" s="1" t="s">
        <v>22955</v>
      </c>
      <c r="K5162" s="1" t="s">
        <v>22</v>
      </c>
      <c r="L5162" s="1" t="str">
        <f>HYPERLINK("https://files.afu.se/Downloads/Transcripts/0%20-%20Government/USA%20-%20NASA/2009 09 16 - NASA - Desert Rats Joe Kosmo interview_gm9TS-Qy8aE - transcript (automated).pdf","Transcript Link")</f>
        <v>Transcript Link</v>
      </c>
      <c r="M5162" s="2" t="str">
        <f>HYPERLINK("https://files.afu.se/Downloads/Transcripts/0%20-%20Government/USA%20-%20NASA/2009 09 16 - NASA - Desert Rats Joe Kosmo interview_gm9TS-Qy8aE - transcript (automated).pdf","Transcript Link")</f>
        <v>Transcript Link</v>
      </c>
    </row>
    <row r="5163" ht="165" spans="1:13">
      <c r="A5163" s="1" t="s">
        <v>22947</v>
      </c>
      <c r="B5163" s="1" t="s">
        <v>13</v>
      </c>
      <c r="C5163" s="4" t="s">
        <v>22956</v>
      </c>
      <c r="D5163" s="1" t="s">
        <v>22957</v>
      </c>
      <c r="E5163" s="1" t="s">
        <v>22958</v>
      </c>
      <c r="F5163" s="4" t="s">
        <v>17</v>
      </c>
      <c r="G5163" s="1" t="s">
        <v>18</v>
      </c>
      <c r="H5163" s="1" t="s">
        <v>19</v>
      </c>
      <c r="I5163" s="1" t="s">
        <v>20</v>
      </c>
      <c r="J5163" s="1" t="s">
        <v>22959</v>
      </c>
      <c r="K5163" s="1" t="s">
        <v>22</v>
      </c>
      <c r="L5163" s="1" t="str">
        <f>HYPERLINK("https://files.afu.se/Downloads/Transcripts/0%20-%20Government/USA%20-%20NASA/2009 09 16 - NASA - NASA Completes Desert Lunar Rover Testing_oqfAyAVSFJI - transcript (automated).pdf","Transcript Link")</f>
        <v>Transcript Link</v>
      </c>
      <c r="M5163" s="2" t="str">
        <f>HYPERLINK("https://files.afu.se/Downloads/Transcripts/0%20-%20Government/USA%20-%20NASA/2009 09 16 - NASA - NASA Completes Desert Lunar Rover Testing_oqfAyAVSFJI - transcript (automated).pdf","Transcript Link")</f>
        <v>Transcript Link</v>
      </c>
    </row>
    <row r="5164" ht="165" spans="1:13">
      <c r="A5164" s="1" t="s">
        <v>22960</v>
      </c>
      <c r="B5164" s="1" t="s">
        <v>13</v>
      </c>
      <c r="C5164" s="4" t="s">
        <v>22961</v>
      </c>
      <c r="D5164" s="1" t="s">
        <v>22962</v>
      </c>
      <c r="E5164" s="1" t="s">
        <v>22963</v>
      </c>
      <c r="F5164" s="4" t="s">
        <v>17</v>
      </c>
      <c r="G5164" s="1" t="s">
        <v>18</v>
      </c>
      <c r="H5164" s="1" t="s">
        <v>19</v>
      </c>
      <c r="I5164" s="1" t="s">
        <v>20</v>
      </c>
      <c r="J5164" s="1" t="s">
        <v>22964</v>
      </c>
      <c r="K5164" s="1" t="s">
        <v>22</v>
      </c>
      <c r="L5164" s="1" t="str">
        <f>HYPERLINK("https://files.afu.se/Downloads/Transcripts/0%20-%20Government/USA%20-%20NASA/2009 09 14 - NASA - Desert Rats Wheels_eqwREzgsDBA - transcript (automated).pdf","Transcript Link")</f>
        <v>Transcript Link</v>
      </c>
      <c r="M5164" s="2" t="str">
        <f>HYPERLINK("https://files.afu.se/Downloads/Transcripts/0%20-%20Government/USA%20-%20NASA/2009 09 14 - NASA - Desert Rats Wheels_eqwREzgsDBA - transcript (automated).pdf","Transcript Link")</f>
        <v>Transcript Link</v>
      </c>
    </row>
    <row r="5165" ht="165" spans="1:13">
      <c r="A5165" s="1" t="s">
        <v>22965</v>
      </c>
      <c r="B5165" s="1" t="s">
        <v>13</v>
      </c>
      <c r="C5165" s="4" t="s">
        <v>22966</v>
      </c>
      <c r="D5165" s="1" t="s">
        <v>22967</v>
      </c>
      <c r="F5165" s="4" t="s">
        <v>17</v>
      </c>
      <c r="G5165" s="1" t="s">
        <v>18</v>
      </c>
      <c r="H5165" s="1" t="s">
        <v>19</v>
      </c>
      <c r="I5165" s="1" t="s">
        <v>20</v>
      </c>
      <c r="J5165" s="1" t="s">
        <v>22968</v>
      </c>
      <c r="K5165" s="1" t="s">
        <v>22</v>
      </c>
      <c r="L5165" s="1" t="str">
        <f>HYPERLINK("https://files.afu.se/Downloads/Transcripts/0%20-%20Government/USA%20-%20NASA/2009 09 12 - NASA - STS-128 Mission Highlights_7CRVdsVIKnY - transcript (automated).pdf","Transcript Link")</f>
        <v>Transcript Link</v>
      </c>
      <c r="M5165" s="2" t="str">
        <f>HYPERLINK("https://files.afu.se/Downloads/Transcripts/0%20-%20Government/USA%20-%20NASA/2009 09 12 - NASA - STS-128 Mission Highlights_7CRVdsVIKnY - transcript (automated).pdf","Transcript Link")</f>
        <v>Transcript Link</v>
      </c>
    </row>
    <row r="5166" ht="165" spans="1:13">
      <c r="A5166" s="1" t="s">
        <v>22965</v>
      </c>
      <c r="B5166" s="1" t="s">
        <v>13</v>
      </c>
      <c r="C5166" s="4" t="s">
        <v>22969</v>
      </c>
      <c r="D5166" s="1" t="s">
        <v>22970</v>
      </c>
      <c r="E5166" s="1" t="s">
        <v>22971</v>
      </c>
      <c r="F5166" s="4" t="s">
        <v>17</v>
      </c>
      <c r="G5166" s="1" t="s">
        <v>18</v>
      </c>
      <c r="H5166" s="1" t="s">
        <v>19</v>
      </c>
      <c r="I5166" s="1" t="s">
        <v>20</v>
      </c>
      <c r="J5166" s="1" t="s">
        <v>22972</v>
      </c>
      <c r="K5166" s="1" t="s">
        <v>22</v>
      </c>
      <c r="L5166" s="1" t="str">
        <f>HYPERLINK("https://files.afu.se/Downloads/Transcripts/0%20-%20Government/USA%20-%20NASA/2009 09 12 - NASA - STS-128 Landing_V53LU_IWgqo - transcript (automated).pdf","Transcript Link")</f>
        <v>Transcript Link</v>
      </c>
      <c r="M5166" s="2" t="str">
        <f>HYPERLINK("https://files.afu.se/Downloads/Transcripts/0%20-%20Government/USA%20-%20NASA/2009 09 12 - NASA - STS-128 Landing_V53LU_IWgqo - transcript (automated).pdf","Transcript Link")</f>
        <v>Transcript Link</v>
      </c>
    </row>
    <row r="5167" ht="165" spans="1:13">
      <c r="A5167" s="1" t="s">
        <v>22973</v>
      </c>
      <c r="B5167" s="1" t="s">
        <v>13</v>
      </c>
      <c r="C5167" s="4" t="s">
        <v>22974</v>
      </c>
      <c r="D5167" s="1" t="s">
        <v>22975</v>
      </c>
      <c r="F5167" s="4" t="s">
        <v>17</v>
      </c>
      <c r="G5167" s="1" t="s">
        <v>18</v>
      </c>
      <c r="H5167" s="1" t="s">
        <v>19</v>
      </c>
      <c r="I5167" s="1" t="s">
        <v>20</v>
      </c>
      <c r="J5167" s="1" t="s">
        <v>22976</v>
      </c>
      <c r="K5167" s="1" t="s">
        <v>22</v>
      </c>
      <c r="L5167" s="1" t="str">
        <f>HYPERLINK("https://files.afu.se/Downloads/Transcripts/0%20-%20Government/USA%20-%20NASA/2009 09 11 - NASA - LCROSS Impact Crater Selection Briefing_Y9RAWPBoi3I - transcript (automated).pdf","Transcript Link")</f>
        <v>Transcript Link</v>
      </c>
      <c r="M5167" s="2" t="str">
        <f>HYPERLINK("https://files.afu.se/Downloads/Transcripts/0%20-%20Government/USA%20-%20NASA/2009 09 11 - NASA - LCROSS Impact Crater Selection Briefing_Y9RAWPBoi3I - transcript (automated).pdf","Transcript Link")</f>
        <v>Transcript Link</v>
      </c>
    </row>
    <row r="5168" ht="165" spans="1:13">
      <c r="A5168" s="1" t="s">
        <v>22977</v>
      </c>
      <c r="B5168" s="1" t="s">
        <v>13</v>
      </c>
      <c r="C5168" s="4" t="s">
        <v>22978</v>
      </c>
      <c r="D5168" s="1" t="s">
        <v>22979</v>
      </c>
      <c r="E5168" s="1" t="s">
        <v>22980</v>
      </c>
      <c r="F5168" s="4" t="s">
        <v>17</v>
      </c>
      <c r="G5168" s="1" t="s">
        <v>18</v>
      </c>
      <c r="H5168" s="1" t="s">
        <v>19</v>
      </c>
      <c r="I5168" s="1" t="s">
        <v>20</v>
      </c>
      <c r="J5168" s="1" t="s">
        <v>22981</v>
      </c>
      <c r="K5168" s="1" t="s">
        <v>22</v>
      </c>
      <c r="L5168" s="1" t="str">
        <f>HYPERLINK("https://files.afu.se/Downloads/Transcripts/0%20-%20Government/USA%20-%20NASA/2009 09 10 - NASA - STS-128 Mission Status Briefing 090909_DdkIN944Y98 - transcript (automated).pdf","Transcript Link")</f>
        <v>Transcript Link</v>
      </c>
      <c r="M5168" s="2" t="str">
        <f>HYPERLINK("https://files.afu.se/Downloads/Transcripts/0%20-%20Government/USA%20-%20NASA/2009 09 10 - NASA - STS-128 Mission Status Briefing 090909_DdkIN944Y98 - transcript (automated).pdf","Transcript Link")</f>
        <v>Transcript Link</v>
      </c>
    </row>
    <row r="5169" ht="165" spans="1:13">
      <c r="A5169" s="1" t="s">
        <v>22982</v>
      </c>
      <c r="B5169" s="1" t="s">
        <v>13</v>
      </c>
      <c r="C5169" s="4" t="s">
        <v>22983</v>
      </c>
      <c r="D5169" s="1" t="s">
        <v>22984</v>
      </c>
      <c r="E5169" s="1" t="s">
        <v>22985</v>
      </c>
      <c r="F5169" s="4" t="s">
        <v>17</v>
      </c>
      <c r="G5169" s="1" t="s">
        <v>18</v>
      </c>
      <c r="H5169" s="1" t="s">
        <v>19</v>
      </c>
      <c r="I5169" s="1" t="s">
        <v>20</v>
      </c>
      <c r="J5169" s="1" t="s">
        <v>22986</v>
      </c>
      <c r="K5169" s="1" t="s">
        <v>22</v>
      </c>
      <c r="L5169" s="1" t="str">
        <f>HYPERLINK("https://files.afu.se/Downloads/Transcripts/0%20-%20Government/USA%20-%20NASA/2009 09 09 - NASA - Hubble  A New Beginning News Conference 090909_ZUl5oMfjq0A - transcript (automated).pdf","Transcript Link")</f>
        <v>Transcript Link</v>
      </c>
      <c r="M5169" s="2" t="str">
        <f>HYPERLINK("https://files.afu.se/Downloads/Transcripts/0%20-%20Government/USA%20-%20NASA/2009 09 09 - NASA - Hubble  A New Beginning News Conference 090909_ZUl5oMfjq0A - transcript (automated).pdf","Transcript Link")</f>
        <v>Transcript Link</v>
      </c>
    </row>
    <row r="5170" ht="165" spans="1:13">
      <c r="A5170" s="1" t="s">
        <v>22982</v>
      </c>
      <c r="B5170" s="1" t="s">
        <v>13</v>
      </c>
      <c r="C5170" s="4" t="s">
        <v>22987</v>
      </c>
      <c r="D5170" s="1" t="s">
        <v>22988</v>
      </c>
      <c r="E5170" s="1" t="s">
        <v>22989</v>
      </c>
      <c r="F5170" s="4" t="s">
        <v>17</v>
      </c>
      <c r="G5170" s="1" t="s">
        <v>18</v>
      </c>
      <c r="H5170" s="1" t="s">
        <v>19</v>
      </c>
      <c r="I5170" s="1" t="s">
        <v>20</v>
      </c>
      <c r="J5170" s="1" t="s">
        <v>22990</v>
      </c>
      <c r="K5170" s="1" t="s">
        <v>22</v>
      </c>
      <c r="L5170" s="1" t="str">
        <f>HYPERLINK("https://files.afu.se/Downloads/Transcripts/0%20-%20Government/USA%20-%20NASA/2009 09 09 - NASA - Hubble Time_1j3nQv-LSOc - transcript (automated).pdf","Transcript Link")</f>
        <v>Transcript Link</v>
      </c>
      <c r="M5170" s="2" t="str">
        <f>HYPERLINK("https://files.afu.se/Downloads/Transcripts/0%20-%20Government/USA%20-%20NASA/2009 09 09 - NASA - Hubble Time_1j3nQv-LSOc - transcript (automated).pdf","Transcript Link")</f>
        <v>Transcript Link</v>
      </c>
    </row>
    <row r="5171" ht="195" spans="1:13">
      <c r="A5171" s="1" t="s">
        <v>22991</v>
      </c>
      <c r="B5171" s="1" t="s">
        <v>13</v>
      </c>
      <c r="C5171" s="4" t="s">
        <v>22992</v>
      </c>
      <c r="D5171" s="1" t="s">
        <v>22993</v>
      </c>
      <c r="E5171" s="1" t="s">
        <v>22994</v>
      </c>
      <c r="F5171" s="4" t="s">
        <v>17</v>
      </c>
      <c r="G5171" s="1" t="s">
        <v>18</v>
      </c>
      <c r="H5171" s="1" t="s">
        <v>19</v>
      </c>
      <c r="I5171" s="1" t="s">
        <v>20</v>
      </c>
      <c r="J5171" s="1" t="s">
        <v>22995</v>
      </c>
      <c r="K5171" s="1" t="s">
        <v>22</v>
      </c>
      <c r="L5171" s="1" t="str">
        <f>HYPERLINK("https://files.afu.se/Downloads/Transcripts/0%20-%20Government/USA%20-%20NASA/2009 09 04 - NASA - The Leading Edge  NASA Aeronautics_m3cu-NsfX2A - transcript (automated).pdf","Transcript Link")</f>
        <v>Transcript Link</v>
      </c>
      <c r="M5171" s="2" t="str">
        <f>HYPERLINK("https://files.afu.se/Downloads/Transcripts/0%20-%20Government/USA%20-%20NASA/2009 09 04 - NASA - The Leading Edge  NASA Aeronautics_m3cu-NsfX2A - transcript (automated).pdf","Transcript Link")</f>
        <v>Transcript Link</v>
      </c>
    </row>
    <row r="5172" ht="285" spans="1:13">
      <c r="A5172" s="1" t="s">
        <v>22996</v>
      </c>
      <c r="B5172" s="1" t="s">
        <v>13</v>
      </c>
      <c r="C5172" s="4" t="s">
        <v>22997</v>
      </c>
      <c r="D5172" s="1" t="s">
        <v>22998</v>
      </c>
      <c r="E5172" s="1" t="s">
        <v>22999</v>
      </c>
      <c r="F5172" s="4" t="s">
        <v>17</v>
      </c>
      <c r="G5172" s="1" t="s">
        <v>18</v>
      </c>
      <c r="H5172" s="1" t="s">
        <v>19</v>
      </c>
      <c r="I5172" s="1" t="s">
        <v>20</v>
      </c>
      <c r="J5172" s="1" t="s">
        <v>23000</v>
      </c>
      <c r="K5172" s="1" t="s">
        <v>22</v>
      </c>
      <c r="L5172" s="1" t="str">
        <f>HYPERLINK("https://files.afu.se/Downloads/Transcripts/0%20-%20Government/USA%20-%20NASA/2009 08 30 - NASA - STS-128 HD Launch_KBLPkxhSGlM - transcript (automated).pdf","Transcript Link")</f>
        <v>Transcript Link</v>
      </c>
      <c r="M5172" s="2" t="str">
        <f>HYPERLINK("https://files.afu.se/Downloads/Transcripts/0%20-%20Government/USA%20-%20NASA/2009 08 30 - NASA - STS-128 HD Launch_KBLPkxhSGlM - transcript (automated).pdf","Transcript Link")</f>
        <v>Transcript Link</v>
      </c>
    </row>
    <row r="5173" ht="165" spans="1:13">
      <c r="A5173" s="1" t="s">
        <v>23001</v>
      </c>
      <c r="B5173" s="1" t="s">
        <v>13</v>
      </c>
      <c r="C5173" s="4" t="s">
        <v>23002</v>
      </c>
      <c r="D5173" s="1" t="s">
        <v>23003</v>
      </c>
      <c r="E5173" s="1" t="s">
        <v>23004</v>
      </c>
      <c r="F5173" s="4" t="s">
        <v>17</v>
      </c>
      <c r="G5173" s="1" t="s">
        <v>18</v>
      </c>
      <c r="H5173" s="1" t="s">
        <v>19</v>
      </c>
      <c r="I5173" s="1" t="s">
        <v>20</v>
      </c>
      <c r="J5173" s="1" t="s">
        <v>23005</v>
      </c>
      <c r="K5173" s="1" t="s">
        <v>22</v>
      </c>
      <c r="L5173" s="1" t="str">
        <f>HYPERLINK("https://files.afu.se/Downloads/Transcripts/0%20-%20Government/USA%20-%20NASA/2009 08 21 - NASA - The Colbert Report - Greetings NASA_5Tnq4TJYN7A - transcript (automated).pdf","Transcript Link")</f>
        <v>Transcript Link</v>
      </c>
      <c r="M5173" s="2" t="str">
        <f>HYPERLINK("https://files.afu.se/Downloads/Transcripts/0%20-%20Government/USA%20-%20NASA/2009 08 21 - NASA - The Colbert Report - Greetings NASA_5Tnq4TJYN7A - transcript (automated).pdf","Transcript Link")</f>
        <v>Transcript Link</v>
      </c>
    </row>
    <row r="5174" ht="165" spans="1:13">
      <c r="A5174" s="1" t="s">
        <v>23006</v>
      </c>
      <c r="B5174" s="1" t="s">
        <v>13</v>
      </c>
      <c r="C5174" s="4" t="s">
        <v>23007</v>
      </c>
      <c r="D5174" s="1" t="s">
        <v>23008</v>
      </c>
      <c r="E5174" s="1" t="s">
        <v>23009</v>
      </c>
      <c r="F5174" s="4" t="s">
        <v>17</v>
      </c>
      <c r="G5174" s="1" t="s">
        <v>18</v>
      </c>
      <c r="H5174" s="1" t="s">
        <v>19</v>
      </c>
      <c r="I5174" s="1" t="s">
        <v>20</v>
      </c>
      <c r="J5174" s="1" t="s">
        <v>23010</v>
      </c>
      <c r="K5174" s="1" t="s">
        <v>22</v>
      </c>
      <c r="L5174" s="1" t="str">
        <f>HYPERLINK("https://files.afu.se/Downloads/Transcripts/0%20-%20Government/USA%20-%20NASA/2009 08 12 - NASA - How to Build a Planet_1-ibOQM7Ua0 - transcript (automated).pdf","Transcript Link")</f>
        <v>Transcript Link</v>
      </c>
      <c r="M5174" s="2" t="str">
        <f>HYPERLINK("https://files.afu.se/Downloads/Transcripts/0%20-%20Government/USA%20-%20NASA/2009 08 12 - NASA - How to Build a Planet_1-ibOQM7Ua0 - transcript (automated).pdf","Transcript Link")</f>
        <v>Transcript Link</v>
      </c>
    </row>
    <row r="5175" ht="165" spans="1:13">
      <c r="A5175" s="1" t="s">
        <v>23006</v>
      </c>
      <c r="B5175" s="1" t="s">
        <v>13</v>
      </c>
      <c r="C5175" s="4" t="s">
        <v>23011</v>
      </c>
      <c r="D5175" s="1" t="s">
        <v>23012</v>
      </c>
      <c r="E5175" s="1" t="s">
        <v>23013</v>
      </c>
      <c r="F5175" s="4" t="s">
        <v>17</v>
      </c>
      <c r="G5175" s="1" t="s">
        <v>18</v>
      </c>
      <c r="H5175" s="1" t="s">
        <v>19</v>
      </c>
      <c r="I5175" s="1" t="s">
        <v>20</v>
      </c>
      <c r="J5175" s="1" t="s">
        <v>23014</v>
      </c>
      <c r="K5175" s="1" t="s">
        <v>22</v>
      </c>
      <c r="L5175" s="1" t="str">
        <f>HYPERLINK("https://files.afu.se/Downloads/Transcripts/0%20-%20Government/USA%20-%20NASA/2009 08 12 - NASA - Sentinels of the Heliosphere_5VH3Y-OfHnI - transcript (automated).pdf","Transcript Link")</f>
        <v>Transcript Link</v>
      </c>
      <c r="M5175" s="2" t="str">
        <f>HYPERLINK("https://files.afu.se/Downloads/Transcripts/0%20-%20Government/USA%20-%20NASA/2009 08 12 - NASA - Sentinels of the Heliosphere_5VH3Y-OfHnI - transcript (automated).pdf","Transcript Link")</f>
        <v>Transcript Link</v>
      </c>
    </row>
    <row r="5176" ht="165" spans="1:13">
      <c r="A5176" s="1" t="s">
        <v>23006</v>
      </c>
      <c r="B5176" s="1" t="s">
        <v>13</v>
      </c>
      <c r="C5176" s="4" t="s">
        <v>23015</v>
      </c>
      <c r="D5176" s="1" t="s">
        <v>23016</v>
      </c>
      <c r="E5176" s="1" t="s">
        <v>23017</v>
      </c>
      <c r="F5176" s="4" t="s">
        <v>17</v>
      </c>
      <c r="G5176" s="1" t="s">
        <v>18</v>
      </c>
      <c r="H5176" s="1" t="s">
        <v>19</v>
      </c>
      <c r="I5176" s="1" t="s">
        <v>20</v>
      </c>
      <c r="J5176" s="1" t="s">
        <v>23018</v>
      </c>
      <c r="K5176" s="1" t="s">
        <v>22</v>
      </c>
      <c r="L5176" s="1" t="str">
        <f>HYPERLINK("https://files.afu.se/Downloads/Transcripts/0%20-%20Government/USA%20-%20NASA/2009 08 12 - NASA - Little SDO Tons of Data_mTDYHbW8DdI - transcript (automated).pdf","Transcript Link")</f>
        <v>Transcript Link</v>
      </c>
      <c r="M5176" s="2" t="str">
        <f>HYPERLINK("https://files.afu.se/Downloads/Transcripts/0%20-%20Government/USA%20-%20NASA/2009 08 12 - NASA - Little SDO Tons of Data_mTDYHbW8DdI - transcript (automated).pdf","Transcript Link")</f>
        <v>Transcript Link</v>
      </c>
    </row>
    <row r="5177" ht="165" spans="1:13">
      <c r="A5177" s="1" t="s">
        <v>23006</v>
      </c>
      <c r="B5177" s="1" t="s">
        <v>13</v>
      </c>
      <c r="C5177" s="4" t="s">
        <v>23019</v>
      </c>
      <c r="D5177" s="1" t="s">
        <v>23020</v>
      </c>
      <c r="E5177" s="1" t="s">
        <v>23021</v>
      </c>
      <c r="F5177" s="4" t="s">
        <v>17</v>
      </c>
      <c r="G5177" s="1" t="s">
        <v>18</v>
      </c>
      <c r="H5177" s="1" t="s">
        <v>19</v>
      </c>
      <c r="I5177" s="1" t="s">
        <v>20</v>
      </c>
      <c r="J5177" s="1" t="s">
        <v>23022</v>
      </c>
      <c r="K5177" s="1" t="s">
        <v>22</v>
      </c>
      <c r="L5177" s="1" t="str">
        <f>HYPERLINK("https://files.afu.se/Downloads/Transcripts/0%20-%20Government/USA%20-%20NASA/2009 08 12 - NASA - Overview of NASA's SDO Mission_dLQsQUopFfA - transcript (automated).pdf","Transcript Link")</f>
        <v>Transcript Link</v>
      </c>
      <c r="M5177" s="2" t="str">
        <f>HYPERLINK("https://files.afu.se/Downloads/Transcripts/0%20-%20Government/USA%20-%20NASA/2009 08 12 - NASA - Overview of NASA's SDO Mission_dLQsQUopFfA - transcript (automated).pdf","Transcript Link")</f>
        <v>Transcript Link</v>
      </c>
    </row>
    <row r="5178" ht="345" spans="1:13">
      <c r="A5178" s="1" t="s">
        <v>23006</v>
      </c>
      <c r="B5178" s="1" t="s">
        <v>13</v>
      </c>
      <c r="C5178" s="4" t="s">
        <v>23023</v>
      </c>
      <c r="D5178" s="1" t="s">
        <v>23024</v>
      </c>
      <c r="E5178" s="1" t="s">
        <v>23025</v>
      </c>
      <c r="F5178" s="4" t="s">
        <v>17</v>
      </c>
      <c r="G5178" s="1" t="s">
        <v>18</v>
      </c>
      <c r="H5178" s="1" t="s">
        <v>19</v>
      </c>
      <c r="I5178" s="1" t="s">
        <v>20</v>
      </c>
      <c r="J5178" s="1" t="s">
        <v>23026</v>
      </c>
      <c r="K5178" s="1" t="s">
        <v>22</v>
      </c>
      <c r="L5178" s="1" t="str">
        <f>HYPERLINK("https://files.afu.se/Downloads/Transcripts/0%20-%20Government/USA%20-%20NASA/2009 08 12 - NASA - Introductory Trailer to Chandra_pJmCEVA1UUk - transcript (automated).pdf","Transcript Link")</f>
        <v>Transcript Link</v>
      </c>
      <c r="M5178" s="2" t="str">
        <f>HYPERLINK("https://files.afu.se/Downloads/Transcripts/0%20-%20Government/USA%20-%20NASA/2009 08 12 - NASA - Introductory Trailer to Chandra_pJmCEVA1UUk - transcript (automated).pdf","Transcript Link")</f>
        <v>Transcript Link</v>
      </c>
    </row>
    <row r="5179" ht="180" spans="1:13">
      <c r="A5179" s="1" t="s">
        <v>23027</v>
      </c>
      <c r="B5179" s="1" t="s">
        <v>13</v>
      </c>
      <c r="C5179" s="4" t="s">
        <v>23028</v>
      </c>
      <c r="D5179" s="1" t="s">
        <v>23029</v>
      </c>
      <c r="E5179" s="1" t="s">
        <v>23030</v>
      </c>
      <c r="F5179" s="4" t="s">
        <v>17</v>
      </c>
      <c r="G5179" s="1" t="s">
        <v>18</v>
      </c>
      <c r="H5179" s="1" t="s">
        <v>19</v>
      </c>
      <c r="I5179" s="1" t="s">
        <v>20</v>
      </c>
      <c r="J5179" s="1" t="s">
        <v>23031</v>
      </c>
      <c r="K5179" s="1" t="s">
        <v>22</v>
      </c>
      <c r="L5179" s="1" t="str">
        <f>HYPERLINK("https://files.afu.se/Downloads/Transcripts/0%20-%20Government/USA%20-%20NASA/2009 08 03 - NASA - The Vision of Next Gen_Maic3IzHSew - transcript (automated).pdf","Transcript Link")</f>
        <v>Transcript Link</v>
      </c>
      <c r="M5179" s="2" t="str">
        <f>HYPERLINK("https://files.afu.se/Downloads/Transcripts/0%20-%20Government/USA%20-%20NASA/2009 08 03 - NASA - The Vision of Next Gen_Maic3IzHSew - transcript (automated).pdf","Transcript Link")</f>
        <v>Transcript Link</v>
      </c>
    </row>
    <row r="5180" ht="165" spans="1:13">
      <c r="A5180" s="1" t="s">
        <v>23032</v>
      </c>
      <c r="B5180" s="1" t="s">
        <v>13</v>
      </c>
      <c r="C5180" s="4" t="s">
        <v>23033</v>
      </c>
      <c r="D5180" s="1" t="s">
        <v>23034</v>
      </c>
      <c r="E5180" s="1" t="s">
        <v>23035</v>
      </c>
      <c r="F5180" s="4" t="s">
        <v>17</v>
      </c>
      <c r="G5180" s="1" t="s">
        <v>18</v>
      </c>
      <c r="H5180" s="1" t="s">
        <v>19</v>
      </c>
      <c r="I5180" s="1" t="s">
        <v>20</v>
      </c>
      <c r="J5180" s="1" t="s">
        <v>23036</v>
      </c>
      <c r="K5180" s="1" t="s">
        <v>22</v>
      </c>
      <c r="L5180" s="1" t="str">
        <f>HYPERLINK("https://files.afu.se/Downloads/Transcripts/0%20-%20Government/USA%20-%20NASA/2009 07 24 - NASA - This Week @ NASA 07 24 09_eJlIzRzaJec - transcript (automated).pdf","Transcript Link")</f>
        <v>Transcript Link</v>
      </c>
      <c r="M5180" s="2" t="str">
        <f>HYPERLINK("https://files.afu.se/Downloads/Transcripts/0%20-%20Government/USA%20-%20NASA/2009 07 24 - NASA - This Week @ NASA 07 24 09_eJlIzRzaJec - transcript (automated).pdf","Transcript Link")</f>
        <v>Transcript Link</v>
      </c>
    </row>
    <row r="5181" ht="210" spans="1:13">
      <c r="A5181" s="1" t="s">
        <v>23037</v>
      </c>
      <c r="B5181" s="1" t="s">
        <v>13</v>
      </c>
      <c r="C5181" s="4" t="s">
        <v>23038</v>
      </c>
      <c r="D5181" s="1" t="s">
        <v>23039</v>
      </c>
      <c r="E5181" s="1" t="s">
        <v>23040</v>
      </c>
      <c r="F5181" s="4" t="s">
        <v>17</v>
      </c>
      <c r="G5181" s="1" t="s">
        <v>18</v>
      </c>
      <c r="H5181" s="1" t="s">
        <v>19</v>
      </c>
      <c r="I5181" s="1" t="s">
        <v>20</v>
      </c>
      <c r="J5181" s="1" t="s">
        <v>23041</v>
      </c>
      <c r="K5181" s="1" t="s">
        <v>22</v>
      </c>
      <c r="L5181" s="1" t="str">
        <f>HYPERLINK("https://files.afu.se/Downloads/Transcripts/0%20-%20Government/USA%20-%20NASA/2009 07 20 - NASA - The Apollo Legacy - The Moon and Beyond 7 20 09_0UWTynMJdvw - transcript (automated).pdf","Transcript Link")</f>
        <v>Transcript Link</v>
      </c>
      <c r="M5181" s="2" t="str">
        <f>HYPERLINK("https://files.afu.se/Downloads/Transcripts/0%20-%20Government/USA%20-%20NASA/2009 07 20 - NASA - The Apollo Legacy - The Moon and Beyond 7 20 09_0UWTynMJdvw - transcript (automated).pdf","Transcript Link")</f>
        <v>Transcript Link</v>
      </c>
    </row>
    <row r="5182" ht="165" spans="1:13">
      <c r="A5182" s="1" t="s">
        <v>23037</v>
      </c>
      <c r="B5182" s="1" t="s">
        <v>13</v>
      </c>
      <c r="C5182" s="4" t="s">
        <v>23042</v>
      </c>
      <c r="D5182" s="1" t="s">
        <v>23043</v>
      </c>
      <c r="F5182" s="4" t="s">
        <v>17</v>
      </c>
      <c r="G5182" s="1" t="s">
        <v>18</v>
      </c>
      <c r="H5182" s="1" t="s">
        <v>19</v>
      </c>
      <c r="I5182" s="1" t="s">
        <v>20</v>
      </c>
      <c r="J5182" s="1" t="s">
        <v>23044</v>
      </c>
      <c r="K5182" s="1" t="s">
        <v>22</v>
      </c>
      <c r="L5182" s="1" t="str">
        <f>HYPERLINK("https://files.afu.se/Downloads/Transcripts/0%20-%20Government/USA%20-%20NASA/2009 07 20 - NASA - Apollo 40th Anniversary Press Conference_4A8BEIVa1rM - transcript (automated).pdf","Transcript Link")</f>
        <v>Transcript Link</v>
      </c>
      <c r="M5182" s="2" t="str">
        <f>HYPERLINK("https://files.afu.se/Downloads/Transcripts/0%20-%20Government/USA%20-%20NASA/2009 07 20 - NASA - Apollo 40th Anniversary Press Conference_4A8BEIVa1rM - transcript (automated).pdf","Transcript Link")</f>
        <v>Transcript Link</v>
      </c>
    </row>
    <row r="5183" ht="165" spans="1:13">
      <c r="A5183" s="1" t="s">
        <v>23045</v>
      </c>
      <c r="B5183" s="1" t="s">
        <v>13</v>
      </c>
      <c r="C5183" s="4" t="s">
        <v>23046</v>
      </c>
      <c r="D5183" s="1" t="s">
        <v>23047</v>
      </c>
      <c r="F5183" s="4" t="s">
        <v>17</v>
      </c>
      <c r="G5183" s="1" t="s">
        <v>18</v>
      </c>
      <c r="H5183" s="1" t="s">
        <v>19</v>
      </c>
      <c r="I5183" s="1" t="s">
        <v>20</v>
      </c>
      <c r="J5183" s="1" t="s">
        <v>23048</v>
      </c>
      <c r="K5183" s="1" t="s">
        <v>22</v>
      </c>
      <c r="L5183" s="1" t="str">
        <f>HYPERLINK("https://files.afu.se/Downloads/Transcripts/0%20-%20Government/USA%20-%20NASA/2009 07 18 - NASA - Remembering Walter Cronkite_n8OCTq_D4KU - transcript (automated).pdf","Transcript Link")</f>
        <v>Transcript Link</v>
      </c>
      <c r="M5183" s="2" t="str">
        <f>HYPERLINK("https://files.afu.se/Downloads/Transcripts/0%20-%20Government/USA%20-%20NASA/2009 07 18 - NASA - Remembering Walter Cronkite_n8OCTq_D4KU - transcript (automated).pdf","Transcript Link")</f>
        <v>Transcript Link</v>
      </c>
    </row>
    <row r="5184" ht="165" spans="1:13">
      <c r="A5184" s="1" t="s">
        <v>23045</v>
      </c>
      <c r="B5184" s="1" t="s">
        <v>13</v>
      </c>
      <c r="C5184" s="4" t="s">
        <v>23049</v>
      </c>
      <c r="D5184" s="1" t="s">
        <v>23050</v>
      </c>
      <c r="F5184" s="4" t="s">
        <v>17</v>
      </c>
      <c r="G5184" s="1" t="s">
        <v>18</v>
      </c>
      <c r="H5184" s="1" t="s">
        <v>19</v>
      </c>
      <c r="I5184" s="1" t="s">
        <v>20</v>
      </c>
      <c r="J5184" s="1" t="s">
        <v>23051</v>
      </c>
      <c r="K5184" s="1" t="s">
        <v>22</v>
      </c>
      <c r="L5184" s="1" t="str">
        <f>HYPERLINK("https://files.afu.se/Downloads/Transcripts/0%20-%20Government/USA%20-%20NASA/2009 07 18 - NASA - Apollo History and Legacy Panel 071609_rIvn_CCG9hc - transcript (automated).pdf","Transcript Link")</f>
        <v>Transcript Link</v>
      </c>
      <c r="M5184" s="2" t="str">
        <f>HYPERLINK("https://files.afu.se/Downloads/Transcripts/0%20-%20Government/USA%20-%20NASA/2009 07 18 - NASA - Apollo History and Legacy Panel 071609_rIvn_CCG9hc - transcript (automated).pdf","Transcript Link")</f>
        <v>Transcript Link</v>
      </c>
    </row>
    <row r="5185" ht="165" spans="1:13">
      <c r="A5185" s="1" t="s">
        <v>23052</v>
      </c>
      <c r="B5185" s="1" t="s">
        <v>13</v>
      </c>
      <c r="C5185" s="4" t="s">
        <v>23053</v>
      </c>
      <c r="D5185" s="1" t="s">
        <v>23054</v>
      </c>
      <c r="F5185" s="4" t="s">
        <v>17</v>
      </c>
      <c r="G5185" s="1" t="s">
        <v>18</v>
      </c>
      <c r="H5185" s="1" t="s">
        <v>19</v>
      </c>
      <c r="I5185" s="1" t="s">
        <v>20</v>
      </c>
      <c r="J5185" s="1" t="s">
        <v>23055</v>
      </c>
      <c r="K5185" s="1" t="s">
        <v>22</v>
      </c>
      <c r="L5185" s="1" t="str">
        <f>HYPERLINK("https://files.afu.se/Downloads/Transcripts/0%20-%20Government/USA%20-%20NASA/2009 07 17 - NASA - STS-127 Flight Day 2 Highlights_0o5V6wjuYE0 - transcript (automated).pdf","Transcript Link")</f>
        <v>Transcript Link</v>
      </c>
      <c r="M5185" s="2" t="str">
        <f>HYPERLINK("https://files.afu.se/Downloads/Transcripts/0%20-%20Government/USA%20-%20NASA/2009 07 17 - NASA - STS-127 Flight Day 2 Highlights_0o5V6wjuYE0 - transcript (automated).pdf","Transcript Link")</f>
        <v>Transcript Link</v>
      </c>
    </row>
    <row r="5186" ht="390" spans="1:13">
      <c r="A5186" s="1" t="s">
        <v>23056</v>
      </c>
      <c r="B5186" s="1" t="s">
        <v>13</v>
      </c>
      <c r="C5186" s="4" t="s">
        <v>23057</v>
      </c>
      <c r="D5186" s="1" t="s">
        <v>23058</v>
      </c>
      <c r="E5186" s="1" t="s">
        <v>23059</v>
      </c>
      <c r="F5186" s="4" t="s">
        <v>17</v>
      </c>
      <c r="G5186" s="1" t="s">
        <v>18</v>
      </c>
      <c r="H5186" s="1" t="s">
        <v>19</v>
      </c>
      <c r="I5186" s="1" t="s">
        <v>20</v>
      </c>
      <c r="J5186" s="1" t="s">
        <v>23060</v>
      </c>
      <c r="K5186" s="1" t="s">
        <v>22</v>
      </c>
      <c r="L5186" s="1" t="str">
        <f>HYPERLINK("https://files.afu.se/Downloads/Transcripts/0%20-%20Government/USA%20-%20NASA/2009 07 15 - NASA - STS-127 Launch HD_8DNljVcs6Dc - transcript (automated).pdf","Transcript Link")</f>
        <v>Transcript Link</v>
      </c>
      <c r="M5186" s="2" t="str">
        <f>HYPERLINK("https://files.afu.se/Downloads/Transcripts/0%20-%20Government/USA%20-%20NASA/2009 07 15 - NASA - STS-127 Launch HD_8DNljVcs6Dc - transcript (automated).pdf","Transcript Link")</f>
        <v>Transcript Link</v>
      </c>
    </row>
    <row r="5187" ht="165" spans="1:13">
      <c r="A5187" s="1" t="s">
        <v>23061</v>
      </c>
      <c r="B5187" s="1" t="s">
        <v>13</v>
      </c>
      <c r="C5187" s="4" t="s">
        <v>23062</v>
      </c>
      <c r="D5187" s="1" t="s">
        <v>23063</v>
      </c>
      <c r="E5187" s="1" t="s">
        <v>23064</v>
      </c>
      <c r="F5187" s="4" t="s">
        <v>17</v>
      </c>
      <c r="G5187" s="1" t="s">
        <v>18</v>
      </c>
      <c r="H5187" s="1" t="s">
        <v>19</v>
      </c>
      <c r="I5187" s="1" t="s">
        <v>20</v>
      </c>
      <c r="J5187" s="1" t="s">
        <v>23065</v>
      </c>
      <c r="K5187" s="1" t="s">
        <v>22</v>
      </c>
      <c r="L5187" s="1" t="str">
        <f>HYPERLINK("https://files.afu.se/Downloads/Transcripts/0%20-%20Government/USA%20-%20NASA/2009 07 11 - NASA - Lightning Strikes on Space Shuttle Launch Pad 39A 7 10 09_FYHY_BVj1Xo - transcript (automated).pdf","Transcript Link")</f>
        <v>Transcript Link</v>
      </c>
      <c r="M5187" s="2" t="str">
        <f>HYPERLINK("https://files.afu.se/Downloads/Transcripts/0%20-%20Government/USA%20-%20NASA/2009 07 11 - NASA - Lightning Strikes on Space Shuttle Launch Pad 39A 7 10 09_FYHY_BVj1Xo - transcript (automated).pdf","Transcript Link")</f>
        <v>Transcript Link</v>
      </c>
    </row>
    <row r="5188" ht="165" spans="1:13">
      <c r="A5188" s="1" t="s">
        <v>23066</v>
      </c>
      <c r="B5188" s="1" t="s">
        <v>13</v>
      </c>
      <c r="C5188" s="4" t="s">
        <v>23067</v>
      </c>
      <c r="D5188" s="1" t="s">
        <v>23068</v>
      </c>
      <c r="F5188" s="4" t="s">
        <v>17</v>
      </c>
      <c r="G5188" s="1" t="s">
        <v>18</v>
      </c>
      <c r="H5188" s="1" t="s">
        <v>19</v>
      </c>
      <c r="I5188" s="1" t="s">
        <v>20</v>
      </c>
      <c r="J5188" s="1" t="s">
        <v>23069</v>
      </c>
      <c r="K5188" s="1" t="s">
        <v>22</v>
      </c>
      <c r="L5188" s="1" t="str">
        <f>HYPERLINK("https://files.afu.se/Downloads/Transcripts/0%20-%20Government/USA%20-%20NASA/2009 06 30 - NASA - The Camera that Saved Hubble_ozn53xl-dQA - transcript (automated).pdf","Transcript Link")</f>
        <v>Transcript Link</v>
      </c>
      <c r="M5188" s="2" t="str">
        <f>HYPERLINK("https://files.afu.se/Downloads/Transcripts/0%20-%20Government/USA%20-%20NASA/2009 06 30 - NASA - The Camera that Saved Hubble_ozn53xl-dQA - transcript (automated).pdf","Transcript Link")</f>
        <v>Transcript Link</v>
      </c>
    </row>
    <row r="5189" ht="165" spans="1:13">
      <c r="A5189" s="1" t="s">
        <v>23066</v>
      </c>
      <c r="B5189" s="1" t="s">
        <v>13</v>
      </c>
      <c r="C5189" s="4" t="s">
        <v>23070</v>
      </c>
      <c r="D5189" s="1" t="s">
        <v>23071</v>
      </c>
      <c r="E5189" s="1" t="s">
        <v>23072</v>
      </c>
      <c r="F5189" s="4" t="s">
        <v>17</v>
      </c>
      <c r="G5189" s="1" t="s">
        <v>18</v>
      </c>
      <c r="H5189" s="1" t="s">
        <v>19</v>
      </c>
      <c r="I5189" s="1" t="s">
        <v>20</v>
      </c>
      <c r="J5189" s="1" t="s">
        <v>23073</v>
      </c>
      <c r="K5189" s="1" t="s">
        <v>22</v>
      </c>
      <c r="L5189" s="1" t="str">
        <f>HYPERLINK("https://files.afu.se/Downloads/Transcripts/0%20-%20Government/USA%20-%20NASA/2009 06 30 - NASA - Soaring Over Mars_0cEtEJoLfdQ - transcript (automated).pdf","Transcript Link")</f>
        <v>Transcript Link</v>
      </c>
      <c r="M5189" s="2" t="str">
        <f>HYPERLINK("https://files.afu.se/Downloads/Transcripts/0%20-%20Government/USA%20-%20NASA/2009 06 30 - NASA - Soaring Over Mars_0cEtEJoLfdQ - transcript (automated).pdf","Transcript Link")</f>
        <v>Transcript Link</v>
      </c>
    </row>
    <row r="5190" ht="165" spans="1:13">
      <c r="A5190" s="1" t="s">
        <v>23066</v>
      </c>
      <c r="B5190" s="1" t="s">
        <v>13</v>
      </c>
      <c r="C5190" s="4" t="s">
        <v>23074</v>
      </c>
      <c r="D5190" s="1" t="s">
        <v>23075</v>
      </c>
      <c r="E5190" s="1" t="s">
        <v>23076</v>
      </c>
      <c r="F5190" s="4" t="s">
        <v>17</v>
      </c>
      <c r="G5190" s="1" t="s">
        <v>18</v>
      </c>
      <c r="H5190" s="1" t="s">
        <v>19</v>
      </c>
      <c r="I5190" s="1" t="s">
        <v>20</v>
      </c>
      <c r="J5190" s="1" t="s">
        <v>23077</v>
      </c>
      <c r="K5190" s="1" t="s">
        <v>22</v>
      </c>
      <c r="L5190" s="1" t="str">
        <f>HYPERLINK("https://files.afu.se/Downloads/Transcripts/0%20-%20Government/USA%20-%20NASA/2009 06 30 - NASA - Cruising Over California_j7ZcB2UcpHY - transcript (automated).pdf","Transcript Link")</f>
        <v>Transcript Link</v>
      </c>
      <c r="M5190" s="2" t="str">
        <f>HYPERLINK("https://files.afu.se/Downloads/Transcripts/0%20-%20Government/USA%20-%20NASA/2009 06 30 - NASA - Cruising Over California_j7ZcB2UcpHY - transcript (automated).pdf","Transcript Link")</f>
        <v>Transcript Link</v>
      </c>
    </row>
    <row r="5191" ht="165" spans="1:13">
      <c r="A5191" s="1" t="s">
        <v>23066</v>
      </c>
      <c r="B5191" s="1" t="s">
        <v>13</v>
      </c>
      <c r="C5191" s="4" t="s">
        <v>23078</v>
      </c>
      <c r="D5191" s="1" t="s">
        <v>23079</v>
      </c>
      <c r="F5191" s="4" t="s">
        <v>17</v>
      </c>
      <c r="G5191" s="1" t="s">
        <v>18</v>
      </c>
      <c r="H5191" s="1" t="s">
        <v>19</v>
      </c>
      <c r="I5191" s="1" t="s">
        <v>20</v>
      </c>
      <c r="J5191" s="1" t="s">
        <v>23080</v>
      </c>
      <c r="K5191" s="1" t="s">
        <v>22</v>
      </c>
      <c r="L5191" s="1" t="str">
        <f>HYPERLINK("https://files.afu.se/Downloads/Transcripts/0%20-%20Government/USA%20-%20NASA/2009 06 30 - NASA - Cruising Over Los Angeles_bho9AaNABrs - transcript (automated).pdf","Transcript Link")</f>
        <v>Transcript Link</v>
      </c>
      <c r="M5191" s="2" t="str">
        <f>HYPERLINK("https://files.afu.se/Downloads/Transcripts/0%20-%20Government/USA%20-%20NASA/2009 06 30 - NASA - Cruising Over Los Angeles_bho9AaNABrs - transcript (automated).pdf","Transcript Link")</f>
        <v>Transcript Link</v>
      </c>
    </row>
    <row r="5192" ht="165" spans="1:13">
      <c r="A5192" s="1" t="s">
        <v>23081</v>
      </c>
      <c r="B5192" s="1" t="s">
        <v>13</v>
      </c>
      <c r="C5192" s="4" t="s">
        <v>23082</v>
      </c>
      <c r="D5192" s="1" t="s">
        <v>23083</v>
      </c>
      <c r="E5192" s="1" t="s">
        <v>23084</v>
      </c>
      <c r="F5192" s="4" t="s">
        <v>17</v>
      </c>
      <c r="G5192" s="1" t="s">
        <v>18</v>
      </c>
      <c r="H5192" s="1" t="s">
        <v>19</v>
      </c>
      <c r="I5192" s="1" t="s">
        <v>20</v>
      </c>
      <c r="J5192" s="1" t="s">
        <v>23085</v>
      </c>
      <c r="K5192" s="1" t="s">
        <v>22</v>
      </c>
      <c r="L5192" s="1" t="str">
        <f>HYPERLINK("https://files.afu.se/Downloads/Transcripts/0%20-%20Government/USA%20-%20NASA/2009 06 24 - NASA - NASA ASTRONAUT LEADS TOUR OF SPACE STATION IN HD_-1OTSbIzcwI - transcript (automated).pdf","Transcript Link")</f>
        <v>Transcript Link</v>
      </c>
      <c r="M5192" s="2" t="str">
        <f>HYPERLINK("https://files.afu.se/Downloads/Transcripts/0%20-%20Government/USA%20-%20NASA/2009 06 24 - NASA - NASA ASTRONAUT LEADS TOUR OF SPACE STATION IN HD_-1OTSbIzcwI - transcript (automated).pdf","Transcript Link")</f>
        <v>Transcript Link</v>
      </c>
    </row>
    <row r="5193" ht="195" spans="1:13">
      <c r="A5193" s="1" t="s">
        <v>23086</v>
      </c>
      <c r="B5193" s="1" t="s">
        <v>13</v>
      </c>
      <c r="C5193" s="4" t="s">
        <v>23087</v>
      </c>
      <c r="D5193" s="1" t="s">
        <v>23088</v>
      </c>
      <c r="E5193" s="1" t="s">
        <v>23089</v>
      </c>
      <c r="F5193" s="4" t="s">
        <v>17</v>
      </c>
      <c r="G5193" s="1" t="s">
        <v>18</v>
      </c>
      <c r="H5193" s="1" t="s">
        <v>19</v>
      </c>
      <c r="I5193" s="1" t="s">
        <v>20</v>
      </c>
      <c r="J5193" s="1" t="s">
        <v>23090</v>
      </c>
      <c r="K5193" s="1" t="s">
        <v>22</v>
      </c>
      <c r="L5193" s="1" t="str">
        <f>HYPERLINK("https://files.afu.se/Downloads/Transcripts/0%20-%20Government/USA%20-%20NASA/2009 06 23 - NASA - LCROSS COMPLETES SWINGBY OF MOON_fe8gMRfLRVU - transcript (automated).pdf","Transcript Link")</f>
        <v>Transcript Link</v>
      </c>
      <c r="M5193" s="2" t="str">
        <f>HYPERLINK("https://files.afu.se/Downloads/Transcripts/0%20-%20Government/USA%20-%20NASA/2009 06 23 - NASA - LCROSS COMPLETES SWINGBY OF MOON_fe8gMRfLRVU - transcript (automated).pdf","Transcript Link")</f>
        <v>Transcript Link</v>
      </c>
    </row>
    <row r="5194" ht="165" spans="1:13">
      <c r="A5194" s="1" t="s">
        <v>23086</v>
      </c>
      <c r="B5194" s="1" t="s">
        <v>13</v>
      </c>
      <c r="C5194" s="4" t="s">
        <v>23091</v>
      </c>
      <c r="D5194" s="1" t="s">
        <v>23092</v>
      </c>
      <c r="E5194" s="1" t="s">
        <v>23093</v>
      </c>
      <c r="F5194" s="4" t="s">
        <v>17</v>
      </c>
      <c r="G5194" s="1" t="s">
        <v>18</v>
      </c>
      <c r="H5194" s="1" t="s">
        <v>19</v>
      </c>
      <c r="I5194" s="1" t="s">
        <v>20</v>
      </c>
      <c r="J5194" s="1" t="s">
        <v>23094</v>
      </c>
      <c r="K5194" s="1" t="s">
        <v>22</v>
      </c>
      <c r="L5194" s="1" t="str">
        <f>HYPERLINK("https://files.afu.se/Downloads/Transcripts/0%20-%20Government/USA%20-%20NASA/2009 06 23 - NASA - LRO Enters Orbit Around the Moon_zY1vN_DgD0o - transcript (automated).pdf","Transcript Link")</f>
        <v>Transcript Link</v>
      </c>
      <c r="M5194" s="2" t="str">
        <f>HYPERLINK("https://files.afu.se/Downloads/Transcripts/0%20-%20Government/USA%20-%20NASA/2009 06 23 - NASA - LRO Enters Orbit Around the Moon_zY1vN_DgD0o - transcript (automated).pdf","Transcript Link")</f>
        <v>Transcript Link</v>
      </c>
    </row>
    <row r="5195" ht="165" spans="1:13">
      <c r="A5195" s="1" t="s">
        <v>23086</v>
      </c>
      <c r="B5195" s="1" t="s">
        <v>13</v>
      </c>
      <c r="C5195" s="4" t="s">
        <v>23095</v>
      </c>
      <c r="D5195" s="1" t="s">
        <v>23096</v>
      </c>
      <c r="E5195" s="1" t="s">
        <v>23097</v>
      </c>
      <c r="F5195" s="4" t="s">
        <v>17</v>
      </c>
      <c r="G5195" s="1" t="s">
        <v>18</v>
      </c>
      <c r="H5195" s="1" t="s">
        <v>19</v>
      </c>
      <c r="I5195" s="1" t="s">
        <v>20</v>
      </c>
      <c r="J5195" s="1" t="s">
        <v>23098</v>
      </c>
      <c r="K5195" s="1" t="s">
        <v>22</v>
      </c>
      <c r="L5195" s="1" t="str">
        <f>HYPERLINK("https://files.afu.se/Downloads/Transcripts/0%20-%20Government/USA%20-%20NASA/2009 06 23 - NASA - LRO Enters Lunar Orbit 062309_iYwJuyxrqa8 - transcript (automated).pdf","Transcript Link")</f>
        <v>Transcript Link</v>
      </c>
      <c r="M5195" s="2" t="str">
        <f>HYPERLINK("https://files.afu.se/Downloads/Transcripts/0%20-%20Government/USA%20-%20NASA/2009 06 23 - NASA - LRO Enters Lunar Orbit 062309_iYwJuyxrqa8 - transcript (automated).pdf","Transcript Link")</f>
        <v>Transcript Link</v>
      </c>
    </row>
    <row r="5196" ht="165" spans="1:13">
      <c r="A5196" s="1" t="s">
        <v>23099</v>
      </c>
      <c r="B5196" s="1" t="s">
        <v>13</v>
      </c>
      <c r="C5196" s="4" t="s">
        <v>23100</v>
      </c>
      <c r="D5196" s="1" t="s">
        <v>23101</v>
      </c>
      <c r="E5196" s="1" t="s">
        <v>23102</v>
      </c>
      <c r="F5196" s="4" t="s">
        <v>17</v>
      </c>
      <c r="G5196" s="1" t="s">
        <v>18</v>
      </c>
      <c r="H5196" s="1" t="s">
        <v>19</v>
      </c>
      <c r="I5196" s="1" t="s">
        <v>20</v>
      </c>
      <c r="J5196" s="1" t="s">
        <v>23103</v>
      </c>
      <c r="K5196" s="1" t="s">
        <v>22</v>
      </c>
      <c r="L5196" s="1" t="str">
        <f>HYPERLINK("https://files.afu.se/Downloads/Transcripts/0%20-%20Government/USA%20-%20NASA/2009 06 22 - NASA - NASACast  Whats Up June 09_XC4aOSDkk84 - transcript (automated).pdf","Transcript Link")</f>
        <v>Transcript Link</v>
      </c>
      <c r="M5196" s="2" t="str">
        <f>HYPERLINK("https://files.afu.se/Downloads/Transcripts/0%20-%20Government/USA%20-%20NASA/2009 06 22 - NASA - NASACast  Whats Up June 09_XC4aOSDkk84 - transcript (automated).pdf","Transcript Link")</f>
        <v>Transcript Link</v>
      </c>
    </row>
    <row r="5197" ht="165" spans="1:13">
      <c r="A5197" s="1" t="s">
        <v>23104</v>
      </c>
      <c r="B5197" s="1" t="s">
        <v>13</v>
      </c>
      <c r="C5197" s="4" t="s">
        <v>23105</v>
      </c>
      <c r="D5197" s="1" t="s">
        <v>23106</v>
      </c>
      <c r="E5197" s="1" t="s">
        <v>23035</v>
      </c>
      <c r="F5197" s="4" t="s">
        <v>17</v>
      </c>
      <c r="G5197" s="1" t="s">
        <v>18</v>
      </c>
      <c r="H5197" s="1" t="s">
        <v>19</v>
      </c>
      <c r="I5197" s="1" t="s">
        <v>20</v>
      </c>
      <c r="J5197" s="1" t="s">
        <v>23107</v>
      </c>
      <c r="K5197" s="1" t="s">
        <v>22</v>
      </c>
      <c r="L5197" s="1" t="str">
        <f>HYPERLINK("https://files.afu.se/Downloads/Transcripts/0%20-%20Government/USA%20-%20NASA/2009 06 19 - NASA - This Week @ NASA 06 19 09_IfLJvV1ples - transcript (automated).pdf","Transcript Link")</f>
        <v>Transcript Link</v>
      </c>
      <c r="M5197" s="2" t="str">
        <f>HYPERLINK("https://files.afu.se/Downloads/Transcripts/0%20-%20Government/USA%20-%20NASA/2009 06 19 - NASA - This Week @ NASA 06 19 09_IfLJvV1ples - transcript (automated).pdf","Transcript Link")</f>
        <v>Transcript Link</v>
      </c>
    </row>
    <row r="5198" ht="165" spans="1:13">
      <c r="A5198" s="1" t="s">
        <v>23108</v>
      </c>
      <c r="B5198" s="1" t="s">
        <v>13</v>
      </c>
      <c r="C5198" s="4" t="s">
        <v>23109</v>
      </c>
      <c r="D5198" s="1" t="s">
        <v>23110</v>
      </c>
      <c r="E5198" s="1" t="s">
        <v>23111</v>
      </c>
      <c r="F5198" s="4" t="s">
        <v>17</v>
      </c>
      <c r="G5198" s="1" t="s">
        <v>18</v>
      </c>
      <c r="H5198" s="1" t="s">
        <v>19</v>
      </c>
      <c r="I5198" s="1" t="s">
        <v>20</v>
      </c>
      <c r="J5198" s="1" t="s">
        <v>23112</v>
      </c>
      <c r="K5198" s="1" t="s">
        <v>22</v>
      </c>
      <c r="L5198" s="1" t="str">
        <f>HYPERLINK("https://files.afu.se/Downloads/Transcripts/0%20-%20Government/USA%20-%20NASA/2009 06 18 - NASA - LRO LCROSS launch 06 18 09_j-5t4de6jjI - transcript (automated).pdf","Transcript Link")</f>
        <v>Transcript Link</v>
      </c>
      <c r="M5198" s="2" t="str">
        <f>HYPERLINK("https://files.afu.se/Downloads/Transcripts/0%20-%20Government/USA%20-%20NASA/2009 06 18 - NASA - LRO LCROSS launch 06 18 09_j-5t4de6jjI - transcript (automated).pdf","Transcript Link")</f>
        <v>Transcript Link</v>
      </c>
    </row>
    <row r="5199" ht="165" spans="1:13">
      <c r="A5199" s="1" t="s">
        <v>23108</v>
      </c>
      <c r="B5199" s="1" t="s">
        <v>13</v>
      </c>
      <c r="C5199" s="4" t="s">
        <v>23113</v>
      </c>
      <c r="D5199" s="1" t="s">
        <v>23114</v>
      </c>
      <c r="E5199" s="1" t="s">
        <v>23115</v>
      </c>
      <c r="F5199" s="4" t="s">
        <v>17</v>
      </c>
      <c r="G5199" s="1" t="s">
        <v>18</v>
      </c>
      <c r="H5199" s="1" t="s">
        <v>19</v>
      </c>
      <c r="I5199" s="1" t="s">
        <v>20</v>
      </c>
      <c r="J5199" s="1" t="s">
        <v>23116</v>
      </c>
      <c r="K5199" s="1" t="s">
        <v>22</v>
      </c>
      <c r="L5199" s="1" t="str">
        <f>HYPERLINK("https://files.afu.se/Downloads/Transcripts/0%20-%20Government/USA%20-%20NASA/2009 06 18 - NASA - GOES-O Ready To Launch_GdpYodE0Bms - transcript (automated).pdf","Transcript Link")</f>
        <v>Transcript Link</v>
      </c>
      <c r="M5199" s="2" t="str">
        <f>HYPERLINK("https://files.afu.se/Downloads/Transcripts/0%20-%20Government/USA%20-%20NASA/2009 06 18 - NASA - GOES-O Ready To Launch_GdpYodE0Bms - transcript (automated).pdf","Transcript Link")</f>
        <v>Transcript Link</v>
      </c>
    </row>
    <row r="5200" ht="165" spans="1:13">
      <c r="A5200" s="1" t="s">
        <v>23108</v>
      </c>
      <c r="B5200" s="1" t="s">
        <v>13</v>
      </c>
      <c r="C5200" s="4" t="s">
        <v>23117</v>
      </c>
      <c r="D5200" s="1" t="s">
        <v>23118</v>
      </c>
      <c r="E5200" s="1" t="s">
        <v>23119</v>
      </c>
      <c r="F5200" s="4" t="s">
        <v>17</v>
      </c>
      <c r="G5200" s="1" t="s">
        <v>18</v>
      </c>
      <c r="H5200" s="1" t="s">
        <v>19</v>
      </c>
      <c r="I5200" s="1" t="s">
        <v>20</v>
      </c>
      <c r="J5200" s="1" t="s">
        <v>23120</v>
      </c>
      <c r="K5200" s="1" t="s">
        <v>22</v>
      </c>
      <c r="L5200" s="1" t="str">
        <f>HYPERLINK("https://files.afu.se/Downloads/Transcripts/0%20-%20Government/USA%20-%20NASA/2009 06 18 - NASA - LRO  The Next Step_C5324Ihupko - transcript (automated).pdf","Transcript Link")</f>
        <v>Transcript Link</v>
      </c>
      <c r="M5200" s="2" t="str">
        <f>HYPERLINK("https://files.afu.se/Downloads/Transcripts/0%20-%20Government/USA%20-%20NASA/2009 06 18 - NASA - LRO  The Next Step_C5324Ihupko - transcript (automated).pdf","Transcript Link")</f>
        <v>Transcript Link</v>
      </c>
    </row>
    <row r="5201" ht="240" spans="1:13">
      <c r="A5201" s="1" t="s">
        <v>23121</v>
      </c>
      <c r="B5201" s="1" t="s">
        <v>13</v>
      </c>
      <c r="C5201" s="4" t="s">
        <v>23122</v>
      </c>
      <c r="D5201" s="1" t="s">
        <v>23123</v>
      </c>
      <c r="E5201" s="1" t="s">
        <v>23124</v>
      </c>
      <c r="F5201" s="4" t="s">
        <v>17</v>
      </c>
      <c r="G5201" s="1" t="s">
        <v>18</v>
      </c>
      <c r="H5201" s="1" t="s">
        <v>19</v>
      </c>
      <c r="I5201" s="1" t="s">
        <v>20</v>
      </c>
      <c r="J5201" s="1" t="s">
        <v>23125</v>
      </c>
      <c r="K5201" s="1" t="s">
        <v>22</v>
      </c>
      <c r="L5201" s="1" t="str">
        <f>HYPERLINK("https://files.afu.se/Downloads/Transcripts/0%20-%20Government/USA%20-%20NASA/2009 06 16 - NASA - STS 127 Rotating Service Structure Roll Back Time Lapse_Z4t8LrUSTMo - transcript (automated).pdf","Transcript Link")</f>
        <v>Transcript Link</v>
      </c>
      <c r="M5201" s="2" t="str">
        <f>HYPERLINK("https://files.afu.se/Downloads/Transcripts/0%20-%20Government/USA%20-%20NASA/2009 06 16 - NASA - STS 127 Rotating Service Structure Roll Back Time Lapse_Z4t8LrUSTMo - transcript (automated).pdf","Transcript Link")</f>
        <v>Transcript Link</v>
      </c>
    </row>
    <row r="5202" ht="330" spans="1:13">
      <c r="A5202" s="1" t="s">
        <v>23126</v>
      </c>
      <c r="B5202" s="1" t="s">
        <v>13</v>
      </c>
      <c r="C5202" s="4" t="s">
        <v>23127</v>
      </c>
      <c r="D5202" s="1" t="s">
        <v>23128</v>
      </c>
      <c r="E5202" s="1" t="s">
        <v>23129</v>
      </c>
      <c r="F5202" s="4" t="s">
        <v>17</v>
      </c>
      <c r="G5202" s="1" t="s">
        <v>18</v>
      </c>
      <c r="H5202" s="1" t="s">
        <v>19</v>
      </c>
      <c r="I5202" s="1" t="s">
        <v>20</v>
      </c>
      <c r="J5202" s="1" t="s">
        <v>23130</v>
      </c>
      <c r="K5202" s="1" t="s">
        <v>22</v>
      </c>
      <c r="L5202" s="1" t="str">
        <f>HYPERLINK("https://files.afu.se/Downloads/Transcripts/0%20-%20Government/USA%20-%20NASA/2009 06 15 - NASA - LRO Webcast_yruN1iqeorw - transcript (automated).pdf","Transcript Link")</f>
        <v>Transcript Link</v>
      </c>
      <c r="M5202" s="2" t="str">
        <f>HYPERLINK("https://files.afu.se/Downloads/Transcripts/0%20-%20Government/USA%20-%20NASA/2009 06 15 - NASA - LRO Webcast_yruN1iqeorw - transcript (automated).pdf","Transcript Link")</f>
        <v>Transcript Link</v>
      </c>
    </row>
    <row r="5203" ht="165" spans="1:13">
      <c r="A5203" s="1" t="s">
        <v>23131</v>
      </c>
      <c r="B5203" s="1" t="s">
        <v>13</v>
      </c>
      <c r="C5203" s="4" t="s">
        <v>23132</v>
      </c>
      <c r="D5203" s="1" t="s">
        <v>23020</v>
      </c>
      <c r="E5203" s="1" t="s">
        <v>23021</v>
      </c>
      <c r="F5203" s="4" t="s">
        <v>17</v>
      </c>
      <c r="G5203" s="1" t="s">
        <v>18</v>
      </c>
      <c r="H5203" s="1" t="s">
        <v>19</v>
      </c>
      <c r="I5203" s="1" t="s">
        <v>20</v>
      </c>
      <c r="J5203" s="1" t="s">
        <v>23133</v>
      </c>
      <c r="K5203" s="1" t="s">
        <v>22</v>
      </c>
      <c r="L5203" s="1" t="str">
        <f>HYPERLINK("https://files.afu.se/Downloads/Transcripts/0%20-%20Government/USA%20-%20NASA/2009 06 09 - NASA - Overview of NASA's SDO Mission_qmHIOPUGTLE - transcript (automated).pdf","Transcript Link")</f>
        <v>Transcript Link</v>
      </c>
      <c r="M5203" s="2" t="str">
        <f>HYPERLINK("https://files.afu.se/Downloads/Transcripts/0%20-%20Government/USA%20-%20NASA/2009 06 09 - NASA - Overview of NASA's SDO Mission_qmHIOPUGTLE - transcript (automated).pdf","Transcript Link")</f>
        <v>Transcript Link</v>
      </c>
    </row>
    <row r="5204" ht="165" spans="1:13">
      <c r="A5204" s="1" t="s">
        <v>23134</v>
      </c>
      <c r="B5204" s="1" t="s">
        <v>13</v>
      </c>
      <c r="C5204" s="4" t="s">
        <v>23135</v>
      </c>
      <c r="D5204" s="1" t="s">
        <v>23136</v>
      </c>
      <c r="E5204" s="1" t="s">
        <v>23137</v>
      </c>
      <c r="F5204" s="4" t="s">
        <v>17</v>
      </c>
      <c r="G5204" s="1" t="s">
        <v>18</v>
      </c>
      <c r="H5204" s="1" t="s">
        <v>19</v>
      </c>
      <c r="I5204" s="1" t="s">
        <v>20</v>
      </c>
      <c r="J5204" s="1" t="s">
        <v>23138</v>
      </c>
      <c r="K5204" s="1" t="s">
        <v>22</v>
      </c>
      <c r="L5204" s="1" t="str">
        <f>HYPERLINK("https://files.afu.se/Downloads/Transcripts/0%20-%20Government/USA%20-%20NASA/2009 06 01 - NASA - Ferry Ride  STS 125_Or2zd5R1iMA - transcript (automated).pdf","Transcript Link")</f>
        <v>Transcript Link</v>
      </c>
      <c r="M5204" s="2" t="str">
        <f>HYPERLINK("https://files.afu.se/Downloads/Transcripts/0%20-%20Government/USA%20-%20NASA/2009 06 01 - NASA - Ferry Ride  STS 125_Or2zd5R1iMA - transcript (automated).pdf","Transcript Link")</f>
        <v>Transcript Link</v>
      </c>
    </row>
    <row r="5205" ht="165" spans="1:13">
      <c r="A5205" s="1" t="s">
        <v>23139</v>
      </c>
      <c r="B5205" s="1" t="s">
        <v>13</v>
      </c>
      <c r="C5205" s="4" t="s">
        <v>23140</v>
      </c>
      <c r="D5205" s="1" t="s">
        <v>23141</v>
      </c>
      <c r="E5205" s="1" t="s">
        <v>23142</v>
      </c>
      <c r="F5205" s="4" t="s">
        <v>17</v>
      </c>
      <c r="G5205" s="1" t="s">
        <v>18</v>
      </c>
      <c r="H5205" s="1" t="s">
        <v>19</v>
      </c>
      <c r="I5205" s="1" t="s">
        <v>20</v>
      </c>
      <c r="J5205" s="1" t="s">
        <v>23143</v>
      </c>
      <c r="K5205" s="1" t="s">
        <v>22</v>
      </c>
      <c r="L5205" s="1" t="str">
        <f>HYPERLINK("https://files.afu.se/Downloads/Transcripts/0%20-%20Government/USA%20-%20NASA/2009 05 31 - NASA - ENDEAVOUR ROLLAROUND AT KENNEDY_N1WvVRavXsI - transcript (automated).pdf","Transcript Link")</f>
        <v>Transcript Link</v>
      </c>
      <c r="M5205" s="2" t="str">
        <f>HYPERLINK("https://files.afu.se/Downloads/Transcripts/0%20-%20Government/USA%20-%20NASA/2009 05 31 - NASA - ENDEAVOUR ROLLAROUND AT KENNEDY_N1WvVRavXsI - transcript (automated).pdf","Transcript Link")</f>
        <v>Transcript Link</v>
      </c>
    </row>
    <row r="5206" ht="165" spans="1:13">
      <c r="A5206" s="1" t="s">
        <v>23144</v>
      </c>
      <c r="B5206" s="1" t="s">
        <v>13</v>
      </c>
      <c r="C5206" s="4" t="s">
        <v>23145</v>
      </c>
      <c r="D5206" s="1" t="s">
        <v>23146</v>
      </c>
      <c r="E5206" s="1" t="s">
        <v>23147</v>
      </c>
      <c r="F5206" s="4" t="s">
        <v>17</v>
      </c>
      <c r="G5206" s="1" t="s">
        <v>18</v>
      </c>
      <c r="H5206" s="1" t="s">
        <v>19</v>
      </c>
      <c r="I5206" s="1" t="s">
        <v>20</v>
      </c>
      <c r="J5206" s="1" t="s">
        <v>23148</v>
      </c>
      <c r="K5206" s="1" t="s">
        <v>22</v>
      </c>
      <c r="L5206" s="1" t="str">
        <f>HYPERLINK("https://files.afu.se/Downloads/Transcripts/0%20-%20Government/USA%20-%20NASA/2009 05 28 - NASA - STS-127 Preflight Briefing Video Feed_Csxx3xtfXQM - transcript (automated).pdf","Transcript Link")</f>
        <v>Transcript Link</v>
      </c>
      <c r="M5206" s="2" t="str">
        <f>HYPERLINK("https://files.afu.se/Downloads/Transcripts/0%20-%20Government/USA%20-%20NASA/2009 05 28 - NASA - STS-127 Preflight Briefing Video Feed_Csxx3xtfXQM - transcript (automated).pdf","Transcript Link")</f>
        <v>Transcript Link</v>
      </c>
    </row>
    <row r="5207" ht="165" spans="1:13">
      <c r="A5207" s="1" t="s">
        <v>23144</v>
      </c>
      <c r="B5207" s="1" t="s">
        <v>13</v>
      </c>
      <c r="C5207" s="4" t="s">
        <v>23149</v>
      </c>
      <c r="D5207" s="1" t="s">
        <v>23150</v>
      </c>
      <c r="E5207" s="1" t="s">
        <v>23151</v>
      </c>
      <c r="F5207" s="4" t="s">
        <v>17</v>
      </c>
      <c r="G5207" s="1" t="s">
        <v>18</v>
      </c>
      <c r="H5207" s="1" t="s">
        <v>19</v>
      </c>
      <c r="I5207" s="1" t="s">
        <v>20</v>
      </c>
      <c r="J5207" s="1" t="s">
        <v>23152</v>
      </c>
      <c r="K5207" s="1" t="s">
        <v>22</v>
      </c>
      <c r="L5207" s="1" t="str">
        <f>HYPERLINK("https://files.afu.se/Downloads/Transcripts/0%20-%20Government/USA%20-%20NASA/2009 05 28 - NASA - Student from Lenexa, Kansas Provides Official New Name for Mars Science Laboratory_liNoFnp62eI - transcript (automated).pdf","Transcript Link")</f>
        <v>Transcript Link</v>
      </c>
      <c r="M5207" s="2" t="str">
        <f>HYPERLINK("https://files.afu.se/Downloads/Transcripts/0%20-%20Government/USA%20-%20NASA/2009 05 28 - NASA - Student from Lenexa, Kansas Provides Official New Name for Mars Science Laboratory_liNoFnp62eI - transcript (automated).pdf","Transcript Link")</f>
        <v>Transcript Link</v>
      </c>
    </row>
    <row r="5208" ht="165" spans="1:13">
      <c r="A5208" s="1" t="s">
        <v>23153</v>
      </c>
      <c r="B5208" s="1" t="s">
        <v>13</v>
      </c>
      <c r="C5208" s="4" t="s">
        <v>23154</v>
      </c>
      <c r="D5208" s="1" t="s">
        <v>23155</v>
      </c>
      <c r="E5208" s="1" t="s">
        <v>23156</v>
      </c>
      <c r="F5208" s="4" t="s">
        <v>17</v>
      </c>
      <c r="G5208" s="1" t="s">
        <v>18</v>
      </c>
      <c r="H5208" s="1" t="s">
        <v>19</v>
      </c>
      <c r="I5208" s="1" t="s">
        <v>20</v>
      </c>
      <c r="J5208" s="1" t="s">
        <v>23157</v>
      </c>
      <c r="K5208" s="1" t="s">
        <v>22</v>
      </c>
      <c r="L5208" s="1" t="str">
        <f>HYPERLINK("https://files.afu.se/Downloads/Transcripts/0%20-%20Government/USA%20-%20NASA/2009 05 24 - NASA - STS 125 Mission Highlights_QvEU2XRwlCw - transcript (automated).pdf","Transcript Link")</f>
        <v>Transcript Link</v>
      </c>
      <c r="M5208" s="2" t="str">
        <f>HYPERLINK("https://files.afu.se/Downloads/Transcripts/0%20-%20Government/USA%20-%20NASA/2009 05 24 - NASA - STS 125 Mission Highlights_QvEU2XRwlCw - transcript (automated).pdf","Transcript Link")</f>
        <v>Transcript Link</v>
      </c>
    </row>
    <row r="5209" ht="210" spans="1:13">
      <c r="A5209" s="1" t="s">
        <v>23158</v>
      </c>
      <c r="B5209" s="1" t="s">
        <v>13</v>
      </c>
      <c r="C5209" s="4" t="s">
        <v>23159</v>
      </c>
      <c r="D5209" s="1" t="s">
        <v>23160</v>
      </c>
      <c r="E5209" s="1" t="s">
        <v>23161</v>
      </c>
      <c r="F5209" s="4" t="s">
        <v>17</v>
      </c>
      <c r="G5209" s="1" t="s">
        <v>18</v>
      </c>
      <c r="H5209" s="1" t="s">
        <v>19</v>
      </c>
      <c r="I5209" s="1" t="s">
        <v>20</v>
      </c>
      <c r="J5209" s="1" t="s">
        <v>23162</v>
      </c>
      <c r="K5209" s="1" t="s">
        <v>22</v>
      </c>
      <c r="L5209" s="1" t="str">
        <f>HYPERLINK("https://files.afu.se/Downloads/Transcripts/0%20-%20Government/USA%20-%20NASA/2009 05 11 - NASA - NASA's Oldest Hubble Instrument Pictures Infinity Right Up To The End_n1MGVpJjnk0 - transcript (automated).pdf","Transcript Link")</f>
        <v>Transcript Link</v>
      </c>
      <c r="M5209" s="2" t="str">
        <f>HYPERLINK("https://files.afu.se/Downloads/Transcripts/0%20-%20Government/USA%20-%20NASA/2009 05 11 - NASA - NASA's Oldest Hubble Instrument Pictures Infinity Right Up To The End_n1MGVpJjnk0 - transcript (automated).pdf","Transcript Link")</f>
        <v>Transcript Link</v>
      </c>
    </row>
    <row r="5210" ht="270" spans="1:13">
      <c r="A5210" s="1" t="s">
        <v>23158</v>
      </c>
      <c r="B5210" s="1" t="s">
        <v>13</v>
      </c>
      <c r="C5210" s="4" t="s">
        <v>23163</v>
      </c>
      <c r="D5210" s="1" t="s">
        <v>23164</v>
      </c>
      <c r="E5210" s="1" t="s">
        <v>23165</v>
      </c>
      <c r="F5210" s="4" t="s">
        <v>17</v>
      </c>
      <c r="G5210" s="1" t="s">
        <v>18</v>
      </c>
      <c r="H5210" s="1" t="s">
        <v>19</v>
      </c>
      <c r="I5210" s="1" t="s">
        <v>20</v>
      </c>
      <c r="J5210" s="1" t="s">
        <v>23166</v>
      </c>
      <c r="K5210" s="1" t="s">
        <v>22</v>
      </c>
      <c r="L5210" s="1" t="str">
        <f>HYPERLINK("https://files.afu.se/Downloads/Transcripts/0%20-%20Government/USA%20-%20NASA/2009 05 11 - NASA - NASA Commander Tweets To Take Questions In Space_JhkVEBUwqgo - transcript (automated).pdf","Transcript Link")</f>
        <v>Transcript Link</v>
      </c>
      <c r="M5210" s="2" t="str">
        <f>HYPERLINK("https://files.afu.se/Downloads/Transcripts/0%20-%20Government/USA%20-%20NASA/2009 05 11 - NASA - NASA Commander Tweets To Take Questions In Space_JhkVEBUwqgo - transcript (automated).pdf","Transcript Link")</f>
        <v>Transcript Link</v>
      </c>
    </row>
    <row r="5211" ht="165" spans="1:13">
      <c r="A5211" s="1" t="s">
        <v>23167</v>
      </c>
      <c r="B5211" s="1" t="s">
        <v>13</v>
      </c>
      <c r="C5211" s="4" t="s">
        <v>23168</v>
      </c>
      <c r="D5211" s="1" t="s">
        <v>23169</v>
      </c>
      <c r="E5211" s="1" t="s">
        <v>23170</v>
      </c>
      <c r="F5211" s="4" t="s">
        <v>17</v>
      </c>
      <c r="G5211" s="1" t="s">
        <v>18</v>
      </c>
      <c r="H5211" s="1" t="s">
        <v>19</v>
      </c>
      <c r="I5211" s="1" t="s">
        <v>20</v>
      </c>
      <c r="J5211" s="1" t="s">
        <v>23171</v>
      </c>
      <c r="K5211" s="1" t="s">
        <v>22</v>
      </c>
      <c r="L5211" s="1" t="str">
        <f>HYPERLINK("https://files.afu.se/Downloads/Transcripts/0%20-%20Government/USA%20-%20NASA/2009 05 04 - NASA - NASA'S Head of Science Mission Directorate Discusses History of Hubble Space Telescope_sc1Fug8l4g8 - transcript (automated).pdf","Transcript Link")</f>
        <v>Transcript Link</v>
      </c>
      <c r="M5211" s="2" t="str">
        <f>HYPERLINK("https://files.afu.se/Downloads/Transcripts/0%20-%20Government/USA%20-%20NASA/2009 05 04 - NASA - NASA'S Head of Science Mission Directorate Discusses History of Hubble Space Telescope_sc1Fug8l4g8 - transcript (automated).pdf","Transcript Link")</f>
        <v>Transcript Link</v>
      </c>
    </row>
    <row r="5212" ht="165" spans="1:13">
      <c r="A5212" s="1" t="s">
        <v>23172</v>
      </c>
      <c r="B5212" s="1" t="s">
        <v>13</v>
      </c>
      <c r="C5212" s="4" t="s">
        <v>23173</v>
      </c>
      <c r="D5212" s="1" t="s">
        <v>23174</v>
      </c>
      <c r="E5212" s="1" t="s">
        <v>23175</v>
      </c>
      <c r="F5212" s="4" t="s">
        <v>17</v>
      </c>
      <c r="G5212" s="1" t="s">
        <v>18</v>
      </c>
      <c r="H5212" s="1" t="s">
        <v>19</v>
      </c>
      <c r="I5212" s="1" t="s">
        <v>20</v>
      </c>
      <c r="J5212" s="1" t="s">
        <v>23176</v>
      </c>
      <c r="K5212" s="1" t="s">
        <v>22</v>
      </c>
      <c r="L5212" s="1" t="str">
        <f>HYPERLINK("https://files.afu.se/Downloads/Transcripts/0%20-%20Government/USA%20-%20NASA/2009 04 30 - NASA - Astronaut Mike Fincke Expedition 18 Mission B-Roll_OG8QaJiyH_A - transcript (automated).pdf","Transcript Link")</f>
        <v>Transcript Link</v>
      </c>
      <c r="M5212" s="2" t="str">
        <f>HYPERLINK("https://files.afu.se/Downloads/Transcripts/0%20-%20Government/USA%20-%20NASA/2009 04 30 - NASA - Astronaut Mike Fincke Expedition 18 Mission B-Roll_OG8QaJiyH_A - transcript (automated).pdf","Transcript Link")</f>
        <v>Transcript Link</v>
      </c>
    </row>
    <row r="5213" ht="165" spans="1:13">
      <c r="A5213" s="1" t="s">
        <v>23177</v>
      </c>
      <c r="B5213" s="1" t="s">
        <v>13</v>
      </c>
      <c r="C5213" s="4" t="s">
        <v>23178</v>
      </c>
      <c r="D5213" s="1" t="s">
        <v>23179</v>
      </c>
      <c r="E5213" s="1" t="s">
        <v>23180</v>
      </c>
      <c r="F5213" s="4" t="s">
        <v>17</v>
      </c>
      <c r="G5213" s="1" t="s">
        <v>18</v>
      </c>
      <c r="H5213" s="1" t="s">
        <v>19</v>
      </c>
      <c r="I5213" s="1" t="s">
        <v>20</v>
      </c>
      <c r="J5213" s="1" t="s">
        <v>23181</v>
      </c>
      <c r="K5213" s="1" t="s">
        <v>22</v>
      </c>
      <c r="L5213" s="1" t="str">
        <f>HYPERLINK("https://files.afu.se/Downloads/Transcripts/0%20-%20Government/USA%20-%20NASA/2009 04 28 - NASA -  Return to Hubble - Yes We Can America  Music Video_cWYJY7ls4Jc - transcript (automated).pdf","Transcript Link")</f>
        <v>Transcript Link</v>
      </c>
      <c r="M5213" s="2" t="str">
        <f>HYPERLINK("https://files.afu.se/Downloads/Transcripts/0%20-%20Government/USA%20-%20NASA/2009 04 28 - NASA -  Return to Hubble - Yes We Can America  Music Video_cWYJY7ls4Jc - transcript (automated).pdf","Transcript Link")</f>
        <v>Transcript Link</v>
      </c>
    </row>
    <row r="5214" ht="165" spans="1:13">
      <c r="A5214" s="1" t="s">
        <v>23182</v>
      </c>
      <c r="B5214" s="1" t="s">
        <v>13</v>
      </c>
      <c r="C5214" s="4" t="s">
        <v>23183</v>
      </c>
      <c r="D5214" s="1" t="s">
        <v>23184</v>
      </c>
      <c r="F5214" s="4" t="s">
        <v>17</v>
      </c>
      <c r="G5214" s="1" t="s">
        <v>18</v>
      </c>
      <c r="H5214" s="1" t="s">
        <v>19</v>
      </c>
      <c r="I5214" s="1" t="s">
        <v>20</v>
      </c>
      <c r="J5214" s="1" t="s">
        <v>23185</v>
      </c>
      <c r="K5214" s="1" t="s">
        <v>22</v>
      </c>
      <c r="L5214" s="1" t="str">
        <f>HYPERLINK("https://files.afu.se/Downloads/Transcripts/0%20-%20Government/USA%20-%20NASA/2009 04 24 - NASA - MISSION UPDATE  AIRBORNE SCIENCES_rNGjNsYuP6E - transcript (automated).pdf","Transcript Link")</f>
        <v>Transcript Link</v>
      </c>
      <c r="M5214" s="2" t="str">
        <f>HYPERLINK("https://files.afu.se/Downloads/Transcripts/0%20-%20Government/USA%20-%20NASA/2009 04 24 - NASA - MISSION UPDATE  AIRBORNE SCIENCES_rNGjNsYuP6E - transcript (automated).pdf","Transcript Link")</f>
        <v>Transcript Link</v>
      </c>
    </row>
    <row r="5215" ht="165" spans="1:13">
      <c r="A5215" s="1" t="s">
        <v>23186</v>
      </c>
      <c r="B5215" s="1" t="s">
        <v>13</v>
      </c>
      <c r="C5215" s="4" t="s">
        <v>23187</v>
      </c>
      <c r="D5215" s="1" t="s">
        <v>23188</v>
      </c>
      <c r="E5215" s="1" t="s">
        <v>23189</v>
      </c>
      <c r="F5215" s="4" t="s">
        <v>17</v>
      </c>
      <c r="G5215" s="1" t="s">
        <v>18</v>
      </c>
      <c r="H5215" s="1" t="s">
        <v>19</v>
      </c>
      <c r="I5215" s="1" t="s">
        <v>20</v>
      </c>
      <c r="J5215" s="1" t="s">
        <v>23190</v>
      </c>
      <c r="K5215" s="1" t="s">
        <v>22</v>
      </c>
      <c r="L5215" s="1" t="str">
        <f>HYPERLINK("https://files.afu.se/Downloads/Transcripts/0%20-%20Government/USA%20-%20NASA/2009 04 23 - NASA - Hubble Celebrates its 19th Anniversary with the  Fountain of Youth _J5pB5rTYUAg - transcript (automated).pdf","Transcript Link")</f>
        <v>Transcript Link</v>
      </c>
      <c r="M5215" s="2" t="str">
        <f>HYPERLINK("https://files.afu.se/Downloads/Transcripts/0%20-%20Government/USA%20-%20NASA/2009 04 23 - NASA - Hubble Celebrates its 19th Anniversary with the  Fountain of Youth _J5pB5rTYUAg - transcript (automated).pdf","Transcript Link")</f>
        <v>Transcript Link</v>
      </c>
    </row>
    <row r="5216" ht="165" spans="1:13">
      <c r="A5216" s="1" t="s">
        <v>23191</v>
      </c>
      <c r="B5216" s="1" t="s">
        <v>13</v>
      </c>
      <c r="C5216" s="4" t="s">
        <v>23192</v>
      </c>
      <c r="D5216" s="1" t="s">
        <v>23193</v>
      </c>
      <c r="E5216" s="1" t="s">
        <v>23194</v>
      </c>
      <c r="F5216" s="4" t="s">
        <v>17</v>
      </c>
      <c r="G5216" s="1" t="s">
        <v>18</v>
      </c>
      <c r="H5216" s="1" t="s">
        <v>19</v>
      </c>
      <c r="I5216" s="1" t="s">
        <v>20</v>
      </c>
      <c r="J5216" s="1" t="s">
        <v>23195</v>
      </c>
      <c r="K5216" s="1" t="s">
        <v>22</v>
      </c>
      <c r="L5216" s="1" t="str">
        <f>HYPERLINK("https://files.afu.se/Downloads/Transcripts/0%20-%20Government/USA%20-%20NASA/2009 04 22 - NASA - A Tour of the Cryosphere__WUpjXHo-O4 - transcript (automated).pdf","Transcript Link")</f>
        <v>Transcript Link</v>
      </c>
      <c r="M5216" s="2" t="str">
        <f>HYPERLINK("https://files.afu.se/Downloads/Transcripts/0%20-%20Government/USA%20-%20NASA/2009 04 22 - NASA - A Tour of the Cryosphere__WUpjXHo-O4 - transcript (automated).pdf","Transcript Link")</f>
        <v>Transcript Link</v>
      </c>
    </row>
    <row r="5217" ht="165" spans="1:13">
      <c r="A5217" s="1" t="s">
        <v>23191</v>
      </c>
      <c r="B5217" s="1" t="s">
        <v>13</v>
      </c>
      <c r="C5217" s="4" t="s">
        <v>23196</v>
      </c>
      <c r="D5217" s="1" t="s">
        <v>23197</v>
      </c>
      <c r="E5217" s="1" t="s">
        <v>23198</v>
      </c>
      <c r="F5217" s="4" t="s">
        <v>17</v>
      </c>
      <c r="G5217" s="1" t="s">
        <v>18</v>
      </c>
      <c r="H5217" s="1" t="s">
        <v>19</v>
      </c>
      <c r="I5217" s="1" t="s">
        <v>20</v>
      </c>
      <c r="J5217" s="1" t="s">
        <v>23199</v>
      </c>
      <c r="K5217" s="1" t="s">
        <v>22</v>
      </c>
      <c r="L5217" s="1" t="str">
        <f>HYPERLINK("https://files.afu.se/Downloads/Transcripts/0%20-%20Government/USA%20-%20NASA/2009 04 22 - NASA - Taking EarthsTemperature_gpcTbgxkOks - transcript (automated).pdf","Transcript Link")</f>
        <v>Transcript Link</v>
      </c>
      <c r="M5217" s="2" t="str">
        <f>HYPERLINK("https://files.afu.se/Downloads/Transcripts/0%20-%20Government/USA%20-%20NASA/2009 04 22 - NASA - Taking EarthsTemperature_gpcTbgxkOks - transcript (automated).pdf","Transcript Link")</f>
        <v>Transcript Link</v>
      </c>
    </row>
    <row r="5218" ht="165" spans="1:13">
      <c r="A5218" s="1" t="s">
        <v>23191</v>
      </c>
      <c r="B5218" s="1" t="s">
        <v>13</v>
      </c>
      <c r="C5218" s="4" t="s">
        <v>23200</v>
      </c>
      <c r="D5218" s="1" t="s">
        <v>23201</v>
      </c>
      <c r="E5218" s="1" t="s">
        <v>23202</v>
      </c>
      <c r="F5218" s="4" t="s">
        <v>17</v>
      </c>
      <c r="G5218" s="1" t="s">
        <v>18</v>
      </c>
      <c r="H5218" s="1" t="s">
        <v>19</v>
      </c>
      <c r="I5218" s="1" t="s">
        <v>20</v>
      </c>
      <c r="J5218" s="1" t="s">
        <v>23203</v>
      </c>
      <c r="K5218" s="1" t="s">
        <v>22</v>
      </c>
      <c r="L5218" s="1" t="str">
        <f>HYPERLINK("https://files.afu.se/Downloads/Transcripts/0%20-%20Government/USA%20-%20NASA/2009 04 22 - NASA - Exploring Ozone_TFK3-SYs4B0 - transcript (automated).pdf","Transcript Link")</f>
        <v>Transcript Link</v>
      </c>
      <c r="M5218" s="2" t="str">
        <f>HYPERLINK("https://files.afu.se/Downloads/Transcripts/0%20-%20Government/USA%20-%20NASA/2009 04 22 - NASA - Exploring Ozone_TFK3-SYs4B0 - transcript (automated).pdf","Transcript Link")</f>
        <v>Transcript Link</v>
      </c>
    </row>
    <row r="5219" ht="165" spans="1:13">
      <c r="A5219" s="1" t="s">
        <v>23204</v>
      </c>
      <c r="B5219" s="1" t="s">
        <v>13</v>
      </c>
      <c r="C5219" s="4" t="s">
        <v>23205</v>
      </c>
      <c r="D5219" s="1" t="s">
        <v>23206</v>
      </c>
      <c r="E5219" s="1" t="s">
        <v>23207</v>
      </c>
      <c r="F5219" s="4" t="s">
        <v>17</v>
      </c>
      <c r="G5219" s="1" t="s">
        <v>18</v>
      </c>
      <c r="H5219" s="1" t="s">
        <v>19</v>
      </c>
      <c r="I5219" s="1" t="s">
        <v>20</v>
      </c>
      <c r="J5219" s="1" t="s">
        <v>23208</v>
      </c>
      <c r="K5219" s="1" t="s">
        <v>22</v>
      </c>
      <c r="L5219" s="1" t="str">
        <f>HYPERLINK("https://files.afu.se/Downloads/Transcripts/0%20-%20Government/USA%20-%20NASA/2009 04 21 - NASA - HD EARTH VIEWS FROM SPACE STATION_Lj2qqoZzZ3M - transcript (automated).pdf","Transcript Link")</f>
        <v>Transcript Link</v>
      </c>
      <c r="M5219" s="2" t="str">
        <f>HYPERLINK("https://files.afu.se/Downloads/Transcripts/0%20-%20Government/USA%20-%20NASA/2009 04 21 - NASA - HD EARTH VIEWS FROM SPACE STATION_Lj2qqoZzZ3M - transcript (automated).pdf","Transcript Link")</f>
        <v>Transcript Link</v>
      </c>
    </row>
    <row r="5220" ht="165" spans="1:13">
      <c r="A5220" s="1" t="s">
        <v>23209</v>
      </c>
      <c r="B5220" s="1" t="s">
        <v>13</v>
      </c>
      <c r="C5220" s="4" t="s">
        <v>23210</v>
      </c>
      <c r="D5220" s="1" t="s">
        <v>23211</v>
      </c>
      <c r="E5220" s="1" t="s">
        <v>23212</v>
      </c>
      <c r="F5220" s="4" t="s">
        <v>17</v>
      </c>
      <c r="G5220" s="1" t="s">
        <v>18</v>
      </c>
      <c r="H5220" s="1" t="s">
        <v>19</v>
      </c>
      <c r="I5220" s="1" t="s">
        <v>20</v>
      </c>
      <c r="J5220" s="1" t="s">
        <v>23213</v>
      </c>
      <c r="K5220" s="1" t="s">
        <v>22</v>
      </c>
      <c r="L5220" s="1" t="str">
        <f>HYPERLINK("https://files.afu.se/Downloads/Transcripts/0%20-%20Government/USA%20-%20NASA/2009 04 16 - NASA - Kepler Captures First Views of Planet Hunting Territory_LGtKXqd3M0k - transcript (automated).pdf","Transcript Link")</f>
        <v>Transcript Link</v>
      </c>
      <c r="M5220" s="2" t="str">
        <f>HYPERLINK("https://files.afu.se/Downloads/Transcripts/0%20-%20Government/USA%20-%20NASA/2009 04 16 - NASA - Kepler Captures First Views of Planet Hunting Territory_LGtKXqd3M0k - transcript (automated).pdf","Transcript Link")</f>
        <v>Transcript Link</v>
      </c>
    </row>
    <row r="5221" ht="165" spans="1:13">
      <c r="A5221" s="1" t="s">
        <v>23209</v>
      </c>
      <c r="B5221" s="1" t="s">
        <v>13</v>
      </c>
      <c r="C5221" s="4" t="s">
        <v>23214</v>
      </c>
      <c r="D5221" s="1" t="s">
        <v>23215</v>
      </c>
      <c r="F5221" s="4" t="s">
        <v>17</v>
      </c>
      <c r="G5221" s="1" t="s">
        <v>18</v>
      </c>
      <c r="H5221" s="1" t="s">
        <v>19</v>
      </c>
      <c r="I5221" s="1" t="s">
        <v>20</v>
      </c>
      <c r="J5221" s="1" t="s">
        <v>23216</v>
      </c>
      <c r="K5221" s="1" t="s">
        <v>22</v>
      </c>
      <c r="L5221" s="1" t="str">
        <f>HYPERLINK("https://files.afu.se/Downloads/Transcripts/0%20-%20Government/USA%20-%20NASA/2009 04 16 - NASA - Anatomy of a CME (Coronal Mass Ejection)_tPR36FI4oGU - transcript (automated).pdf","Transcript Link")</f>
        <v>Transcript Link</v>
      </c>
      <c r="M5221" s="2" t="str">
        <f>HYPERLINK("https://files.afu.se/Downloads/Transcripts/0%20-%20Government/USA%20-%20NASA/2009 04 16 - NASA - Anatomy of a CME (Coronal Mass Ejection)_tPR36FI4oGU - transcript (automated).pdf","Transcript Link")</f>
        <v>Transcript Link</v>
      </c>
    </row>
    <row r="5222" ht="165" spans="1:13">
      <c r="A5222" s="1" t="s">
        <v>23217</v>
      </c>
      <c r="B5222" s="1" t="s">
        <v>13</v>
      </c>
      <c r="C5222" s="4" t="s">
        <v>23218</v>
      </c>
      <c r="D5222" s="1" t="s">
        <v>23219</v>
      </c>
      <c r="F5222" s="4" t="s">
        <v>17</v>
      </c>
      <c r="G5222" s="1" t="s">
        <v>18</v>
      </c>
      <c r="H5222" s="1" t="s">
        <v>19</v>
      </c>
      <c r="I5222" s="1" t="s">
        <v>20</v>
      </c>
      <c r="J5222" s="1" t="s">
        <v>23220</v>
      </c>
      <c r="K5222" s="1" t="s">
        <v>22</v>
      </c>
      <c r="L5222" s="1" t="str">
        <f>HYPERLINK("https://files.afu.se/Downloads/Transcripts/0%20-%20Government/USA%20-%20NASA/2009 04 07 - NASA - NASA Wallops Flight Facility Flies Greenland Ice Fields_CMU-9T_xWUo - transcript (automated).pdf","Transcript Link")</f>
        <v>Transcript Link</v>
      </c>
      <c r="M5222" s="2" t="str">
        <f>HYPERLINK("https://files.afu.se/Downloads/Transcripts/0%20-%20Government/USA%20-%20NASA/2009 04 07 - NASA - NASA Wallops Flight Facility Flies Greenland Ice Fields_CMU-9T_xWUo - transcript (automated).pdf","Transcript Link")</f>
        <v>Transcript Link</v>
      </c>
    </row>
    <row r="5223" ht="195" spans="1:13">
      <c r="A5223" s="1" t="s">
        <v>23217</v>
      </c>
      <c r="B5223" s="1" t="s">
        <v>13</v>
      </c>
      <c r="C5223" s="4" t="s">
        <v>23221</v>
      </c>
      <c r="D5223" s="1" t="s">
        <v>23222</v>
      </c>
      <c r="E5223" s="1" t="s">
        <v>23223</v>
      </c>
      <c r="F5223" s="4" t="s">
        <v>17</v>
      </c>
      <c r="G5223" s="1" t="s">
        <v>18</v>
      </c>
      <c r="H5223" s="1" t="s">
        <v>19</v>
      </c>
      <c r="I5223" s="1" t="s">
        <v>20</v>
      </c>
      <c r="J5223" s="1" t="s">
        <v>23224</v>
      </c>
      <c r="K5223" s="1" t="s">
        <v>22</v>
      </c>
      <c r="L5223" s="1" t="str">
        <f>HYPERLINK("https://files.afu.se/Downloads/Transcripts/0%20-%20Government/USA%20-%20NASA/2009 04 07 - NASA - Apollo 40th Anniversary - Neil Armstrong_8aLeIGCOF7Q - transcript (automated).pdf","Transcript Link")</f>
        <v>Transcript Link</v>
      </c>
      <c r="M5223" s="2" t="str">
        <f>HYPERLINK("https://files.afu.se/Downloads/Transcripts/0%20-%20Government/USA%20-%20NASA/2009 04 07 - NASA - Apollo 40th Anniversary - Neil Armstrong_8aLeIGCOF7Q - transcript (automated).pdf","Transcript Link")</f>
        <v>Transcript Link</v>
      </c>
    </row>
    <row r="5224" ht="240" spans="1:13">
      <c r="A5224" s="1" t="s">
        <v>23217</v>
      </c>
      <c r="B5224" s="1" t="s">
        <v>13</v>
      </c>
      <c r="C5224" s="4" t="s">
        <v>23225</v>
      </c>
      <c r="D5224" s="1" t="s">
        <v>23226</v>
      </c>
      <c r="E5224" s="1" t="s">
        <v>23227</v>
      </c>
      <c r="F5224" s="4" t="s">
        <v>17</v>
      </c>
      <c r="G5224" s="1" t="s">
        <v>18</v>
      </c>
      <c r="H5224" s="1" t="s">
        <v>19</v>
      </c>
      <c r="I5224" s="1" t="s">
        <v>20</v>
      </c>
      <c r="J5224" s="1" t="s">
        <v>23228</v>
      </c>
      <c r="K5224" s="1" t="s">
        <v>22</v>
      </c>
      <c r="L5224" s="1" t="str">
        <f>HYPERLINK("https://files.afu.se/Downloads/Transcripts/0%20-%20Government/USA%20-%20NASA/2009 04 07 - NASA - Project Mercury 50th Anniversary - John Glenn_fz7bsINLUuc - transcript (automated).pdf","Transcript Link")</f>
        <v>Transcript Link</v>
      </c>
      <c r="M5224" s="2" t="str">
        <f>HYPERLINK("https://files.afu.se/Downloads/Transcripts/0%20-%20Government/USA%20-%20NASA/2009 04 07 - NASA - Project Mercury 50th Anniversary - John Glenn_fz7bsINLUuc - transcript (automated).pdf","Transcript Link")</f>
        <v>Transcript Link</v>
      </c>
    </row>
    <row r="5225" ht="165" spans="1:13">
      <c r="A5225" s="1" t="s">
        <v>23217</v>
      </c>
      <c r="B5225" s="1" t="s">
        <v>13</v>
      </c>
      <c r="C5225" s="4" t="s">
        <v>23229</v>
      </c>
      <c r="D5225" s="1" t="s">
        <v>23230</v>
      </c>
      <c r="E5225" s="1" t="s">
        <v>23231</v>
      </c>
      <c r="F5225" s="4" t="s">
        <v>17</v>
      </c>
      <c r="G5225" s="1" t="s">
        <v>18</v>
      </c>
      <c r="H5225" s="1" t="s">
        <v>19</v>
      </c>
      <c r="I5225" s="1" t="s">
        <v>20</v>
      </c>
      <c r="J5225" s="1" t="s">
        <v>23232</v>
      </c>
      <c r="K5225" s="1" t="s">
        <v>22</v>
      </c>
      <c r="L5225" s="1" t="str">
        <f>HYPERLINK("https://files.afu.se/Downloads/Transcripts/0%20-%20Government/USA%20-%20NASA/2009 04 07 - NASA - Arctic Sea Ice Maximum 2009_xIQ1RTIasEs - transcript (automated).pdf","Transcript Link")</f>
        <v>Transcript Link</v>
      </c>
      <c r="M5225" s="2" t="str">
        <f>HYPERLINK("https://files.afu.se/Downloads/Transcripts/0%20-%20Government/USA%20-%20NASA/2009 04 07 - NASA - Arctic Sea Ice Maximum 2009_xIQ1RTIasEs - transcript (automated).pdf","Transcript Link")</f>
        <v>Transcript Link</v>
      </c>
    </row>
    <row r="5226" ht="165" spans="1:13">
      <c r="A5226" s="1" t="s">
        <v>23233</v>
      </c>
      <c r="B5226" s="1" t="s">
        <v>13</v>
      </c>
      <c r="C5226" s="4" t="s">
        <v>23234</v>
      </c>
      <c r="D5226" s="1" t="s">
        <v>23235</v>
      </c>
      <c r="E5226" s="1" t="s">
        <v>23236</v>
      </c>
      <c r="F5226" s="4" t="s">
        <v>17</v>
      </c>
      <c r="G5226" s="1" t="s">
        <v>18</v>
      </c>
      <c r="H5226" s="1" t="s">
        <v>19</v>
      </c>
      <c r="I5226" s="1" t="s">
        <v>20</v>
      </c>
      <c r="J5226" s="1" t="s">
        <v>23237</v>
      </c>
      <c r="K5226" s="1" t="s">
        <v>22</v>
      </c>
      <c r="L5226" s="1" t="str">
        <f>HYPERLINK("https://files.afu.se/Downloads/Transcripts/0%20-%20Government/USA%20-%20NASA/2009 04 06 - NASA - ISS Mike Fincke Crew Quarters Tour 04 03 09_ttCZlybmUI0 - transcript (automated).pdf","Transcript Link")</f>
        <v>Transcript Link</v>
      </c>
      <c r="M5226" s="2" t="str">
        <f>HYPERLINK("https://files.afu.se/Downloads/Transcripts/0%20-%20Government/USA%20-%20NASA/2009 04 06 - NASA - ISS Mike Fincke Crew Quarters Tour 04 03 09_ttCZlybmUI0 - transcript (automated).pdf","Transcript Link")</f>
        <v>Transcript Link</v>
      </c>
    </row>
    <row r="5227" ht="165" spans="1:13">
      <c r="A5227" s="1" t="s">
        <v>23238</v>
      </c>
      <c r="B5227" s="1" t="s">
        <v>13</v>
      </c>
      <c r="C5227" s="4" t="s">
        <v>23239</v>
      </c>
      <c r="D5227" s="1" t="s">
        <v>23240</v>
      </c>
      <c r="E5227" s="1" t="s">
        <v>23241</v>
      </c>
      <c r="F5227" s="4" t="s">
        <v>17</v>
      </c>
      <c r="G5227" s="1" t="s">
        <v>18</v>
      </c>
      <c r="H5227" s="1" t="s">
        <v>19</v>
      </c>
      <c r="I5227" s="1" t="s">
        <v>20</v>
      </c>
      <c r="J5227" s="1" t="s">
        <v>23242</v>
      </c>
      <c r="K5227" s="1" t="s">
        <v>22</v>
      </c>
      <c r="L5227" s="1" t="str">
        <f>HYPERLINK("https://files.afu.se/Downloads/Transcripts/0%20-%20Government/USA%20-%20NASA/2009 04 04 - NASA - NASA Honors James Lovell_jU-KlHN6sKM - transcript (automated).pdf","Transcript Link")</f>
        <v>Transcript Link</v>
      </c>
      <c r="M5227" s="2" t="str">
        <f>HYPERLINK("https://files.afu.se/Downloads/Transcripts/0%20-%20Government/USA%20-%20NASA/2009 04 04 - NASA - NASA Honors James Lovell_jU-KlHN6sKM - transcript (automated).pdf","Transcript Link")</f>
        <v>Transcript Link</v>
      </c>
    </row>
    <row r="5228" ht="165" spans="1:13">
      <c r="A5228" s="1" t="s">
        <v>23243</v>
      </c>
      <c r="B5228" s="1" t="s">
        <v>13</v>
      </c>
      <c r="C5228" s="4" t="s">
        <v>23244</v>
      </c>
      <c r="D5228" s="1" t="s">
        <v>23245</v>
      </c>
      <c r="E5228" s="1" t="s">
        <v>23246</v>
      </c>
      <c r="F5228" s="4" t="s">
        <v>17</v>
      </c>
      <c r="G5228" s="1" t="s">
        <v>18</v>
      </c>
      <c r="H5228" s="1" t="s">
        <v>19</v>
      </c>
      <c r="I5228" s="1" t="s">
        <v>20</v>
      </c>
      <c r="J5228" s="1" t="s">
        <v>23247</v>
      </c>
      <c r="K5228" s="1" t="s">
        <v>22</v>
      </c>
      <c r="L5228" s="1" t="str">
        <f>HYPERLINK("https://files.afu.se/Downloads/Transcripts/0%20-%20Government/USA%20-%20NASA/2009 04 01 - NASA - MISSION UPDATE  SWIFT__c0ezaOWv1o - transcript (automated).pdf","Transcript Link")</f>
        <v>Transcript Link</v>
      </c>
      <c r="M5228" s="2" t="str">
        <f>HYPERLINK("https://files.afu.se/Downloads/Transcripts/0%20-%20Government/USA%20-%20NASA/2009 04 01 - NASA - MISSION UPDATE  SWIFT__c0ezaOWv1o - transcript (automated).pdf","Transcript Link")</f>
        <v>Transcript Link</v>
      </c>
    </row>
    <row r="5229" ht="165" spans="1:13">
      <c r="A5229" s="1" t="s">
        <v>23248</v>
      </c>
      <c r="B5229" s="1" t="s">
        <v>13</v>
      </c>
      <c r="C5229" s="4" t="s">
        <v>23249</v>
      </c>
      <c r="D5229" s="1" t="s">
        <v>23250</v>
      </c>
      <c r="F5229" s="4" t="s">
        <v>17</v>
      </c>
      <c r="G5229" s="1" t="s">
        <v>18</v>
      </c>
      <c r="H5229" s="1" t="s">
        <v>19</v>
      </c>
      <c r="I5229" s="1" t="s">
        <v>20</v>
      </c>
      <c r="J5229" s="1" t="s">
        <v>23251</v>
      </c>
      <c r="K5229" s="1" t="s">
        <v>22</v>
      </c>
      <c r="L5229" s="1" t="str">
        <f>HYPERLINK("https://files.afu.se/Downloads/Transcripts/0%20-%20Government/USA%20-%20NASA/2009 03 27 - NASA - STS 119 HD ISS Fly Around Sped Up_bXNH7whveGk - transcript (automated).pdf","Transcript Link")</f>
        <v>Transcript Link</v>
      </c>
      <c r="M5229" s="2" t="str">
        <f>HYPERLINK("https://files.afu.se/Downloads/Transcripts/0%20-%20Government/USA%20-%20NASA/2009 03 27 - NASA - STS 119 HD ISS Fly Around Sped Up_bXNH7whveGk - transcript (automated).pdf","Transcript Link")</f>
        <v>Transcript Link</v>
      </c>
    </row>
    <row r="5230" ht="270" spans="1:13">
      <c r="A5230" s="1" t="s">
        <v>23248</v>
      </c>
      <c r="B5230" s="1" t="s">
        <v>13</v>
      </c>
      <c r="C5230" s="4" t="s">
        <v>23252</v>
      </c>
      <c r="D5230" s="1" t="s">
        <v>23253</v>
      </c>
      <c r="E5230" s="1" t="s">
        <v>23254</v>
      </c>
      <c r="F5230" s="4" t="s">
        <v>17</v>
      </c>
      <c r="G5230" s="1" t="s">
        <v>18</v>
      </c>
      <c r="H5230" s="1" t="s">
        <v>19</v>
      </c>
      <c r="I5230" s="1" t="s">
        <v>20</v>
      </c>
      <c r="J5230" s="1" t="s">
        <v>23255</v>
      </c>
      <c r="K5230" s="1" t="s">
        <v>22</v>
      </c>
      <c r="L5230" s="1" t="str">
        <f>HYPERLINK("https://files.afu.se/Downloads/Transcripts/0%20-%20Government/USA%20-%20NASA/2009 03 27 - NASA - Mercury 7 50th Anniversary_2Ola15rwl8w - transcript (automated).pdf","Transcript Link")</f>
        <v>Transcript Link</v>
      </c>
      <c r="M5230" s="2" t="str">
        <f>HYPERLINK("https://files.afu.se/Downloads/Transcripts/0%20-%20Government/USA%20-%20NASA/2009 03 27 - NASA - Mercury 7 50th Anniversary_2Ola15rwl8w - transcript (automated).pdf","Transcript Link")</f>
        <v>Transcript Link</v>
      </c>
    </row>
    <row r="5231" ht="225" spans="1:13">
      <c r="A5231" s="1" t="s">
        <v>23248</v>
      </c>
      <c r="B5231" s="1" t="s">
        <v>13</v>
      </c>
      <c r="C5231" s="4" t="s">
        <v>23256</v>
      </c>
      <c r="D5231" s="1" t="s">
        <v>23257</v>
      </c>
      <c r="E5231" s="1" t="s">
        <v>23258</v>
      </c>
      <c r="F5231" s="4" t="s">
        <v>17</v>
      </c>
      <c r="G5231" s="1" t="s">
        <v>18</v>
      </c>
      <c r="H5231" s="1" t="s">
        <v>19</v>
      </c>
      <c r="I5231" s="1" t="s">
        <v>20</v>
      </c>
      <c r="J5231" s="1" t="s">
        <v>23259</v>
      </c>
      <c r="K5231" s="1" t="s">
        <v>22</v>
      </c>
      <c r="L5231" s="1" t="str">
        <f>HYPERLINK("https://files.afu.se/Downloads/Transcripts/0%20-%20Government/USA%20-%20NASA/2009 03 27 - NASA - Apollo 40th Logo animation_6P0aWsZIGi0 - transcript (automated).pdf","Transcript Link")</f>
        <v>Transcript Link</v>
      </c>
      <c r="M5231" s="2" t="str">
        <f>HYPERLINK("https://files.afu.se/Downloads/Transcripts/0%20-%20Government/USA%20-%20NASA/2009 03 27 - NASA - Apollo 40th Logo animation_6P0aWsZIGi0 - transcript (automated).pdf","Transcript Link")</f>
        <v>Transcript Link</v>
      </c>
    </row>
    <row r="5232" ht="285" spans="1:13">
      <c r="A5232" s="1" t="s">
        <v>23260</v>
      </c>
      <c r="B5232" s="1" t="s">
        <v>13</v>
      </c>
      <c r="C5232" s="4" t="s">
        <v>23261</v>
      </c>
      <c r="D5232" s="1" t="s">
        <v>23262</v>
      </c>
      <c r="E5232" s="1" t="s">
        <v>23263</v>
      </c>
      <c r="F5232" s="4" t="s">
        <v>17</v>
      </c>
      <c r="G5232" s="1" t="s">
        <v>18</v>
      </c>
      <c r="H5232" s="1" t="s">
        <v>19</v>
      </c>
      <c r="I5232" s="1" t="s">
        <v>20</v>
      </c>
      <c r="J5232" s="1" t="s">
        <v>23264</v>
      </c>
      <c r="K5232" s="1" t="s">
        <v>22</v>
      </c>
      <c r="L5232" s="1" t="str">
        <f>HYPERLINK("https://files.afu.se/Downloads/Transcripts/0%20-%20Government/USA%20-%20NASA/2009 03 26 - NASA - Astronaut T.K. Mattingly Honored with Ambassador of Exploration Award_l9yHBjynPIQ - transcript (automated).pdf","Transcript Link")</f>
        <v>Transcript Link</v>
      </c>
      <c r="M5232" s="2" t="str">
        <f>HYPERLINK("https://files.afu.se/Downloads/Transcripts/0%20-%20Government/USA%20-%20NASA/2009 03 26 - NASA - Astronaut T.K. Mattingly Honored with Ambassador of Exploration Award_l9yHBjynPIQ - transcript (automated).pdf","Transcript Link")</f>
        <v>Transcript Link</v>
      </c>
    </row>
    <row r="5233" ht="165" spans="1:13">
      <c r="A5233" s="1" t="s">
        <v>23265</v>
      </c>
      <c r="B5233" s="1" t="s">
        <v>13</v>
      </c>
      <c r="C5233" s="4" t="s">
        <v>23266</v>
      </c>
      <c r="D5233" s="1" t="s">
        <v>23267</v>
      </c>
      <c r="E5233" s="1" t="s">
        <v>23268</v>
      </c>
      <c r="F5233" s="4" t="s">
        <v>17</v>
      </c>
      <c r="G5233" s="1" t="s">
        <v>18</v>
      </c>
      <c r="H5233" s="1" t="s">
        <v>19</v>
      </c>
      <c r="I5233" s="1" t="s">
        <v>20</v>
      </c>
      <c r="J5233" s="1" t="s">
        <v>23269</v>
      </c>
      <c r="K5233" s="1" t="s">
        <v>22</v>
      </c>
      <c r="L5233" s="1" t="str">
        <f>HYPERLINK("https://files.afu.se/Downloads/Transcripts/0%20-%20Government/USA%20-%20NASA/2009 03 24 - NASA - President Obama Speaks to Shuttle and Station Crew Members - Part 3_hLmKAK9u_mM - transcript (automated).pdf","Transcript Link")</f>
        <v>Transcript Link</v>
      </c>
      <c r="M5233" s="2" t="str">
        <f>HYPERLINK("https://files.afu.se/Downloads/Transcripts/0%20-%20Government/USA%20-%20NASA/2009 03 24 - NASA - President Obama Speaks to Shuttle and Station Crew Members - Part 3_hLmKAK9u_mM - transcript (automated).pdf","Transcript Link")</f>
        <v>Transcript Link</v>
      </c>
    </row>
    <row r="5234" ht="165" spans="1:13">
      <c r="A5234" s="1" t="s">
        <v>23265</v>
      </c>
      <c r="B5234" s="1" t="s">
        <v>13</v>
      </c>
      <c r="C5234" s="4" t="s">
        <v>23270</v>
      </c>
      <c r="D5234" s="1" t="s">
        <v>23271</v>
      </c>
      <c r="E5234" s="1" t="s">
        <v>23272</v>
      </c>
      <c r="F5234" s="4" t="s">
        <v>17</v>
      </c>
      <c r="G5234" s="1" t="s">
        <v>18</v>
      </c>
      <c r="H5234" s="1" t="s">
        <v>19</v>
      </c>
      <c r="I5234" s="1" t="s">
        <v>20</v>
      </c>
      <c r="J5234" s="1" t="s">
        <v>23273</v>
      </c>
      <c r="K5234" s="1" t="s">
        <v>22</v>
      </c>
      <c r="L5234" s="1" t="str">
        <f>HYPERLINK("https://files.afu.se/Downloads/Transcripts/0%20-%20Government/USA%20-%20NASA/2009 03 24 - NASA - President Obama Speaks to Shuttle and Station Crew Members - Part 2_J6gZ-OdgQHk - transcript (automated).pdf","Transcript Link")</f>
        <v>Transcript Link</v>
      </c>
      <c r="M5234" s="2" t="str">
        <f>HYPERLINK("https://files.afu.se/Downloads/Transcripts/0%20-%20Government/USA%20-%20NASA/2009 03 24 - NASA - President Obama Speaks to Shuttle and Station Crew Members - Part 2_J6gZ-OdgQHk - transcript (automated).pdf","Transcript Link")</f>
        <v>Transcript Link</v>
      </c>
    </row>
    <row r="5235" ht="165" spans="1:13">
      <c r="A5235" s="1" t="s">
        <v>23265</v>
      </c>
      <c r="B5235" s="1" t="s">
        <v>13</v>
      </c>
      <c r="C5235" s="4" t="s">
        <v>23274</v>
      </c>
      <c r="D5235" s="1" t="s">
        <v>23275</v>
      </c>
      <c r="E5235" s="1" t="s">
        <v>23276</v>
      </c>
      <c r="F5235" s="4" t="s">
        <v>17</v>
      </c>
      <c r="G5235" s="1" t="s">
        <v>18</v>
      </c>
      <c r="H5235" s="1" t="s">
        <v>19</v>
      </c>
      <c r="I5235" s="1" t="s">
        <v>20</v>
      </c>
      <c r="J5235" s="1" t="s">
        <v>23277</v>
      </c>
      <c r="K5235" s="1" t="s">
        <v>22</v>
      </c>
      <c r="L5235" s="1" t="str">
        <f>HYPERLINK("https://files.afu.se/Downloads/Transcripts/0%20-%20Government/USA%20-%20NASA/2009 03 24 - NASA - President Obama Speaks to Shuttle and Station Crew Members - Part 1_mJhlsDihga0 - transcript (automated).pdf","Transcript Link")</f>
        <v>Transcript Link</v>
      </c>
      <c r="M5235" s="2" t="str">
        <f>HYPERLINK("https://files.afu.se/Downloads/Transcripts/0%20-%20Government/USA%20-%20NASA/2009 03 24 - NASA - President Obama Speaks to Shuttle and Station Crew Members - Part 1_mJhlsDihga0 - transcript (automated).pdf","Transcript Link")</f>
        <v>Transcript Link</v>
      </c>
    </row>
    <row r="5236" ht="165" spans="1:13">
      <c r="A5236" s="1" t="s">
        <v>23278</v>
      </c>
      <c r="B5236" s="1" t="s">
        <v>13</v>
      </c>
      <c r="C5236" s="4" t="s">
        <v>23279</v>
      </c>
      <c r="D5236" s="1" t="s">
        <v>23280</v>
      </c>
      <c r="E5236" s="1" t="s">
        <v>23281</v>
      </c>
      <c r="F5236" s="4" t="s">
        <v>17</v>
      </c>
      <c r="G5236" s="1" t="s">
        <v>18</v>
      </c>
      <c r="H5236" s="1" t="s">
        <v>19</v>
      </c>
      <c r="I5236" s="1" t="s">
        <v>20</v>
      </c>
      <c r="J5236" s="1" t="s">
        <v>23282</v>
      </c>
      <c r="K5236" s="1" t="s">
        <v>22</v>
      </c>
      <c r="L5236" s="1" t="str">
        <f>HYPERLINK("https://files.afu.se/Downloads/Transcripts/0%20-%20Government/USA%20-%20NASA/2009 03 12 - NASA - NASA Edge Promo with ESPN's Mike and  Mike In the Morning_am6apAFLhbM - transcript (automated).pdf","Transcript Link")</f>
        <v>Transcript Link</v>
      </c>
      <c r="M5236" s="2" t="str">
        <f>HYPERLINK("https://files.afu.se/Downloads/Transcripts/0%20-%20Government/USA%20-%20NASA/2009 03 12 - NASA - NASA Edge Promo with ESPN's Mike and  Mike In the Morning_am6apAFLhbM - transcript (automated).pdf","Transcript Link")</f>
        <v>Transcript Link</v>
      </c>
    </row>
    <row r="5237" ht="165" spans="1:13">
      <c r="A5237" s="1" t="s">
        <v>23283</v>
      </c>
      <c r="B5237" s="1" t="s">
        <v>13</v>
      </c>
      <c r="C5237" s="4" t="s">
        <v>23284</v>
      </c>
      <c r="D5237" s="1" t="s">
        <v>23285</v>
      </c>
      <c r="E5237" s="1" t="s">
        <v>23286</v>
      </c>
      <c r="F5237" s="4" t="s">
        <v>17</v>
      </c>
      <c r="G5237" s="1" t="s">
        <v>18</v>
      </c>
      <c r="H5237" s="1" t="s">
        <v>19</v>
      </c>
      <c r="I5237" s="1" t="s">
        <v>20</v>
      </c>
      <c r="J5237" s="1" t="s">
        <v>23287</v>
      </c>
      <c r="K5237" s="1" t="s">
        <v>22</v>
      </c>
      <c r="L5237" s="1" t="str">
        <f>HYPERLINK("https://files.afu.se/Downloads/Transcripts/0%20-%20Government/USA%20-%20NASA/2009 03 09 - NASA - Rover Undergrad_epF788YoiNQ - transcript (automated).pdf","Transcript Link")</f>
        <v>Transcript Link</v>
      </c>
      <c r="M5237" s="2" t="str">
        <f>HYPERLINK("https://files.afu.se/Downloads/Transcripts/0%20-%20Government/USA%20-%20NASA/2009 03 09 - NASA - Rover Undergrad_epF788YoiNQ - transcript (automated).pdf","Transcript Link")</f>
        <v>Transcript Link</v>
      </c>
    </row>
    <row r="5238" ht="165" spans="1:13">
      <c r="A5238" s="1" t="s">
        <v>23283</v>
      </c>
      <c r="B5238" s="1" t="s">
        <v>13</v>
      </c>
      <c r="C5238" s="4" t="s">
        <v>23288</v>
      </c>
      <c r="D5238" s="1" t="s">
        <v>23289</v>
      </c>
      <c r="F5238" s="4" t="s">
        <v>17</v>
      </c>
      <c r="G5238" s="1" t="s">
        <v>18</v>
      </c>
      <c r="H5238" s="1" t="s">
        <v>19</v>
      </c>
      <c r="I5238" s="1" t="s">
        <v>20</v>
      </c>
      <c r="J5238" s="1" t="s">
        <v>23290</v>
      </c>
      <c r="K5238" s="1" t="s">
        <v>22</v>
      </c>
      <c r="L5238" s="1" t="str">
        <f>HYPERLINK("https://files.afu.se/Downloads/Transcripts/0%20-%20Government/USA%20-%20NASA/2009 03 09 - NASA - Sun Earth Day -- April 20, 2009_X2YeIjoIEgw - transcript (automated).pdf","Transcript Link")</f>
        <v>Transcript Link</v>
      </c>
      <c r="M5238" s="2" t="str">
        <f>HYPERLINK("https://files.afu.se/Downloads/Transcripts/0%20-%20Government/USA%20-%20NASA/2009 03 09 - NASA - Sun Earth Day -- April 20, 2009_X2YeIjoIEgw - transcript (automated).pdf","Transcript Link")</f>
        <v>Transcript Link</v>
      </c>
    </row>
    <row r="5239" ht="300" spans="1:13">
      <c r="A5239" s="1" t="s">
        <v>23283</v>
      </c>
      <c r="B5239" s="1" t="s">
        <v>13</v>
      </c>
      <c r="C5239" s="4" t="s">
        <v>23291</v>
      </c>
      <c r="D5239" s="1" t="s">
        <v>23292</v>
      </c>
      <c r="E5239" s="1" t="s">
        <v>23293</v>
      </c>
      <c r="F5239" s="4" t="s">
        <v>17</v>
      </c>
      <c r="G5239" s="1" t="s">
        <v>18</v>
      </c>
      <c r="H5239" s="1" t="s">
        <v>19</v>
      </c>
      <c r="I5239" s="1" t="s">
        <v>20</v>
      </c>
      <c r="J5239" s="1" t="s">
        <v>23294</v>
      </c>
      <c r="K5239" s="1" t="s">
        <v>22</v>
      </c>
      <c r="L5239" s="1" t="str">
        <f>HYPERLINK("https://files.afu.se/Downloads/Transcripts/0%20-%20Government/USA%20-%20NASA/2009 03 09 - NASA - Sun-Earth Day Live Web Cast  3 20 2009_D78zIB6Vf6Y - transcript (automated).pdf","Transcript Link")</f>
        <v>Transcript Link</v>
      </c>
      <c r="M5239" s="2" t="str">
        <f>HYPERLINK("https://files.afu.se/Downloads/Transcripts/0%20-%20Government/USA%20-%20NASA/2009 03 09 - NASA - Sun-Earth Day Live Web Cast  3 20 2009_D78zIB6Vf6Y - transcript (automated).pdf","Transcript Link")</f>
        <v>Transcript Link</v>
      </c>
    </row>
    <row r="5240" ht="300" spans="1:13">
      <c r="A5240" s="1" t="s">
        <v>23283</v>
      </c>
      <c r="B5240" s="1" t="s">
        <v>13</v>
      </c>
      <c r="C5240" s="4" t="s">
        <v>23295</v>
      </c>
      <c r="D5240" s="1" t="s">
        <v>23296</v>
      </c>
      <c r="E5240" s="1" t="s">
        <v>23293</v>
      </c>
      <c r="F5240" s="4" t="s">
        <v>17</v>
      </c>
      <c r="G5240" s="1" t="s">
        <v>18</v>
      </c>
      <c r="H5240" s="1" t="s">
        <v>19</v>
      </c>
      <c r="I5240" s="1" t="s">
        <v>20</v>
      </c>
      <c r="J5240" s="1" t="s">
        <v>23297</v>
      </c>
      <c r="K5240" s="1" t="s">
        <v>22</v>
      </c>
      <c r="L5240" s="1" t="str">
        <f>HYPERLINK("https://files.afu.se/Downloads/Transcripts/0%20-%20Government/USA%20-%20NASA/2009 03 09 - NASA - Sun-Earth Day Live Web Cast 3 20 2009_NN18JukIWsA - transcript (automated).pdf","Transcript Link")</f>
        <v>Transcript Link</v>
      </c>
      <c r="M5240" s="2" t="str">
        <f>HYPERLINK("https://files.afu.se/Downloads/Transcripts/0%20-%20Government/USA%20-%20NASA/2009 03 09 - NASA - Sun-Earth Day Live Web Cast 3 20 2009_NN18JukIWsA - transcript (automated).pdf","Transcript Link")</f>
        <v>Transcript Link</v>
      </c>
    </row>
    <row r="5241" ht="165" spans="1:13">
      <c r="A5241" s="1" t="s">
        <v>23298</v>
      </c>
      <c r="B5241" s="1" t="s">
        <v>13</v>
      </c>
      <c r="C5241" s="4" t="s">
        <v>23299</v>
      </c>
      <c r="D5241" s="1" t="s">
        <v>23300</v>
      </c>
      <c r="F5241" s="4" t="s">
        <v>17</v>
      </c>
      <c r="G5241" s="1" t="s">
        <v>18</v>
      </c>
      <c r="H5241" s="1" t="s">
        <v>19</v>
      </c>
      <c r="I5241" s="1" t="s">
        <v>20</v>
      </c>
      <c r="J5241" s="1" t="s">
        <v>23301</v>
      </c>
      <c r="K5241" s="1" t="s">
        <v>22</v>
      </c>
      <c r="L5241" s="1" t="str">
        <f>HYPERLINK("https://files.afu.se/Downloads/Transcripts/0%20-%20Government/USA%20-%20NASA/2009 03 07 - NASA - NASA Kepler Mission Launch_A1pKRoUk-A4 - transcript (automated).pdf","Transcript Link")</f>
        <v>Transcript Link</v>
      </c>
      <c r="M5241" s="2" t="str">
        <f>HYPERLINK("https://files.afu.se/Downloads/Transcripts/0%20-%20Government/USA%20-%20NASA/2009 03 07 - NASA - NASA Kepler Mission Launch_A1pKRoUk-A4 - transcript (automated).pdf","Transcript Link")</f>
        <v>Transcript Link</v>
      </c>
    </row>
    <row r="5242" ht="165" spans="1:13">
      <c r="A5242" s="1" t="s">
        <v>23302</v>
      </c>
      <c r="B5242" s="1" t="s">
        <v>13</v>
      </c>
      <c r="C5242" s="4" t="s">
        <v>23303</v>
      </c>
      <c r="D5242" s="1" t="s">
        <v>23304</v>
      </c>
      <c r="E5242" s="1" t="s">
        <v>23305</v>
      </c>
      <c r="F5242" s="4" t="s">
        <v>17</v>
      </c>
      <c r="G5242" s="1" t="s">
        <v>18</v>
      </c>
      <c r="H5242" s="1" t="s">
        <v>19</v>
      </c>
      <c r="I5242" s="1" t="s">
        <v>20</v>
      </c>
      <c r="J5242" s="1" t="s">
        <v>23306</v>
      </c>
      <c r="K5242" s="1" t="s">
        <v>22</v>
      </c>
      <c r="L5242" s="1" t="str">
        <f>HYPERLINK("https://files.afu.se/Downloads/Transcripts/0%20-%20Government/USA%20-%20NASA/2009 03 02 - NASA - LANDsat 25 Years_UYx-Tue1ofs - transcript (automated).pdf","Transcript Link")</f>
        <v>Transcript Link</v>
      </c>
      <c r="M5242" s="2" t="str">
        <f>HYPERLINK("https://files.afu.se/Downloads/Transcripts/0%20-%20Government/USA%20-%20NASA/2009 03 02 - NASA - LANDsat 25 Years_UYx-Tue1ofs - transcript (automated).pdf","Transcript Link")</f>
        <v>Transcript Link</v>
      </c>
    </row>
    <row r="5243" ht="165" spans="1:13">
      <c r="A5243" s="1" t="s">
        <v>23307</v>
      </c>
      <c r="B5243" s="1" t="s">
        <v>13</v>
      </c>
      <c r="C5243" s="4" t="s">
        <v>23308</v>
      </c>
      <c r="D5243" s="1" t="s">
        <v>23309</v>
      </c>
      <c r="E5243" s="1" t="s">
        <v>23310</v>
      </c>
      <c r="F5243" s="4" t="s">
        <v>17</v>
      </c>
      <c r="G5243" s="1" t="s">
        <v>18</v>
      </c>
      <c r="H5243" s="1" t="s">
        <v>19</v>
      </c>
      <c r="I5243" s="1" t="s">
        <v>20</v>
      </c>
      <c r="J5243" s="1" t="s">
        <v>23311</v>
      </c>
      <c r="K5243" s="1" t="s">
        <v>22</v>
      </c>
      <c r="L5243" s="1" t="str">
        <f>HYPERLINK("https://files.afu.se/Downloads/Transcripts/0%20-%20Government/USA%20-%20NASA/2009 02 27 - NASA - BUILDING A CLEAN DREAM MACHINE FOR SPACE_46aNzm8NudA - transcript (automated).pdf","Transcript Link")</f>
        <v>Transcript Link</v>
      </c>
      <c r="M5243" s="2" t="str">
        <f>HYPERLINK("https://files.afu.se/Downloads/Transcripts/0%20-%20Government/USA%20-%20NASA/2009 02 27 - NASA - BUILDING A CLEAN DREAM MACHINE FOR SPACE_46aNzm8NudA - transcript (automated).pdf","Transcript Link")</f>
        <v>Transcript Link</v>
      </c>
    </row>
    <row r="5244" ht="165" spans="1:13">
      <c r="A5244" s="1" t="s">
        <v>23312</v>
      </c>
      <c r="B5244" s="1" t="s">
        <v>13</v>
      </c>
      <c r="C5244" s="4" t="s">
        <v>23313</v>
      </c>
      <c r="D5244" s="1" t="s">
        <v>23314</v>
      </c>
      <c r="E5244" s="1" t="s">
        <v>23315</v>
      </c>
      <c r="F5244" s="4" t="s">
        <v>17</v>
      </c>
      <c r="G5244" s="1" t="s">
        <v>18</v>
      </c>
      <c r="H5244" s="1" t="s">
        <v>19</v>
      </c>
      <c r="I5244" s="1" t="s">
        <v>20</v>
      </c>
      <c r="J5244" s="1" t="s">
        <v>23316</v>
      </c>
      <c r="K5244" s="1" t="s">
        <v>22</v>
      </c>
      <c r="L5244" s="1" t="str">
        <f>HYPERLINK("https://files.afu.se/Downloads/Transcripts/0%20-%20Government/USA%20-%20NASA/2009 02 25 - NASA - Apollo 9 40th Anniversary_8PzPWvRMnoU - transcript (automated).pdf","Transcript Link")</f>
        <v>Transcript Link</v>
      </c>
      <c r="M5244" s="2" t="str">
        <f>HYPERLINK("https://files.afu.se/Downloads/Transcripts/0%20-%20Government/USA%20-%20NASA/2009 02 25 - NASA - Apollo 9 40th Anniversary_8PzPWvRMnoU - transcript (automated).pdf","Transcript Link")</f>
        <v>Transcript Link</v>
      </c>
    </row>
    <row r="5245" ht="165" spans="1:13">
      <c r="A5245" s="1" t="s">
        <v>23317</v>
      </c>
      <c r="B5245" s="1" t="s">
        <v>13</v>
      </c>
      <c r="C5245" s="4" t="s">
        <v>23318</v>
      </c>
      <c r="D5245" s="1" t="s">
        <v>23319</v>
      </c>
      <c r="E5245" s="1" t="s">
        <v>23320</v>
      </c>
      <c r="F5245" s="4" t="s">
        <v>17</v>
      </c>
      <c r="G5245" s="1" t="s">
        <v>18</v>
      </c>
      <c r="H5245" s="1" t="s">
        <v>19</v>
      </c>
      <c r="I5245" s="1" t="s">
        <v>20</v>
      </c>
      <c r="J5245" s="1" t="s">
        <v>23321</v>
      </c>
      <c r="K5245" s="1" t="s">
        <v>22</v>
      </c>
      <c r="L5245" s="1" t="str">
        <f>HYPERLINK("https://files.afu.se/Downloads/Transcripts/0%20-%20Government/USA%20-%20NASA/2009 02 23 - NASA - MISSION UPDATE  SOFIA_4O9ONOOiyJ4 - transcript (automated).pdf","Transcript Link")</f>
        <v>Transcript Link</v>
      </c>
      <c r="M5245" s="2" t="str">
        <f>HYPERLINK("https://files.afu.se/Downloads/Transcripts/0%20-%20Government/USA%20-%20NASA/2009 02 23 - NASA - MISSION UPDATE  SOFIA_4O9ONOOiyJ4 - transcript (automated).pdf","Transcript Link")</f>
        <v>Transcript Link</v>
      </c>
    </row>
    <row r="5246" ht="195" spans="1:13">
      <c r="A5246" s="1" t="s">
        <v>23322</v>
      </c>
      <c r="B5246" s="1" t="s">
        <v>13</v>
      </c>
      <c r="C5246" s="4" t="s">
        <v>23323</v>
      </c>
      <c r="D5246" s="1" t="s">
        <v>23324</v>
      </c>
      <c r="E5246" s="1" t="s">
        <v>23325</v>
      </c>
      <c r="F5246" s="4" t="s">
        <v>17</v>
      </c>
      <c r="G5246" s="1" t="s">
        <v>18</v>
      </c>
      <c r="H5246" s="1" t="s">
        <v>19</v>
      </c>
      <c r="I5246" s="1" t="s">
        <v>20</v>
      </c>
      <c r="J5246" s="1" t="s">
        <v>23326</v>
      </c>
      <c r="K5246" s="1" t="s">
        <v>22</v>
      </c>
      <c r="L5246" s="1" t="str">
        <f>HYPERLINK("https://files.afu.se/Downloads/Transcripts/0%20-%20Government/USA%20-%20NASA/2009 02 20 - NASA - Space Shuttle Astronaut, Educator Joseph Acaba's Message to Students (Spanish Version)_ptb11d0WJAs - transcript (automated).pdf","Transcript Link")</f>
        <v>Transcript Link</v>
      </c>
      <c r="M5246" s="2" t="str">
        <f>HYPERLINK("https://files.afu.se/Downloads/Transcripts/0%20-%20Government/USA%20-%20NASA/2009 02 20 - NASA - Space Shuttle Astronaut, Educator Joseph Acaba's Message to Students (Spanish Version)_ptb11d0WJAs - transcript (automated).pdf","Transcript Link")</f>
        <v>Transcript Link</v>
      </c>
    </row>
    <row r="5247" ht="195" spans="1:13">
      <c r="A5247" s="1" t="s">
        <v>23322</v>
      </c>
      <c r="B5247" s="1" t="s">
        <v>13</v>
      </c>
      <c r="C5247" s="4" t="s">
        <v>23327</v>
      </c>
      <c r="D5247" s="1" t="s">
        <v>23328</v>
      </c>
      <c r="E5247" s="1" t="s">
        <v>23325</v>
      </c>
      <c r="F5247" s="4" t="s">
        <v>17</v>
      </c>
      <c r="G5247" s="1" t="s">
        <v>18</v>
      </c>
      <c r="H5247" s="1" t="s">
        <v>19</v>
      </c>
      <c r="I5247" s="1" t="s">
        <v>20</v>
      </c>
      <c r="J5247" s="1" t="s">
        <v>23329</v>
      </c>
      <c r="K5247" s="1" t="s">
        <v>22</v>
      </c>
      <c r="L5247" s="1" t="str">
        <f>HYPERLINK("https://files.afu.se/Downloads/Transcripts/0%20-%20Government/USA%20-%20NASA/2009 02 20 - NASA - Space Shuttle Astronaut, Educator Joseph Acaba's Message to Students_J3dq45ODHts - transcript (automated).pdf","Transcript Link")</f>
        <v>Transcript Link</v>
      </c>
      <c r="M5247" s="2" t="str">
        <f>HYPERLINK("https://files.afu.se/Downloads/Transcripts/0%20-%20Government/USA%20-%20NASA/2009 02 20 - NASA - Space Shuttle Astronaut, Educator Joseph Acaba's Message to Students_J3dq45ODHts - transcript (automated).pdf","Transcript Link")</f>
        <v>Transcript Link</v>
      </c>
    </row>
    <row r="5248" ht="195" spans="1:13">
      <c r="A5248" s="1" t="s">
        <v>23322</v>
      </c>
      <c r="B5248" s="1" t="s">
        <v>13</v>
      </c>
      <c r="C5248" s="4" t="s">
        <v>23330</v>
      </c>
      <c r="D5248" s="1" t="s">
        <v>23331</v>
      </c>
      <c r="E5248" s="1" t="s">
        <v>23325</v>
      </c>
      <c r="F5248" s="4" t="s">
        <v>17</v>
      </c>
      <c r="G5248" s="1" t="s">
        <v>18</v>
      </c>
      <c r="H5248" s="1" t="s">
        <v>19</v>
      </c>
      <c r="I5248" s="1" t="s">
        <v>20</v>
      </c>
      <c r="J5248" s="1" t="s">
        <v>23332</v>
      </c>
      <c r="K5248" s="1" t="s">
        <v>22</v>
      </c>
      <c r="L5248" s="1" t="str">
        <f>HYPERLINK("https://files.afu.se/Downloads/Transcripts/0%20-%20Government/USA%20-%20NASA/2009 02 20 - NASA - Space Shuttle Astronaut, Educator Richard Arnold Message to Teachers_Hpy4qfV5Iqw - transcript (automated).pdf","Transcript Link")</f>
        <v>Transcript Link</v>
      </c>
      <c r="M5248" s="2" t="str">
        <f>HYPERLINK("https://files.afu.se/Downloads/Transcripts/0%20-%20Government/USA%20-%20NASA/2009 02 20 - NASA - Space Shuttle Astronaut, Educator Richard Arnold Message to Teachers_Hpy4qfV5Iqw - transcript (automated).pdf","Transcript Link")</f>
        <v>Transcript Link</v>
      </c>
    </row>
    <row r="5249" ht="300" spans="1:13">
      <c r="A5249" s="1" t="s">
        <v>23322</v>
      </c>
      <c r="B5249" s="1" t="s">
        <v>13</v>
      </c>
      <c r="C5249" s="4" t="s">
        <v>23333</v>
      </c>
      <c r="D5249" s="1" t="s">
        <v>23334</v>
      </c>
      <c r="E5249" s="1" t="s">
        <v>23335</v>
      </c>
      <c r="F5249" s="4" t="s">
        <v>17</v>
      </c>
      <c r="G5249" s="1" t="s">
        <v>18</v>
      </c>
      <c r="H5249" s="1" t="s">
        <v>19</v>
      </c>
      <c r="I5249" s="1" t="s">
        <v>20</v>
      </c>
      <c r="J5249" s="1" t="s">
        <v>23336</v>
      </c>
      <c r="K5249" s="1" t="s">
        <v>22</v>
      </c>
      <c r="L5249" s="1" t="str">
        <f>HYPERLINK("https://files.afu.se/Downloads/Transcripts/0%20-%20Government/USA%20-%20NASA/2009 02 20 - NASA - Kepler - A Search for Habitable Planets_MdodLNvlo4M - transcript (automated).pdf","Transcript Link")</f>
        <v>Transcript Link</v>
      </c>
      <c r="M5249" s="2" t="str">
        <f>HYPERLINK("https://files.afu.se/Downloads/Transcripts/0%20-%20Government/USA%20-%20NASA/2009 02 20 - NASA - Kepler - A Search for Habitable Planets_MdodLNvlo4M - transcript (automated).pdf","Transcript Link")</f>
        <v>Transcript Link</v>
      </c>
    </row>
    <row r="5250" ht="165" spans="1:13">
      <c r="A5250" s="1" t="s">
        <v>23337</v>
      </c>
      <c r="B5250" s="1" t="s">
        <v>13</v>
      </c>
      <c r="C5250" s="4" t="s">
        <v>23338</v>
      </c>
      <c r="D5250" s="1" t="s">
        <v>23339</v>
      </c>
      <c r="E5250" s="1" t="s">
        <v>23340</v>
      </c>
      <c r="F5250" s="4" t="s">
        <v>17</v>
      </c>
      <c r="G5250" s="1" t="s">
        <v>18</v>
      </c>
      <c r="H5250" s="1" t="s">
        <v>19</v>
      </c>
      <c r="I5250" s="1" t="s">
        <v>20</v>
      </c>
      <c r="J5250" s="1" t="s">
        <v>23341</v>
      </c>
      <c r="K5250" s="1" t="s">
        <v>22</v>
      </c>
      <c r="L5250" s="1" t="str">
        <f>HYPERLINK("https://files.afu.se/Downloads/Transcripts/0%20-%20Government/USA%20-%20NASA/2009 02 18 - NASA - Titan Saturn System Mission_pOGVRrfIWP0 - transcript (automated).pdf","Transcript Link")</f>
        <v>Transcript Link</v>
      </c>
      <c r="M5250" s="2" t="str">
        <f>HYPERLINK("https://files.afu.se/Downloads/Transcripts/0%20-%20Government/USA%20-%20NASA/2009 02 18 - NASA - Titan Saturn System Mission_pOGVRrfIWP0 - transcript (automated).pdf","Transcript Link")</f>
        <v>Transcript Link</v>
      </c>
    </row>
    <row r="5251" ht="165" spans="1:13">
      <c r="A5251" s="1" t="s">
        <v>23337</v>
      </c>
      <c r="B5251" s="1" t="s">
        <v>13</v>
      </c>
      <c r="C5251" s="4" t="s">
        <v>23342</v>
      </c>
      <c r="D5251" s="1" t="s">
        <v>23343</v>
      </c>
      <c r="E5251" s="1" t="s">
        <v>23344</v>
      </c>
      <c r="F5251" s="4" t="s">
        <v>17</v>
      </c>
      <c r="G5251" s="1" t="s">
        <v>18</v>
      </c>
      <c r="H5251" s="1" t="s">
        <v>19</v>
      </c>
      <c r="I5251" s="1" t="s">
        <v>20</v>
      </c>
      <c r="J5251" s="1" t="s">
        <v>23345</v>
      </c>
      <c r="K5251" s="1" t="s">
        <v>22</v>
      </c>
      <c r="L5251" s="1" t="str">
        <f>HYPERLINK("https://files.afu.se/Downloads/Transcripts/0%20-%20Government/USA%20-%20NASA/2009 02 18 - NASA - The Europa Jupiter System Mission___Kf5Ddw_CY - transcript (automated).pdf","Transcript Link")</f>
        <v>Transcript Link</v>
      </c>
      <c r="M5251" s="2" t="str">
        <f>HYPERLINK("https://files.afu.se/Downloads/Transcripts/0%20-%20Government/USA%20-%20NASA/2009 02 18 - NASA - The Europa Jupiter System Mission___Kf5Ddw_CY - transcript (automated).pdf","Transcript Link")</f>
        <v>Transcript Link</v>
      </c>
    </row>
    <row r="5252" ht="165" spans="1:13">
      <c r="A5252" s="1" t="s">
        <v>23346</v>
      </c>
      <c r="B5252" s="1" t="s">
        <v>13</v>
      </c>
      <c r="C5252" s="4" t="s">
        <v>23347</v>
      </c>
      <c r="D5252" s="1" t="s">
        <v>23348</v>
      </c>
      <c r="E5252" s="1" t="s">
        <v>23349</v>
      </c>
      <c r="F5252" s="4" t="s">
        <v>17</v>
      </c>
      <c r="G5252" s="1" t="s">
        <v>18</v>
      </c>
      <c r="H5252" s="1" t="s">
        <v>19</v>
      </c>
      <c r="I5252" s="1" t="s">
        <v>20</v>
      </c>
      <c r="J5252" s="1" t="s">
        <v>23350</v>
      </c>
      <c r="K5252" s="1" t="s">
        <v>22</v>
      </c>
      <c r="L5252" s="1" t="str">
        <f>HYPERLINK("https://files.afu.se/Downloads/Transcripts/0%20-%20Government/USA%20-%20NASA/2009 02 06 - NASA - MISSION UPDATE  KEPLER_VVnL851PJuU - transcript (automated).pdf","Transcript Link")</f>
        <v>Transcript Link</v>
      </c>
      <c r="M5252" s="2" t="str">
        <f>HYPERLINK("https://files.afu.se/Downloads/Transcripts/0%20-%20Government/USA%20-%20NASA/2009 02 06 - NASA - MISSION UPDATE  KEPLER_VVnL851PJuU - transcript (automated).pdf","Transcript Link")</f>
        <v>Transcript Link</v>
      </c>
    </row>
    <row r="5253" ht="165" spans="1:13">
      <c r="A5253" s="1" t="s">
        <v>23346</v>
      </c>
      <c r="B5253" s="1" t="s">
        <v>13</v>
      </c>
      <c r="C5253" s="4" t="s">
        <v>23351</v>
      </c>
      <c r="D5253" s="1" t="s">
        <v>23352</v>
      </c>
      <c r="E5253" s="1" t="s">
        <v>23353</v>
      </c>
      <c r="F5253" s="4" t="s">
        <v>17</v>
      </c>
      <c r="G5253" s="1" t="s">
        <v>18</v>
      </c>
      <c r="H5253" s="1" t="s">
        <v>19</v>
      </c>
      <c r="I5253" s="1" t="s">
        <v>20</v>
      </c>
      <c r="J5253" s="1" t="s">
        <v>23354</v>
      </c>
      <c r="K5253" s="1" t="s">
        <v>22</v>
      </c>
      <c r="L5253" s="1" t="str">
        <f>HYPERLINK("https://files.afu.se/Downloads/Transcripts/0%20-%20Government/USA%20-%20NASA/2009 02 06 - NASA - NOAA-N Prime Soars into Polar Orbit!_GoY3CPAlNWo - transcript (automated).pdf","Transcript Link")</f>
        <v>Transcript Link</v>
      </c>
      <c r="M5253" s="2" t="str">
        <f>HYPERLINK("https://files.afu.se/Downloads/Transcripts/0%20-%20Government/USA%20-%20NASA/2009 02 06 - NASA - NOAA-N Prime Soars into Polar Orbit!_GoY3CPAlNWo - transcript (automated).pdf","Transcript Link")</f>
        <v>Transcript Link</v>
      </c>
    </row>
    <row r="5254" ht="165" spans="1:13">
      <c r="A5254" s="1" t="s">
        <v>23355</v>
      </c>
      <c r="B5254" s="1" t="s">
        <v>13</v>
      </c>
      <c r="C5254" s="4" t="s">
        <v>23356</v>
      </c>
      <c r="D5254" s="1" t="s">
        <v>23357</v>
      </c>
      <c r="E5254" s="1" t="s">
        <v>23358</v>
      </c>
      <c r="F5254" s="4" t="s">
        <v>17</v>
      </c>
      <c r="G5254" s="1" t="s">
        <v>18</v>
      </c>
      <c r="H5254" s="1" t="s">
        <v>19</v>
      </c>
      <c r="I5254" s="1" t="s">
        <v>20</v>
      </c>
      <c r="J5254" s="1" t="s">
        <v>23359</v>
      </c>
      <c r="K5254" s="1" t="s">
        <v>22</v>
      </c>
      <c r="L5254" s="1" t="str">
        <f>HYPERLINK("https://files.afu.se/Downloads/Transcripts/0%20-%20Government/USA%20-%20NASA/2009 02 02 - NASA - NOAA-N Prime Mission Overview_rf96QRkuvvk - transcript (automated).pdf","Transcript Link")</f>
        <v>Transcript Link</v>
      </c>
      <c r="M5254" s="2" t="str">
        <f>HYPERLINK("https://files.afu.se/Downloads/Transcripts/0%20-%20Government/USA%20-%20NASA/2009 02 02 - NASA - NOAA-N Prime Mission Overview_rf96QRkuvvk - transcript (automated).pdf","Transcript Link")</f>
        <v>Transcript Link</v>
      </c>
    </row>
    <row r="5255" ht="165" spans="1:13">
      <c r="A5255" s="1" t="s">
        <v>23360</v>
      </c>
      <c r="B5255" s="1" t="s">
        <v>13</v>
      </c>
      <c r="C5255" s="4" t="s">
        <v>23361</v>
      </c>
      <c r="D5255" s="1" t="s">
        <v>23362</v>
      </c>
      <c r="E5255" s="1" t="s">
        <v>23363</v>
      </c>
      <c r="F5255" s="4" t="s">
        <v>17</v>
      </c>
      <c r="G5255" s="1" t="s">
        <v>18</v>
      </c>
      <c r="H5255" s="1" t="s">
        <v>19</v>
      </c>
      <c r="I5255" s="1" t="s">
        <v>20</v>
      </c>
      <c r="J5255" s="1" t="s">
        <v>23364</v>
      </c>
      <c r="K5255" s="1" t="s">
        <v>22</v>
      </c>
      <c r="L5255" s="1" t="str">
        <f>HYPERLINK("https://files.afu.se/Downloads/Transcripts/0%20-%20Government/USA%20-%20NASA/2009 01 27 - NASA - STATION COMMANDER CHEERS ON PITTSBURGH STEELERS FROM ORBIT_OKvSprDt1Nc - transcript (automated).pdf","Transcript Link")</f>
        <v>Transcript Link</v>
      </c>
      <c r="M5255" s="2" t="str">
        <f>HYPERLINK("https://files.afu.se/Downloads/Transcripts/0%20-%20Government/USA%20-%20NASA/2009 01 27 - NASA - STATION COMMANDER CHEERS ON PITTSBURGH STEELERS FROM ORBIT_OKvSprDt1Nc - transcript (automated).pdf","Transcript Link")</f>
        <v>Transcript Link</v>
      </c>
    </row>
    <row r="5256" ht="165" spans="1:13">
      <c r="A5256" s="1" t="s">
        <v>23360</v>
      </c>
      <c r="B5256" s="1" t="s">
        <v>13</v>
      </c>
      <c r="C5256" s="4" t="s">
        <v>23365</v>
      </c>
      <c r="D5256" s="1" t="s">
        <v>23366</v>
      </c>
      <c r="E5256" s="1" t="s">
        <v>23367</v>
      </c>
      <c r="F5256" s="4" t="s">
        <v>17</v>
      </c>
      <c r="G5256" s="1" t="s">
        <v>18</v>
      </c>
      <c r="H5256" s="1" t="s">
        <v>19</v>
      </c>
      <c r="I5256" s="1" t="s">
        <v>20</v>
      </c>
      <c r="J5256" s="1" t="s">
        <v>23368</v>
      </c>
      <c r="K5256" s="1" t="s">
        <v>22</v>
      </c>
      <c r="L5256" s="1" t="str">
        <f>HYPERLINK("https://files.afu.se/Downloads/Transcripts/0%20-%20Government/USA%20-%20NASA/2009 01 27 - NASA - NASA Television Emmy Video_g19t5UokBp4 - transcript (automated).pdf","Transcript Link")</f>
        <v>Transcript Link</v>
      </c>
      <c r="M5256" s="2" t="str">
        <f>HYPERLINK("https://files.afu.se/Downloads/Transcripts/0%20-%20Government/USA%20-%20NASA/2009 01 27 - NASA - NASA Television Emmy Video_g19t5UokBp4 - transcript (automated).pdf","Transcript Link")</f>
        <v>Transcript Link</v>
      </c>
    </row>
    <row r="5257" ht="165" spans="1:13">
      <c r="A5257" s="1" t="s">
        <v>23369</v>
      </c>
      <c r="B5257" s="1" t="s">
        <v>13</v>
      </c>
      <c r="C5257" s="4" t="s">
        <v>23370</v>
      </c>
      <c r="D5257" s="1" t="s">
        <v>23371</v>
      </c>
      <c r="E5257" s="1" t="s">
        <v>23372</v>
      </c>
      <c r="F5257" s="4" t="s">
        <v>17</v>
      </c>
      <c r="G5257" s="1" t="s">
        <v>18</v>
      </c>
      <c r="H5257" s="1" t="s">
        <v>19</v>
      </c>
      <c r="I5257" s="1" t="s">
        <v>20</v>
      </c>
      <c r="J5257" s="1" t="s">
        <v>23373</v>
      </c>
      <c r="K5257" s="1" t="s">
        <v>22</v>
      </c>
      <c r="L5257" s="1" t="str">
        <f>HYPERLINK("https://files.afu.se/Downloads/Transcripts/0%20-%20Government/USA%20-%20NASA/2009 01 26 - NASA - NASA TV Emmy Award - Part 2 of 2_tkAvr0_ifXQ - transcript (automated).pdf","Transcript Link")</f>
        <v>Transcript Link</v>
      </c>
      <c r="M5257" s="2" t="str">
        <f>HYPERLINK("https://files.afu.se/Downloads/Transcripts/0%20-%20Government/USA%20-%20NASA/2009 01 26 - NASA - NASA TV Emmy Award - Part 2 of 2_tkAvr0_ifXQ - transcript (automated).pdf","Transcript Link")</f>
        <v>Transcript Link</v>
      </c>
    </row>
    <row r="5258" ht="165" spans="1:13">
      <c r="A5258" s="1" t="s">
        <v>23369</v>
      </c>
      <c r="B5258" s="1" t="s">
        <v>13</v>
      </c>
      <c r="C5258" s="4" t="s">
        <v>23374</v>
      </c>
      <c r="D5258" s="1" t="s">
        <v>23375</v>
      </c>
      <c r="E5258" s="1" t="s">
        <v>23372</v>
      </c>
      <c r="F5258" s="4" t="s">
        <v>17</v>
      </c>
      <c r="G5258" s="1" t="s">
        <v>18</v>
      </c>
      <c r="H5258" s="1" t="s">
        <v>19</v>
      </c>
      <c r="I5258" s="1" t="s">
        <v>20</v>
      </c>
      <c r="J5258" s="1" t="s">
        <v>23376</v>
      </c>
      <c r="K5258" s="1" t="s">
        <v>22</v>
      </c>
      <c r="L5258" s="1" t="str">
        <f>HYPERLINK("https://files.afu.se/Downloads/Transcripts/0%20-%20Government/USA%20-%20NASA/2009 01 26 - NASA - NASA TV Emmy Award - Part 1 of 2_XysjKLYgdeg - transcript (automated).pdf","Transcript Link")</f>
        <v>Transcript Link</v>
      </c>
      <c r="M5258" s="2" t="str">
        <f>HYPERLINK("https://files.afu.se/Downloads/Transcripts/0%20-%20Government/USA%20-%20NASA/2009 01 26 - NASA - NASA TV Emmy Award - Part 1 of 2_XysjKLYgdeg - transcript (automated).pdf","Transcript Link")</f>
        <v>Transcript Link</v>
      </c>
    </row>
    <row r="5259" ht="165" spans="1:13">
      <c r="A5259" s="1" t="s">
        <v>23377</v>
      </c>
      <c r="B5259" s="1" t="s">
        <v>13</v>
      </c>
      <c r="C5259" s="4" t="s">
        <v>23378</v>
      </c>
      <c r="D5259" s="1" t="s">
        <v>23379</v>
      </c>
      <c r="E5259" s="1" t="s">
        <v>23380</v>
      </c>
      <c r="F5259" s="4" t="s">
        <v>17</v>
      </c>
      <c r="G5259" s="1" t="s">
        <v>18</v>
      </c>
      <c r="H5259" s="1" t="s">
        <v>19</v>
      </c>
      <c r="I5259" s="1" t="s">
        <v>20</v>
      </c>
      <c r="J5259" s="1" t="s">
        <v>23381</v>
      </c>
      <c r="K5259" s="1" t="s">
        <v>22</v>
      </c>
      <c r="L5259" s="1" t="str">
        <f>HYPERLINK("https://files.afu.se/Downloads/Transcripts/0%20-%20Government/USA%20-%20NASA/2009 01 23 - NASA - Mission Update  Hubble_6QV8qwNW6bg - transcript (automated).pdf","Transcript Link")</f>
        <v>Transcript Link</v>
      </c>
      <c r="M5259" s="2" t="str">
        <f>HYPERLINK("https://files.afu.se/Downloads/Transcripts/0%20-%20Government/USA%20-%20NASA/2009 01 23 - NASA - Mission Update  Hubble_6QV8qwNW6bg - transcript (automated).pdf","Transcript Link")</f>
        <v>Transcript Link</v>
      </c>
    </row>
    <row r="5260" ht="165" spans="1:13">
      <c r="A5260" s="1" t="s">
        <v>23377</v>
      </c>
      <c r="B5260" s="1" t="s">
        <v>13</v>
      </c>
      <c r="C5260" s="4" t="s">
        <v>23382</v>
      </c>
      <c r="D5260" s="1" t="s">
        <v>23383</v>
      </c>
      <c r="E5260" s="1" t="s">
        <v>23384</v>
      </c>
      <c r="F5260" s="4" t="s">
        <v>17</v>
      </c>
      <c r="G5260" s="1" t="s">
        <v>18</v>
      </c>
      <c r="H5260" s="1" t="s">
        <v>19</v>
      </c>
      <c r="I5260" s="1" t="s">
        <v>20</v>
      </c>
      <c r="J5260" s="1" t="s">
        <v>23385</v>
      </c>
      <c r="K5260" s="1" t="s">
        <v>22</v>
      </c>
      <c r="L5260" s="1" t="str">
        <f>HYPERLINK("https://files.afu.se/Downloads/Transcripts/0%20-%20Government/USA%20-%20NASA/2009 01 23 - NASA - MOON ROVER PANORAMA CAMERA SHOTS OF INAUGURAL PARADE_0DgBW0nAkWE - transcript (automated).pdf","Transcript Link")</f>
        <v>Transcript Link</v>
      </c>
      <c r="M5260" s="2" t="str">
        <f>HYPERLINK("https://files.afu.se/Downloads/Transcripts/0%20-%20Government/USA%20-%20NASA/2009 01 23 - NASA - MOON ROVER PANORAMA CAMERA SHOTS OF INAUGURAL PARADE_0DgBW0nAkWE - transcript (automated).pdf","Transcript Link")</f>
        <v>Transcript Link</v>
      </c>
    </row>
    <row r="5261" ht="225" spans="1:13">
      <c r="A5261" s="1" t="s">
        <v>23377</v>
      </c>
      <c r="B5261" s="1" t="s">
        <v>13</v>
      </c>
      <c r="C5261" s="4" t="s">
        <v>23386</v>
      </c>
      <c r="D5261" s="1" t="s">
        <v>23387</v>
      </c>
      <c r="E5261" s="1" t="s">
        <v>23388</v>
      </c>
      <c r="F5261" s="4" t="s">
        <v>17</v>
      </c>
      <c r="G5261" s="1" t="s">
        <v>18</v>
      </c>
      <c r="H5261" s="1" t="s">
        <v>19</v>
      </c>
      <c r="I5261" s="1" t="s">
        <v>20</v>
      </c>
      <c r="J5261" s="1" t="s">
        <v>23389</v>
      </c>
      <c r="K5261" s="1" t="s">
        <v>22</v>
      </c>
      <c r="L5261" s="1" t="str">
        <f>HYPERLINK("https://files.afu.se/Downloads/Transcripts/0%20-%20Government/USA%20-%20NASA/2009 01 23 - NASA - NASA HEADQUARTERS DISPLAYS NEXT GENERATION LUNAR ELECTRIC ROVER_4oRA0uNGfKg - transcript (automated).pdf","Transcript Link")</f>
        <v>Transcript Link</v>
      </c>
      <c r="M5261" s="2" t="str">
        <f>HYPERLINK("https://files.afu.se/Downloads/Transcripts/0%20-%20Government/USA%20-%20NASA/2009 01 23 - NASA - NASA HEADQUARTERS DISPLAYS NEXT GENERATION LUNAR ELECTRIC ROVER_4oRA0uNGfKg - transcript (automated).pdf","Transcript Link")</f>
        <v>Transcript Link</v>
      </c>
    </row>
    <row r="5262" ht="390" spans="1:13">
      <c r="A5262" s="1" t="s">
        <v>23390</v>
      </c>
      <c r="B5262" s="1" t="s">
        <v>13</v>
      </c>
      <c r="C5262" s="4" t="s">
        <v>23391</v>
      </c>
      <c r="D5262" s="1" t="s">
        <v>23392</v>
      </c>
      <c r="E5262" s="1" t="s">
        <v>23393</v>
      </c>
      <c r="F5262" s="4" t="s">
        <v>17</v>
      </c>
      <c r="G5262" s="1" t="s">
        <v>18</v>
      </c>
      <c r="H5262" s="1" t="s">
        <v>19</v>
      </c>
      <c r="I5262" s="1" t="s">
        <v>20</v>
      </c>
      <c r="J5262" s="1" t="s">
        <v>23394</v>
      </c>
      <c r="K5262" s="1" t="s">
        <v>22</v>
      </c>
      <c r="L5262" s="1" t="str">
        <f>HYPERLINK("https://files.afu.se/Downloads/Transcripts/0%20-%20Government/USA%20-%20NASA/2009 01 21 - NASA - NASA ASTRONAUTS AND LUNAR ROVER IN INAUGURATION PARADE_-hqlzaf9uno - transcript (automated).pdf","Transcript Link")</f>
        <v>Transcript Link</v>
      </c>
      <c r="M5262" s="2" t="str">
        <f>HYPERLINK("https://files.afu.se/Downloads/Transcripts/0%20-%20Government/USA%20-%20NASA/2009 01 21 - NASA - NASA ASTRONAUTS AND LUNAR ROVER IN INAUGURATION PARADE_-hqlzaf9uno - transcript (automated).pdf","Transcript Link")</f>
        <v>Transcript Link</v>
      </c>
    </row>
    <row r="5263" ht="165" spans="1:13">
      <c r="A5263" s="1" t="s">
        <v>23390</v>
      </c>
      <c r="B5263" s="1" t="s">
        <v>13</v>
      </c>
      <c r="C5263" s="4" t="s">
        <v>23395</v>
      </c>
      <c r="D5263" s="1" t="s">
        <v>23396</v>
      </c>
      <c r="E5263" s="1" t="s">
        <v>23397</v>
      </c>
      <c r="F5263" s="4" t="s">
        <v>17</v>
      </c>
      <c r="G5263" s="1" t="s">
        <v>18</v>
      </c>
      <c r="H5263" s="1" t="s">
        <v>19</v>
      </c>
      <c r="I5263" s="1" t="s">
        <v>20</v>
      </c>
      <c r="J5263" s="1" t="s">
        <v>23398</v>
      </c>
      <c r="K5263" s="1" t="s">
        <v>22</v>
      </c>
      <c r="L5263" s="1" t="str">
        <f>HYPERLINK("https://files.afu.se/Downloads/Transcripts/0%20-%20Government/USA%20-%20NASA/2009 01 21 - NASA - International Space Station Tour (Part IV)_lswCuvcA7YQ - transcript (automated).pdf","Transcript Link")</f>
        <v>Transcript Link</v>
      </c>
      <c r="M5263" s="2" t="str">
        <f>HYPERLINK("https://files.afu.se/Downloads/Transcripts/0%20-%20Government/USA%20-%20NASA/2009 01 21 - NASA - International Space Station Tour (Part IV)_lswCuvcA7YQ - transcript (automated).pdf","Transcript Link")</f>
        <v>Transcript Link</v>
      </c>
    </row>
    <row r="5264" ht="165" spans="1:13">
      <c r="A5264" s="1" t="s">
        <v>23390</v>
      </c>
      <c r="B5264" s="1" t="s">
        <v>13</v>
      </c>
      <c r="C5264" s="4" t="s">
        <v>23399</v>
      </c>
      <c r="D5264" s="1" t="s">
        <v>23400</v>
      </c>
      <c r="E5264" s="1" t="s">
        <v>23397</v>
      </c>
      <c r="F5264" s="4" t="s">
        <v>17</v>
      </c>
      <c r="G5264" s="1" t="s">
        <v>18</v>
      </c>
      <c r="H5264" s="1" t="s">
        <v>19</v>
      </c>
      <c r="I5264" s="1" t="s">
        <v>20</v>
      </c>
      <c r="J5264" s="1" t="s">
        <v>23401</v>
      </c>
      <c r="K5264" s="1" t="s">
        <v>22</v>
      </c>
      <c r="L5264" s="1" t="str">
        <f>HYPERLINK("https://files.afu.se/Downloads/Transcripts/0%20-%20Government/USA%20-%20NASA/2009 01 21 - NASA - International Space Station Tour (Part III)_srQdr6kGii4 - transcript (automated).pdf","Transcript Link")</f>
        <v>Transcript Link</v>
      </c>
      <c r="M5264" s="2" t="str">
        <f>HYPERLINK("https://files.afu.se/Downloads/Transcripts/0%20-%20Government/USA%20-%20NASA/2009 01 21 - NASA - International Space Station Tour (Part III)_srQdr6kGii4 - transcript (automated).pdf","Transcript Link")</f>
        <v>Transcript Link</v>
      </c>
    </row>
    <row r="5265" ht="165" spans="1:13">
      <c r="A5265" s="1" t="s">
        <v>23390</v>
      </c>
      <c r="B5265" s="1" t="s">
        <v>13</v>
      </c>
      <c r="C5265" s="4" t="s">
        <v>23402</v>
      </c>
      <c r="D5265" s="1" t="s">
        <v>23403</v>
      </c>
      <c r="E5265" s="1" t="s">
        <v>23397</v>
      </c>
      <c r="F5265" s="4" t="s">
        <v>17</v>
      </c>
      <c r="G5265" s="1" t="s">
        <v>18</v>
      </c>
      <c r="H5265" s="1" t="s">
        <v>19</v>
      </c>
      <c r="I5265" s="1" t="s">
        <v>20</v>
      </c>
      <c r="J5265" s="1" t="s">
        <v>23404</v>
      </c>
      <c r="K5265" s="1" t="s">
        <v>22</v>
      </c>
      <c r="L5265" s="1" t="str">
        <f>HYPERLINK("https://files.afu.se/Downloads/Transcripts/0%20-%20Government/USA%20-%20NASA/2009 01 21 - NASA - International Space Station Tour (Part II)_F-yIqxoMBVU - transcript (automated).pdf","Transcript Link")</f>
        <v>Transcript Link</v>
      </c>
      <c r="M5265" s="2" t="str">
        <f>HYPERLINK("https://files.afu.se/Downloads/Transcripts/0%20-%20Government/USA%20-%20NASA/2009 01 21 - NASA - International Space Station Tour (Part II)_F-yIqxoMBVU - transcript (automated).pdf","Transcript Link")</f>
        <v>Transcript Link</v>
      </c>
    </row>
    <row r="5266" ht="165" spans="1:13">
      <c r="A5266" s="1" t="s">
        <v>23390</v>
      </c>
      <c r="B5266" s="1" t="s">
        <v>13</v>
      </c>
      <c r="C5266" s="4" t="s">
        <v>23405</v>
      </c>
      <c r="D5266" s="1" t="s">
        <v>23406</v>
      </c>
      <c r="E5266" s="1" t="s">
        <v>23397</v>
      </c>
      <c r="F5266" s="4" t="s">
        <v>17</v>
      </c>
      <c r="G5266" s="1" t="s">
        <v>18</v>
      </c>
      <c r="H5266" s="1" t="s">
        <v>19</v>
      </c>
      <c r="I5266" s="1" t="s">
        <v>20</v>
      </c>
      <c r="J5266" s="1" t="s">
        <v>23407</v>
      </c>
      <c r="K5266" s="1" t="s">
        <v>22</v>
      </c>
      <c r="L5266" s="1" t="str">
        <f>HYPERLINK("https://files.afu.se/Downloads/Transcripts/0%20-%20Government/USA%20-%20NASA/2009 01 21 - NASA - International Space Station Tour (Part I)_JgBgmw-2U8c - transcript (automated).pdf","Transcript Link")</f>
        <v>Transcript Link</v>
      </c>
      <c r="M5266" s="2" t="str">
        <f>HYPERLINK("https://files.afu.se/Downloads/Transcripts/0%20-%20Government/USA%20-%20NASA/2009 01 21 - NASA - International Space Station Tour (Part I)_JgBgmw-2U8c - transcript (automated).pdf","Transcript Link")</f>
        <v>Transcript Link</v>
      </c>
    </row>
    <row r="5267" ht="165" spans="1:13">
      <c r="A5267" s="1" t="s">
        <v>23408</v>
      </c>
      <c r="B5267" s="1" t="s">
        <v>13</v>
      </c>
      <c r="C5267" s="4" t="s">
        <v>23409</v>
      </c>
      <c r="D5267" s="1" t="s">
        <v>23410</v>
      </c>
      <c r="E5267" s="1" t="s">
        <v>23411</v>
      </c>
      <c r="F5267" s="4" t="s">
        <v>17</v>
      </c>
      <c r="G5267" s="1" t="s">
        <v>18</v>
      </c>
      <c r="H5267" s="1" t="s">
        <v>19</v>
      </c>
      <c r="I5267" s="1" t="s">
        <v>20</v>
      </c>
      <c r="J5267" s="1" t="s">
        <v>23412</v>
      </c>
      <c r="K5267" s="1" t="s">
        <v>22</v>
      </c>
      <c r="L5267" s="1" t="str">
        <f>HYPERLINK("https://files.afu.se/Downloads/Transcripts/0%20-%20Government/USA%20-%20NASA/2009 01 16 - NASA - Methane on Mars_yYZ2pGkvBi0 - transcript (automated).pdf","Transcript Link")</f>
        <v>Transcript Link</v>
      </c>
      <c r="M5267" s="2" t="str">
        <f>HYPERLINK("https://files.afu.se/Downloads/Transcripts/0%20-%20Government/USA%20-%20NASA/2009 01 16 - NASA - Methane on Mars_yYZ2pGkvBi0 - transcript (automated).pdf","Transcript Link")</f>
        <v>Transcript Link</v>
      </c>
    </row>
    <row r="5268" ht="165" spans="1:13">
      <c r="A5268" s="1" t="s">
        <v>23413</v>
      </c>
      <c r="B5268" s="1" t="s">
        <v>13</v>
      </c>
      <c r="C5268" s="4" t="s">
        <v>23414</v>
      </c>
      <c r="D5268" s="1" t="s">
        <v>23415</v>
      </c>
      <c r="E5268" s="1" t="s">
        <v>23416</v>
      </c>
      <c r="F5268" s="4" t="s">
        <v>17</v>
      </c>
      <c r="G5268" s="1" t="s">
        <v>18</v>
      </c>
      <c r="H5268" s="1" t="s">
        <v>19</v>
      </c>
      <c r="I5268" s="1" t="s">
        <v>20</v>
      </c>
      <c r="J5268" s="1" t="s">
        <v>23417</v>
      </c>
      <c r="K5268" s="1" t="s">
        <v>22</v>
      </c>
      <c r="L5268" s="1" t="str">
        <f>HYPERLINK("https://files.afu.se/Downloads/Transcripts/0%20-%20Government/USA%20-%20NASA/2009 01 09 - NASA - Mission Update  Chandra_o16hvHORjWI - transcript (automated).pdf","Transcript Link")</f>
        <v>Transcript Link</v>
      </c>
      <c r="M5268" s="2" t="str">
        <f>HYPERLINK("https://files.afu.se/Downloads/Transcripts/0%20-%20Government/USA%20-%20NASA/2009 01 09 - NASA - Mission Update  Chandra_o16hvHORjWI - transcript (automated).pdf","Transcript Link")</f>
        <v>Transcript Link</v>
      </c>
    </row>
    <row r="5269" ht="165" spans="1:13">
      <c r="A5269" s="1" t="s">
        <v>23413</v>
      </c>
      <c r="B5269" s="1" t="s">
        <v>13</v>
      </c>
      <c r="C5269" s="4" t="s">
        <v>23418</v>
      </c>
      <c r="D5269" s="1" t="s">
        <v>23419</v>
      </c>
      <c r="E5269" s="1" t="s">
        <v>23420</v>
      </c>
      <c r="F5269" s="4" t="s">
        <v>17</v>
      </c>
      <c r="G5269" s="1" t="s">
        <v>18</v>
      </c>
      <c r="H5269" s="1" t="s">
        <v>19</v>
      </c>
      <c r="I5269" s="1" t="s">
        <v>20</v>
      </c>
      <c r="J5269" s="1" t="s">
        <v>23421</v>
      </c>
      <c r="K5269" s="1" t="s">
        <v>22</v>
      </c>
      <c r="L5269" s="1" t="str">
        <f>HYPERLINK("https://files.afu.se/Downloads/Transcripts/0%20-%20Government/USA%20-%20NASA/2009 01 09 - NASA - A Tale of Two Rovers_8u6gNH6xIfc - transcript (automated).pdf","Transcript Link")</f>
        <v>Transcript Link</v>
      </c>
      <c r="M5269" s="2" t="str">
        <f>HYPERLINK("https://files.afu.se/Downloads/Transcripts/0%20-%20Government/USA%20-%20NASA/2009 01 09 - NASA - A Tale of Two Rovers_8u6gNH6xIfc - transcript (automated).pdf","Transcript Link")</f>
        <v>Transcript Link</v>
      </c>
    </row>
    <row r="5270" ht="165" spans="1:13">
      <c r="A5270" s="1" t="s">
        <v>23422</v>
      </c>
      <c r="B5270" s="1" t="s">
        <v>13</v>
      </c>
      <c r="C5270" s="4" t="s">
        <v>23423</v>
      </c>
      <c r="D5270" s="1" t="s">
        <v>23424</v>
      </c>
      <c r="E5270" s="1" t="s">
        <v>23425</v>
      </c>
      <c r="F5270" s="4" t="s">
        <v>17</v>
      </c>
      <c r="G5270" s="1" t="s">
        <v>18</v>
      </c>
      <c r="H5270" s="1" t="s">
        <v>19</v>
      </c>
      <c r="I5270" s="1" t="s">
        <v>20</v>
      </c>
      <c r="J5270" s="1" t="s">
        <v>23426</v>
      </c>
      <c r="K5270" s="1" t="s">
        <v>22</v>
      </c>
      <c r="L5270" s="1" t="str">
        <f>HYPERLINK("https://files.afu.se/Downloads/Transcripts/0%20-%20Government/USA%20-%20NASA/2009 01 08 - NASA - Mission Update  GALEX_td2TkWIPi_o - transcript (automated).pdf","Transcript Link")</f>
        <v>Transcript Link</v>
      </c>
      <c r="M5270" s="2" t="str">
        <f>HYPERLINK("https://files.afu.se/Downloads/Transcripts/0%20-%20Government/USA%20-%20NASA/2009 01 08 - NASA - Mission Update  GALEX_td2TkWIPi_o - transcript (automated).pdf","Transcript Link")</f>
        <v>Transcript Link</v>
      </c>
    </row>
    <row r="5271" ht="165" spans="1:13">
      <c r="A5271" s="1" t="s">
        <v>23427</v>
      </c>
      <c r="B5271" s="1" t="s">
        <v>13</v>
      </c>
      <c r="C5271" s="4" t="s">
        <v>23428</v>
      </c>
      <c r="D5271" s="1" t="s">
        <v>23429</v>
      </c>
      <c r="E5271" s="1" t="s">
        <v>23430</v>
      </c>
      <c r="F5271" s="4" t="s">
        <v>17</v>
      </c>
      <c r="G5271" s="1" t="s">
        <v>18</v>
      </c>
      <c r="H5271" s="1" t="s">
        <v>19</v>
      </c>
      <c r="I5271" s="1" t="s">
        <v>20</v>
      </c>
      <c r="J5271" s="1" t="s">
        <v>23431</v>
      </c>
      <c r="K5271" s="1" t="s">
        <v>22</v>
      </c>
      <c r="L5271" s="1" t="str">
        <f>HYPERLINK("https://files.afu.se/Downloads/Transcripts/0%20-%20Government/USA%20-%20NASA/2009 01 07 - NASA - Flying down to Hadley Rille_3cyE_5_Q_3I - transcript (automated).pdf","Transcript Link")</f>
        <v>Transcript Link</v>
      </c>
      <c r="M5271" s="2" t="str">
        <f>HYPERLINK("https://files.afu.se/Downloads/Transcripts/0%20-%20Government/USA%20-%20NASA/2009 01 07 - NASA - Flying down to Hadley Rille_3cyE_5_Q_3I - transcript (automated).pdf","Transcript Link")</f>
        <v>Transcript Link</v>
      </c>
    </row>
    <row r="5272" ht="165" spans="1:13">
      <c r="A5272" s="1" t="s">
        <v>23432</v>
      </c>
      <c r="B5272" s="1" t="s">
        <v>13</v>
      </c>
      <c r="C5272" s="4" t="s">
        <v>23433</v>
      </c>
      <c r="D5272" s="1" t="s">
        <v>23434</v>
      </c>
      <c r="E5272" s="1" t="s">
        <v>23435</v>
      </c>
      <c r="F5272" s="4" t="s">
        <v>17</v>
      </c>
      <c r="G5272" s="1" t="s">
        <v>18</v>
      </c>
      <c r="H5272" s="1" t="s">
        <v>19</v>
      </c>
      <c r="I5272" s="1" t="s">
        <v>20</v>
      </c>
      <c r="J5272" s="1" t="s">
        <v>23436</v>
      </c>
      <c r="K5272" s="1" t="s">
        <v>22</v>
      </c>
      <c r="L5272" s="1" t="str">
        <f>HYPERLINK("https://files.afu.se/Downloads/Transcripts/0%20-%20Government/USA%20-%20NASA/2009 01 05 - NASA - MISSION UPDATE   FERMI_GKSP51-Uo2A - transcript (automated).pdf","Transcript Link")</f>
        <v>Transcript Link</v>
      </c>
      <c r="M5272" s="2" t="str">
        <f>HYPERLINK("https://files.afu.se/Downloads/Transcripts/0%20-%20Government/USA%20-%20NASA/2009 01 05 - NASA - MISSION UPDATE   FERMI_GKSP51-Uo2A - transcript (automated).pdf","Transcript Link")</f>
        <v>Transcript Link</v>
      </c>
    </row>
    <row r="5273" ht="180" spans="1:13">
      <c r="A5273" s="1" t="s">
        <v>23437</v>
      </c>
      <c r="B5273" s="1" t="s">
        <v>13</v>
      </c>
      <c r="C5273" s="4" t="s">
        <v>23438</v>
      </c>
      <c r="D5273" s="1" t="s">
        <v>23439</v>
      </c>
      <c r="E5273" s="1" t="s">
        <v>23440</v>
      </c>
      <c r="F5273" s="4" t="s">
        <v>17</v>
      </c>
      <c r="G5273" s="1" t="s">
        <v>18</v>
      </c>
      <c r="H5273" s="1" t="s">
        <v>19</v>
      </c>
      <c r="I5273" s="1" t="s">
        <v>20</v>
      </c>
      <c r="J5273" s="1" t="s">
        <v>23441</v>
      </c>
      <c r="K5273" s="1" t="s">
        <v>22</v>
      </c>
      <c r="L5273" s="1" t="str">
        <f>HYPERLINK("https://files.afu.se/Downloads/Transcripts/0%20-%20Government/USA%20-%20NASA/2008 12 30 - NASA - 5 Years on Mars Trailer_RzMoFUorKCY - transcript (automated).pdf","Transcript Link")</f>
        <v>Transcript Link</v>
      </c>
      <c r="M5273" s="2" t="str">
        <f>HYPERLINK("https://files.afu.se/Downloads/Transcripts/0%20-%20Government/USA%20-%20NASA/2008 12 30 - NASA - 5 Years on Mars Trailer_RzMoFUorKCY - transcript (automated).pdf","Transcript Link")</f>
        <v>Transcript Link</v>
      </c>
    </row>
    <row r="5274" ht="165" spans="1:13">
      <c r="A5274" s="1" t="s">
        <v>23442</v>
      </c>
      <c r="B5274" s="1" t="s">
        <v>13</v>
      </c>
      <c r="C5274" s="4" t="s">
        <v>23443</v>
      </c>
      <c r="D5274" s="1" t="s">
        <v>23444</v>
      </c>
      <c r="E5274" s="1" t="s">
        <v>23445</v>
      </c>
      <c r="F5274" s="4" t="s">
        <v>17</v>
      </c>
      <c r="G5274" s="1" t="s">
        <v>18</v>
      </c>
      <c r="H5274" s="1" t="s">
        <v>19</v>
      </c>
      <c r="I5274" s="1" t="s">
        <v>20</v>
      </c>
      <c r="J5274" s="1" t="s">
        <v>23446</v>
      </c>
      <c r="K5274" s="1" t="s">
        <v>22</v>
      </c>
      <c r="L5274" s="1" t="str">
        <f>HYPERLINK("https://files.afu.se/Downloads/Transcripts/0%20-%20Government/USA%20-%20NASA/2008 12 29 - NASA - International Space Station Crew Reflections at Year's End_IFLe1KWGuek - transcript (automated).pdf","Transcript Link")</f>
        <v>Transcript Link</v>
      </c>
      <c r="M5274" s="2" t="str">
        <f>HYPERLINK("https://files.afu.se/Downloads/Transcripts/0%20-%20Government/USA%20-%20NASA/2008 12 29 - NASA - International Space Station Crew Reflections at Year's End_IFLe1KWGuek - transcript (automated).pdf","Transcript Link")</f>
        <v>Transcript Link</v>
      </c>
    </row>
    <row r="5275" ht="180" spans="1:13">
      <c r="A5275" s="1" t="s">
        <v>23447</v>
      </c>
      <c r="B5275" s="1" t="s">
        <v>13</v>
      </c>
      <c r="C5275" s="4" t="s">
        <v>23448</v>
      </c>
      <c r="D5275" s="1" t="s">
        <v>23449</v>
      </c>
      <c r="E5275" s="1" t="s">
        <v>23450</v>
      </c>
      <c r="F5275" s="4" t="s">
        <v>17</v>
      </c>
      <c r="G5275" s="1" t="s">
        <v>18</v>
      </c>
      <c r="H5275" s="1" t="s">
        <v>19</v>
      </c>
      <c r="I5275" s="1" t="s">
        <v>20</v>
      </c>
      <c r="J5275" s="1" t="s">
        <v>23451</v>
      </c>
      <c r="K5275" s="1" t="s">
        <v>22</v>
      </c>
      <c r="L5275" s="1" t="str">
        <f>HYPERLINK("https://files.afu.se/Downloads/Transcripts/0%20-%20Government/USA%20-%20NASA/2008 12 23 - NASA - International Space Station Crew Takes a Pre-Christmas Stroll in Space_y_Db6z7BVAs - transcript (automated).pdf","Transcript Link")</f>
        <v>Transcript Link</v>
      </c>
      <c r="M5275" s="2" t="str">
        <f>HYPERLINK("https://files.afu.se/Downloads/Transcripts/0%20-%20Government/USA%20-%20NASA/2008 12 23 - NASA - International Space Station Crew Takes a Pre-Christmas Stroll in Space_y_Db6z7BVAs - transcript (automated).pdf","Transcript Link")</f>
        <v>Transcript Link</v>
      </c>
    </row>
    <row r="5276" ht="165" spans="1:13">
      <c r="A5276" s="1" t="s">
        <v>23447</v>
      </c>
      <c r="B5276" s="1" t="s">
        <v>13</v>
      </c>
      <c r="C5276" s="4" t="s">
        <v>23452</v>
      </c>
      <c r="D5276" s="1" t="s">
        <v>23453</v>
      </c>
      <c r="E5276" s="1" t="s">
        <v>23454</v>
      </c>
      <c r="F5276" s="4" t="s">
        <v>17</v>
      </c>
      <c r="G5276" s="1" t="s">
        <v>18</v>
      </c>
      <c r="H5276" s="1" t="s">
        <v>19</v>
      </c>
      <c r="I5276" s="1" t="s">
        <v>20</v>
      </c>
      <c r="J5276" s="1" t="s">
        <v>23455</v>
      </c>
      <c r="K5276" s="1" t="s">
        <v>22</v>
      </c>
      <c r="L5276" s="1" t="str">
        <f>HYPERLINK("https://files.afu.se/Downloads/Transcripts/0%20-%20Government/USA%20-%20NASA/2008 12 23 - NASA - Five Years On Mars_lgl7QDMP6G0 - transcript (automated).pdf","Transcript Link")</f>
        <v>Transcript Link</v>
      </c>
      <c r="M5276" s="2" t="str">
        <f>HYPERLINK("https://files.afu.se/Downloads/Transcripts/0%20-%20Government/USA%20-%20NASA/2008 12 23 - NASA - Five Years On Mars_lgl7QDMP6G0 - transcript (automated).pdf","Transcript Link")</f>
        <v>Transcript Link</v>
      </c>
    </row>
    <row r="5277" ht="165" spans="1:13">
      <c r="A5277" s="1" t="s">
        <v>23456</v>
      </c>
      <c r="B5277" s="1" t="s">
        <v>13</v>
      </c>
      <c r="C5277" s="4" t="s">
        <v>23457</v>
      </c>
      <c r="D5277" s="1" t="s">
        <v>23458</v>
      </c>
      <c r="E5277" s="1" t="s">
        <v>23459</v>
      </c>
      <c r="F5277" s="4" t="s">
        <v>17</v>
      </c>
      <c r="G5277" s="1" t="s">
        <v>18</v>
      </c>
      <c r="H5277" s="1" t="s">
        <v>19</v>
      </c>
      <c r="I5277" s="1" t="s">
        <v>20</v>
      </c>
      <c r="J5277" s="1" t="s">
        <v>23460</v>
      </c>
      <c r="K5277" s="1" t="s">
        <v>22</v>
      </c>
      <c r="L5277" s="1" t="str">
        <f>HYPERLINK("https://files.afu.se/Downloads/Transcripts/0%20-%20Government/USA%20-%20NASA/2008 12 19 - NASA - ISS Crew Pays Tribute to Apollo 8__JDWqRkh-oU - transcript (automated).pdf","Transcript Link")</f>
        <v>Transcript Link</v>
      </c>
      <c r="M5277" s="2" t="str">
        <f>HYPERLINK("https://files.afu.se/Downloads/Transcripts/0%20-%20Government/USA%20-%20NASA/2008 12 19 - NASA - ISS Crew Pays Tribute to Apollo 8__JDWqRkh-oU - transcript (automated).pdf","Transcript Link")</f>
        <v>Transcript Link</v>
      </c>
    </row>
    <row r="5278" ht="165" spans="1:13">
      <c r="A5278" s="1" t="s">
        <v>23461</v>
      </c>
      <c r="B5278" s="1" t="s">
        <v>13</v>
      </c>
      <c r="C5278" s="4" t="s">
        <v>23462</v>
      </c>
      <c r="D5278" s="1" t="s">
        <v>23463</v>
      </c>
      <c r="E5278" s="1" t="s">
        <v>23464</v>
      </c>
      <c r="F5278" s="4" t="s">
        <v>17</v>
      </c>
      <c r="G5278" s="1" t="s">
        <v>18</v>
      </c>
      <c r="H5278" s="1" t="s">
        <v>19</v>
      </c>
      <c r="I5278" s="1" t="s">
        <v>20</v>
      </c>
      <c r="J5278" s="1" t="s">
        <v>23465</v>
      </c>
      <c r="K5278" s="1" t="s">
        <v>22</v>
      </c>
      <c r="L5278" s="1" t="str">
        <f>HYPERLINK("https://files.afu.se/Downloads/Transcripts/0%20-%20Government/USA%20-%20NASA/2008 12 18 - NASA - You're Watching NASA TV_k9pSxADfP54 - transcript (automated).pdf","Transcript Link")</f>
        <v>Transcript Link</v>
      </c>
      <c r="M5278" s="2" t="str">
        <f>HYPERLINK("https://files.afu.se/Downloads/Transcripts/0%20-%20Government/USA%20-%20NASA/2008 12 18 - NASA - You're Watching NASA TV_k9pSxADfP54 - transcript (automated).pdf","Transcript Link")</f>
        <v>Transcript Link</v>
      </c>
    </row>
    <row r="5279" ht="165" spans="1:13">
      <c r="A5279" s="1" t="s">
        <v>23461</v>
      </c>
      <c r="B5279" s="1" t="s">
        <v>13</v>
      </c>
      <c r="C5279" s="4" t="s">
        <v>23466</v>
      </c>
      <c r="D5279" s="1" t="s">
        <v>23467</v>
      </c>
      <c r="E5279" s="1" t="s">
        <v>23468</v>
      </c>
      <c r="F5279" s="4" t="s">
        <v>17</v>
      </c>
      <c r="G5279" s="1" t="s">
        <v>18</v>
      </c>
      <c r="H5279" s="1" t="s">
        <v>19</v>
      </c>
      <c r="I5279" s="1" t="s">
        <v>20</v>
      </c>
      <c r="J5279" s="1" t="s">
        <v>23469</v>
      </c>
      <c r="K5279" s="1" t="s">
        <v>22</v>
      </c>
      <c r="L5279" s="1" t="str">
        <f>HYPERLINK("https://files.afu.se/Downloads/Transcripts/0%20-%20Government/USA%20-%20NASA/2008 12 18 - NASA - Solar Particles and Earth's Magnetic Field_lxWBlJ1kB7Q - transcript (automated).pdf","Transcript Link")</f>
        <v>Transcript Link</v>
      </c>
      <c r="M5279" s="2" t="str">
        <f>HYPERLINK("https://files.afu.se/Downloads/Transcripts/0%20-%20Government/USA%20-%20NASA/2008 12 18 - NASA - Solar Particles and Earth's Magnetic Field_lxWBlJ1kB7Q - transcript (automated).pdf","Transcript Link")</f>
        <v>Transcript Link</v>
      </c>
    </row>
    <row r="5280" ht="165" spans="1:13">
      <c r="A5280" s="1" t="s">
        <v>23470</v>
      </c>
      <c r="B5280" s="1" t="s">
        <v>13</v>
      </c>
      <c r="C5280" s="4" t="s">
        <v>23471</v>
      </c>
      <c r="D5280" s="1" t="s">
        <v>23472</v>
      </c>
      <c r="E5280" s="1" t="s">
        <v>23473</v>
      </c>
      <c r="F5280" s="4" t="s">
        <v>17</v>
      </c>
      <c r="G5280" s="1" t="s">
        <v>18</v>
      </c>
      <c r="H5280" s="1" t="s">
        <v>19</v>
      </c>
      <c r="I5280" s="1" t="s">
        <v>20</v>
      </c>
      <c r="J5280" s="1" t="s">
        <v>23474</v>
      </c>
      <c r="K5280" s="1" t="s">
        <v>22</v>
      </c>
      <c r="L5280" s="1" t="str">
        <f>HYPERLINK("https://files.afu.se/Downloads/Transcripts/0%20-%20Government/USA%20-%20NASA/2008 12 17 - NASA - NASA in Motion_tIkxWytRIj4 - transcript (automated).pdf","Transcript Link")</f>
        <v>Transcript Link</v>
      </c>
      <c r="M5280" s="2" t="str">
        <f>HYPERLINK("https://files.afu.se/Downloads/Transcripts/0%20-%20Government/USA%20-%20NASA/2008 12 17 - NASA - NASA in Motion_tIkxWytRIj4 - transcript (automated).pdf","Transcript Link")</f>
        <v>Transcript Link</v>
      </c>
    </row>
    <row r="5281" ht="165" spans="1:13">
      <c r="A5281" s="1" t="s">
        <v>23470</v>
      </c>
      <c r="B5281" s="1" t="s">
        <v>13</v>
      </c>
      <c r="C5281" s="4" t="s">
        <v>23475</v>
      </c>
      <c r="D5281" s="1" t="s">
        <v>23476</v>
      </c>
      <c r="E5281" s="1" t="s">
        <v>23477</v>
      </c>
      <c r="F5281" s="4" t="s">
        <v>17</v>
      </c>
      <c r="G5281" s="1" t="s">
        <v>18</v>
      </c>
      <c r="H5281" s="1" t="s">
        <v>19</v>
      </c>
      <c r="I5281" s="1" t="s">
        <v>20</v>
      </c>
      <c r="J5281" s="1" t="s">
        <v>23478</v>
      </c>
      <c r="K5281" s="1" t="s">
        <v>22</v>
      </c>
      <c r="L5281" s="1" t="str">
        <f>HYPERLINK("https://files.afu.se/Downloads/Transcripts/0%20-%20Government/USA%20-%20NASA/2008 12 17 - NASA - A Station Celebration_MMBhGwqno4c - transcript (automated).pdf","Transcript Link")</f>
        <v>Transcript Link</v>
      </c>
      <c r="M5281" s="2" t="str">
        <f>HYPERLINK("https://files.afu.se/Downloads/Transcripts/0%20-%20Government/USA%20-%20NASA/2008 12 17 - NASA - A Station Celebration_MMBhGwqno4c - transcript (automated).pdf","Transcript Link")</f>
        <v>Transcript Link</v>
      </c>
    </row>
    <row r="5282" ht="165" spans="1:13">
      <c r="A5282" s="1" t="s">
        <v>23479</v>
      </c>
      <c r="B5282" s="1" t="s">
        <v>13</v>
      </c>
      <c r="C5282" s="4" t="s">
        <v>23480</v>
      </c>
      <c r="D5282" s="1" t="s">
        <v>23481</v>
      </c>
      <c r="F5282" s="4" t="s">
        <v>17</v>
      </c>
      <c r="G5282" s="1" t="s">
        <v>18</v>
      </c>
      <c r="H5282" s="1" t="s">
        <v>19</v>
      </c>
      <c r="I5282" s="1" t="s">
        <v>20</v>
      </c>
      <c r="J5282" s="1" t="s">
        <v>23482</v>
      </c>
      <c r="K5282" s="1" t="s">
        <v>22</v>
      </c>
      <c r="L5282" s="1" t="str">
        <f>HYPERLINK("https://files.afu.se/Downloads/Transcripts/0%20-%20Government/USA%20-%20NASA/2008 12 16 - NASA - Hubble's Science Legacy_3gMe3Xh3OnY - transcript (automated).pdf","Transcript Link")</f>
        <v>Transcript Link</v>
      </c>
      <c r="M5282" s="2" t="str">
        <f>HYPERLINK("https://files.afu.se/Downloads/Transcripts/0%20-%20Government/USA%20-%20NASA/2008 12 16 - NASA - Hubble's Science Legacy_3gMe3Xh3OnY - transcript (automated).pdf","Transcript Link")</f>
        <v>Transcript Link</v>
      </c>
    </row>
    <row r="5283" ht="165" spans="1:13">
      <c r="A5283" s="1" t="s">
        <v>23483</v>
      </c>
      <c r="B5283" s="1" t="s">
        <v>13</v>
      </c>
      <c r="C5283" s="4" t="s">
        <v>23484</v>
      </c>
      <c r="D5283" s="1" t="s">
        <v>23485</v>
      </c>
      <c r="F5283" s="4" t="s">
        <v>17</v>
      </c>
      <c r="G5283" s="1" t="s">
        <v>18</v>
      </c>
      <c r="H5283" s="1" t="s">
        <v>19</v>
      </c>
      <c r="I5283" s="1" t="s">
        <v>20</v>
      </c>
      <c r="J5283" s="1" t="s">
        <v>23486</v>
      </c>
      <c r="K5283" s="1" t="s">
        <v>22</v>
      </c>
      <c r="L5283" s="1" t="str">
        <f>HYPERLINK("https://files.afu.se/Downloads/Transcripts/0%20-%20Government/USA%20-%20NASA/2008 12 15 - NASA - Endeavour - Time Lapse_JV8pjpb2IFI - transcript (automated).pdf","Transcript Link")</f>
        <v>Transcript Link</v>
      </c>
      <c r="M5283" s="2" t="str">
        <f>HYPERLINK("https://files.afu.se/Downloads/Transcripts/0%20-%20Government/USA%20-%20NASA/2008 12 15 - NASA - Endeavour - Time Lapse_JV8pjpb2IFI - transcript (automated).pdf","Transcript Link")</f>
        <v>Transcript Link</v>
      </c>
    </row>
    <row r="5284" ht="165" spans="1:13">
      <c r="A5284" s="1" t="s">
        <v>23487</v>
      </c>
      <c r="B5284" s="1" t="s">
        <v>13</v>
      </c>
      <c r="C5284" s="4" t="s">
        <v>23488</v>
      </c>
      <c r="D5284" s="1" t="s">
        <v>23489</v>
      </c>
      <c r="F5284" s="4" t="s">
        <v>17</v>
      </c>
      <c r="G5284" s="1" t="s">
        <v>18</v>
      </c>
      <c r="H5284" s="1" t="s">
        <v>19</v>
      </c>
      <c r="I5284" s="1" t="s">
        <v>20</v>
      </c>
      <c r="J5284" s="1" t="s">
        <v>23490</v>
      </c>
      <c r="K5284" s="1" t="s">
        <v>22</v>
      </c>
      <c r="L5284" s="1" t="str">
        <f>HYPERLINK("https://files.afu.se/Downloads/Transcripts/0%20-%20Government/USA%20-%20NASA/2008 12 12 - NASA - ISS Assembly Sequence_yLLF13IuAMI - transcript (automated).pdf","Transcript Link")</f>
        <v>Transcript Link</v>
      </c>
      <c r="M5284" s="2" t="str">
        <f>HYPERLINK("https://files.afu.se/Downloads/Transcripts/0%20-%20Government/USA%20-%20NASA/2008 12 12 - NASA - ISS Assembly Sequence_yLLF13IuAMI - transcript (automated).pdf","Transcript Link")</f>
        <v>Transcript Link</v>
      </c>
    </row>
    <row r="5285" ht="165" spans="1:13">
      <c r="A5285" s="1" t="s">
        <v>23491</v>
      </c>
      <c r="B5285" s="1" t="s">
        <v>13</v>
      </c>
      <c r="C5285" s="4" t="s">
        <v>23492</v>
      </c>
      <c r="D5285" s="1" t="s">
        <v>23493</v>
      </c>
      <c r="E5285" s="1" t="s">
        <v>23494</v>
      </c>
      <c r="F5285" s="4" t="s">
        <v>17</v>
      </c>
      <c r="G5285" s="1" t="s">
        <v>18</v>
      </c>
      <c r="H5285" s="1" t="s">
        <v>19</v>
      </c>
      <c r="I5285" s="1" t="s">
        <v>20</v>
      </c>
      <c r="J5285" s="1" t="s">
        <v>23495</v>
      </c>
      <c r="K5285" s="1" t="s">
        <v>22</v>
      </c>
      <c r="L5285" s="1" t="str">
        <f>HYPERLINK("https://files.afu.se/Downloads/Transcripts/0%20-%20Government/USA%20-%20NASA/2008 12 10 - NASA - Apollo 8  40th Anniversary_GfmdRfUS1ew - transcript (automated).pdf","Transcript Link")</f>
        <v>Transcript Link</v>
      </c>
      <c r="M5285" s="2" t="str">
        <f>HYPERLINK("https://files.afu.se/Downloads/Transcripts/0%20-%20Government/USA%20-%20NASA/2008 12 10 - NASA - Apollo 8  40th Anniversary_GfmdRfUS1ew - transcript (automated).pdf","Transcript Link")</f>
        <v>Transcript Link</v>
      </c>
    </row>
    <row r="5286" ht="165" spans="1:13">
      <c r="A5286" s="1" t="s">
        <v>23496</v>
      </c>
      <c r="B5286" s="1" t="s">
        <v>13</v>
      </c>
      <c r="C5286" s="4" t="s">
        <v>23497</v>
      </c>
      <c r="D5286" s="1" t="s">
        <v>23498</v>
      </c>
      <c r="F5286" s="4" t="s">
        <v>17</v>
      </c>
      <c r="G5286" s="1" t="s">
        <v>18</v>
      </c>
      <c r="H5286" s="1" t="s">
        <v>19</v>
      </c>
      <c r="I5286" s="1" t="s">
        <v>20</v>
      </c>
      <c r="J5286" s="1" t="s">
        <v>23499</v>
      </c>
      <c r="K5286" s="1" t="s">
        <v>22</v>
      </c>
      <c r="L5286" s="1" t="str">
        <f>HYPERLINK("https://files.afu.se/Downloads/Transcripts/0%20-%20Government/USA%20-%20NASA/2008 12 09 - NASA - HST SM4  ACS Repair  The Challenge to Fix Hubbles Best Survey Camera_sgQ1SiUtHTQ - transcript (automated).pdf","Transcript Link")</f>
        <v>Transcript Link</v>
      </c>
      <c r="M5286" s="2" t="str">
        <f>HYPERLINK("https://files.afu.se/Downloads/Transcripts/0%20-%20Government/USA%20-%20NASA/2008 12 09 - NASA - HST SM4  ACS Repair  The Challenge to Fix Hubbles Best Survey Camera_sgQ1SiUtHTQ - transcript (automated).pdf","Transcript Link")</f>
        <v>Transcript Link</v>
      </c>
    </row>
    <row r="5287" ht="165" spans="1:13">
      <c r="A5287" s="1" t="s">
        <v>23500</v>
      </c>
      <c r="B5287" s="1" t="s">
        <v>13</v>
      </c>
      <c r="C5287" s="4" t="s">
        <v>23501</v>
      </c>
      <c r="D5287" s="1" t="s">
        <v>23502</v>
      </c>
      <c r="F5287" s="4" t="s">
        <v>17</v>
      </c>
      <c r="G5287" s="1" t="s">
        <v>18</v>
      </c>
      <c r="H5287" s="1" t="s">
        <v>19</v>
      </c>
      <c r="I5287" s="1" t="s">
        <v>20</v>
      </c>
      <c r="J5287" s="1" t="s">
        <v>23503</v>
      </c>
      <c r="K5287" s="1" t="s">
        <v>22</v>
      </c>
      <c r="L5287" s="1" t="str">
        <f>HYPERLINK("https://files.afu.se/Downloads/Transcripts/0%20-%20Government/USA%20-%20NASA/2008 12 08 - NASA - NASA Mission Update  Phoenix_RtmaQuXfN3I - transcript (automated).pdf","Transcript Link")</f>
        <v>Transcript Link</v>
      </c>
      <c r="M5287" s="2" t="str">
        <f>HYPERLINK("https://files.afu.se/Downloads/Transcripts/0%20-%20Government/USA%20-%20NASA/2008 12 08 - NASA - NASA Mission Update  Phoenix_RtmaQuXfN3I - transcript (automated).pdf","Transcript Link")</f>
        <v>Transcript Link</v>
      </c>
    </row>
    <row r="5288" ht="409.5" spans="1:13">
      <c r="A5288" s="1" t="s">
        <v>23504</v>
      </c>
      <c r="B5288" s="1" t="s">
        <v>13</v>
      </c>
      <c r="C5288" s="4" t="s">
        <v>23505</v>
      </c>
      <c r="D5288" s="1" t="s">
        <v>23506</v>
      </c>
      <c r="E5288" s="1" t="s">
        <v>23507</v>
      </c>
      <c r="F5288" s="4" t="s">
        <v>17</v>
      </c>
      <c r="G5288" s="1" t="s">
        <v>18</v>
      </c>
      <c r="H5288" s="1" t="s">
        <v>19</v>
      </c>
      <c r="I5288" s="1" t="s">
        <v>20</v>
      </c>
      <c r="J5288" s="1" t="s">
        <v>23508</v>
      </c>
      <c r="K5288" s="1" t="s">
        <v>22</v>
      </c>
      <c r="L5288" s="1" t="str">
        <f>HYPERLINK("https://files.afu.se/Downloads/Transcripts/0%20-%20Government/USA%20-%20NASA/2008 12 05 - NASA - NASA Lunar Lander Challenge Recognition Ceremony_yeIJt_Uy__s - transcript (automated).pdf","Transcript Link")</f>
        <v>Transcript Link</v>
      </c>
      <c r="M5288" s="2" t="str">
        <f>HYPERLINK("https://files.afu.se/Downloads/Transcripts/0%20-%20Government/USA%20-%20NASA/2008 12 05 - NASA - NASA Lunar Lander Challenge Recognition Ceremony_yeIJt_Uy__s - transcript (automated).pdf","Transcript Link")</f>
        <v>Transcript Link</v>
      </c>
    </row>
    <row r="5289" ht="165" spans="1:13">
      <c r="A5289" s="1" t="s">
        <v>23509</v>
      </c>
      <c r="B5289" s="1" t="s">
        <v>13</v>
      </c>
      <c r="C5289" s="4" t="s">
        <v>23510</v>
      </c>
      <c r="D5289" s="1" t="s">
        <v>23511</v>
      </c>
      <c r="F5289" s="4" t="s">
        <v>17</v>
      </c>
      <c r="G5289" s="1" t="s">
        <v>18</v>
      </c>
      <c r="H5289" s="1" t="s">
        <v>19</v>
      </c>
      <c r="I5289" s="1" t="s">
        <v>20</v>
      </c>
      <c r="J5289" s="1" t="s">
        <v>23512</v>
      </c>
      <c r="K5289" s="1" t="s">
        <v>22</v>
      </c>
      <c r="L5289" s="1" t="str">
        <f>HYPERLINK("https://files.afu.se/Downloads/Transcripts/0%20-%20Government/USA%20-%20NASA/2008 12 02 - NASA - Hubble  Vision, Hope and Triumph_0E0S07VMSYI - transcript (automated).pdf","Transcript Link")</f>
        <v>Transcript Link</v>
      </c>
      <c r="M5289" s="2" t="str">
        <f>HYPERLINK("https://files.afu.se/Downloads/Transcripts/0%20-%20Government/USA%20-%20NASA/2008 12 02 - NASA - Hubble  Vision, Hope and Triumph_0E0S07VMSYI - transcript (automated).pdf","Transcript Link")</f>
        <v>Transcript Link</v>
      </c>
    </row>
    <row r="5290" ht="165" spans="1:13">
      <c r="A5290" s="1" t="s">
        <v>23513</v>
      </c>
      <c r="B5290" s="1" t="s">
        <v>13</v>
      </c>
      <c r="C5290" s="4" t="s">
        <v>23514</v>
      </c>
      <c r="D5290" s="1" t="s">
        <v>23515</v>
      </c>
      <c r="E5290" s="1" t="s">
        <v>23516</v>
      </c>
      <c r="F5290" s="4" t="s">
        <v>17</v>
      </c>
      <c r="G5290" s="1" t="s">
        <v>18</v>
      </c>
      <c r="H5290" s="1" t="s">
        <v>19</v>
      </c>
      <c r="I5290" s="1" t="s">
        <v>20</v>
      </c>
      <c r="J5290" s="1" t="s">
        <v>23517</v>
      </c>
      <c r="K5290" s="1" t="s">
        <v>22</v>
      </c>
      <c r="L5290" s="1" t="str">
        <f>HYPERLINK("https://files.afu.se/Downloads/Transcripts/0%20-%20Government/USA%20-%20NASA/2008 12 01 - NASA - Endeavour Performs a Flyaround of the Station_GiBU41klg_M - transcript (automated).pdf","Transcript Link")</f>
        <v>Transcript Link</v>
      </c>
      <c r="M5290" s="2" t="str">
        <f>HYPERLINK("https://files.afu.se/Downloads/Transcripts/0%20-%20Government/USA%20-%20NASA/2008 12 01 - NASA - Endeavour Performs a Flyaround of the Station_GiBU41klg_M - transcript (automated).pdf","Transcript Link")</f>
        <v>Transcript Link</v>
      </c>
    </row>
    <row r="5291" ht="165" spans="1:13">
      <c r="A5291" s="1" t="s">
        <v>23513</v>
      </c>
      <c r="B5291" s="1" t="s">
        <v>13</v>
      </c>
      <c r="C5291" s="4" t="s">
        <v>23518</v>
      </c>
      <c r="D5291" s="1" t="s">
        <v>23519</v>
      </c>
      <c r="E5291" s="1" t="s">
        <v>23520</v>
      </c>
      <c r="F5291" s="4" t="s">
        <v>17</v>
      </c>
      <c r="G5291" s="1" t="s">
        <v>18</v>
      </c>
      <c r="H5291" s="1" t="s">
        <v>19</v>
      </c>
      <c r="I5291" s="1" t="s">
        <v>20</v>
      </c>
      <c r="J5291" s="1" t="s">
        <v>23521</v>
      </c>
      <c r="K5291" s="1" t="s">
        <v>22</v>
      </c>
      <c r="L5291" s="1" t="str">
        <f>HYPERLINK("https://files.afu.se/Downloads/Transcripts/0%20-%20Government/USA%20-%20NASA/2008 12 01 - NASA - A Thanksgiving Toast From Space_Mv9zcxs90z0 - transcript (automated).pdf","Transcript Link")</f>
        <v>Transcript Link</v>
      </c>
      <c r="M5291" s="2" t="str">
        <f>HYPERLINK("https://files.afu.se/Downloads/Transcripts/0%20-%20Government/USA%20-%20NASA/2008 12 01 - NASA - A Thanksgiving Toast From Space_Mv9zcxs90z0 - transcript (automated).pdf","Transcript Link")</f>
        <v>Transcript Link</v>
      </c>
    </row>
    <row r="5292" ht="165" spans="1:13">
      <c r="A5292" s="1" t="s">
        <v>23522</v>
      </c>
      <c r="B5292" s="1" t="s">
        <v>13</v>
      </c>
      <c r="C5292" s="4" t="s">
        <v>23523</v>
      </c>
      <c r="D5292" s="1" t="s">
        <v>23524</v>
      </c>
      <c r="E5292" s="1" t="s">
        <v>23525</v>
      </c>
      <c r="F5292" s="4" t="s">
        <v>17</v>
      </c>
      <c r="G5292" s="1" t="s">
        <v>18</v>
      </c>
      <c r="H5292" s="1" t="s">
        <v>19</v>
      </c>
      <c r="I5292" s="1" t="s">
        <v>20</v>
      </c>
      <c r="J5292" s="1" t="s">
        <v>23526</v>
      </c>
      <c r="K5292" s="1" t="s">
        <v>22</v>
      </c>
      <c r="L5292" s="1" t="str">
        <f>HYPERLINK("https://files.afu.se/Downloads/Transcripts/0%20-%20Government/USA%20-%20NASA/2008 11 28 - NASA - Weightless Webs  Spiders on the Space Station_xzEJi_Q11-k - transcript (automated).pdf","Transcript Link")</f>
        <v>Transcript Link</v>
      </c>
      <c r="M5292" s="2" t="str">
        <f>HYPERLINK("https://files.afu.se/Downloads/Transcripts/0%20-%20Government/USA%20-%20NASA/2008 11 28 - NASA - Weightless Webs  Spiders on the Space Station_xzEJi_Q11-k - transcript (automated).pdf","Transcript Link")</f>
        <v>Transcript Link</v>
      </c>
    </row>
    <row r="5293" ht="165" spans="1:13">
      <c r="A5293" s="1" t="s">
        <v>23522</v>
      </c>
      <c r="B5293" s="1" t="s">
        <v>13</v>
      </c>
      <c r="C5293" s="4" t="s">
        <v>23527</v>
      </c>
      <c r="D5293" s="1" t="s">
        <v>23528</v>
      </c>
      <c r="E5293" s="1" t="s">
        <v>23529</v>
      </c>
      <c r="F5293" s="4" t="s">
        <v>17</v>
      </c>
      <c r="G5293" s="1" t="s">
        <v>18</v>
      </c>
      <c r="H5293" s="1" t="s">
        <v>19</v>
      </c>
      <c r="I5293" s="1" t="s">
        <v>20</v>
      </c>
      <c r="J5293" s="1" t="s">
        <v>23530</v>
      </c>
      <c r="K5293" s="1" t="s">
        <v>22</v>
      </c>
      <c r="L5293" s="1" t="str">
        <f>HYPERLINK("https://files.afu.se/Downloads/Transcripts/0%20-%20Government/USA%20-%20NASA/2008 11 28 - NASA - Message to the Troops_Zbg6jvLrDD8 - transcript (automated).pdf","Transcript Link")</f>
        <v>Transcript Link</v>
      </c>
      <c r="M5293" s="2" t="str">
        <f>HYPERLINK("https://files.afu.se/Downloads/Transcripts/0%20-%20Government/USA%20-%20NASA/2008 11 28 - NASA - Message to the Troops_Zbg6jvLrDD8 - transcript (automated).pdf","Transcript Link")</f>
        <v>Transcript Link</v>
      </c>
    </row>
    <row r="5294" ht="165" spans="1:13">
      <c r="A5294" s="1" t="s">
        <v>23522</v>
      </c>
      <c r="B5294" s="1" t="s">
        <v>13</v>
      </c>
      <c r="C5294" s="4" t="s">
        <v>23531</v>
      </c>
      <c r="D5294" s="1" t="s">
        <v>23532</v>
      </c>
      <c r="F5294" s="4" t="s">
        <v>17</v>
      </c>
      <c r="G5294" s="1" t="s">
        <v>18</v>
      </c>
      <c r="H5294" s="1" t="s">
        <v>19</v>
      </c>
      <c r="I5294" s="1" t="s">
        <v>20</v>
      </c>
      <c r="J5294" s="1" t="s">
        <v>23533</v>
      </c>
      <c r="K5294" s="1" t="s">
        <v>22</v>
      </c>
      <c r="L5294" s="1" t="str">
        <f>HYPERLINK("https://files.afu.se/Downloads/Transcripts/0%20-%20Government/USA%20-%20NASA/2008 11 28 - NASA - Mars Rover Testing_I-39k0yp0jQ - transcript (automated).pdf","Transcript Link")</f>
        <v>Transcript Link</v>
      </c>
      <c r="M5294" s="2" t="str">
        <f>HYPERLINK("https://files.afu.se/Downloads/Transcripts/0%20-%20Government/USA%20-%20NASA/2008 11 28 - NASA - Mars Rover Testing_I-39k0yp0jQ - transcript (automated).pdf","Transcript Link")</f>
        <v>Transcript Link</v>
      </c>
    </row>
    <row r="5295" ht="165" spans="1:13">
      <c r="A5295" s="1" t="s">
        <v>23534</v>
      </c>
      <c r="B5295" s="1" t="s">
        <v>13</v>
      </c>
      <c r="C5295" s="4" t="s">
        <v>23535</v>
      </c>
      <c r="D5295" s="1" t="s">
        <v>23536</v>
      </c>
      <c r="F5295" s="4" t="s">
        <v>17</v>
      </c>
      <c r="G5295" s="1" t="s">
        <v>18</v>
      </c>
      <c r="H5295" s="1" t="s">
        <v>19</v>
      </c>
      <c r="I5295" s="1" t="s">
        <v>20</v>
      </c>
      <c r="J5295" s="1" t="s">
        <v>23537</v>
      </c>
      <c r="K5295" s="1" t="s">
        <v>22</v>
      </c>
      <c r="L5295" s="1" t="str">
        <f>HYPERLINK("https://files.afu.se/Downloads/Transcripts/0%20-%20Government/USA%20-%20NASA/2008 11 26 - NASA - STS-126 SRB camera - Part 2 of 2_EjBujhivtXY - transcript (automated).pdf","Transcript Link")</f>
        <v>Transcript Link</v>
      </c>
      <c r="M5295" s="2" t="str">
        <f>HYPERLINK("https://files.afu.se/Downloads/Transcripts/0%20-%20Government/USA%20-%20NASA/2008 11 26 - NASA - STS-126 SRB camera - Part 2 of 2_EjBujhivtXY - transcript (automated).pdf","Transcript Link")</f>
        <v>Transcript Link</v>
      </c>
    </row>
    <row r="5296" ht="409.5" spans="1:13">
      <c r="A5296" s="1" t="s">
        <v>23534</v>
      </c>
      <c r="B5296" s="1" t="s">
        <v>13</v>
      </c>
      <c r="C5296" s="4" t="s">
        <v>23538</v>
      </c>
      <c r="D5296" s="1" t="s">
        <v>23539</v>
      </c>
      <c r="E5296" s="1" t="s">
        <v>23540</v>
      </c>
      <c r="F5296" s="4" t="s">
        <v>17</v>
      </c>
      <c r="G5296" s="1" t="s">
        <v>18</v>
      </c>
      <c r="H5296" s="1" t="s">
        <v>19</v>
      </c>
      <c r="I5296" s="1" t="s">
        <v>20</v>
      </c>
      <c r="J5296" s="1" t="s">
        <v>23541</v>
      </c>
      <c r="K5296" s="1" t="s">
        <v>22</v>
      </c>
      <c r="L5296" s="1" t="str">
        <f>HYPERLINK("https://files.afu.se/Downloads/Transcripts/0%20-%20Government/USA%20-%20NASA/2008 11 26 - NASA - NASA Mission Update  TRMM_NdyHlPj3s88 - transcript (automated).pdf","Transcript Link")</f>
        <v>Transcript Link</v>
      </c>
      <c r="M5296" s="2" t="str">
        <f>HYPERLINK("https://files.afu.se/Downloads/Transcripts/0%20-%20Government/USA%20-%20NASA/2008 11 26 - NASA - NASA Mission Update  TRMM_NdyHlPj3s88 - transcript (automated).pdf","Transcript Link")</f>
        <v>Transcript Link</v>
      </c>
    </row>
    <row r="5297" ht="409.5" spans="1:13">
      <c r="A5297" s="1" t="s">
        <v>23534</v>
      </c>
      <c r="B5297" s="1" t="s">
        <v>13</v>
      </c>
      <c r="C5297" s="4" t="s">
        <v>23542</v>
      </c>
      <c r="D5297" s="1" t="s">
        <v>23543</v>
      </c>
      <c r="E5297" s="1" t="s">
        <v>23544</v>
      </c>
      <c r="F5297" s="4" t="s">
        <v>17</v>
      </c>
      <c r="G5297" s="1" t="s">
        <v>18</v>
      </c>
      <c r="H5297" s="1" t="s">
        <v>19</v>
      </c>
      <c r="I5297" s="1" t="s">
        <v>20</v>
      </c>
      <c r="J5297" s="1" t="s">
        <v>23545</v>
      </c>
      <c r="K5297" s="1" t="s">
        <v>22</v>
      </c>
      <c r="L5297" s="1" t="str">
        <f>HYPERLINK("https://files.afu.se/Downloads/Transcripts/0%20-%20Government/USA%20-%20NASA/2008 11 26 - NASA - NASA Mission Update  New Horizon_fWBi44bQsSg - transcript (automated).pdf","Transcript Link")</f>
        <v>Transcript Link</v>
      </c>
      <c r="M5297" s="2" t="str">
        <f>HYPERLINK("https://files.afu.se/Downloads/Transcripts/0%20-%20Government/USA%20-%20NASA/2008 11 26 - NASA - NASA Mission Update  New Horizon_fWBi44bQsSg - transcript (automated).pdf","Transcript Link")</f>
        <v>Transcript Link</v>
      </c>
    </row>
    <row r="5298" ht="409.5" spans="1:13">
      <c r="A5298" s="1" t="s">
        <v>23534</v>
      </c>
      <c r="B5298" s="1" t="s">
        <v>13</v>
      </c>
      <c r="C5298" s="4" t="s">
        <v>23546</v>
      </c>
      <c r="D5298" s="1" t="s">
        <v>23547</v>
      </c>
      <c r="E5298" s="1" t="s">
        <v>23548</v>
      </c>
      <c r="F5298" s="4" t="s">
        <v>17</v>
      </c>
      <c r="G5298" s="1" t="s">
        <v>18</v>
      </c>
      <c r="H5298" s="1" t="s">
        <v>19</v>
      </c>
      <c r="I5298" s="1" t="s">
        <v>20</v>
      </c>
      <c r="J5298" s="1" t="s">
        <v>23549</v>
      </c>
      <c r="K5298" s="1" t="s">
        <v>22</v>
      </c>
      <c r="L5298" s="1" t="str">
        <f>HYPERLINK("https://files.afu.se/Downloads/Transcripts/0%20-%20Government/USA%20-%20NASA/2008 11 26 - NASA - NASA Mission Update  ULYSSES_tbD5qInlxV4 - transcript (automated).pdf","Transcript Link")</f>
        <v>Transcript Link</v>
      </c>
      <c r="M5298" s="2" t="str">
        <f>HYPERLINK("https://files.afu.se/Downloads/Transcripts/0%20-%20Government/USA%20-%20NASA/2008 11 26 - NASA - NASA Mission Update  ULYSSES_tbD5qInlxV4 - transcript (automated).pdf","Transcript Link")</f>
        <v>Transcript Link</v>
      </c>
    </row>
    <row r="5299" ht="409.5" spans="1:13">
      <c r="A5299" s="1" t="s">
        <v>23534</v>
      </c>
      <c r="B5299" s="1" t="s">
        <v>13</v>
      </c>
      <c r="C5299" s="4" t="s">
        <v>23550</v>
      </c>
      <c r="D5299" s="1" t="s">
        <v>23551</v>
      </c>
      <c r="E5299" s="1" t="s">
        <v>23552</v>
      </c>
      <c r="F5299" s="4" t="s">
        <v>17</v>
      </c>
      <c r="G5299" s="1" t="s">
        <v>18</v>
      </c>
      <c r="H5299" s="1" t="s">
        <v>19</v>
      </c>
      <c r="I5299" s="1" t="s">
        <v>20</v>
      </c>
      <c r="J5299" s="1" t="s">
        <v>23553</v>
      </c>
      <c r="K5299" s="1" t="s">
        <v>22</v>
      </c>
      <c r="L5299" s="1" t="str">
        <f>HYPERLINK("https://files.afu.se/Downloads/Transcripts/0%20-%20Government/USA%20-%20NASA/2008 11 26 - NASA - NASA Mission Update  CALIPSO_FzXa5r2A3TM - transcript (automated).pdf","Transcript Link")</f>
        <v>Transcript Link</v>
      </c>
      <c r="M5299" s="2" t="str">
        <f>HYPERLINK("https://files.afu.se/Downloads/Transcripts/0%20-%20Government/USA%20-%20NASA/2008 11 26 - NASA - NASA Mission Update  CALIPSO_FzXa5r2A3TM - transcript (automated).pdf","Transcript Link")</f>
        <v>Transcript Link</v>
      </c>
    </row>
    <row r="5300" ht="409.5" spans="1:13">
      <c r="A5300" s="1" t="s">
        <v>23534</v>
      </c>
      <c r="B5300" s="1" t="s">
        <v>13</v>
      </c>
      <c r="C5300" s="4" t="s">
        <v>23554</v>
      </c>
      <c r="D5300" s="1" t="s">
        <v>23555</v>
      </c>
      <c r="E5300" s="1" t="s">
        <v>23556</v>
      </c>
      <c r="F5300" s="4" t="s">
        <v>17</v>
      </c>
      <c r="G5300" s="1" t="s">
        <v>18</v>
      </c>
      <c r="H5300" s="1" t="s">
        <v>19</v>
      </c>
      <c r="I5300" s="1" t="s">
        <v>20</v>
      </c>
      <c r="J5300" s="1" t="s">
        <v>23557</v>
      </c>
      <c r="K5300" s="1" t="s">
        <v>22</v>
      </c>
      <c r="L5300" s="1" t="str">
        <f>HYPERLINK("https://files.afu.se/Downloads/Transcripts/0%20-%20Government/USA%20-%20NASA/2008 11 26 - NASA - Mission Update  IBEX_4xJEPM05uRg - transcript (automated).pdf","Transcript Link")</f>
        <v>Transcript Link</v>
      </c>
      <c r="M5300" s="2" t="str">
        <f>HYPERLINK("https://files.afu.se/Downloads/Transcripts/0%20-%20Government/USA%20-%20NASA/2008 11 26 - NASA - Mission Update  IBEX_4xJEPM05uRg - transcript (automated).pdf","Transcript Link")</f>
        <v>Transcript Link</v>
      </c>
    </row>
    <row r="5301" ht="165" spans="1:13">
      <c r="A5301" s="1" t="s">
        <v>23534</v>
      </c>
      <c r="B5301" s="1" t="s">
        <v>13</v>
      </c>
      <c r="C5301" s="4" t="s">
        <v>23558</v>
      </c>
      <c r="D5301" s="1" t="s">
        <v>23559</v>
      </c>
      <c r="E5301" s="1" t="s">
        <v>23560</v>
      </c>
      <c r="F5301" s="4" t="s">
        <v>17</v>
      </c>
      <c r="G5301" s="1" t="s">
        <v>18</v>
      </c>
      <c r="H5301" s="1" t="s">
        <v>19</v>
      </c>
      <c r="I5301" s="1" t="s">
        <v>20</v>
      </c>
      <c r="J5301" s="1" t="s">
        <v>23561</v>
      </c>
      <c r="K5301" s="1" t="s">
        <v>22</v>
      </c>
      <c r="L5301" s="1" t="str">
        <f>HYPERLINK("https://files.afu.se/Downloads/Transcripts/0%20-%20Government/USA%20-%20NASA/2008 11 26 - NASA - Apollo 8 at the Newseum_d9t5JWoNVbs - transcript (automated).pdf","Transcript Link")</f>
        <v>Transcript Link</v>
      </c>
      <c r="M5301" s="2" t="str">
        <f>HYPERLINK("https://files.afu.se/Downloads/Transcripts/0%20-%20Government/USA%20-%20NASA/2008 11 26 - NASA - Apollo 8 at the Newseum_d9t5JWoNVbs - transcript (automated).pdf","Transcript Link")</f>
        <v>Transcript Link</v>
      </c>
    </row>
    <row r="5302" ht="165" spans="1:13">
      <c r="A5302" s="1" t="s">
        <v>23562</v>
      </c>
      <c r="B5302" s="1" t="s">
        <v>13</v>
      </c>
      <c r="C5302" s="4" t="s">
        <v>23563</v>
      </c>
      <c r="D5302" s="1" t="s">
        <v>23564</v>
      </c>
      <c r="E5302" s="1" t="s">
        <v>23565</v>
      </c>
      <c r="F5302" s="4" t="s">
        <v>17</v>
      </c>
      <c r="G5302" s="1" t="s">
        <v>18</v>
      </c>
      <c r="H5302" s="1" t="s">
        <v>19</v>
      </c>
      <c r="I5302" s="1" t="s">
        <v>20</v>
      </c>
      <c r="J5302" s="1" t="s">
        <v>23566</v>
      </c>
      <c r="K5302" s="1" t="s">
        <v>22</v>
      </c>
      <c r="L5302" s="1" t="str">
        <f>HYPERLINK("https://files.afu.se/Downloads/Transcripts/0%20-%20Government/USA%20-%20NASA/2008 11 25 - NASA - Apollo 8 PART 3_46uxTc43XuA - transcript (automated).pdf","Transcript Link")</f>
        <v>Transcript Link</v>
      </c>
      <c r="M5302" s="2" t="str">
        <f>HYPERLINK("https://files.afu.se/Downloads/Transcripts/0%20-%20Government/USA%20-%20NASA/2008 11 25 - NASA - Apollo 8 PART 3_46uxTc43XuA - transcript (automated).pdf","Transcript Link")</f>
        <v>Transcript Link</v>
      </c>
    </row>
    <row r="5303" ht="165" spans="1:13">
      <c r="A5303" s="1" t="s">
        <v>23562</v>
      </c>
      <c r="B5303" s="1" t="s">
        <v>13</v>
      </c>
      <c r="C5303" s="4" t="s">
        <v>23567</v>
      </c>
      <c r="D5303" s="1" t="s">
        <v>23568</v>
      </c>
      <c r="E5303" s="1" t="s">
        <v>23569</v>
      </c>
      <c r="F5303" s="4" t="s">
        <v>17</v>
      </c>
      <c r="G5303" s="1" t="s">
        <v>18</v>
      </c>
      <c r="H5303" s="1" t="s">
        <v>19</v>
      </c>
      <c r="I5303" s="1" t="s">
        <v>20</v>
      </c>
      <c r="J5303" s="1" t="s">
        <v>23570</v>
      </c>
      <c r="K5303" s="1" t="s">
        <v>22</v>
      </c>
      <c r="L5303" s="1" t="str">
        <f>HYPERLINK("https://files.afu.se/Downloads/Transcripts/0%20-%20Government/USA%20-%20NASA/2008 11 25 - NASA - Apollo 8 PART 2_P3oPd0J7b1k - transcript (automated).pdf","Transcript Link")</f>
        <v>Transcript Link</v>
      </c>
      <c r="M5303" s="2" t="str">
        <f>HYPERLINK("https://files.afu.se/Downloads/Transcripts/0%20-%20Government/USA%20-%20NASA/2008 11 25 - NASA - Apollo 8 PART 2_P3oPd0J7b1k - transcript (automated).pdf","Transcript Link")</f>
        <v>Transcript Link</v>
      </c>
    </row>
    <row r="5304" ht="165" spans="1:13">
      <c r="A5304" s="1" t="s">
        <v>23562</v>
      </c>
      <c r="B5304" s="1" t="s">
        <v>13</v>
      </c>
      <c r="C5304" s="4" t="s">
        <v>23571</v>
      </c>
      <c r="D5304" s="1" t="s">
        <v>23572</v>
      </c>
      <c r="E5304" s="1" t="s">
        <v>23573</v>
      </c>
      <c r="F5304" s="4" t="s">
        <v>17</v>
      </c>
      <c r="G5304" s="1" t="s">
        <v>18</v>
      </c>
      <c r="H5304" s="1" t="s">
        <v>19</v>
      </c>
      <c r="I5304" s="1" t="s">
        <v>20</v>
      </c>
      <c r="J5304" s="1" t="s">
        <v>23574</v>
      </c>
      <c r="K5304" s="1" t="s">
        <v>22</v>
      </c>
      <c r="L5304" s="1" t="str">
        <f>HYPERLINK("https://files.afu.se/Downloads/Transcripts/0%20-%20Government/USA%20-%20NASA/2008 11 25 - NASA - Apollo 8 PART 1_rfqld3cUUJE - transcript (automated).pdf","Transcript Link")</f>
        <v>Transcript Link</v>
      </c>
      <c r="M5304" s="2" t="str">
        <f>HYPERLINK("https://files.afu.se/Downloads/Transcripts/0%20-%20Government/USA%20-%20NASA/2008 11 25 - NASA - Apollo 8 PART 1_rfqld3cUUJE - transcript (automated).pdf","Transcript Link")</f>
        <v>Transcript Link</v>
      </c>
    </row>
    <row r="5305" ht="165" spans="1:13">
      <c r="A5305" s="1" t="s">
        <v>23575</v>
      </c>
      <c r="B5305" s="1" t="s">
        <v>13</v>
      </c>
      <c r="C5305" s="4" t="s">
        <v>23576</v>
      </c>
      <c r="D5305" s="1" t="s">
        <v>23577</v>
      </c>
      <c r="E5305" s="1" t="s">
        <v>23578</v>
      </c>
      <c r="F5305" s="4" t="s">
        <v>17</v>
      </c>
      <c r="G5305" s="1" t="s">
        <v>18</v>
      </c>
      <c r="H5305" s="1" t="s">
        <v>19</v>
      </c>
      <c r="I5305" s="1" t="s">
        <v>20</v>
      </c>
      <c r="J5305" s="1" t="s">
        <v>23579</v>
      </c>
      <c r="K5305" s="1" t="s">
        <v>22</v>
      </c>
      <c r="L5305" s="1" t="str">
        <f>HYPERLINK("https://files.afu.se/Downloads/Transcripts/0%20-%20Government/USA%20-%20NASA/2008 10 24 - NASA - NASA 50th Video Part 1 of 2_r3mI_aT94KA - transcript (automated).pdf","Transcript Link")</f>
        <v>Transcript Link</v>
      </c>
      <c r="M5305" s="2" t="str">
        <f>HYPERLINK("https://files.afu.se/Downloads/Transcripts/0%20-%20Government/USA%20-%20NASA/2008 10 24 - NASA - NASA 50th Video Part 1 of 2_r3mI_aT94KA - transcript (automated).pdf","Transcript Link")</f>
        <v>Transcript Link</v>
      </c>
    </row>
    <row r="5306" ht="165" spans="1:13">
      <c r="A5306" s="1" t="s">
        <v>23580</v>
      </c>
      <c r="B5306" s="1" t="s">
        <v>13</v>
      </c>
      <c r="C5306" s="4" t="s">
        <v>23581</v>
      </c>
      <c r="D5306" s="1" t="s">
        <v>23582</v>
      </c>
      <c r="E5306" s="1" t="s">
        <v>23583</v>
      </c>
      <c r="F5306" s="4" t="s">
        <v>17</v>
      </c>
      <c r="G5306" s="1" t="s">
        <v>18</v>
      </c>
      <c r="H5306" s="1" t="s">
        <v>19</v>
      </c>
      <c r="I5306" s="1" t="s">
        <v>20</v>
      </c>
      <c r="J5306" s="1" t="s">
        <v>23584</v>
      </c>
      <c r="K5306" s="1" t="s">
        <v>22</v>
      </c>
      <c r="L5306" s="1" t="str">
        <f>HYPERLINK("https://files.afu.se/Downloads/Transcripts/0%20-%20Government/USA%20-%20NASA/2008 10 16 - NASA - NASA 50th Anniversary Documentary 5 of 9_cwnMKslBAMM - transcript (automated).pdf","Transcript Link")</f>
        <v>Transcript Link</v>
      </c>
      <c r="M5306" s="2" t="str">
        <f>HYPERLINK("https://files.afu.se/Downloads/Transcripts/0%20-%20Government/USA%20-%20NASA/2008 10 16 - NASA - NASA 50th Anniversary Documentary 5 of 9_cwnMKslBAMM - transcript (automated).pdf","Transcript Link")</f>
        <v>Transcript Link</v>
      </c>
    </row>
    <row r="5307" ht="165" spans="1:13">
      <c r="A5307" s="1" t="s">
        <v>23580</v>
      </c>
      <c r="B5307" s="1" t="s">
        <v>13</v>
      </c>
      <c r="C5307" s="4" t="s">
        <v>23585</v>
      </c>
      <c r="D5307" s="1" t="s">
        <v>23586</v>
      </c>
      <c r="E5307" s="1" t="s">
        <v>23583</v>
      </c>
      <c r="F5307" s="4" t="s">
        <v>17</v>
      </c>
      <c r="G5307" s="1" t="s">
        <v>18</v>
      </c>
      <c r="H5307" s="1" t="s">
        <v>19</v>
      </c>
      <c r="I5307" s="1" t="s">
        <v>20</v>
      </c>
      <c r="J5307" s="1" t="s">
        <v>23587</v>
      </c>
      <c r="K5307" s="1" t="s">
        <v>22</v>
      </c>
      <c r="L5307" s="1" t="str">
        <f>HYPERLINK("https://files.afu.se/Downloads/Transcripts/0%20-%20Government/USA%20-%20NASA/2008 10 16 - NASA - NASA 50th Anniversary Documentary 7 of 9_vQPO_xfFKuM - transcript (automated).pdf","Transcript Link")</f>
        <v>Transcript Link</v>
      </c>
      <c r="M5307" s="2" t="str">
        <f>HYPERLINK("https://files.afu.se/Downloads/Transcripts/0%20-%20Government/USA%20-%20NASA/2008 10 16 - NASA - NASA 50th Anniversary Documentary 7 of 9_vQPO_xfFKuM - transcript (automated).pdf","Transcript Link")</f>
        <v>Transcript Link</v>
      </c>
    </row>
    <row r="5308" ht="165" spans="1:13">
      <c r="A5308" s="1" t="s">
        <v>23588</v>
      </c>
      <c r="B5308" s="1" t="s">
        <v>13</v>
      </c>
      <c r="C5308" s="4" t="s">
        <v>23589</v>
      </c>
      <c r="D5308" s="1" t="s">
        <v>23590</v>
      </c>
      <c r="E5308" s="1" t="s">
        <v>23591</v>
      </c>
      <c r="F5308" s="4" t="s">
        <v>17</v>
      </c>
      <c r="G5308" s="1" t="s">
        <v>18</v>
      </c>
      <c r="H5308" s="1" t="s">
        <v>19</v>
      </c>
      <c r="I5308" s="1" t="s">
        <v>20</v>
      </c>
      <c r="J5308" s="1" t="s">
        <v>23592</v>
      </c>
      <c r="K5308" s="1" t="s">
        <v>22</v>
      </c>
      <c r="L5308" s="1" t="str">
        <f>HYPERLINK("https://files.afu.se/Downloads/Transcripts/0%20-%20Government/USA%20-%20NASA/2008 09 26 - NASA - Michael Griffin  NASA 50th Anniversary_b_BuNSpjUuU - transcript (automated).pdf","Transcript Link")</f>
        <v>Transcript Link</v>
      </c>
      <c r="M5308" s="2" t="str">
        <f>HYPERLINK("https://files.afu.se/Downloads/Transcripts/0%20-%20Government/USA%20-%20NASA/2008 09 26 - NASA - Michael Griffin  NASA 50th Anniversary_b_BuNSpjUuU - transcript (automated).pdf","Transcript Link")</f>
        <v>Transcript Link</v>
      </c>
    </row>
    <row r="5309" ht="165" spans="1:13">
      <c r="A5309" s="1" t="s">
        <v>23588</v>
      </c>
      <c r="B5309" s="1" t="s">
        <v>13</v>
      </c>
      <c r="C5309" s="4" t="s">
        <v>23593</v>
      </c>
      <c r="D5309" s="1" t="s">
        <v>23594</v>
      </c>
      <c r="E5309" s="1" t="s">
        <v>23595</v>
      </c>
      <c r="F5309" s="4" t="s">
        <v>17</v>
      </c>
      <c r="G5309" s="1" t="s">
        <v>18</v>
      </c>
      <c r="H5309" s="1" t="s">
        <v>19</v>
      </c>
      <c r="I5309" s="1" t="s">
        <v>20</v>
      </c>
      <c r="J5309" s="1" t="s">
        <v>23596</v>
      </c>
      <c r="K5309" s="1" t="s">
        <v>22</v>
      </c>
      <c r="L5309" s="1" t="str">
        <f>HYPERLINK("https://files.afu.se/Downloads/Transcripts/0%20-%20Government/USA%20-%20NASA/2008 09 26 - NASA -  Fly Me To The Moon  at NASA's 50th gala_AmbA-oDkHZ4 - transcript (automated).pdf","Transcript Link")</f>
        <v>Transcript Link</v>
      </c>
      <c r="M5309" s="2" t="str">
        <f>HYPERLINK("https://files.afu.se/Downloads/Transcripts/0%20-%20Government/USA%20-%20NASA/2008 09 26 - NASA -  Fly Me To The Moon  at NASA's 50th gala_AmbA-oDkHZ4 - transcript (automated).pdf","Transcript Link")</f>
        <v>Transcript Link</v>
      </c>
    </row>
    <row r="5310" ht="165" spans="1:13">
      <c r="A5310" s="1" t="s">
        <v>23588</v>
      </c>
      <c r="B5310" s="1" t="s">
        <v>13</v>
      </c>
      <c r="C5310" s="4" t="s">
        <v>23597</v>
      </c>
      <c r="D5310" s="1" t="s">
        <v>23598</v>
      </c>
      <c r="E5310" s="1" t="s">
        <v>23599</v>
      </c>
      <c r="F5310" s="4" t="s">
        <v>17</v>
      </c>
      <c r="G5310" s="1" t="s">
        <v>18</v>
      </c>
      <c r="H5310" s="1" t="s">
        <v>19</v>
      </c>
      <c r="I5310" s="1" t="s">
        <v>20</v>
      </c>
      <c r="J5310" s="1" t="s">
        <v>23600</v>
      </c>
      <c r="K5310" s="1" t="s">
        <v>22</v>
      </c>
      <c r="L5310" s="1" t="str">
        <f>HYPERLINK("https://files.afu.se/Downloads/Transcripts/0%20-%20Government/USA%20-%20NASA/2008 09 26 - NASA - John Glenn  NASA 50th Anniversary_WFnHU_PJ_oA - transcript (automated).pdf","Transcript Link")</f>
        <v>Transcript Link</v>
      </c>
      <c r="M5310" s="2" t="str">
        <f>HYPERLINK("https://files.afu.se/Downloads/Transcripts/0%20-%20Government/USA%20-%20NASA/2008 09 26 - NASA - John Glenn  NASA 50th Anniversary_WFnHU_PJ_oA - transcript (automated).pdf","Transcript Link")</f>
        <v>Transcript Link</v>
      </c>
    </row>
    <row r="5311" ht="165" spans="1:13">
      <c r="A5311" s="1" t="s">
        <v>23588</v>
      </c>
      <c r="B5311" s="1" t="s">
        <v>13</v>
      </c>
      <c r="C5311" s="4" t="s">
        <v>23601</v>
      </c>
      <c r="D5311" s="1" t="s">
        <v>23602</v>
      </c>
      <c r="E5311" s="1" t="s">
        <v>23603</v>
      </c>
      <c r="F5311" s="4" t="s">
        <v>17</v>
      </c>
      <c r="G5311" s="1" t="s">
        <v>18</v>
      </c>
      <c r="H5311" s="1" t="s">
        <v>19</v>
      </c>
      <c r="I5311" s="1" t="s">
        <v>20</v>
      </c>
      <c r="J5311" s="1" t="s">
        <v>23604</v>
      </c>
      <c r="K5311" s="1" t="s">
        <v>22</v>
      </c>
      <c r="L5311" s="1" t="str">
        <f>HYPERLINK("https://files.afu.se/Downloads/Transcripts/0%20-%20Government/USA%20-%20NASA/2008 09 26 - NASA - Neil Armstrong  NASA 50th Anniversary Gala_J4qlZcWWWL0 - transcript (automated).pdf","Transcript Link")</f>
        <v>Transcript Link</v>
      </c>
      <c r="M5311" s="2" t="str">
        <f>HYPERLINK("https://files.afu.se/Downloads/Transcripts/0%20-%20Government/USA%20-%20NASA/2008 09 26 - NASA - Neil Armstrong  NASA 50th Anniversary Gala_J4qlZcWWWL0 - transcript (automated).pdf","Transcript Link")</f>
        <v>Transcript Link</v>
      </c>
    </row>
    <row r="5312" ht="165" spans="1:13">
      <c r="A5312" s="1" t="s">
        <v>23588</v>
      </c>
      <c r="B5312" s="1" t="s">
        <v>13</v>
      </c>
      <c r="C5312" s="4" t="s">
        <v>23605</v>
      </c>
      <c r="D5312" s="1" t="s">
        <v>23606</v>
      </c>
      <c r="E5312" s="1" t="s">
        <v>23607</v>
      </c>
      <c r="F5312" s="4" t="s">
        <v>17</v>
      </c>
      <c r="G5312" s="1" t="s">
        <v>18</v>
      </c>
      <c r="H5312" s="1" t="s">
        <v>19</v>
      </c>
      <c r="I5312" s="1" t="s">
        <v>20</v>
      </c>
      <c r="J5312" s="1" t="s">
        <v>23608</v>
      </c>
      <c r="K5312" s="1" t="s">
        <v>22</v>
      </c>
      <c r="L5312" s="1" t="str">
        <f>HYPERLINK("https://files.afu.se/Downloads/Transcripts/0%20-%20Government/USA%20-%20NASA/2008 09 26 - NASA - Quincy Jones  Walking in Space _UyoGXVRmwSA - transcript (automated).pdf","Transcript Link")</f>
        <v>Transcript Link</v>
      </c>
      <c r="M5312" s="2" t="str">
        <f>HYPERLINK("https://files.afu.se/Downloads/Transcripts/0%20-%20Government/USA%20-%20NASA/2008 09 26 - NASA - Quincy Jones  Walking in Space _UyoGXVRmwSA - transcript (automated).pdf","Transcript Link")</f>
        <v>Transcript Link</v>
      </c>
    </row>
    <row r="5313" ht="165" spans="1:13">
      <c r="A5313" s="1" t="s">
        <v>23588</v>
      </c>
      <c r="B5313" s="1" t="s">
        <v>13</v>
      </c>
      <c r="C5313" s="4" t="s">
        <v>23609</v>
      </c>
      <c r="D5313" s="1" t="s">
        <v>23610</v>
      </c>
      <c r="E5313" s="1" t="s">
        <v>23611</v>
      </c>
      <c r="F5313" s="4" t="s">
        <v>17</v>
      </c>
      <c r="G5313" s="1" t="s">
        <v>18</v>
      </c>
      <c r="H5313" s="1" t="s">
        <v>19</v>
      </c>
      <c r="I5313" s="1" t="s">
        <v>20</v>
      </c>
      <c r="J5313" s="1" t="s">
        <v>23612</v>
      </c>
      <c r="K5313" s="1" t="s">
        <v>22</v>
      </c>
      <c r="L5313" s="1" t="str">
        <f>HYPERLINK("https://files.afu.se/Downloads/Transcripts/0%20-%20Government/USA%20-%20NASA/2008 09 26 - NASA - NASA 50th Video Part 2 of 2_-3xGjrUZp6M - transcript (automated).pdf","Transcript Link")</f>
        <v>Transcript Link</v>
      </c>
      <c r="M5313" s="2" t="str">
        <f>HYPERLINK("https://files.afu.se/Downloads/Transcripts/0%20-%20Government/USA%20-%20NASA/2008 09 26 - NASA - NASA 50th Video Part 2 of 2_-3xGjrUZp6M - transcript (automated).pdf","Transcript Link")</f>
        <v>Transcript Link</v>
      </c>
    </row>
    <row r="5314" ht="165" spans="1:13">
      <c r="A5314" s="1" t="s">
        <v>23613</v>
      </c>
      <c r="B5314" s="1" t="s">
        <v>13</v>
      </c>
      <c r="C5314" s="4" t="s">
        <v>23614</v>
      </c>
      <c r="D5314" s="1" t="s">
        <v>23615</v>
      </c>
      <c r="E5314" s="1" t="s">
        <v>23616</v>
      </c>
      <c r="F5314" s="4" t="s">
        <v>17</v>
      </c>
      <c r="G5314" s="1" t="s">
        <v>18</v>
      </c>
      <c r="H5314" s="1" t="s">
        <v>19</v>
      </c>
      <c r="I5314" s="1" t="s">
        <v>20</v>
      </c>
      <c r="J5314" s="1" t="s">
        <v>23617</v>
      </c>
      <c r="K5314" s="1" t="s">
        <v>22</v>
      </c>
      <c r="L5314" s="1" t="str">
        <f>HYPERLINK("https://files.afu.se/Downloads/Transcripts/0%20-%20Government/USA%20-%20NASA/2008 07 11 - NASA - NASA 50th Anniversary Moment - Ansil Butterfield_VXnvXIahPVg - transcript (automated).pdf","Transcript Link")</f>
        <v>Transcript Link</v>
      </c>
      <c r="M5314" s="2" t="str">
        <f>HYPERLINK("https://files.afu.se/Downloads/Transcripts/0%20-%20Government/USA%20-%20NASA/2008 07 11 - NASA - NASA 50th Anniversary Moment - Ansil Butterfield_VXnvXIahPVg - transcript (automated).pdf","Transcript Link")</f>
        <v>Transcript Link</v>
      </c>
    </row>
    <row r="5315" ht="165" spans="1:13">
      <c r="A5315" s="1" t="s">
        <v>23613</v>
      </c>
      <c r="B5315" s="1" t="s">
        <v>13</v>
      </c>
      <c r="C5315" s="4" t="s">
        <v>23618</v>
      </c>
      <c r="D5315" s="1" t="s">
        <v>23619</v>
      </c>
      <c r="E5315" s="1" t="s">
        <v>23620</v>
      </c>
      <c r="F5315" s="4" t="s">
        <v>17</v>
      </c>
      <c r="G5315" s="1" t="s">
        <v>18</v>
      </c>
      <c r="H5315" s="1" t="s">
        <v>19</v>
      </c>
      <c r="I5315" s="1" t="s">
        <v>20</v>
      </c>
      <c r="J5315" s="1" t="s">
        <v>23621</v>
      </c>
      <c r="K5315" s="1" t="s">
        <v>22</v>
      </c>
      <c r="L5315" s="1" t="str">
        <f>HYPERLINK("https://files.afu.se/Downloads/Transcripts/0%20-%20Government/USA%20-%20NASA/2008 07 11 - NASA - NASA 50th Anniversary Moment - Richard Nafzger_fbK69YQ6cgE - transcript (automated).pdf","Transcript Link")</f>
        <v>Transcript Link</v>
      </c>
      <c r="M5315" s="2" t="str">
        <f>HYPERLINK("https://files.afu.se/Downloads/Transcripts/0%20-%20Government/USA%20-%20NASA/2008 07 11 - NASA - NASA 50th Anniversary Moment - Richard Nafzger_fbK69YQ6cgE - transcript (automated).pdf","Transcript Link")</f>
        <v>Transcript Link</v>
      </c>
    </row>
    <row r="5316" ht="165" spans="1:13">
      <c r="A5316" s="1" t="s">
        <v>23622</v>
      </c>
      <c r="B5316" s="1" t="s">
        <v>13</v>
      </c>
      <c r="C5316" s="4" t="s">
        <v>23623</v>
      </c>
      <c r="D5316" s="1" t="s">
        <v>23624</v>
      </c>
      <c r="E5316" s="1" t="s">
        <v>23625</v>
      </c>
      <c r="F5316" s="4" t="s">
        <v>17</v>
      </c>
      <c r="G5316" s="1" t="s">
        <v>18</v>
      </c>
      <c r="H5316" s="1" t="s">
        <v>19</v>
      </c>
      <c r="I5316" s="1" t="s">
        <v>20</v>
      </c>
      <c r="J5316" s="1" t="s">
        <v>23626</v>
      </c>
      <c r="K5316" s="1" t="s">
        <v>22</v>
      </c>
      <c r="L5316" s="1" t="str">
        <f>HYPERLINK("https://files.afu.se/Downloads/Transcripts/0%20-%20Government/USA%20-%20NASA/2008 06 23 - NASA - NASA 50th Anniversary Lecture - Dr. Stephen Hawking - Part 4_DB6huN3xM94 - transcript (automated).pdf","Transcript Link")</f>
        <v>Transcript Link</v>
      </c>
      <c r="M5316" s="2" t="str">
        <f>HYPERLINK("https://files.afu.se/Downloads/Transcripts/0%20-%20Government/USA%20-%20NASA/2008 06 23 - NASA - NASA 50th Anniversary Lecture - Dr. Stephen Hawking - Part 4_DB6huN3xM94 - transcript (automated).pdf","Transcript Link")</f>
        <v>Transcript Link</v>
      </c>
    </row>
    <row r="5317" ht="165" spans="1:13">
      <c r="A5317" s="1" t="s">
        <v>23622</v>
      </c>
      <c r="B5317" s="1" t="s">
        <v>13</v>
      </c>
      <c r="C5317" s="4" t="s">
        <v>23627</v>
      </c>
      <c r="D5317" s="1" t="s">
        <v>23628</v>
      </c>
      <c r="E5317" s="1" t="s">
        <v>23625</v>
      </c>
      <c r="F5317" s="4" t="s">
        <v>17</v>
      </c>
      <c r="G5317" s="1" t="s">
        <v>18</v>
      </c>
      <c r="H5317" s="1" t="s">
        <v>19</v>
      </c>
      <c r="I5317" s="1" t="s">
        <v>20</v>
      </c>
      <c r="J5317" s="1" t="s">
        <v>23629</v>
      </c>
      <c r="K5317" s="1" t="s">
        <v>22</v>
      </c>
      <c r="L5317" s="1" t="str">
        <f>HYPERLINK("https://files.afu.se/Downloads/Transcripts/0%20-%20Government/USA%20-%20NASA/2008 06 23 - NASA - NASA 50th Anniversary Lecture - Stephen Hawking - Part 3_GrmeKh65XEo - transcript (automated).pdf","Transcript Link")</f>
        <v>Transcript Link</v>
      </c>
      <c r="M5317" s="2" t="str">
        <f>HYPERLINK("https://files.afu.se/Downloads/Transcripts/0%20-%20Government/USA%20-%20NASA/2008 06 23 - NASA - NASA 50th Anniversary Lecture - Stephen Hawking - Part 3_GrmeKh65XEo - transcript (automated).pdf","Transcript Link")</f>
        <v>Transcript Link</v>
      </c>
    </row>
    <row r="5318" ht="165" spans="1:13">
      <c r="A5318" s="1" t="s">
        <v>23622</v>
      </c>
      <c r="B5318" s="1" t="s">
        <v>13</v>
      </c>
      <c r="C5318" s="4" t="s">
        <v>23630</v>
      </c>
      <c r="D5318" s="1" t="s">
        <v>23631</v>
      </c>
      <c r="E5318" s="1" t="s">
        <v>23625</v>
      </c>
      <c r="F5318" s="4" t="s">
        <v>17</v>
      </c>
      <c r="G5318" s="1" t="s">
        <v>18</v>
      </c>
      <c r="H5318" s="1" t="s">
        <v>19</v>
      </c>
      <c r="I5318" s="1" t="s">
        <v>20</v>
      </c>
      <c r="J5318" s="1" t="s">
        <v>23632</v>
      </c>
      <c r="K5318" s="1" t="s">
        <v>22</v>
      </c>
      <c r="L5318" s="1" t="str">
        <f>HYPERLINK("https://files.afu.se/Downloads/Transcripts/0%20-%20Government/USA%20-%20NASA/2008 06 23 - NASA - NASA 50th Anniversary Lecture - Stephen Hawking - Part 2_UPs7BSDNTk4 - transcript (automated).pdf","Transcript Link")</f>
        <v>Transcript Link</v>
      </c>
      <c r="M5318" s="2" t="str">
        <f>HYPERLINK("https://files.afu.se/Downloads/Transcripts/0%20-%20Government/USA%20-%20NASA/2008 06 23 - NASA - NASA 50th Anniversary Lecture - Stephen Hawking - Part 2_UPs7BSDNTk4 - transcript (automated).pdf","Transcript Link")</f>
        <v>Transcript Link</v>
      </c>
    </row>
    <row r="5319" ht="165" spans="1:13">
      <c r="A5319" s="1" t="s">
        <v>23622</v>
      </c>
      <c r="B5319" s="1" t="s">
        <v>13</v>
      </c>
      <c r="C5319" s="4" t="s">
        <v>23633</v>
      </c>
      <c r="D5319" s="1" t="s">
        <v>23634</v>
      </c>
      <c r="E5319" s="1" t="s">
        <v>23625</v>
      </c>
      <c r="F5319" s="4" t="s">
        <v>17</v>
      </c>
      <c r="G5319" s="1" t="s">
        <v>18</v>
      </c>
      <c r="H5319" s="1" t="s">
        <v>19</v>
      </c>
      <c r="I5319" s="1" t="s">
        <v>20</v>
      </c>
      <c r="J5319" s="1" t="s">
        <v>23635</v>
      </c>
      <c r="K5319" s="1" t="s">
        <v>22</v>
      </c>
      <c r="L5319" s="1" t="str">
        <f>HYPERLINK("https://files.afu.se/Downloads/Transcripts/0%20-%20Government/USA%20-%20NASA/2008 06 23 - NASA - NASA 50th Anniversary Lecture - Dr. Stephen Hawking - Part 1_3PCAGm5a1r8 - transcript (automated).pdf","Transcript Link")</f>
        <v>Transcript Link</v>
      </c>
      <c r="M5319" s="2" t="str">
        <f>HYPERLINK("https://files.afu.se/Downloads/Transcripts/0%20-%20Government/USA%20-%20NASA/2008 06 23 - NASA - NASA 50th Anniversary Lecture - Dr. Stephen Hawking - Part 1_3PCAGm5a1r8 - transcript (automated).pdf","Transcript Link")</f>
        <v>Transcript Link</v>
      </c>
    </row>
    <row r="5320" ht="165" spans="1:13">
      <c r="A5320" s="1" t="s">
        <v>23636</v>
      </c>
      <c r="B5320" s="1" t="s">
        <v>13</v>
      </c>
      <c r="C5320" s="4" t="s">
        <v>23637</v>
      </c>
      <c r="D5320" s="1" t="s">
        <v>23638</v>
      </c>
      <c r="E5320" s="1" t="s">
        <v>23639</v>
      </c>
      <c r="F5320" s="4" t="s">
        <v>17</v>
      </c>
      <c r="G5320" s="1" t="s">
        <v>18</v>
      </c>
      <c r="H5320" s="1" t="s">
        <v>19</v>
      </c>
      <c r="I5320" s="1" t="s">
        <v>20</v>
      </c>
      <c r="J5320" s="1" t="s">
        <v>23640</v>
      </c>
      <c r="K5320" s="1" t="s">
        <v>22</v>
      </c>
      <c r="L5320" s="1" t="str">
        <f>HYPERLINK("https://files.afu.se/Downloads/Transcripts/0%20-%20Government/USA%20-%20NASA/2008 06 19 - NASA - NASA 50th Anniversary_BoKv9EIFjDE - transcript (automated).pdf","Transcript Link")</f>
        <v>Transcript Link</v>
      </c>
      <c r="M5320" s="2" t="str">
        <f>HYPERLINK("https://files.afu.se/Downloads/Transcripts/0%20-%20Government/USA%20-%20NASA/2008 06 19 - NASA - NASA 50th Anniversary_BoKv9EIFjDE - transcript (automated).pdf","Transcript Link")</f>
        <v>Transcript Link</v>
      </c>
    </row>
    <row r="5321" ht="165" spans="1:13">
      <c r="A5321" s="1" t="s">
        <v>23641</v>
      </c>
      <c r="B5321" s="1" t="s">
        <v>13</v>
      </c>
      <c r="C5321" s="4" t="s">
        <v>23642</v>
      </c>
      <c r="D5321" s="1" t="s">
        <v>23643</v>
      </c>
      <c r="E5321" s="1" t="s">
        <v>23644</v>
      </c>
      <c r="F5321" s="4" t="s">
        <v>17</v>
      </c>
      <c r="G5321" s="1" t="s">
        <v>18</v>
      </c>
      <c r="H5321" s="1" t="s">
        <v>19</v>
      </c>
      <c r="I5321" s="1" t="s">
        <v>20</v>
      </c>
      <c r="J5321" s="1" t="s">
        <v>23645</v>
      </c>
      <c r="K5321" s="1" t="s">
        <v>22</v>
      </c>
      <c r="L5321" s="1" t="str">
        <f>HYPERLINK("https://files.afu.se/Downloads/Transcripts/0%20-%20Government/USA%20-%20NASA/2008 06 06 - NASA - Taking Care of Business_IcuqlIOrt1M - transcript (automated).pdf","Transcript Link")</f>
        <v>Transcript Link</v>
      </c>
      <c r="M5321" s="2" t="str">
        <f>HYPERLINK("https://files.afu.se/Downloads/Transcripts/0%20-%20Government/USA%20-%20NASA/2008 06 06 - NASA - Taking Care of Business_IcuqlIOrt1M - transcript (automated).pdf","Transcript Link")</f>
        <v>Transcript Link</v>
      </c>
    </row>
    <row r="5322" ht="165" spans="1:13">
      <c r="A5322" s="1" t="s">
        <v>23641</v>
      </c>
      <c r="B5322" s="1" t="s">
        <v>13</v>
      </c>
      <c r="C5322" s="4" t="s">
        <v>23646</v>
      </c>
      <c r="D5322" s="1" t="s">
        <v>23647</v>
      </c>
      <c r="E5322" s="1" t="s">
        <v>23648</v>
      </c>
      <c r="F5322" s="4" t="s">
        <v>17</v>
      </c>
      <c r="G5322" s="1" t="s">
        <v>18</v>
      </c>
      <c r="H5322" s="1" t="s">
        <v>19</v>
      </c>
      <c r="I5322" s="1" t="s">
        <v>20</v>
      </c>
      <c r="J5322" s="1" t="s">
        <v>23649</v>
      </c>
      <c r="K5322" s="1" t="s">
        <v>22</v>
      </c>
      <c r="L5322" s="1" t="str">
        <f>HYPERLINK("https://files.afu.se/Downloads/Transcripts/0%20-%20Government/USA%20-%20NASA/2008 06 06 - NASA - Mercury 7 Music Video_0FfkHRgycEk - transcript (automated).pdf","Transcript Link")</f>
        <v>Transcript Link</v>
      </c>
      <c r="M5322" s="2" t="str">
        <f>HYPERLINK("https://files.afu.se/Downloads/Transcripts/0%20-%20Government/USA%20-%20NASA/2008 06 06 - NASA - Mercury 7 Music Video_0FfkHRgycEk - transcript (automated).pdf","Transcript Link")</f>
        <v>Transcript Link</v>
      </c>
    </row>
  </sheetData>
  <hyperlinks>
    <hyperlink ref="C2" r:id="rId1" display="https://youtu.be/18D_zr7Fdb0"/>
    <hyperlink ref="F2" r:id="rId2" display="https://files.afu.se/Downloads/Transcripts/0%20-%20Government/USA%20-%20NASA/"/>
    <hyperlink ref="C3" r:id="rId3" display="https://youtu.be/s3bffub-9UM"/>
    <hyperlink ref="F3" r:id="rId2" display="https://files.afu.se/Downloads/Transcripts/0%20-%20Government/USA%20-%20NASA/"/>
    <hyperlink ref="C4" r:id="rId4" display="https://youtu.be/FpxABPoGSA0"/>
    <hyperlink ref="F4" r:id="rId2" display="https://files.afu.se/Downloads/Transcripts/0%20-%20Government/USA%20-%20NASA/"/>
    <hyperlink ref="C5" r:id="rId5" display="https://youtu.be/6U3WiUA2CEs"/>
    <hyperlink ref="F5" r:id="rId2" display="https://files.afu.se/Downloads/Transcripts/0%20-%20Government/USA%20-%20NASA/"/>
    <hyperlink ref="C6" r:id="rId6" display="https://youtu.be/2kOnlLlxhLA"/>
    <hyperlink ref="F6" r:id="rId2" display="https://files.afu.se/Downloads/Transcripts/0%20-%20Government/USA%20-%20NASA/"/>
    <hyperlink ref="C7" r:id="rId7" display="https://youtu.be/yekfGi-JF0g"/>
    <hyperlink ref="F7" r:id="rId2" display="https://files.afu.se/Downloads/Transcripts/0%20-%20Government/USA%20-%20NASA/"/>
    <hyperlink ref="C8" r:id="rId8" display="https://youtu.be/wS4z42KaeGk"/>
    <hyperlink ref="F8" r:id="rId2" display="https://files.afu.se/Downloads/Transcripts/0%20-%20Government/USA%20-%20NASA/"/>
    <hyperlink ref="C9" r:id="rId9" display="https://youtu.be/Z_h-ho2w_0Y"/>
    <hyperlink ref="F9" r:id="rId2" display="https://files.afu.se/Downloads/Transcripts/0%20-%20Government/USA%20-%20NASA/"/>
    <hyperlink ref="C10" r:id="rId10" display="https://youtu.be/EgWbeDNPD6o"/>
    <hyperlink ref="F10" r:id="rId2" display="https://files.afu.se/Downloads/Transcripts/0%20-%20Government/USA%20-%20NASA/"/>
    <hyperlink ref="C11" r:id="rId11" display="https://youtu.be/KMB9fvH-EsM"/>
    <hyperlink ref="F11" r:id="rId2" display="https://files.afu.se/Downloads/Transcripts/0%20-%20Government/USA%20-%20NASA/"/>
    <hyperlink ref="C12" r:id="rId12" display="https://youtu.be/I69Cz4zJJes"/>
    <hyperlink ref="F12" r:id="rId2" display="https://files.afu.se/Downloads/Transcripts/0%20-%20Government/USA%20-%20NASA/"/>
    <hyperlink ref="C13" r:id="rId13" display="https://youtu.be/KpyKqRV5FRc"/>
    <hyperlink ref="F13" r:id="rId2" display="https://files.afu.se/Downloads/Transcripts/0%20-%20Government/USA%20-%20NASA/"/>
    <hyperlink ref="C14" r:id="rId14" display="https://youtu.be/333erymwPu4"/>
    <hyperlink ref="F14" r:id="rId2" display="https://files.afu.se/Downloads/Transcripts/0%20-%20Government/USA%20-%20NASA/"/>
    <hyperlink ref="C15" r:id="rId15" display="https://youtu.be/rRAzS1LCQVg"/>
    <hyperlink ref="F15" r:id="rId2" display="https://files.afu.se/Downloads/Transcripts/0%20-%20Government/USA%20-%20NASA/"/>
    <hyperlink ref="C16" r:id="rId16" display="https://youtu.be/UsGQ-36-Pzc"/>
    <hyperlink ref="F16" r:id="rId2" display="https://files.afu.se/Downloads/Transcripts/0%20-%20Government/USA%20-%20NASA/"/>
    <hyperlink ref="C17" r:id="rId17" display="https://youtu.be/pmocCQnMmNg"/>
    <hyperlink ref="F17" r:id="rId2" display="https://files.afu.se/Downloads/Transcripts/0%20-%20Government/USA%20-%20NASA/"/>
    <hyperlink ref="C18" r:id="rId18" display="https://youtu.be/82GAxDyjUvw"/>
    <hyperlink ref="F18" r:id="rId2" display="https://files.afu.se/Downloads/Transcripts/0%20-%20Government/USA%20-%20NASA/"/>
    <hyperlink ref="C19" r:id="rId19" display="https://youtu.be/jrDv0OdMt5s"/>
    <hyperlink ref="F19" r:id="rId2" display="https://files.afu.se/Downloads/Transcripts/0%20-%20Government/USA%20-%20NASA/"/>
    <hyperlink ref="C20" r:id="rId20" display="https://youtu.be/dH_VIeB8jvU"/>
    <hyperlink ref="F20" r:id="rId2" display="https://files.afu.se/Downloads/Transcripts/0%20-%20Government/USA%20-%20NASA/"/>
    <hyperlink ref="C21" r:id="rId21" display="https://youtu.be/_r1aWHWJCUU"/>
    <hyperlink ref="F21" r:id="rId2" display="https://files.afu.se/Downloads/Transcripts/0%20-%20Government/USA%20-%20NASA/"/>
    <hyperlink ref="C22" r:id="rId22" display="https://youtu.be/uFfFsOu7yqY"/>
    <hyperlink ref="F22" r:id="rId2" display="https://files.afu.se/Downloads/Transcripts/0%20-%20Government/USA%20-%20NASA/"/>
    <hyperlink ref="C23" r:id="rId23" display="https://youtu.be/dak8uzKba4k"/>
    <hyperlink ref="F23" r:id="rId2" display="https://files.afu.se/Downloads/Transcripts/0%20-%20Government/USA%20-%20NASA/"/>
    <hyperlink ref="C24" r:id="rId24" display="https://youtu.be/ugwa3g9jCiA"/>
    <hyperlink ref="F24" r:id="rId2" display="https://files.afu.se/Downloads/Transcripts/0%20-%20Government/USA%20-%20NASA/"/>
    <hyperlink ref="C25" r:id="rId25" display="https://youtu.be/vu-qFyWnrZY"/>
    <hyperlink ref="F25" r:id="rId2" display="https://files.afu.se/Downloads/Transcripts/0%20-%20Government/USA%20-%20NASA/"/>
    <hyperlink ref="C26" r:id="rId26" display="https://youtu.be/7XzhtWcepos"/>
    <hyperlink ref="F26" r:id="rId2" display="https://files.afu.se/Downloads/Transcripts/0%20-%20Government/USA%20-%20NASA/"/>
    <hyperlink ref="C27" r:id="rId27" display="https://youtu.be/lPyl6d2FJGw"/>
    <hyperlink ref="F27" r:id="rId2" display="https://files.afu.se/Downloads/Transcripts/0%20-%20Government/USA%20-%20NASA/"/>
    <hyperlink ref="C28" r:id="rId28" display="https://youtu.be/oQTtuzU_eT8"/>
    <hyperlink ref="F28" r:id="rId2" display="https://files.afu.se/Downloads/Transcripts/0%20-%20Government/USA%20-%20NASA/"/>
    <hyperlink ref="C29" r:id="rId29" display="https://youtu.be/yae96AxH7V0"/>
    <hyperlink ref="F29" r:id="rId2" display="https://files.afu.se/Downloads/Transcripts/0%20-%20Government/USA%20-%20NASA/"/>
    <hyperlink ref="C30" r:id="rId30" display="https://youtu.be/PFbNDSttnPQ"/>
    <hyperlink ref="F30" r:id="rId2" display="https://files.afu.se/Downloads/Transcripts/0%20-%20Government/USA%20-%20NASA/"/>
    <hyperlink ref="C31" r:id="rId31" display="https://youtu.be/pQX5AhWOXg4"/>
    <hyperlink ref="F31" r:id="rId2" display="https://files.afu.se/Downloads/Transcripts/0%20-%20Government/USA%20-%20NASA/"/>
    <hyperlink ref="C32" r:id="rId32" display="https://youtu.be/5nEnnsiHceo"/>
    <hyperlink ref="F32" r:id="rId2" display="https://files.afu.se/Downloads/Transcripts/0%20-%20Government/USA%20-%20NASA/"/>
    <hyperlink ref="C33" r:id="rId33" display="https://youtu.be/qj6YsJqO6bA"/>
    <hyperlink ref="F33" r:id="rId2" display="https://files.afu.se/Downloads/Transcripts/0%20-%20Government/USA%20-%20NASA/"/>
    <hyperlink ref="C34" r:id="rId34" display="https://youtu.be/HvbI3nPsrh0"/>
    <hyperlink ref="F34" r:id="rId2" display="https://files.afu.se/Downloads/Transcripts/0%20-%20Government/USA%20-%20NASA/"/>
    <hyperlink ref="C35" r:id="rId35" display="https://youtu.be/mPcoBfQ5j-k"/>
    <hyperlink ref="F35" r:id="rId2" display="https://files.afu.se/Downloads/Transcripts/0%20-%20Government/USA%20-%20NASA/"/>
    <hyperlink ref="C36" r:id="rId36" display="https://youtu.be/yTVxELrVfB0"/>
    <hyperlink ref="F36" r:id="rId2" display="https://files.afu.se/Downloads/Transcripts/0%20-%20Government/USA%20-%20NASA/"/>
    <hyperlink ref="C37" r:id="rId37" display="https://youtu.be/OQ7t0eBBlG8"/>
    <hyperlink ref="F37" r:id="rId2" display="https://files.afu.se/Downloads/Transcripts/0%20-%20Government/USA%20-%20NASA/"/>
    <hyperlink ref="C38" r:id="rId38" display="https://youtu.be/iNVgnOXq-m8"/>
    <hyperlink ref="F38" r:id="rId2" display="https://files.afu.se/Downloads/Transcripts/0%20-%20Government/USA%20-%20NASA/"/>
    <hyperlink ref="C39" r:id="rId39" display="https://youtu.be/G77jdUMUj0Y"/>
    <hyperlink ref="F39" r:id="rId2" display="https://files.afu.se/Downloads/Transcripts/0%20-%20Government/USA%20-%20NASA/"/>
    <hyperlink ref="C40" r:id="rId40" display="https://youtu.be/pZp5-TFTlIY"/>
    <hyperlink ref="F40" r:id="rId2" display="https://files.afu.se/Downloads/Transcripts/0%20-%20Government/USA%20-%20NASA/"/>
    <hyperlink ref="C41" r:id="rId41" display="https://youtu.be/vMu5bNadlGo"/>
    <hyperlink ref="F41" r:id="rId2" display="https://files.afu.se/Downloads/Transcripts/0%20-%20Government/USA%20-%20NASA/"/>
    <hyperlink ref="C42" r:id="rId42" display="https://youtu.be/15Wgo65737Y"/>
    <hyperlink ref="F42" r:id="rId2" display="https://files.afu.se/Downloads/Transcripts/0%20-%20Government/USA%20-%20NASA/"/>
    <hyperlink ref="C43" r:id="rId43" display="https://youtu.be/C1eTfdwYPg4"/>
    <hyperlink ref="F43" r:id="rId2" display="https://files.afu.se/Downloads/Transcripts/0%20-%20Government/USA%20-%20NASA/"/>
    <hyperlink ref="C44" r:id="rId44" display="https://youtu.be/sz55xXsN8-U"/>
    <hyperlink ref="F44" r:id="rId2" display="https://files.afu.se/Downloads/Transcripts/0%20-%20Government/USA%20-%20NASA/"/>
    <hyperlink ref="C45" r:id="rId45" display="https://youtu.be/wFW8KSEc1lg"/>
    <hyperlink ref="F45" r:id="rId2" display="https://files.afu.se/Downloads/Transcripts/0%20-%20Government/USA%20-%20NASA/"/>
    <hyperlink ref="C46" r:id="rId46" display="https://youtu.be/FrIWSA1Blxo"/>
    <hyperlink ref="F46" r:id="rId2" display="https://files.afu.se/Downloads/Transcripts/0%20-%20Government/USA%20-%20NASA/"/>
    <hyperlink ref="C47" r:id="rId47" display="https://youtu.be/Ej_xIAAPgpQ"/>
    <hyperlink ref="F47" r:id="rId2" display="https://files.afu.se/Downloads/Transcripts/0%20-%20Government/USA%20-%20NASA/"/>
    <hyperlink ref="C48" r:id="rId48" display="https://youtu.be/MDMM9MZNcco"/>
    <hyperlink ref="F48" r:id="rId2" display="https://files.afu.se/Downloads/Transcripts/0%20-%20Government/USA%20-%20NASA/"/>
    <hyperlink ref="C49" r:id="rId49" display="https://youtu.be/bjJFqhBEAKE"/>
    <hyperlink ref="F49" r:id="rId2" display="https://files.afu.se/Downloads/Transcripts/0%20-%20Government/USA%20-%20NASA/"/>
    <hyperlink ref="C50" r:id="rId50" display="https://youtu.be/prACMnIDJ-M"/>
    <hyperlink ref="F50" r:id="rId2" display="https://files.afu.se/Downloads/Transcripts/0%20-%20Government/USA%20-%20NASA/"/>
    <hyperlink ref="C51" r:id="rId51" display="https://youtu.be/MMdWjuGvJ9s"/>
    <hyperlink ref="F51" r:id="rId2" display="https://files.afu.se/Downloads/Transcripts/0%20-%20Government/USA%20-%20NASA/"/>
    <hyperlink ref="C52" r:id="rId52" display="https://youtu.be/EW5l4OU0-QA"/>
    <hyperlink ref="F52" r:id="rId2" display="https://files.afu.se/Downloads/Transcripts/0%20-%20Government/USA%20-%20NASA/"/>
    <hyperlink ref="C53" r:id="rId53" display="https://youtu.be/Hho8VboDRbE"/>
    <hyperlink ref="F53" r:id="rId2" display="https://files.afu.se/Downloads/Transcripts/0%20-%20Government/USA%20-%20NASA/"/>
    <hyperlink ref="C54" r:id="rId54" display="https://youtu.be/eWkGlHSWOMw"/>
    <hyperlink ref="F54" r:id="rId2" display="https://files.afu.se/Downloads/Transcripts/0%20-%20Government/USA%20-%20NASA/"/>
    <hyperlink ref="C55" r:id="rId55" display="https://youtu.be/7mnTimajPJg"/>
    <hyperlink ref="F55" r:id="rId2" display="https://files.afu.se/Downloads/Transcripts/0%20-%20Government/USA%20-%20NASA/"/>
    <hyperlink ref="C56" r:id="rId56" display="https://youtu.be/mn60n3jdI_8"/>
    <hyperlink ref="F56" r:id="rId2" display="https://files.afu.se/Downloads/Transcripts/0%20-%20Government/USA%20-%20NASA/"/>
    <hyperlink ref="C57" r:id="rId57" display="https://youtu.be/ctRbUfeZRBs"/>
    <hyperlink ref="F57" r:id="rId2" display="https://files.afu.se/Downloads/Transcripts/0%20-%20Government/USA%20-%20NASA/"/>
    <hyperlink ref="C58" r:id="rId58" display="https://youtu.be/WadD54Ywvz4"/>
    <hyperlink ref="F58" r:id="rId2" display="https://files.afu.se/Downloads/Transcripts/0%20-%20Government/USA%20-%20NASA/"/>
    <hyperlink ref="C59" r:id="rId59" display="https://youtu.be/gIkA3YkZiH4"/>
    <hyperlink ref="F59" r:id="rId2" display="https://files.afu.se/Downloads/Transcripts/0%20-%20Government/USA%20-%20NASA/"/>
    <hyperlink ref="C60" r:id="rId60" display="https://youtu.be/mdSj3vI8szI"/>
    <hyperlink ref="F60" r:id="rId2" display="https://files.afu.se/Downloads/Transcripts/0%20-%20Government/USA%20-%20NASA/"/>
    <hyperlink ref="C61" r:id="rId61" display="https://youtu.be/z8HB8jlWai8"/>
    <hyperlink ref="F61" r:id="rId2" display="https://files.afu.se/Downloads/Transcripts/0%20-%20Government/USA%20-%20NASA/"/>
    <hyperlink ref="C62" r:id="rId62" display="https://youtu.be/KjBisqblTLQ"/>
    <hyperlink ref="F62" r:id="rId2" display="https://files.afu.se/Downloads/Transcripts/0%20-%20Government/USA%20-%20NASA/"/>
    <hyperlink ref="C63" r:id="rId63" display="https://youtu.be/T3-3RHYGjX4"/>
    <hyperlink ref="F63" r:id="rId2" display="https://files.afu.se/Downloads/Transcripts/0%20-%20Government/USA%20-%20NASA/"/>
    <hyperlink ref="C64" r:id="rId64" display="https://youtu.be/Z5cayPF5qeQ"/>
    <hyperlink ref="F64" r:id="rId2" display="https://files.afu.se/Downloads/Transcripts/0%20-%20Government/USA%20-%20NASA/"/>
    <hyperlink ref="C65" r:id="rId65" display="https://youtu.be/SA0SZkmD5vw"/>
    <hyperlink ref="F65" r:id="rId2" display="https://files.afu.se/Downloads/Transcripts/0%20-%20Government/USA%20-%20NASA/"/>
    <hyperlink ref="C66" r:id="rId66" display="https://youtu.be/MvVxtFyTE0M"/>
    <hyperlink ref="F66" r:id="rId2" display="https://files.afu.se/Downloads/Transcripts/0%20-%20Government/USA%20-%20NASA/"/>
    <hyperlink ref="C67" r:id="rId67" display="https://youtu.be/orpycPJKe4Q"/>
    <hyperlink ref="F67" r:id="rId2" display="https://files.afu.se/Downloads/Transcripts/0%20-%20Government/USA%20-%20NASA/"/>
    <hyperlink ref="C68" r:id="rId68" display="https://youtu.be/FSJC7XvyMXY"/>
    <hyperlink ref="F68" r:id="rId2" display="https://files.afu.se/Downloads/Transcripts/0%20-%20Government/USA%20-%20NASA/"/>
    <hyperlink ref="C69" r:id="rId69" display="https://youtu.be/1m37B2MJKu8"/>
    <hyperlink ref="F69" r:id="rId2" display="https://files.afu.se/Downloads/Transcripts/0%20-%20Government/USA%20-%20NASA/"/>
    <hyperlink ref="C70" r:id="rId70" display="https://youtu.be/N0acoq5Uzfs"/>
    <hyperlink ref="F70" r:id="rId2" display="https://files.afu.se/Downloads/Transcripts/0%20-%20Government/USA%20-%20NASA/"/>
    <hyperlink ref="C71" r:id="rId71" display="https://youtu.be/470HQVrJiJU"/>
    <hyperlink ref="F71" r:id="rId2" display="https://files.afu.se/Downloads/Transcripts/0%20-%20Government/USA%20-%20NASA/"/>
    <hyperlink ref="C72" r:id="rId72" display="https://youtu.be/fNSmLNWyojA"/>
    <hyperlink ref="F72" r:id="rId2" display="https://files.afu.se/Downloads/Transcripts/0%20-%20Government/USA%20-%20NASA/"/>
    <hyperlink ref="C73" r:id="rId73" display="https://youtu.be/hr4J6GhoATs"/>
    <hyperlink ref="F73" r:id="rId2" display="https://files.afu.se/Downloads/Transcripts/0%20-%20Government/USA%20-%20NASA/"/>
    <hyperlink ref="C74" r:id="rId74" display="https://youtu.be/uDF4wCTZUHE"/>
    <hyperlink ref="F74" r:id="rId2" display="https://files.afu.se/Downloads/Transcripts/0%20-%20Government/USA%20-%20NASA/"/>
    <hyperlink ref="C75" r:id="rId75" display="https://youtu.be/e8JQXMjPOpQ"/>
    <hyperlink ref="F75" r:id="rId2" display="https://files.afu.se/Downloads/Transcripts/0%20-%20Government/USA%20-%20NASA/"/>
    <hyperlink ref="C76" r:id="rId76" display="https://youtu.be/PIjZHWUMbo8"/>
    <hyperlink ref="F76" r:id="rId2" display="https://files.afu.se/Downloads/Transcripts/0%20-%20Government/USA%20-%20NASA/"/>
    <hyperlink ref="C77" r:id="rId77" display="https://youtu.be/nJhJyZo6h38"/>
    <hyperlink ref="F77" r:id="rId2" display="https://files.afu.se/Downloads/Transcripts/0%20-%20Government/USA%20-%20NASA/"/>
    <hyperlink ref="C78" r:id="rId78" display="https://youtu.be/Kl1oxcXU2JQ"/>
    <hyperlink ref="F78" r:id="rId2" display="https://files.afu.se/Downloads/Transcripts/0%20-%20Government/USA%20-%20NASA/"/>
    <hyperlink ref="C79" r:id="rId79" display="https://youtu.be/RE_IRuyXQCQ"/>
    <hyperlink ref="F79" r:id="rId2" display="https://files.afu.se/Downloads/Transcripts/0%20-%20Government/USA%20-%20NASA/"/>
    <hyperlink ref="C80" r:id="rId80" display="https://youtu.be/vfRTlFCLzH4"/>
    <hyperlink ref="F80" r:id="rId2" display="https://files.afu.se/Downloads/Transcripts/0%20-%20Government/USA%20-%20NASA/"/>
    <hyperlink ref="C81" r:id="rId81" display="https://youtu.be/BVR76K1riIY"/>
    <hyperlink ref="F81" r:id="rId2" display="https://files.afu.se/Downloads/Transcripts/0%20-%20Government/USA%20-%20NASA/"/>
    <hyperlink ref="C82" r:id="rId82" display="https://youtu.be/BFqEfkzSrXo"/>
    <hyperlink ref="F82" r:id="rId2" display="https://files.afu.se/Downloads/Transcripts/0%20-%20Government/USA%20-%20NASA/"/>
    <hyperlink ref="C83" r:id="rId83" display="https://youtu.be/Tbar2FaImJ4"/>
    <hyperlink ref="F83" r:id="rId2" display="https://files.afu.se/Downloads/Transcripts/0%20-%20Government/USA%20-%20NASA/"/>
    <hyperlink ref="C84" r:id="rId84" display="https://youtu.be/5w8gTwDxeH8"/>
    <hyperlink ref="F84" r:id="rId2" display="https://files.afu.se/Downloads/Transcripts/0%20-%20Government/USA%20-%20NASA/"/>
    <hyperlink ref="C85" r:id="rId85" display="https://youtu.be/mYTvg2abusc"/>
    <hyperlink ref="F85" r:id="rId2" display="https://files.afu.se/Downloads/Transcripts/0%20-%20Government/USA%20-%20NASA/"/>
    <hyperlink ref="C86" r:id="rId86" display="https://youtu.be/mog9IyT0CPU"/>
    <hyperlink ref="F86" r:id="rId2" display="https://files.afu.se/Downloads/Transcripts/0%20-%20Government/USA%20-%20NASA/"/>
    <hyperlink ref="C87" r:id="rId87" display="https://youtu.be/zLhW6sxM7aI"/>
    <hyperlink ref="F87" r:id="rId2" display="https://files.afu.se/Downloads/Transcripts/0%20-%20Government/USA%20-%20NASA/"/>
    <hyperlink ref="C88" r:id="rId88" display="https://youtu.be/AQ1GBbti-SU"/>
    <hyperlink ref="F88" r:id="rId2" display="https://files.afu.se/Downloads/Transcripts/0%20-%20Government/USA%20-%20NASA/"/>
    <hyperlink ref="C89" r:id="rId89" display="https://youtu.be/0ayDBidFbDI"/>
    <hyperlink ref="F89" r:id="rId2" display="https://files.afu.se/Downloads/Transcripts/0%20-%20Government/USA%20-%20NASA/"/>
    <hyperlink ref="C90" r:id="rId90" display="https://youtu.be/LdcvDoqVJXk"/>
    <hyperlink ref="F90" r:id="rId2" display="https://files.afu.se/Downloads/Transcripts/0%20-%20Government/USA%20-%20NASA/"/>
    <hyperlink ref="C91" r:id="rId91" display="https://youtu.be/OFPRY6su9KA"/>
    <hyperlink ref="F91" r:id="rId2" display="https://files.afu.se/Downloads/Transcripts/0%20-%20Government/USA%20-%20NASA/"/>
    <hyperlink ref="C92" r:id="rId92" display="https://youtu.be/YfWCUYX2_U0"/>
    <hyperlink ref="F92" r:id="rId2" display="https://files.afu.se/Downloads/Transcripts/0%20-%20Government/USA%20-%20NASA/"/>
    <hyperlink ref="C93" r:id="rId93" display="https://youtu.be/OCY3NGsDUGg"/>
    <hyperlink ref="F93" r:id="rId2" display="https://files.afu.se/Downloads/Transcripts/0%20-%20Government/USA%20-%20NASA/"/>
    <hyperlink ref="C94" r:id="rId94" display="https://youtu.be/9ptQmdRTB8c"/>
    <hyperlink ref="F94" r:id="rId2" display="https://files.afu.se/Downloads/Transcripts/0%20-%20Government/USA%20-%20NASA/"/>
    <hyperlink ref="C95" r:id="rId95" display="https://youtu.be/29dr_l3-9lU"/>
    <hyperlink ref="F95" r:id="rId2" display="https://files.afu.se/Downloads/Transcripts/0%20-%20Government/USA%20-%20NASA/"/>
    <hyperlink ref="C96" r:id="rId96" display="https://youtu.be/eeuNZTpMdWA"/>
    <hyperlink ref="F96" r:id="rId2" display="https://files.afu.se/Downloads/Transcripts/0%20-%20Government/USA%20-%20NASA/"/>
    <hyperlink ref="C97" r:id="rId97" display="https://youtu.be/1XyTjY69umQ"/>
    <hyperlink ref="F97" r:id="rId2" display="https://files.afu.se/Downloads/Transcripts/0%20-%20Government/USA%20-%20NASA/"/>
    <hyperlink ref="C98" r:id="rId98" display="https://youtu.be/6GX2KBgK0CQ"/>
    <hyperlink ref="F98" r:id="rId2" display="https://files.afu.se/Downloads/Transcripts/0%20-%20Government/USA%20-%20NASA/"/>
    <hyperlink ref="C99" r:id="rId99" display="https://youtu.be/WvcSc-SicW4"/>
    <hyperlink ref="F99" r:id="rId2" display="https://files.afu.se/Downloads/Transcripts/0%20-%20Government/USA%20-%20NASA/"/>
    <hyperlink ref="C100" r:id="rId100" display="https://youtu.be/7LF59gmJNog"/>
    <hyperlink ref="F100" r:id="rId2" display="https://files.afu.se/Downloads/Transcripts/0%20-%20Government/USA%20-%20NASA/"/>
    <hyperlink ref="C101" r:id="rId101" display="https://youtu.be/HbDsM6c0R5Y"/>
    <hyperlink ref="F101" r:id="rId2" display="https://files.afu.se/Downloads/Transcripts/0%20-%20Government/USA%20-%20NASA/"/>
    <hyperlink ref="C102" r:id="rId102" display="https://youtu.be/J61Y5AJ-Kog"/>
    <hyperlink ref="F102" r:id="rId2" display="https://files.afu.se/Downloads/Transcripts/0%20-%20Government/USA%20-%20NASA/"/>
    <hyperlink ref="C103" r:id="rId103" display="https://youtu.be/c-D-tpvgTBg"/>
    <hyperlink ref="F103" r:id="rId2" display="https://files.afu.se/Downloads/Transcripts/0%20-%20Government/USA%20-%20NASA/"/>
    <hyperlink ref="C104" r:id="rId104" display="https://youtu.be/HbT9Xm-R3zc"/>
    <hyperlink ref="F104" r:id="rId2" display="https://files.afu.se/Downloads/Transcripts/0%20-%20Government/USA%20-%20NASA/"/>
    <hyperlink ref="C105" r:id="rId105" display="https://youtu.be/40uEMAv3R90"/>
    <hyperlink ref="F105" r:id="rId2" display="https://files.afu.se/Downloads/Transcripts/0%20-%20Government/USA%20-%20NASA/"/>
    <hyperlink ref="C106" r:id="rId106" display="https://youtu.be/AAzM1iugWoY"/>
    <hyperlink ref="F106" r:id="rId2" display="https://files.afu.se/Downloads/Transcripts/0%20-%20Government/USA%20-%20NASA/"/>
    <hyperlink ref="C107" r:id="rId107" display="https://youtu.be/PcA_LQGFoi8"/>
    <hyperlink ref="F107" r:id="rId2" display="https://files.afu.se/Downloads/Transcripts/0%20-%20Government/USA%20-%20NASA/"/>
    <hyperlink ref="C108" r:id="rId108" display="https://youtu.be/3Alao9m3E-U"/>
    <hyperlink ref="F108" r:id="rId2" display="https://files.afu.se/Downloads/Transcripts/0%20-%20Government/USA%20-%20NASA/"/>
    <hyperlink ref="C109" r:id="rId109" display="https://youtu.be/EurVNGquxbA"/>
    <hyperlink ref="F109" r:id="rId2" display="https://files.afu.se/Downloads/Transcripts/0%20-%20Government/USA%20-%20NASA/"/>
    <hyperlink ref="C110" r:id="rId110" display="https://youtu.be/nHBuVbGkmBY"/>
    <hyperlink ref="F110" r:id="rId2" display="https://files.afu.se/Downloads/Transcripts/0%20-%20Government/USA%20-%20NASA/"/>
    <hyperlink ref="C111" r:id="rId111" display="https://youtu.be/2ygR1OeNV14"/>
    <hyperlink ref="F111" r:id="rId2" display="https://files.afu.se/Downloads/Transcripts/0%20-%20Government/USA%20-%20NASA/"/>
    <hyperlink ref="C112" r:id="rId112" display="https://youtu.be/2eFHWuNuDSA"/>
    <hyperlink ref="F112" r:id="rId2" display="https://files.afu.se/Downloads/Transcripts/0%20-%20Government/USA%20-%20NASA/"/>
    <hyperlink ref="C113" r:id="rId113" display="https://youtu.be/RI3G1UjBPkk"/>
    <hyperlink ref="F113" r:id="rId2" display="https://files.afu.se/Downloads/Transcripts/0%20-%20Government/USA%20-%20NASA/"/>
    <hyperlink ref="C114" r:id="rId114" display="https://youtu.be/DQICSmw_Yxs"/>
    <hyperlink ref="F114" r:id="rId2" display="https://files.afu.se/Downloads/Transcripts/0%20-%20Government/USA%20-%20NASA/"/>
    <hyperlink ref="C115" r:id="rId115" display="https://youtu.be/_hRJJdSg8Hw"/>
    <hyperlink ref="F115" r:id="rId2" display="https://files.afu.se/Downloads/Transcripts/0%20-%20Government/USA%20-%20NASA/"/>
    <hyperlink ref="C116" r:id="rId116" display="https://youtu.be/uUaiMvnW6dY"/>
    <hyperlink ref="F116" r:id="rId2" display="https://files.afu.se/Downloads/Transcripts/0%20-%20Government/USA%20-%20NASA/"/>
    <hyperlink ref="C117" r:id="rId117" display="https://youtu.be/Lp4YxG1MiPo"/>
    <hyperlink ref="F117" r:id="rId2" display="https://files.afu.se/Downloads/Transcripts/0%20-%20Government/USA%20-%20NASA/"/>
    <hyperlink ref="C118" r:id="rId118" display="https://youtu.be/jYE1xEzlX3Y"/>
    <hyperlink ref="F118" r:id="rId2" display="https://files.afu.se/Downloads/Transcripts/0%20-%20Government/USA%20-%20NASA/"/>
    <hyperlink ref="C119" r:id="rId119" display="https://youtu.be/_NjDi7VdEDg"/>
    <hyperlink ref="F119" r:id="rId2" display="https://files.afu.se/Downloads/Transcripts/0%20-%20Government/USA%20-%20NASA/"/>
    <hyperlink ref="C120" r:id="rId120" display="https://youtu.be/pIYqi2y4WlE"/>
    <hyperlink ref="F120" r:id="rId2" display="https://files.afu.se/Downloads/Transcripts/0%20-%20Government/USA%20-%20NASA/"/>
    <hyperlink ref="C121" r:id="rId121" display="https://youtu.be/PKgMCe1paJA"/>
    <hyperlink ref="F121" r:id="rId2" display="https://files.afu.se/Downloads/Transcripts/0%20-%20Government/USA%20-%20NASA/"/>
    <hyperlink ref="C122" r:id="rId122" display="https://youtu.be/7h5Si9MBHJU"/>
    <hyperlink ref="F122" r:id="rId2" display="https://files.afu.se/Downloads/Transcripts/0%20-%20Government/USA%20-%20NASA/"/>
    <hyperlink ref="C123" r:id="rId123" display="https://youtu.be/qRWh13NUigk"/>
    <hyperlink ref="F123" r:id="rId2" display="https://files.afu.se/Downloads/Transcripts/0%20-%20Government/USA%20-%20NASA/"/>
    <hyperlink ref="C124" r:id="rId124" display="https://youtu.be/PwgDpGSm_n4"/>
    <hyperlink ref="F124" r:id="rId2" display="https://files.afu.se/Downloads/Transcripts/0%20-%20Government/USA%20-%20NASA/"/>
    <hyperlink ref="C125" r:id="rId125" display="https://youtu.be/wKwoBudYIiI"/>
    <hyperlink ref="F125" r:id="rId2" display="https://files.afu.se/Downloads/Transcripts/0%20-%20Government/USA%20-%20NASA/"/>
    <hyperlink ref="C126" r:id="rId126" display="https://youtu.be/MWdvrhY-pYw"/>
    <hyperlink ref="F126" r:id="rId2" display="https://files.afu.se/Downloads/Transcripts/0%20-%20Government/USA%20-%20NASA/"/>
    <hyperlink ref="C127" r:id="rId127" display="https://youtu.be/25Jhy_0fowo"/>
    <hyperlink ref="F127" r:id="rId2" display="https://files.afu.se/Downloads/Transcripts/0%20-%20Government/USA%20-%20NASA/"/>
    <hyperlink ref="C128" r:id="rId128" display="https://youtu.be/Qxxb4YeBTug"/>
    <hyperlink ref="F128" r:id="rId2" display="https://files.afu.se/Downloads/Transcripts/0%20-%20Government/USA%20-%20NASA/"/>
    <hyperlink ref="C129" r:id="rId129" display="https://youtu.be/H1epJH9XIH8"/>
    <hyperlink ref="F129" r:id="rId2" display="https://files.afu.se/Downloads/Transcripts/0%20-%20Government/USA%20-%20NASA/"/>
    <hyperlink ref="C130" r:id="rId130" display="https://youtu.be/Gc_XtRnVLQ8"/>
    <hyperlink ref="F130" r:id="rId2" display="https://files.afu.se/Downloads/Transcripts/0%20-%20Government/USA%20-%20NASA/"/>
    <hyperlink ref="C131" r:id="rId131" display="https://youtu.be/JNCw3fUtwbs"/>
    <hyperlink ref="F131" r:id="rId2" display="https://files.afu.se/Downloads/Transcripts/0%20-%20Government/USA%20-%20NASA/"/>
    <hyperlink ref="C132" r:id="rId132" display="https://youtu.be/EZkcmCX--ow"/>
    <hyperlink ref="F132" r:id="rId2" display="https://files.afu.se/Downloads/Transcripts/0%20-%20Government/USA%20-%20NASA/"/>
    <hyperlink ref="C133" r:id="rId133" display="https://youtu.be/APPiEjHuxkI"/>
    <hyperlink ref="F133" r:id="rId2" display="https://files.afu.se/Downloads/Transcripts/0%20-%20Government/USA%20-%20NASA/"/>
    <hyperlink ref="C134" r:id="rId134" display="https://youtu.be/9rgOU1AIv-g"/>
    <hyperlink ref="F134" r:id="rId2" display="https://files.afu.se/Downloads/Transcripts/0%20-%20Government/USA%20-%20NASA/"/>
    <hyperlink ref="C135" r:id="rId135" display="https://youtu.be/vStwi-5nFLc"/>
    <hyperlink ref="F135" r:id="rId2" display="https://files.afu.se/Downloads/Transcripts/0%20-%20Government/USA%20-%20NASA/"/>
    <hyperlink ref="C136" r:id="rId136" display="https://youtu.be/SCwJ6Io6ldA"/>
    <hyperlink ref="F136" r:id="rId2" display="https://files.afu.se/Downloads/Transcripts/0%20-%20Government/USA%20-%20NASA/"/>
    <hyperlink ref="C137" r:id="rId137" display="https://youtu.be/k9Bq1Z0DCMw"/>
    <hyperlink ref="F137" r:id="rId2" display="https://files.afu.se/Downloads/Transcripts/0%20-%20Government/USA%20-%20NASA/"/>
    <hyperlink ref="C138" r:id="rId138" display="https://youtu.be/FSyfFrMcuQI"/>
    <hyperlink ref="F138" r:id="rId2" display="https://files.afu.se/Downloads/Transcripts/0%20-%20Government/USA%20-%20NASA/"/>
    <hyperlink ref="C139" r:id="rId139" display="https://youtu.be/6hHmkInZkMQ"/>
    <hyperlink ref="F139" r:id="rId2" display="https://files.afu.se/Downloads/Transcripts/0%20-%20Government/USA%20-%20NASA/"/>
    <hyperlink ref="C140" r:id="rId140" display="https://youtu.be/yySCJykLNqU"/>
    <hyperlink ref="F140" r:id="rId2" display="https://files.afu.se/Downloads/Transcripts/0%20-%20Government/USA%20-%20NASA/"/>
    <hyperlink ref="C141" r:id="rId141" display="https://youtu.be/1C_zuHf6lP4"/>
    <hyperlink ref="F141" r:id="rId2" display="https://files.afu.se/Downloads/Transcripts/0%20-%20Government/USA%20-%20NASA/"/>
    <hyperlink ref="C142" r:id="rId142" display="https://youtu.be/idL-_uWJC00"/>
    <hyperlink ref="F142" r:id="rId2" display="https://files.afu.se/Downloads/Transcripts/0%20-%20Government/USA%20-%20NASA/"/>
    <hyperlink ref="C143" r:id="rId143" display="https://youtu.be/R3UCTPK1ZGk"/>
    <hyperlink ref="F143" r:id="rId2" display="https://files.afu.se/Downloads/Transcripts/0%20-%20Government/USA%20-%20NASA/"/>
    <hyperlink ref="C144" r:id="rId144" display="https://youtu.be/s3gt0mGwke8"/>
    <hyperlink ref="F144" r:id="rId2" display="https://files.afu.se/Downloads/Transcripts/0%20-%20Government/USA%20-%20NASA/"/>
    <hyperlink ref="C145" r:id="rId145" display="https://youtu.be/-d2J11_3PMQ"/>
    <hyperlink ref="F145" r:id="rId2" display="https://files.afu.se/Downloads/Transcripts/0%20-%20Government/USA%20-%20NASA/"/>
    <hyperlink ref="C146" r:id="rId146" display="https://youtu.be/oxdn7-FCTFE"/>
    <hyperlink ref="F146" r:id="rId2" display="https://files.afu.se/Downloads/Transcripts/0%20-%20Government/USA%20-%20NASA/"/>
    <hyperlink ref="C147" r:id="rId147" display="https://youtu.be/M06575CEHGE"/>
    <hyperlink ref="F147" r:id="rId2" display="https://files.afu.se/Downloads/Transcripts/0%20-%20Government/USA%20-%20NASA/"/>
    <hyperlink ref="C148" r:id="rId148" display="https://youtu.be/XPe0EapVicw"/>
    <hyperlink ref="F148" r:id="rId2" display="https://files.afu.se/Downloads/Transcripts/0%20-%20Government/USA%20-%20NASA/"/>
    <hyperlink ref="C149" r:id="rId149" display="https://youtu.be/tVZbrBbZ16g"/>
    <hyperlink ref="F149" r:id="rId2" display="https://files.afu.se/Downloads/Transcripts/0%20-%20Government/USA%20-%20NASA/"/>
    <hyperlink ref="C150" r:id="rId150" display="https://youtu.be/kr8XNrVCFUw"/>
    <hyperlink ref="F150" r:id="rId2" display="https://files.afu.se/Downloads/Transcripts/0%20-%20Government/USA%20-%20NASA/"/>
    <hyperlink ref="C151" r:id="rId151" display="https://youtu.be/qUjZL6W9Bwk"/>
    <hyperlink ref="F151" r:id="rId2" display="https://files.afu.se/Downloads/Transcripts/0%20-%20Government/USA%20-%20NASA/"/>
    <hyperlink ref="C152" r:id="rId152" display="https://youtu.be/H2ZK1yhdOoE"/>
    <hyperlink ref="F152" r:id="rId2" display="https://files.afu.se/Downloads/Transcripts/0%20-%20Government/USA%20-%20NASA/"/>
    <hyperlink ref="C153" r:id="rId153" display="https://youtu.be/fBamDgg4FPE"/>
    <hyperlink ref="F153" r:id="rId2" display="https://files.afu.se/Downloads/Transcripts/0%20-%20Government/USA%20-%20NASA/"/>
    <hyperlink ref="C154" r:id="rId154" display="https://youtu.be/ZFbkHUq3Duo"/>
    <hyperlink ref="F154" r:id="rId2" display="https://files.afu.se/Downloads/Transcripts/0%20-%20Government/USA%20-%20NASA/"/>
    <hyperlink ref="C155" r:id="rId155" display="https://youtu.be/FvUaXmFNqU8"/>
    <hyperlink ref="F155" r:id="rId2" display="https://files.afu.se/Downloads/Transcripts/0%20-%20Government/USA%20-%20NASA/"/>
    <hyperlink ref="C156" r:id="rId156" display="https://youtu.be/wSwJzy5LXb0"/>
    <hyperlink ref="F156" r:id="rId2" display="https://files.afu.se/Downloads/Transcripts/0%20-%20Government/USA%20-%20NASA/"/>
    <hyperlink ref="C157" r:id="rId157" display="https://youtu.be/g7Tos0blK4s"/>
    <hyperlink ref="F157" r:id="rId2" display="https://files.afu.se/Downloads/Transcripts/0%20-%20Government/USA%20-%20NASA/"/>
    <hyperlink ref="C158" r:id="rId158" display="https://youtu.be/K4QFiuZcxao"/>
    <hyperlink ref="F158" r:id="rId2" display="https://files.afu.se/Downloads/Transcripts/0%20-%20Government/USA%20-%20NASA/"/>
    <hyperlink ref="C159" r:id="rId159" display="https://youtu.be/xhF2sYRr4jo"/>
    <hyperlink ref="F159" r:id="rId2" display="https://files.afu.se/Downloads/Transcripts/0%20-%20Government/USA%20-%20NASA/"/>
    <hyperlink ref="C160" r:id="rId160" display="https://youtu.be/tAUbLVS243E"/>
    <hyperlink ref="F160" r:id="rId2" display="https://files.afu.se/Downloads/Transcripts/0%20-%20Government/USA%20-%20NASA/"/>
    <hyperlink ref="C161" r:id="rId161" display="https://youtu.be/UJQIMO7Lso0"/>
    <hyperlink ref="F161" r:id="rId2" display="https://files.afu.se/Downloads/Transcripts/0%20-%20Government/USA%20-%20NASA/"/>
    <hyperlink ref="C162" r:id="rId162" display="https://youtu.be/RMz1AiQOp-Q"/>
    <hyperlink ref="F162" r:id="rId2" display="https://files.afu.se/Downloads/Transcripts/0%20-%20Government/USA%20-%20NASA/"/>
    <hyperlink ref="C163" r:id="rId163" display="https://youtu.be/0hu0npYVcg0"/>
    <hyperlink ref="F163" r:id="rId2" display="https://files.afu.se/Downloads/Transcripts/0%20-%20Government/USA%20-%20NASA/"/>
    <hyperlink ref="C164" r:id="rId164" display="https://youtu.be/xO2K51hu8R4"/>
    <hyperlink ref="F164" r:id="rId2" display="https://files.afu.se/Downloads/Transcripts/0%20-%20Government/USA%20-%20NASA/"/>
    <hyperlink ref="C165" r:id="rId165" display="https://youtu.be/HsNe0QoICXg"/>
    <hyperlink ref="F165" r:id="rId2" display="https://files.afu.se/Downloads/Transcripts/0%20-%20Government/USA%20-%20NASA/"/>
    <hyperlink ref="C166" r:id="rId166" display="https://youtu.be/rahrw5vdj7s"/>
    <hyperlink ref="F166" r:id="rId2" display="https://files.afu.se/Downloads/Transcripts/0%20-%20Government/USA%20-%20NASA/"/>
    <hyperlink ref="C167" r:id="rId167" display="https://youtu.be/mr24dCVNiWE"/>
    <hyperlink ref="F167" r:id="rId2" display="https://files.afu.se/Downloads/Transcripts/0%20-%20Government/USA%20-%20NASA/"/>
    <hyperlink ref="C168" r:id="rId168" display="https://youtu.be/dAud2oHQ_2Q"/>
    <hyperlink ref="F168" r:id="rId2" display="https://files.afu.se/Downloads/Transcripts/0%20-%20Government/USA%20-%20NASA/"/>
    <hyperlink ref="C169" r:id="rId169" display="https://youtu.be/sTHzcLrHkBU"/>
    <hyperlink ref="F169" r:id="rId2" display="https://files.afu.se/Downloads/Transcripts/0%20-%20Government/USA%20-%20NASA/"/>
    <hyperlink ref="C170" r:id="rId170" display="https://youtu.be/o4KQZmCyMko"/>
    <hyperlink ref="F170" r:id="rId2" display="https://files.afu.se/Downloads/Transcripts/0%20-%20Government/USA%20-%20NASA/"/>
    <hyperlink ref="C171" r:id="rId171" display="https://youtu.be/H47_lOBQ1fQ"/>
    <hyperlink ref="F171" r:id="rId2" display="https://files.afu.se/Downloads/Transcripts/0%20-%20Government/USA%20-%20NASA/"/>
    <hyperlink ref="C172" r:id="rId172" display="https://youtu.be/wdqapiuJmbQ"/>
    <hyperlink ref="F172" r:id="rId2" display="https://files.afu.se/Downloads/Transcripts/0%20-%20Government/USA%20-%20NASA/"/>
    <hyperlink ref="C173" r:id="rId173" display="https://youtu.be/kIFDbuEJXwM"/>
    <hyperlink ref="F173" r:id="rId2" display="https://files.afu.se/Downloads/Transcripts/0%20-%20Government/USA%20-%20NASA/"/>
    <hyperlink ref="C174" r:id="rId174" display="https://youtu.be/gc0AdfnaveQ"/>
    <hyperlink ref="F174" r:id="rId2" display="https://files.afu.se/Downloads/Transcripts/0%20-%20Government/USA%20-%20NASA/"/>
    <hyperlink ref="C175" r:id="rId175" display="https://youtu.be/OOwI3nTAHIc"/>
    <hyperlink ref="F175" r:id="rId2" display="https://files.afu.se/Downloads/Transcripts/0%20-%20Government/USA%20-%20NASA/"/>
    <hyperlink ref="C176" r:id="rId176" display="https://youtu.be/yv4DbU1CWAY"/>
    <hyperlink ref="F176" r:id="rId2" display="https://files.afu.se/Downloads/Transcripts/0%20-%20Government/USA%20-%20NASA/"/>
    <hyperlink ref="C177" r:id="rId177" display="https://youtu.be/NDmFz_Qe5A0"/>
    <hyperlink ref="F177" r:id="rId2" display="https://files.afu.se/Downloads/Transcripts/0%20-%20Government/USA%20-%20NASA/"/>
    <hyperlink ref="C178" r:id="rId178" display="https://youtu.be/WY7POkaxAX8"/>
    <hyperlink ref="F178" r:id="rId2" display="https://files.afu.se/Downloads/Transcripts/0%20-%20Government/USA%20-%20NASA/"/>
    <hyperlink ref="C179" r:id="rId179" display="https://youtu.be/mtsWDWCCSG0"/>
    <hyperlink ref="F179" r:id="rId2" display="https://files.afu.se/Downloads/Transcripts/0%20-%20Government/USA%20-%20NASA/"/>
    <hyperlink ref="C180" r:id="rId180" display="https://youtu.be/51WbSe5Qww4"/>
    <hyperlink ref="F180" r:id="rId2" display="https://files.afu.se/Downloads/Transcripts/0%20-%20Government/USA%20-%20NASA/"/>
    <hyperlink ref="C181" r:id="rId181" display="https://youtu.be/3pq8El88_XI"/>
    <hyperlink ref="F181" r:id="rId2" display="https://files.afu.se/Downloads/Transcripts/0%20-%20Government/USA%20-%20NASA/"/>
    <hyperlink ref="C182" r:id="rId182" display="https://youtu.be/_yUXG-Fk-X0"/>
    <hyperlink ref="F182" r:id="rId2" display="https://files.afu.se/Downloads/Transcripts/0%20-%20Government/USA%20-%20NASA/"/>
    <hyperlink ref="C183" r:id="rId183" display="https://youtu.be/CI-_QT_u8mE"/>
    <hyperlink ref="F183" r:id="rId2" display="https://files.afu.se/Downloads/Transcripts/0%20-%20Government/USA%20-%20NASA/"/>
    <hyperlink ref="C184" r:id="rId184" display="https://youtu.be/7Ns64uz0-AQ"/>
    <hyperlink ref="F184" r:id="rId2" display="https://files.afu.se/Downloads/Transcripts/0%20-%20Government/USA%20-%20NASA/"/>
    <hyperlink ref="C185" r:id="rId185" display="https://youtu.be/EslP8R8hK88"/>
    <hyperlink ref="F185" r:id="rId2" display="https://files.afu.se/Downloads/Transcripts/0%20-%20Government/USA%20-%20NASA/"/>
    <hyperlink ref="C186" r:id="rId186" display="https://youtu.be/KYNlp3AFZhw"/>
    <hyperlink ref="F186" r:id="rId2" display="https://files.afu.se/Downloads/Transcripts/0%20-%20Government/USA%20-%20NASA/"/>
    <hyperlink ref="C187" r:id="rId187" display="https://youtu.be/4ELrOBFe_ZE"/>
    <hyperlink ref="F187" r:id="rId2" display="https://files.afu.se/Downloads/Transcripts/0%20-%20Government/USA%20-%20NASA/"/>
    <hyperlink ref="C188" r:id="rId188" display="https://youtu.be/ntkpK9gwEU4"/>
    <hyperlink ref="F188" r:id="rId2" display="https://files.afu.se/Downloads/Transcripts/0%20-%20Government/USA%20-%20NASA/"/>
    <hyperlink ref="C189" r:id="rId189" display="https://youtu.be/ttqTPtC0UGM"/>
    <hyperlink ref="F189" r:id="rId2" display="https://files.afu.se/Downloads/Transcripts/0%20-%20Government/USA%20-%20NASA/"/>
    <hyperlink ref="C190" r:id="rId190" display="https://youtu.be/4DMYmoBI6k8"/>
    <hyperlink ref="F190" r:id="rId2" display="https://files.afu.se/Downloads/Transcripts/0%20-%20Government/USA%20-%20NASA/"/>
    <hyperlink ref="C191" r:id="rId191" display="https://youtu.be/je64UK6Bo8M"/>
    <hyperlink ref="F191" r:id="rId2" display="https://files.afu.se/Downloads/Transcripts/0%20-%20Government/USA%20-%20NASA/"/>
    <hyperlink ref="C192" r:id="rId192" display="https://youtu.be/NWxmJfXa304"/>
    <hyperlink ref="F192" r:id="rId2" display="https://files.afu.se/Downloads/Transcripts/0%20-%20Government/USA%20-%20NASA/"/>
    <hyperlink ref="C193" r:id="rId193" display="https://youtu.be/S_hjXtzrhW8"/>
    <hyperlink ref="F193" r:id="rId2" display="https://files.afu.se/Downloads/Transcripts/0%20-%20Government/USA%20-%20NASA/"/>
    <hyperlink ref="C194" r:id="rId194" display="https://youtu.be/PR7FzjwFAVY"/>
    <hyperlink ref="F194" r:id="rId2" display="https://files.afu.se/Downloads/Transcripts/0%20-%20Government/USA%20-%20NASA/"/>
    <hyperlink ref="C195" r:id="rId195" display="https://youtu.be/a-flzdifn54"/>
    <hyperlink ref="F195" r:id="rId2" display="https://files.afu.se/Downloads/Transcripts/0%20-%20Government/USA%20-%20NASA/"/>
    <hyperlink ref="C196" r:id="rId196" display="https://youtu.be/aUGD9YcV5qo"/>
    <hyperlink ref="F196" r:id="rId2" display="https://files.afu.se/Downloads/Transcripts/0%20-%20Government/USA%20-%20NASA/"/>
    <hyperlink ref="C197" r:id="rId197" display="https://youtu.be/IDahq6brsSU"/>
    <hyperlink ref="F197" r:id="rId2" display="https://files.afu.se/Downloads/Transcripts/0%20-%20Government/USA%20-%20NASA/"/>
    <hyperlink ref="C198" r:id="rId198" display="https://youtu.be/el7RFWBlFDU"/>
    <hyperlink ref="F198" r:id="rId2" display="https://files.afu.se/Downloads/Transcripts/0%20-%20Government/USA%20-%20NASA/"/>
    <hyperlink ref="C199" r:id="rId199" display="https://youtu.be/w_eKC0bM6-M"/>
    <hyperlink ref="F199" r:id="rId2" display="https://files.afu.se/Downloads/Transcripts/0%20-%20Government/USA%20-%20NASA/"/>
    <hyperlink ref="C200" r:id="rId200" display="https://youtu.be/WLhlRUnzbTM"/>
    <hyperlink ref="F200" r:id="rId2" display="https://files.afu.se/Downloads/Transcripts/0%20-%20Government/USA%20-%20NASA/"/>
    <hyperlink ref="C201" r:id="rId201" display="https://youtu.be/bw79tvdiARI"/>
    <hyperlink ref="F201" r:id="rId2" display="https://files.afu.se/Downloads/Transcripts/0%20-%20Government/USA%20-%20NASA/"/>
    <hyperlink ref="C202" r:id="rId202" display="https://youtu.be/69uT90tEJdE"/>
    <hyperlink ref="F202" r:id="rId2" display="https://files.afu.se/Downloads/Transcripts/0%20-%20Government/USA%20-%20NASA/"/>
    <hyperlink ref="C203" r:id="rId203" display="https://youtu.be/NVvDAbTfDaw"/>
    <hyperlink ref="F203" r:id="rId2" display="https://files.afu.se/Downloads/Transcripts/0%20-%20Government/USA%20-%20NASA/"/>
    <hyperlink ref="C204" r:id="rId204" display="https://youtu.be/vidNfbTDgoE"/>
    <hyperlink ref="F204" r:id="rId2" display="https://files.afu.se/Downloads/Transcripts/0%20-%20Government/USA%20-%20NASA/"/>
    <hyperlink ref="C205" r:id="rId205" display="https://youtu.be/gRG80Wr1ETo"/>
    <hyperlink ref="F205" r:id="rId2" display="https://files.afu.se/Downloads/Transcripts/0%20-%20Government/USA%20-%20NASA/"/>
    <hyperlink ref="C206" r:id="rId206" display="https://youtu.be/UPOQD6Pz79k"/>
    <hyperlink ref="F206" r:id="rId2" display="https://files.afu.se/Downloads/Transcripts/0%20-%20Government/USA%20-%20NASA/"/>
    <hyperlink ref="C207" r:id="rId207" display="https://youtu.be/3xbRfU_kAlM"/>
    <hyperlink ref="F207" r:id="rId2" display="https://files.afu.se/Downloads/Transcripts/0%20-%20Government/USA%20-%20NASA/"/>
    <hyperlink ref="C208" r:id="rId208" display="https://youtu.be/1p-SmukIL-M"/>
    <hyperlink ref="F208" r:id="rId2" display="https://files.afu.se/Downloads/Transcripts/0%20-%20Government/USA%20-%20NASA/"/>
    <hyperlink ref="C209" r:id="rId209" display="https://youtu.be/tBbdtV53OSc"/>
    <hyperlink ref="F209" r:id="rId2" display="https://files.afu.se/Downloads/Transcripts/0%20-%20Government/USA%20-%20NASA/"/>
    <hyperlink ref="C210" r:id="rId210" display="https://youtu.be/J-9rLkJfhPI"/>
    <hyperlink ref="F210" r:id="rId2" display="https://files.afu.se/Downloads/Transcripts/0%20-%20Government/USA%20-%20NASA/"/>
    <hyperlink ref="C211" r:id="rId211" display="https://youtu.be/5wPMlKG16QY"/>
    <hyperlink ref="F211" r:id="rId2" display="https://files.afu.se/Downloads/Transcripts/0%20-%20Government/USA%20-%20NASA/"/>
    <hyperlink ref="C212" r:id="rId212" display="https://youtu.be/_pzt9c0yKco"/>
    <hyperlink ref="F212" r:id="rId2" display="https://files.afu.se/Downloads/Transcripts/0%20-%20Government/USA%20-%20NASA/"/>
    <hyperlink ref="C213" r:id="rId213" display="https://youtu.be/KATEY1-dDh4"/>
    <hyperlink ref="F213" r:id="rId2" display="https://files.afu.se/Downloads/Transcripts/0%20-%20Government/USA%20-%20NASA/"/>
    <hyperlink ref="C214" r:id="rId214" display="https://youtu.be/Bj2GDeHocUA"/>
    <hyperlink ref="F214" r:id="rId2" display="https://files.afu.se/Downloads/Transcripts/0%20-%20Government/USA%20-%20NASA/"/>
    <hyperlink ref="C215" r:id="rId215" display="https://youtu.be/x2V1YAlD8U0"/>
    <hyperlink ref="F215" r:id="rId2" display="https://files.afu.se/Downloads/Transcripts/0%20-%20Government/USA%20-%20NASA/"/>
    <hyperlink ref="C216" r:id="rId216" display="https://youtu.be/eIufkTTj7Gs"/>
    <hyperlink ref="F216" r:id="rId2" display="https://files.afu.se/Downloads/Transcripts/0%20-%20Government/USA%20-%20NASA/"/>
    <hyperlink ref="C217" r:id="rId217" display="https://youtu.be/_f3xzT-JPaY"/>
    <hyperlink ref="F217" r:id="rId2" display="https://files.afu.se/Downloads/Transcripts/0%20-%20Government/USA%20-%20NASA/"/>
    <hyperlink ref="C218" r:id="rId218" display="https://youtu.be/LBvgyXhLaWM"/>
    <hyperlink ref="F218" r:id="rId2" display="https://files.afu.se/Downloads/Transcripts/0%20-%20Government/USA%20-%20NASA/"/>
    <hyperlink ref="C219" r:id="rId219" display="https://youtu.be/w85djkEERUM"/>
    <hyperlink ref="F219" r:id="rId2" display="https://files.afu.se/Downloads/Transcripts/0%20-%20Government/USA%20-%20NASA/"/>
    <hyperlink ref="C220" r:id="rId220" display="https://youtu.be/vhpzke-2tGU"/>
    <hyperlink ref="F220" r:id="rId2" display="https://files.afu.se/Downloads/Transcripts/0%20-%20Government/USA%20-%20NASA/"/>
    <hyperlink ref="C221" r:id="rId221" display="https://youtu.be/quBrcCaJvr0"/>
    <hyperlink ref="F221" r:id="rId2" display="https://files.afu.se/Downloads/Transcripts/0%20-%20Government/USA%20-%20NASA/"/>
    <hyperlink ref="C222" r:id="rId222" display="https://youtu.be/_Urv5OySYWE"/>
    <hyperlink ref="F222" r:id="rId2" display="https://files.afu.se/Downloads/Transcripts/0%20-%20Government/USA%20-%20NASA/"/>
    <hyperlink ref="C223" r:id="rId223" display="https://youtu.be/wFHce6TXVTQ"/>
    <hyperlink ref="F223" r:id="rId2" display="https://files.afu.se/Downloads/Transcripts/0%20-%20Government/USA%20-%20NASA/"/>
    <hyperlink ref="C224" r:id="rId224" display="https://youtu.be/2CnpeAkuxOQ"/>
    <hyperlink ref="F224" r:id="rId2" display="https://files.afu.se/Downloads/Transcripts/0%20-%20Government/USA%20-%20NASA/"/>
    <hyperlink ref="C225" r:id="rId225" display="https://youtu.be/s2rt73vr5Dk"/>
    <hyperlink ref="F225" r:id="rId2" display="https://files.afu.se/Downloads/Transcripts/0%20-%20Government/USA%20-%20NASA/"/>
    <hyperlink ref="C226" r:id="rId226" display="https://youtu.be/eON997EWVWA"/>
    <hyperlink ref="F226" r:id="rId2" display="https://files.afu.se/Downloads/Transcripts/0%20-%20Government/USA%20-%20NASA/"/>
    <hyperlink ref="C227" r:id="rId227" display="https://youtu.be/_tNQUKRmbCk"/>
    <hyperlink ref="F227" r:id="rId2" display="https://files.afu.se/Downloads/Transcripts/0%20-%20Government/USA%20-%20NASA/"/>
    <hyperlink ref="C228" r:id="rId228" display="https://youtu.be/yxoua8dWoIE"/>
    <hyperlink ref="F228" r:id="rId2" display="https://files.afu.se/Downloads/Transcripts/0%20-%20Government/USA%20-%20NASA/"/>
    <hyperlink ref="C229" r:id="rId229" display="https://youtu.be/AtjR-gHufxg"/>
    <hyperlink ref="F229" r:id="rId2" display="https://files.afu.se/Downloads/Transcripts/0%20-%20Government/USA%20-%20NASA/"/>
    <hyperlink ref="C230" r:id="rId230" display="https://youtu.be/larBkDpbgx0"/>
    <hyperlink ref="F230" r:id="rId2" display="https://files.afu.se/Downloads/Transcripts/0%20-%20Government/USA%20-%20NASA/"/>
    <hyperlink ref="C231" r:id="rId231" display="https://youtu.be/Lvet4-oHR7U"/>
    <hyperlink ref="F231" r:id="rId2" display="https://files.afu.se/Downloads/Transcripts/0%20-%20Government/USA%20-%20NASA/"/>
    <hyperlink ref="C232" r:id="rId232" display="https://youtu.be/pm02i3uALXo"/>
    <hyperlink ref="F232" r:id="rId2" display="https://files.afu.se/Downloads/Transcripts/0%20-%20Government/USA%20-%20NASA/"/>
    <hyperlink ref="C233" r:id="rId233" display="https://youtu.be/LADoWKci4hs"/>
    <hyperlink ref="F233" r:id="rId2" display="https://files.afu.se/Downloads/Transcripts/0%20-%20Government/USA%20-%20NASA/"/>
    <hyperlink ref="C234" r:id="rId234" display="https://youtu.be/T0fHMWFMKWo"/>
    <hyperlink ref="F234" r:id="rId2" display="https://files.afu.se/Downloads/Transcripts/0%20-%20Government/USA%20-%20NASA/"/>
    <hyperlink ref="C235" r:id="rId235" display="https://youtu.be/WDWbemWdbAI"/>
    <hyperlink ref="F235" r:id="rId2" display="https://files.afu.se/Downloads/Transcripts/0%20-%20Government/USA%20-%20NASA/"/>
    <hyperlink ref="C236" r:id="rId236" display="https://youtu.be/g7zdeQ-Uw8k"/>
    <hyperlink ref="F236" r:id="rId2" display="https://files.afu.se/Downloads/Transcripts/0%20-%20Government/USA%20-%20NASA/"/>
    <hyperlink ref="C237" r:id="rId237" display="https://youtu.be/OnrP1FTixOw"/>
    <hyperlink ref="F237" r:id="rId2" display="https://files.afu.se/Downloads/Transcripts/0%20-%20Government/USA%20-%20NASA/"/>
    <hyperlink ref="C238" r:id="rId238" display="https://youtu.be/dP4KkSEdvjM"/>
    <hyperlink ref="F238" r:id="rId2" display="https://files.afu.se/Downloads/Transcripts/0%20-%20Government/USA%20-%20NASA/"/>
    <hyperlink ref="C239" r:id="rId239" display="https://youtu.be/ug-FHsOYP5Y"/>
    <hyperlink ref="F239" r:id="rId2" display="https://files.afu.se/Downloads/Transcripts/0%20-%20Government/USA%20-%20NASA/"/>
    <hyperlink ref="C240" r:id="rId240" display="https://youtu.be/NwSISlnoy9w"/>
    <hyperlink ref="F240" r:id="rId2" display="https://files.afu.se/Downloads/Transcripts/0%20-%20Government/USA%20-%20NASA/"/>
    <hyperlink ref="C241" r:id="rId241" display="https://youtu.be/n_aI22YkGVU"/>
    <hyperlink ref="F241" r:id="rId2" display="https://files.afu.se/Downloads/Transcripts/0%20-%20Government/USA%20-%20NASA/"/>
    <hyperlink ref="C242" r:id="rId242" display="https://youtu.be/RKLGK8Co0Xo"/>
    <hyperlink ref="F242" r:id="rId2" display="https://files.afu.se/Downloads/Transcripts/0%20-%20Government/USA%20-%20NASA/"/>
    <hyperlink ref="C243" r:id="rId243" display="https://youtu.be/3tOP7olHDmU"/>
    <hyperlink ref="F243" r:id="rId2" display="https://files.afu.se/Downloads/Transcripts/0%20-%20Government/USA%20-%20NASA/"/>
    <hyperlink ref="C244" r:id="rId244" display="https://youtu.be/35ANRDXESqw"/>
    <hyperlink ref="F244" r:id="rId2" display="https://files.afu.se/Downloads/Transcripts/0%20-%20Government/USA%20-%20NASA/"/>
    <hyperlink ref="C245" r:id="rId245" display="https://youtu.be/wFsQvxSzsA8"/>
    <hyperlink ref="F245" r:id="rId2" display="https://files.afu.se/Downloads/Transcripts/0%20-%20Government/USA%20-%20NASA/"/>
    <hyperlink ref="C246" r:id="rId246" display="https://youtu.be/Wlxq4S-4CCY"/>
    <hyperlink ref="F246" r:id="rId2" display="https://files.afu.se/Downloads/Transcripts/0%20-%20Government/USA%20-%20NASA/"/>
    <hyperlink ref="C247" r:id="rId247" display="https://youtu.be/fTVN19h4nMg"/>
    <hyperlink ref="F247" r:id="rId2" display="https://files.afu.se/Downloads/Transcripts/0%20-%20Government/USA%20-%20NASA/"/>
    <hyperlink ref="C248" r:id="rId248" display="https://youtu.be/y_pmDf8jKns"/>
    <hyperlink ref="F248" r:id="rId2" display="https://files.afu.se/Downloads/Transcripts/0%20-%20Government/USA%20-%20NASA/"/>
    <hyperlink ref="C249" r:id="rId249" display="https://youtu.be/CFY_hDUWm80"/>
    <hyperlink ref="F249" r:id="rId2" display="https://files.afu.se/Downloads/Transcripts/0%20-%20Government/USA%20-%20NASA/"/>
    <hyperlink ref="C250" r:id="rId250" display="https://youtu.be/9UFpXW018JQ"/>
    <hyperlink ref="F250" r:id="rId2" display="https://files.afu.se/Downloads/Transcripts/0%20-%20Government/USA%20-%20NASA/"/>
    <hyperlink ref="C251" r:id="rId251" display="https://youtu.be/IZtP1vGafsM"/>
    <hyperlink ref="F251" r:id="rId2" display="https://files.afu.se/Downloads/Transcripts/0%20-%20Government/USA%20-%20NASA/"/>
    <hyperlink ref="C252" r:id="rId252" display="https://youtu.be/n1viNk1eNnM"/>
    <hyperlink ref="F252" r:id="rId2" display="https://files.afu.se/Downloads/Transcripts/0%20-%20Government/USA%20-%20NASA/"/>
    <hyperlink ref="C253" r:id="rId253" display="https://youtu.be/KVnYKu4_2TQ"/>
    <hyperlink ref="F253" r:id="rId2" display="https://files.afu.se/Downloads/Transcripts/0%20-%20Government/USA%20-%20NASA/"/>
    <hyperlink ref="C254" r:id="rId254" display="https://youtu.be/8cbPBle1ME0"/>
    <hyperlink ref="F254" r:id="rId2" display="https://files.afu.se/Downloads/Transcripts/0%20-%20Government/USA%20-%20NASA/"/>
    <hyperlink ref="C255" r:id="rId255" display="https://youtu.be/DyA5PJCrxoM"/>
    <hyperlink ref="F255" r:id="rId2" display="https://files.afu.se/Downloads/Transcripts/0%20-%20Government/USA%20-%20NASA/"/>
    <hyperlink ref="C256" r:id="rId256" display="https://youtu.be/2MQuQB5w07w"/>
    <hyperlink ref="F256" r:id="rId2" display="https://files.afu.se/Downloads/Transcripts/0%20-%20Government/USA%20-%20NASA/"/>
    <hyperlink ref="C257" r:id="rId257" display="https://youtu.be/EQEPrJjk1pM"/>
    <hyperlink ref="F257" r:id="rId2" display="https://files.afu.se/Downloads/Transcripts/0%20-%20Government/USA%20-%20NASA/"/>
    <hyperlink ref="C258" r:id="rId258" display="https://youtu.be/iWrTGAReUdE"/>
    <hyperlink ref="F258" r:id="rId2" display="https://files.afu.se/Downloads/Transcripts/0%20-%20Government/USA%20-%20NASA/"/>
    <hyperlink ref="C259" r:id="rId259" display="https://youtu.be/TgVorJfM8BM"/>
    <hyperlink ref="F259" r:id="rId2" display="https://files.afu.se/Downloads/Transcripts/0%20-%20Government/USA%20-%20NASA/"/>
    <hyperlink ref="C260" r:id="rId260" display="https://youtu.be/yFPWjQca9bY"/>
    <hyperlink ref="F260" r:id="rId2" display="https://files.afu.se/Downloads/Transcripts/0%20-%20Government/USA%20-%20NASA/"/>
    <hyperlink ref="C261" r:id="rId261" display="https://youtu.be/yegahZGsixU"/>
    <hyperlink ref="F261" r:id="rId2" display="https://files.afu.se/Downloads/Transcripts/0%20-%20Government/USA%20-%20NASA/"/>
    <hyperlink ref="C262" r:id="rId262" display="https://youtu.be/b6r5m-IeAwQ"/>
    <hyperlink ref="F262" r:id="rId2" display="https://files.afu.se/Downloads/Transcripts/0%20-%20Government/USA%20-%20NASA/"/>
    <hyperlink ref="C263" r:id="rId263" display="https://youtu.be/AG1y2Zdb8_c"/>
    <hyperlink ref="F263" r:id="rId2" display="https://files.afu.se/Downloads/Transcripts/0%20-%20Government/USA%20-%20NASA/"/>
    <hyperlink ref="C264" r:id="rId264" display="https://youtu.be/ixwuJfZliiY"/>
    <hyperlink ref="F264" r:id="rId2" display="https://files.afu.se/Downloads/Transcripts/0%20-%20Government/USA%20-%20NASA/"/>
    <hyperlink ref="C265" r:id="rId265" display="https://youtu.be/cBG1KYa95JY"/>
    <hyperlink ref="F265" r:id="rId2" display="https://files.afu.se/Downloads/Transcripts/0%20-%20Government/USA%20-%20NASA/"/>
    <hyperlink ref="C266" r:id="rId266" display="https://youtu.be/bmC-FwibsZg"/>
    <hyperlink ref="F266" r:id="rId2" display="https://files.afu.se/Downloads/Transcripts/0%20-%20Government/USA%20-%20NASA/"/>
    <hyperlink ref="C267" r:id="rId267" display="https://youtu.be/uxn3LruBDIM"/>
    <hyperlink ref="F267" r:id="rId2" display="https://files.afu.se/Downloads/Transcripts/0%20-%20Government/USA%20-%20NASA/"/>
    <hyperlink ref="C268" r:id="rId268" display="https://youtu.be/2-3MTPMBLDw"/>
    <hyperlink ref="F268" r:id="rId2" display="https://files.afu.se/Downloads/Transcripts/0%20-%20Government/USA%20-%20NASA/"/>
    <hyperlink ref="C269" r:id="rId269" display="https://youtu.be/KtjhHoSigVA"/>
    <hyperlink ref="F269" r:id="rId2" display="https://files.afu.se/Downloads/Transcripts/0%20-%20Government/USA%20-%20NASA/"/>
    <hyperlink ref="C270" r:id="rId270" display="https://youtu.be/DU5cGnkHjPU"/>
    <hyperlink ref="F270" r:id="rId2" display="https://files.afu.se/Downloads/Transcripts/0%20-%20Government/USA%20-%20NASA/"/>
    <hyperlink ref="C271" r:id="rId271" display="https://youtu.be/_R3z_01FTG8"/>
    <hyperlink ref="F271" r:id="rId2" display="https://files.afu.se/Downloads/Transcripts/0%20-%20Government/USA%20-%20NASA/"/>
    <hyperlink ref="C272" r:id="rId272" display="https://youtu.be/ZlPpHILyEl4"/>
    <hyperlink ref="F272" r:id="rId2" display="https://files.afu.se/Downloads/Transcripts/0%20-%20Government/USA%20-%20NASA/"/>
    <hyperlink ref="C273" r:id="rId273" display="https://youtu.be/7r_LULyrhbM"/>
    <hyperlink ref="F273" r:id="rId2" display="https://files.afu.se/Downloads/Transcripts/0%20-%20Government/USA%20-%20NASA/"/>
    <hyperlink ref="C274" r:id="rId274" display="https://youtu.be/HpeEIyfQXCc"/>
    <hyperlink ref="F274" r:id="rId2" display="https://files.afu.se/Downloads/Transcripts/0%20-%20Government/USA%20-%20NASA/"/>
    <hyperlink ref="C275" r:id="rId275" display="https://youtu.be/1Mqsd0ru_pc"/>
    <hyperlink ref="F275" r:id="rId2" display="https://files.afu.se/Downloads/Transcripts/0%20-%20Government/USA%20-%20NASA/"/>
    <hyperlink ref="C276" r:id="rId276" display="https://youtu.be/R-jc-dTdK5g"/>
    <hyperlink ref="F276" r:id="rId2" display="https://files.afu.se/Downloads/Transcripts/0%20-%20Government/USA%20-%20NASA/"/>
    <hyperlink ref="C277" r:id="rId277" display="https://youtu.be/oZXkXsRtj24"/>
    <hyperlink ref="F277" r:id="rId2" display="https://files.afu.se/Downloads/Transcripts/0%20-%20Government/USA%20-%20NASA/"/>
    <hyperlink ref="C278" r:id="rId278" display="https://youtu.be/HskXf74S5xg"/>
    <hyperlink ref="F278" r:id="rId2" display="https://files.afu.se/Downloads/Transcripts/0%20-%20Government/USA%20-%20NASA/"/>
    <hyperlink ref="C279" r:id="rId279" display="https://youtu.be/8QlPNKGO-m4"/>
    <hyperlink ref="F279" r:id="rId2" display="https://files.afu.se/Downloads/Transcripts/0%20-%20Government/USA%20-%20NASA/"/>
    <hyperlink ref="C280" r:id="rId280" display="https://youtu.be/i2Socj4Nvhw"/>
    <hyperlink ref="F280" r:id="rId2" display="https://files.afu.se/Downloads/Transcripts/0%20-%20Government/USA%20-%20NASA/"/>
    <hyperlink ref="C281" r:id="rId281" display="https://youtu.be/DR4JZ3yTpo0"/>
    <hyperlink ref="F281" r:id="rId2" display="https://files.afu.se/Downloads/Transcripts/0%20-%20Government/USA%20-%20NASA/"/>
    <hyperlink ref="C282" r:id="rId282" display="https://youtu.be/CC7OJ7gFLvE"/>
    <hyperlink ref="F282" r:id="rId2" display="https://files.afu.se/Downloads/Transcripts/0%20-%20Government/USA%20-%20NASA/"/>
    <hyperlink ref="C283" r:id="rId283" display="https://youtu.be/FbaFJD5X32o"/>
    <hyperlink ref="F283" r:id="rId2" display="https://files.afu.se/Downloads/Transcripts/0%20-%20Government/USA%20-%20NASA/"/>
    <hyperlink ref="C284" r:id="rId284" display="https://youtu.be/l6j1Q6AYRS0"/>
    <hyperlink ref="F284" r:id="rId2" display="https://files.afu.se/Downloads/Transcripts/0%20-%20Government/USA%20-%20NASA/"/>
    <hyperlink ref="C285" r:id="rId285" display="https://youtu.be/IDeMqkdT6pA"/>
    <hyperlink ref="F285" r:id="rId2" display="https://files.afu.se/Downloads/Transcripts/0%20-%20Government/USA%20-%20NASA/"/>
    <hyperlink ref="C286" r:id="rId286" display="https://youtu.be/7_SNFrTr_oo"/>
    <hyperlink ref="F286" r:id="rId2" display="https://files.afu.se/Downloads/Transcripts/0%20-%20Government/USA%20-%20NASA/"/>
    <hyperlink ref="C287" r:id="rId287" display="https://youtu.be/NOOz2U5TVgE"/>
    <hyperlink ref="F287" r:id="rId2" display="https://files.afu.se/Downloads/Transcripts/0%20-%20Government/USA%20-%20NASA/"/>
    <hyperlink ref="C288" r:id="rId288" display="https://youtu.be/COZ5E_MsgwA"/>
    <hyperlink ref="F288" r:id="rId2" display="https://files.afu.se/Downloads/Transcripts/0%20-%20Government/USA%20-%20NASA/"/>
    <hyperlink ref="C289" r:id="rId289" display="https://youtu.be/uxVc2VEPff0"/>
    <hyperlink ref="F289" r:id="rId2" display="https://files.afu.se/Downloads/Transcripts/0%20-%20Government/USA%20-%20NASA/"/>
    <hyperlink ref="C290" r:id="rId290" display="https://youtu.be/qn09Ohs_kOw"/>
    <hyperlink ref="F290" r:id="rId2" display="https://files.afu.se/Downloads/Transcripts/0%20-%20Government/USA%20-%20NASA/"/>
    <hyperlink ref="C291" r:id="rId291" display="https://youtu.be/hQrm-akse7I"/>
    <hyperlink ref="F291" r:id="rId2" display="https://files.afu.se/Downloads/Transcripts/0%20-%20Government/USA%20-%20NASA/"/>
    <hyperlink ref="C292" r:id="rId292" display="https://youtu.be/wJw_aBRKHFo"/>
    <hyperlink ref="F292" r:id="rId2" display="https://files.afu.se/Downloads/Transcripts/0%20-%20Government/USA%20-%20NASA/"/>
    <hyperlink ref="C293" r:id="rId293" display="https://youtu.be/8P5i9hSqHBI"/>
    <hyperlink ref="F293" r:id="rId2" display="https://files.afu.se/Downloads/Transcripts/0%20-%20Government/USA%20-%20NASA/"/>
    <hyperlink ref="C294" r:id="rId294" display="https://youtu.be/wJESXw7SaYU"/>
    <hyperlink ref="F294" r:id="rId2" display="https://files.afu.se/Downloads/Transcripts/0%20-%20Government/USA%20-%20NASA/"/>
    <hyperlink ref="C295" r:id="rId295" display="https://youtu.be/NJAtLrRhkfg"/>
    <hyperlink ref="F295" r:id="rId2" display="https://files.afu.se/Downloads/Transcripts/0%20-%20Government/USA%20-%20NASA/"/>
    <hyperlink ref="C296" r:id="rId296" display="https://youtu.be/4wKrqzfrRs8"/>
    <hyperlink ref="F296" r:id="rId2" display="https://files.afu.se/Downloads/Transcripts/0%20-%20Government/USA%20-%20NASA/"/>
    <hyperlink ref="C297" r:id="rId297" display="https://youtu.be/8xs98fr0M6M"/>
    <hyperlink ref="F297" r:id="rId2" display="https://files.afu.se/Downloads/Transcripts/0%20-%20Government/USA%20-%20NASA/"/>
    <hyperlink ref="C298" r:id="rId298" display="https://youtu.be/vxD_iE0Uko8"/>
    <hyperlink ref="F298" r:id="rId2" display="https://files.afu.se/Downloads/Transcripts/0%20-%20Government/USA%20-%20NASA/"/>
    <hyperlink ref="C299" r:id="rId299" display="https://youtu.be/HUZYnvpElk8"/>
    <hyperlink ref="F299" r:id="rId2" display="https://files.afu.se/Downloads/Transcripts/0%20-%20Government/USA%20-%20NASA/"/>
    <hyperlink ref="C300" r:id="rId300" display="https://youtu.be/xvN3ZqS0cdg"/>
    <hyperlink ref="F300" r:id="rId2" display="https://files.afu.se/Downloads/Transcripts/0%20-%20Government/USA%20-%20NASA/"/>
    <hyperlink ref="C301" r:id="rId301" display="https://youtu.be/FUq5d7dqlVY"/>
    <hyperlink ref="F301" r:id="rId2" display="https://files.afu.se/Downloads/Transcripts/0%20-%20Government/USA%20-%20NASA/"/>
    <hyperlink ref="C302" r:id="rId302" display="https://youtu.be/a_veIjIazqY"/>
    <hyperlink ref="F302" r:id="rId2" display="https://files.afu.se/Downloads/Transcripts/0%20-%20Government/USA%20-%20NASA/"/>
    <hyperlink ref="C303" r:id="rId303" display="https://youtu.be/Rf-nOV9LCRM"/>
    <hyperlink ref="F303" r:id="rId2" display="https://files.afu.se/Downloads/Transcripts/0%20-%20Government/USA%20-%20NASA/"/>
    <hyperlink ref="C304" r:id="rId304" display="https://youtu.be/TgbxbIfdFug"/>
    <hyperlink ref="F304" r:id="rId2" display="https://files.afu.se/Downloads/Transcripts/0%20-%20Government/USA%20-%20NASA/"/>
    <hyperlink ref="C305" r:id="rId305" display="https://youtu.be/85tvmSV8DsE"/>
    <hyperlink ref="F305" r:id="rId2" display="https://files.afu.se/Downloads/Transcripts/0%20-%20Government/USA%20-%20NASA/"/>
    <hyperlink ref="C306" r:id="rId306" display="https://youtu.be/coFE7-E6LRg"/>
    <hyperlink ref="F306" r:id="rId2" display="https://files.afu.se/Downloads/Transcripts/0%20-%20Government/USA%20-%20NASA/"/>
    <hyperlink ref="C307" r:id="rId307" display="https://youtu.be/tuDPzaiD6qQ"/>
    <hyperlink ref="F307" r:id="rId2" display="https://files.afu.se/Downloads/Transcripts/0%20-%20Government/USA%20-%20NASA/"/>
    <hyperlink ref="C308" r:id="rId308" display="https://youtu.be/TibXxwEZ4gY"/>
    <hyperlink ref="F308" r:id="rId2" display="https://files.afu.se/Downloads/Transcripts/0%20-%20Government/USA%20-%20NASA/"/>
    <hyperlink ref="C309" r:id="rId309" display="https://youtu.be/mplLzUMYKuM"/>
    <hyperlink ref="F309" r:id="rId2" display="https://files.afu.se/Downloads/Transcripts/0%20-%20Government/USA%20-%20NASA/"/>
    <hyperlink ref="C310" r:id="rId310" display="https://youtu.be/4RRCD07Jips"/>
    <hyperlink ref="F310" r:id="rId2" display="https://files.afu.se/Downloads/Transcripts/0%20-%20Government/USA%20-%20NASA/"/>
    <hyperlink ref="C311" r:id="rId311" display="https://youtu.be/cpbKsFutOCI"/>
    <hyperlink ref="F311" r:id="rId2" display="https://files.afu.se/Downloads/Transcripts/0%20-%20Government/USA%20-%20NASA/"/>
    <hyperlink ref="C312" r:id="rId312" display="https://youtu.be/YMptAi6Z8io"/>
    <hyperlink ref="F312" r:id="rId2" display="https://files.afu.se/Downloads/Transcripts/0%20-%20Government/USA%20-%20NASA/"/>
    <hyperlink ref="C313" r:id="rId313" display="https://youtu.be/4IXYp9Fse44"/>
    <hyperlink ref="F313" r:id="rId2" display="https://files.afu.se/Downloads/Transcripts/0%20-%20Government/USA%20-%20NASA/"/>
    <hyperlink ref="C314" r:id="rId314" display="https://youtu.be/0XAWja5ncI0"/>
    <hyperlink ref="F314" r:id="rId2" display="https://files.afu.se/Downloads/Transcripts/0%20-%20Government/USA%20-%20NASA/"/>
    <hyperlink ref="C315" r:id="rId315" display="https://youtu.be/YJd3eZIT2XY"/>
    <hyperlink ref="F315" r:id="rId2" display="https://files.afu.se/Downloads/Transcripts/0%20-%20Government/USA%20-%20NASA/"/>
    <hyperlink ref="C316" r:id="rId316" display="https://youtu.be/4Wbcf2LCjok"/>
    <hyperlink ref="F316" r:id="rId2" display="https://files.afu.se/Downloads/Transcripts/0%20-%20Government/USA%20-%20NASA/"/>
    <hyperlink ref="C317" r:id="rId317" display="https://youtu.be/6lEzFykAFVE"/>
    <hyperlink ref="F317" r:id="rId2" display="https://files.afu.se/Downloads/Transcripts/0%20-%20Government/USA%20-%20NASA/"/>
    <hyperlink ref="C318" r:id="rId318" display="https://youtu.be/PnEvu9jpkeE"/>
    <hyperlink ref="F318" r:id="rId2" display="https://files.afu.se/Downloads/Transcripts/0%20-%20Government/USA%20-%20NASA/"/>
    <hyperlink ref="C319" r:id="rId319" display="https://youtu.be/BqvDIB5pSBc"/>
    <hyperlink ref="F319" r:id="rId2" display="https://files.afu.se/Downloads/Transcripts/0%20-%20Government/USA%20-%20NASA/"/>
    <hyperlink ref="C320" r:id="rId320" display="https://youtu.be/E4mnpHvK8yM"/>
    <hyperlink ref="F320" r:id="rId2" display="https://files.afu.se/Downloads/Transcripts/0%20-%20Government/USA%20-%20NASA/"/>
    <hyperlink ref="C321" r:id="rId321" display="https://youtu.be/J04YN9azln8"/>
    <hyperlink ref="F321" r:id="rId2" display="https://files.afu.se/Downloads/Transcripts/0%20-%20Government/USA%20-%20NASA/"/>
    <hyperlink ref="C322" r:id="rId322" display="https://youtu.be/mUdd2Sm1h_I"/>
    <hyperlink ref="F322" r:id="rId2" display="https://files.afu.se/Downloads/Transcripts/0%20-%20Government/USA%20-%20NASA/"/>
    <hyperlink ref="C323" r:id="rId323" display="https://youtu.be/_HqZn1BePqM"/>
    <hyperlink ref="F323" r:id="rId2" display="https://files.afu.se/Downloads/Transcripts/0%20-%20Government/USA%20-%20NASA/"/>
    <hyperlink ref="C324" r:id="rId324" display="https://youtu.be/-4jQQu8eyUw"/>
    <hyperlink ref="F324" r:id="rId2" display="https://files.afu.se/Downloads/Transcripts/0%20-%20Government/USA%20-%20NASA/"/>
    <hyperlink ref="C325" r:id="rId325" display="https://youtu.be/IkXIdup6vqo"/>
    <hyperlink ref="F325" r:id="rId2" display="https://files.afu.se/Downloads/Transcripts/0%20-%20Government/USA%20-%20NASA/"/>
    <hyperlink ref="C326" r:id="rId326" display="https://youtu.be/OCETx0Lyy2M"/>
    <hyperlink ref="F326" r:id="rId2" display="https://files.afu.se/Downloads/Transcripts/0%20-%20Government/USA%20-%20NASA/"/>
    <hyperlink ref="C327" r:id="rId327" display="https://youtu.be/3elbEt0lohM"/>
    <hyperlink ref="F327" r:id="rId2" display="https://files.afu.se/Downloads/Transcripts/0%20-%20Government/USA%20-%20NASA/"/>
    <hyperlink ref="C328" r:id="rId328" display="https://youtu.be/Fc3dV87zloY"/>
    <hyperlink ref="F328" r:id="rId2" display="https://files.afu.se/Downloads/Transcripts/0%20-%20Government/USA%20-%20NASA/"/>
    <hyperlink ref="C329" r:id="rId329" display="https://youtu.be/UnxhawYoKCI"/>
    <hyperlink ref="F329" r:id="rId2" display="https://files.afu.se/Downloads/Transcripts/0%20-%20Government/USA%20-%20NASA/"/>
    <hyperlink ref="C330" r:id="rId330" display="https://youtu.be/8DQeFmWUyd8"/>
    <hyperlink ref="F330" r:id="rId2" display="https://files.afu.se/Downloads/Transcripts/0%20-%20Government/USA%20-%20NASA/"/>
    <hyperlink ref="C331" r:id="rId331" display="https://youtu.be/bFUoXFbS5RI"/>
    <hyperlink ref="F331" r:id="rId2" display="https://files.afu.se/Downloads/Transcripts/0%20-%20Government/USA%20-%20NASA/"/>
    <hyperlink ref="C332" r:id="rId332" display="https://youtu.be/WpJT54UrM00"/>
    <hyperlink ref="F332" r:id="rId2" display="https://files.afu.se/Downloads/Transcripts/0%20-%20Government/USA%20-%20NASA/"/>
    <hyperlink ref="C333" r:id="rId333" display="https://youtu.be/TiUvXmRDwEQ"/>
    <hyperlink ref="F333" r:id="rId2" display="https://files.afu.se/Downloads/Transcripts/0%20-%20Government/USA%20-%20NASA/"/>
    <hyperlink ref="C334" r:id="rId334" display="https://youtu.be/NH44vP7R_58"/>
    <hyperlink ref="F334" r:id="rId2" display="https://files.afu.se/Downloads/Transcripts/0%20-%20Government/USA%20-%20NASA/"/>
    <hyperlink ref="C335" r:id="rId335" display="https://youtu.be/y-sA3R4MWjA"/>
    <hyperlink ref="F335" r:id="rId2" display="https://files.afu.se/Downloads/Transcripts/0%20-%20Government/USA%20-%20NASA/"/>
    <hyperlink ref="C336" r:id="rId336" display="https://youtu.be/k1UcseLVNVc"/>
    <hyperlink ref="F336" r:id="rId2" display="https://files.afu.se/Downloads/Transcripts/0%20-%20Government/USA%20-%20NASA/"/>
    <hyperlink ref="C337" r:id="rId337" display="https://youtu.be/XKr09ZbXYUo"/>
    <hyperlink ref="F337" r:id="rId2" display="https://files.afu.se/Downloads/Transcripts/0%20-%20Government/USA%20-%20NASA/"/>
    <hyperlink ref="C338" r:id="rId338" display="https://youtu.be/66RYpY_adnw"/>
    <hyperlink ref="F338" r:id="rId2" display="https://files.afu.se/Downloads/Transcripts/0%20-%20Government/USA%20-%20NASA/"/>
    <hyperlink ref="C339" r:id="rId339" display="https://youtu.be/VdDK_eIEO-o"/>
    <hyperlink ref="F339" r:id="rId2" display="https://files.afu.se/Downloads/Transcripts/0%20-%20Government/USA%20-%20NASA/"/>
    <hyperlink ref="C340" r:id="rId340" display="https://youtu.be/4pkhD96dMdg"/>
    <hyperlink ref="F340" r:id="rId2" display="https://files.afu.se/Downloads/Transcripts/0%20-%20Government/USA%20-%20NASA/"/>
    <hyperlink ref="C341" r:id="rId341" display="https://youtu.be/Xh2IU9EWwFw"/>
    <hyperlink ref="F341" r:id="rId2" display="https://files.afu.se/Downloads/Transcripts/0%20-%20Government/USA%20-%20NASA/"/>
    <hyperlink ref="C342" r:id="rId342" display="https://youtu.be/GgmRAV8HNKE"/>
    <hyperlink ref="F342" r:id="rId2" display="https://files.afu.se/Downloads/Transcripts/0%20-%20Government/USA%20-%20NASA/"/>
    <hyperlink ref="C343" r:id="rId343" display="https://youtu.be/0ZOhJe_7GrE"/>
    <hyperlink ref="F343" r:id="rId2" display="https://files.afu.se/Downloads/Transcripts/0%20-%20Government/USA%20-%20NASA/"/>
    <hyperlink ref="C344" r:id="rId344" display="https://youtu.be/g4tld6ppv7Q"/>
    <hyperlink ref="F344" r:id="rId2" display="https://files.afu.se/Downloads/Transcripts/0%20-%20Government/USA%20-%20NASA/"/>
    <hyperlink ref="C345" r:id="rId345" display="https://youtu.be/qTtP9NKuxxY"/>
    <hyperlink ref="F345" r:id="rId2" display="https://files.afu.se/Downloads/Transcripts/0%20-%20Government/USA%20-%20NASA/"/>
    <hyperlink ref="C346" r:id="rId346" display="https://youtu.be/cr4nZkw0k28"/>
    <hyperlink ref="F346" r:id="rId2" display="https://files.afu.se/Downloads/Transcripts/0%20-%20Government/USA%20-%20NASA/"/>
    <hyperlink ref="C347" r:id="rId347" display="https://youtu.be/dpQUTSPGz-0"/>
    <hyperlink ref="F347" r:id="rId2" display="https://files.afu.se/Downloads/Transcripts/0%20-%20Government/USA%20-%20NASA/"/>
    <hyperlink ref="C348" r:id="rId348" display="https://youtu.be/nPmQbhlVeMs"/>
    <hyperlink ref="F348" r:id="rId2" display="https://files.afu.se/Downloads/Transcripts/0%20-%20Government/USA%20-%20NASA/"/>
    <hyperlink ref="C349" r:id="rId349" display="https://youtu.be/t_oorb24lrg"/>
    <hyperlink ref="F349" r:id="rId2" display="https://files.afu.se/Downloads/Transcripts/0%20-%20Government/USA%20-%20NASA/"/>
    <hyperlink ref="C350" r:id="rId350" display="https://youtu.be/OvzeB1TI5qw"/>
    <hyperlink ref="F350" r:id="rId2" display="https://files.afu.se/Downloads/Transcripts/0%20-%20Government/USA%20-%20NASA/"/>
    <hyperlink ref="C351" r:id="rId351" display="https://youtu.be/t2AgFb4jL1M"/>
    <hyperlink ref="F351" r:id="rId2" display="https://files.afu.se/Downloads/Transcripts/0%20-%20Government/USA%20-%20NASA/"/>
    <hyperlink ref="C352" r:id="rId352" display="https://youtu.be/b__IE2vtInQ"/>
    <hyperlink ref="F352" r:id="rId2" display="https://files.afu.se/Downloads/Transcripts/0%20-%20Government/USA%20-%20NASA/"/>
    <hyperlink ref="C353" r:id="rId353" display="https://youtu.be/bxqoMwUTcj0"/>
    <hyperlink ref="F353" r:id="rId2" display="https://files.afu.se/Downloads/Transcripts/0%20-%20Government/USA%20-%20NASA/"/>
    <hyperlink ref="C354" r:id="rId354" display="https://youtu.be/Dqk3HbwNo1g"/>
    <hyperlink ref="F354" r:id="rId2" display="https://files.afu.se/Downloads/Transcripts/0%20-%20Government/USA%20-%20NASA/"/>
    <hyperlink ref="C355" r:id="rId355" display="https://youtu.be/OsIhTw0CK8U"/>
    <hyperlink ref="F355" r:id="rId2" display="https://files.afu.se/Downloads/Transcripts/0%20-%20Government/USA%20-%20NASA/"/>
    <hyperlink ref="C356" r:id="rId356" display="https://youtu.be/fIvSACh46YM"/>
    <hyperlink ref="F356" r:id="rId2" display="https://files.afu.se/Downloads/Transcripts/0%20-%20Government/USA%20-%20NASA/"/>
    <hyperlink ref="C357" r:id="rId357" display="https://youtu.be/ldRl10hMm9U"/>
    <hyperlink ref="F357" r:id="rId2" display="https://files.afu.se/Downloads/Transcripts/0%20-%20Government/USA%20-%20NASA/"/>
    <hyperlink ref="C358" r:id="rId358" display="https://youtu.be/-A58krE7bBE"/>
    <hyperlink ref="F358" r:id="rId2" display="https://files.afu.se/Downloads/Transcripts/0%20-%20Government/USA%20-%20NASA/"/>
    <hyperlink ref="C359" r:id="rId359" display="https://youtu.be/JPqjGLcGbyU"/>
    <hyperlink ref="F359" r:id="rId2" display="https://files.afu.se/Downloads/Transcripts/0%20-%20Government/USA%20-%20NASA/"/>
    <hyperlink ref="C360" r:id="rId360" display="https://youtu.be/-kaysm_xhM8"/>
    <hyperlink ref="F360" r:id="rId2" display="https://files.afu.se/Downloads/Transcripts/0%20-%20Government/USA%20-%20NASA/"/>
    <hyperlink ref="C361" r:id="rId361" display="https://youtu.be/GUqsH5y1j1M"/>
    <hyperlink ref="F361" r:id="rId2" display="https://files.afu.se/Downloads/Transcripts/0%20-%20Government/USA%20-%20NASA/"/>
    <hyperlink ref="C362" r:id="rId362" display="https://youtu.be/irbigpycU8w"/>
    <hyperlink ref="F362" r:id="rId2" display="https://files.afu.se/Downloads/Transcripts/0%20-%20Government/USA%20-%20NASA/"/>
    <hyperlink ref="C363" r:id="rId363" display="https://youtu.be/4czjS9h4Fpg"/>
    <hyperlink ref="F363" r:id="rId2" display="https://files.afu.se/Downloads/Transcripts/0%20-%20Government/USA%20-%20NASA/"/>
    <hyperlink ref="C364" r:id="rId364" display="https://youtu.be/vaB7eZ5jNn4"/>
    <hyperlink ref="F364" r:id="rId2" display="https://files.afu.se/Downloads/Transcripts/0%20-%20Government/USA%20-%20NASA/"/>
    <hyperlink ref="C365" r:id="rId365" display="https://youtu.be/TIHDSfOlSKc"/>
    <hyperlink ref="F365" r:id="rId2" display="https://files.afu.se/Downloads/Transcripts/0%20-%20Government/USA%20-%20NASA/"/>
    <hyperlink ref="C366" r:id="rId366" display="https://youtu.be/AKA9FeqX_ns"/>
    <hyperlink ref="F366" r:id="rId2" display="https://files.afu.se/Downloads/Transcripts/0%20-%20Government/USA%20-%20NASA/"/>
    <hyperlink ref="C367" r:id="rId367" display="https://youtu.be/5peaq6aKIvI"/>
    <hyperlink ref="F367" r:id="rId2" display="https://files.afu.se/Downloads/Transcripts/0%20-%20Government/USA%20-%20NASA/"/>
    <hyperlink ref="C368" r:id="rId368" display="https://youtu.be/RmQpLuc0MtE"/>
    <hyperlink ref="F368" r:id="rId2" display="https://files.afu.se/Downloads/Transcripts/0%20-%20Government/USA%20-%20NASA/"/>
    <hyperlink ref="C369" r:id="rId369" display="https://youtu.be/TgcI8ur72x0"/>
    <hyperlink ref="F369" r:id="rId2" display="https://files.afu.se/Downloads/Transcripts/0%20-%20Government/USA%20-%20NASA/"/>
    <hyperlink ref="C370" r:id="rId370" display="https://youtu.be/uMjXb7T-evE"/>
    <hyperlink ref="F370" r:id="rId2" display="https://files.afu.se/Downloads/Transcripts/0%20-%20Government/USA%20-%20NASA/"/>
    <hyperlink ref="C371" r:id="rId371" display="https://youtu.be/8MbcriX4dks"/>
    <hyperlink ref="F371" r:id="rId2" display="https://files.afu.se/Downloads/Transcripts/0%20-%20Government/USA%20-%20NASA/"/>
    <hyperlink ref="C372" r:id="rId372" display="https://youtu.be/AK0blY50X5c"/>
    <hyperlink ref="F372" r:id="rId2" display="https://files.afu.se/Downloads/Transcripts/0%20-%20Government/USA%20-%20NASA/"/>
    <hyperlink ref="C373" r:id="rId373" display="https://youtu.be/iqRRWse9DaY"/>
    <hyperlink ref="F373" r:id="rId2" display="https://files.afu.se/Downloads/Transcripts/0%20-%20Government/USA%20-%20NASA/"/>
    <hyperlink ref="C374" r:id="rId374" display="https://youtu.be/iHlMyvBvVTE"/>
    <hyperlink ref="F374" r:id="rId2" display="https://files.afu.se/Downloads/Transcripts/0%20-%20Government/USA%20-%20NASA/"/>
    <hyperlink ref="C375" r:id="rId375" display="https://youtu.be/vwfe-KQJwNc"/>
    <hyperlink ref="F375" r:id="rId2" display="https://files.afu.se/Downloads/Transcripts/0%20-%20Government/USA%20-%20NASA/"/>
    <hyperlink ref="C376" r:id="rId376" display="https://youtu.be/UnRwCRWeLqw"/>
    <hyperlink ref="F376" r:id="rId2" display="https://files.afu.se/Downloads/Transcripts/0%20-%20Government/USA%20-%20NASA/"/>
    <hyperlink ref="C377" r:id="rId377" display="https://youtu.be/7xXWHklpOqI"/>
    <hyperlink ref="F377" r:id="rId2" display="https://files.afu.se/Downloads/Transcripts/0%20-%20Government/USA%20-%20NASA/"/>
    <hyperlink ref="C378" r:id="rId378" display="https://youtu.be/l7MMTm1-DAA"/>
    <hyperlink ref="F378" r:id="rId2" display="https://files.afu.se/Downloads/Transcripts/0%20-%20Government/USA%20-%20NASA/"/>
    <hyperlink ref="C379" r:id="rId379" display="https://youtu.be/KA-aYSyeBB0"/>
    <hyperlink ref="F379" r:id="rId2" display="https://files.afu.se/Downloads/Transcripts/0%20-%20Government/USA%20-%20NASA/"/>
    <hyperlink ref="C380" r:id="rId380" display="https://youtu.be/t3uLFB5IxRk"/>
    <hyperlink ref="F380" r:id="rId2" display="https://files.afu.se/Downloads/Transcripts/0%20-%20Government/USA%20-%20NASA/"/>
    <hyperlink ref="C381" r:id="rId381" display="https://youtu.be/jhbL9JtTIQg"/>
    <hyperlink ref="F381" r:id="rId2" display="https://files.afu.se/Downloads/Transcripts/0%20-%20Government/USA%20-%20NASA/"/>
    <hyperlink ref="C382" r:id="rId382" display="https://youtu.be/0hSdAvJhpm4"/>
    <hyperlink ref="F382" r:id="rId2" display="https://files.afu.se/Downloads/Transcripts/0%20-%20Government/USA%20-%20NASA/"/>
    <hyperlink ref="C383" r:id="rId383" display="https://youtu.be/sxajQGQp4-s"/>
    <hyperlink ref="F383" r:id="rId2" display="https://files.afu.se/Downloads/Transcripts/0%20-%20Government/USA%20-%20NASA/"/>
    <hyperlink ref="C384" r:id="rId384" display="https://youtu.be/iZ3pNJlozLY"/>
    <hyperlink ref="F384" r:id="rId2" display="https://files.afu.se/Downloads/Transcripts/0%20-%20Government/USA%20-%20NASA/"/>
    <hyperlink ref="C385" r:id="rId385" display="https://youtu.be/PapBjpzRhnA"/>
    <hyperlink ref="F385" r:id="rId2" display="https://files.afu.se/Downloads/Transcripts/0%20-%20Government/USA%20-%20NASA/"/>
    <hyperlink ref="C386" r:id="rId386" display="https://youtu.be/aDhvP6qEvVM"/>
    <hyperlink ref="F386" r:id="rId2" display="https://files.afu.se/Downloads/Transcripts/0%20-%20Government/USA%20-%20NASA/"/>
    <hyperlink ref="C387" r:id="rId387" display="https://youtu.be/DIkqs9_FK28"/>
    <hyperlink ref="F387" r:id="rId2" display="https://files.afu.se/Downloads/Transcripts/0%20-%20Government/USA%20-%20NASA/"/>
    <hyperlink ref="C388" r:id="rId388" display="https://youtu.be/_fRSaLAEW2s"/>
    <hyperlink ref="F388" r:id="rId2" display="https://files.afu.se/Downloads/Transcripts/0%20-%20Government/USA%20-%20NASA/"/>
    <hyperlink ref="C389" r:id="rId389" display="https://youtu.be/I5c0a6mBF8k"/>
    <hyperlink ref="F389" r:id="rId2" display="https://files.afu.se/Downloads/Transcripts/0%20-%20Government/USA%20-%20NASA/"/>
    <hyperlink ref="C390" r:id="rId390" display="https://youtu.be/49-2VDRBRX4"/>
    <hyperlink ref="F390" r:id="rId2" display="https://files.afu.se/Downloads/Transcripts/0%20-%20Government/USA%20-%20NASA/"/>
    <hyperlink ref="C391" r:id="rId391" display="https://youtu.be/HgHr_1DOrrU"/>
    <hyperlink ref="F391" r:id="rId2" display="https://files.afu.se/Downloads/Transcripts/0%20-%20Government/USA%20-%20NASA/"/>
    <hyperlink ref="C392" r:id="rId392" display="https://youtu.be/GtgxGhXLDBQ"/>
    <hyperlink ref="F392" r:id="rId2" display="https://files.afu.se/Downloads/Transcripts/0%20-%20Government/USA%20-%20NASA/"/>
    <hyperlink ref="C393" r:id="rId393" display="https://youtu.be/3yumLKlB_Ww"/>
    <hyperlink ref="F393" r:id="rId2" display="https://files.afu.se/Downloads/Transcripts/0%20-%20Government/USA%20-%20NASA/"/>
    <hyperlink ref="C394" r:id="rId394" display="https://youtu.be/TURJhJB9F-Y"/>
    <hyperlink ref="F394" r:id="rId2" display="https://files.afu.se/Downloads/Transcripts/0%20-%20Government/USA%20-%20NASA/"/>
    <hyperlink ref="C395" r:id="rId395" display="https://youtu.be/YSXIOxFhLiM"/>
    <hyperlink ref="F395" r:id="rId2" display="https://files.afu.se/Downloads/Transcripts/0%20-%20Government/USA%20-%20NASA/"/>
    <hyperlink ref="C396" r:id="rId396" display="https://youtu.be/kbS6gzmvrpY"/>
    <hyperlink ref="F396" r:id="rId2" display="https://files.afu.se/Downloads/Transcripts/0%20-%20Government/USA%20-%20NASA/"/>
    <hyperlink ref="C397" r:id="rId397" display="https://youtu.be/iIlAkbUKHKU"/>
    <hyperlink ref="F397" r:id="rId2" display="https://files.afu.se/Downloads/Transcripts/0%20-%20Government/USA%20-%20NASA/"/>
    <hyperlink ref="C398" r:id="rId398" display="https://youtu.be/180pFU_h5Eg"/>
    <hyperlink ref="F398" r:id="rId2" display="https://files.afu.se/Downloads/Transcripts/0%20-%20Government/USA%20-%20NASA/"/>
    <hyperlink ref="C399" r:id="rId399" display="https://youtu.be/8WO2JzzJPVQ"/>
    <hyperlink ref="F399" r:id="rId2" display="https://files.afu.se/Downloads/Transcripts/0%20-%20Government/USA%20-%20NASA/"/>
    <hyperlink ref="C400" r:id="rId400" display="https://youtu.be/IdP-RFD9Plc"/>
    <hyperlink ref="F400" r:id="rId2" display="https://files.afu.se/Downloads/Transcripts/0%20-%20Government/USA%20-%20NASA/"/>
    <hyperlink ref="C401" r:id="rId401" display="https://youtu.be/szkJlHqriDY"/>
    <hyperlink ref="F401" r:id="rId2" display="https://files.afu.se/Downloads/Transcripts/0%20-%20Government/USA%20-%20NASA/"/>
    <hyperlink ref="C402" r:id="rId402" display="https://youtu.be/3jQuovAcUm4"/>
    <hyperlink ref="F402" r:id="rId2" display="https://files.afu.se/Downloads/Transcripts/0%20-%20Government/USA%20-%20NASA/"/>
    <hyperlink ref="C403" r:id="rId403" display="https://youtu.be/5VEkTuD3NIk"/>
    <hyperlink ref="F403" r:id="rId2" display="https://files.afu.se/Downloads/Transcripts/0%20-%20Government/USA%20-%20NASA/"/>
    <hyperlink ref="C404" r:id="rId404" display="https://youtu.be/BC5khqpKovU"/>
    <hyperlink ref="F404" r:id="rId2" display="https://files.afu.se/Downloads/Transcripts/0%20-%20Government/USA%20-%20NASA/"/>
    <hyperlink ref="C405" r:id="rId405" display="https://youtu.be/CW5-q-JxC3o"/>
    <hyperlink ref="F405" r:id="rId2" display="https://files.afu.se/Downloads/Transcripts/0%20-%20Government/USA%20-%20NASA/"/>
    <hyperlink ref="C406" r:id="rId406" display="https://youtu.be/GqAheEDtWK4"/>
    <hyperlink ref="F406" r:id="rId2" display="https://files.afu.se/Downloads/Transcripts/0%20-%20Government/USA%20-%20NASA/"/>
    <hyperlink ref="C407" r:id="rId407" display="https://youtu.be/M_UBqIsUL1A"/>
    <hyperlink ref="F407" r:id="rId2" display="https://files.afu.se/Downloads/Transcripts/0%20-%20Government/USA%20-%20NASA/"/>
    <hyperlink ref="C408" r:id="rId408" display="https://youtu.be/N7mz_xz5RN0"/>
    <hyperlink ref="F408" r:id="rId2" display="https://files.afu.se/Downloads/Transcripts/0%20-%20Government/USA%20-%20NASA/"/>
    <hyperlink ref="C409" r:id="rId409" display="https://youtu.be/NcMCxIbPyws"/>
    <hyperlink ref="F409" r:id="rId2" display="https://files.afu.se/Downloads/Transcripts/0%20-%20Government/USA%20-%20NASA/"/>
    <hyperlink ref="C410" r:id="rId410" display="https://youtu.be/bSKc8xvvd80"/>
    <hyperlink ref="F410" r:id="rId2" display="https://files.afu.se/Downloads/Transcripts/0%20-%20Government/USA%20-%20NASA/"/>
    <hyperlink ref="C411" r:id="rId411" display="https://youtu.be/cyePTXNJ1p4"/>
    <hyperlink ref="F411" r:id="rId2" display="https://files.afu.se/Downloads/Transcripts/0%20-%20Government/USA%20-%20NASA/"/>
    <hyperlink ref="C412" r:id="rId412" display="https://youtu.be/jo-TeN2_lxE"/>
    <hyperlink ref="F412" r:id="rId2" display="https://files.afu.se/Downloads/Transcripts/0%20-%20Government/USA%20-%20NASA/"/>
    <hyperlink ref="C413" r:id="rId413" display="https://youtu.be/pyGrcfUK2Ts"/>
    <hyperlink ref="F413" r:id="rId2" display="https://files.afu.se/Downloads/Transcripts/0%20-%20Government/USA%20-%20NASA/"/>
    <hyperlink ref="C414" r:id="rId414" display="https://youtu.be/lSKw3R0e97Y"/>
    <hyperlink ref="F414" r:id="rId2" display="https://files.afu.se/Downloads/Transcripts/0%20-%20Government/USA%20-%20NASA/"/>
    <hyperlink ref="C415" r:id="rId415" display="https://youtu.be/u1stIxjQV-Q"/>
    <hyperlink ref="F415" r:id="rId2" display="https://files.afu.se/Downloads/Transcripts/0%20-%20Government/USA%20-%20NASA/"/>
    <hyperlink ref="C416" r:id="rId416" display="https://youtu.be/xJpbemMjqQo"/>
    <hyperlink ref="F416" r:id="rId2" display="https://files.afu.se/Downloads/Transcripts/0%20-%20Government/USA%20-%20NASA/"/>
    <hyperlink ref="C417" r:id="rId417" display="https://youtu.be/ydRjW7keLGo"/>
    <hyperlink ref="F417" r:id="rId2" display="https://files.afu.se/Downloads/Transcripts/0%20-%20Government/USA%20-%20NASA/"/>
    <hyperlink ref="C418" r:id="rId418" display="https://youtu.be/9Xx0IRlh4hw"/>
    <hyperlink ref="F418" r:id="rId2" display="https://files.afu.se/Downloads/Transcripts/0%20-%20Government/USA%20-%20NASA/"/>
    <hyperlink ref="C419" r:id="rId419" display="https://youtu.be/orXKd7kTWiw"/>
    <hyperlink ref="F419" r:id="rId2" display="https://files.afu.se/Downloads/Transcripts/0%20-%20Government/USA%20-%20NASA/"/>
    <hyperlink ref="C420" r:id="rId420" display="https://youtu.be/zMYbirKXmSY"/>
    <hyperlink ref="F420" r:id="rId2" display="https://files.afu.se/Downloads/Transcripts/0%20-%20Government/USA%20-%20NASA/"/>
    <hyperlink ref="C421" r:id="rId421" display="https://youtu.be/UeIcDAhcQA8"/>
    <hyperlink ref="F421" r:id="rId2" display="https://files.afu.se/Downloads/Transcripts/0%20-%20Government/USA%20-%20NASA/"/>
    <hyperlink ref="C422" r:id="rId422" display="https://youtu.be/lr4r70DWShk"/>
    <hyperlink ref="F422" r:id="rId2" display="https://files.afu.se/Downloads/Transcripts/0%20-%20Government/USA%20-%20NASA/"/>
    <hyperlink ref="C423" r:id="rId423" display="https://youtu.be/qzpct7J4wfo"/>
    <hyperlink ref="F423" r:id="rId2" display="https://files.afu.se/Downloads/Transcripts/0%20-%20Government/USA%20-%20NASA/"/>
    <hyperlink ref="C424" r:id="rId424" display="https://youtu.be/G3yNvuCWDtU"/>
    <hyperlink ref="F424" r:id="rId2" display="https://files.afu.se/Downloads/Transcripts/0%20-%20Government/USA%20-%20NASA/"/>
    <hyperlink ref="C425" r:id="rId425" display="https://youtu.be/Dcy4yZb13fE"/>
    <hyperlink ref="F425" r:id="rId2" display="https://files.afu.se/Downloads/Transcripts/0%20-%20Government/USA%20-%20NASA/"/>
    <hyperlink ref="C426" r:id="rId426" display="https://youtu.be/QgPXtQQnQ-k"/>
    <hyperlink ref="F426" r:id="rId2" display="https://files.afu.se/Downloads/Transcripts/0%20-%20Government/USA%20-%20NASA/"/>
    <hyperlink ref="C427" r:id="rId427" display="https://youtu.be/rOvt25CYSb4"/>
    <hyperlink ref="F427" r:id="rId2" display="https://files.afu.se/Downloads/Transcripts/0%20-%20Government/USA%20-%20NASA/"/>
    <hyperlink ref="C428" r:id="rId428" display="https://youtu.be/PYLhLA_sv6E"/>
    <hyperlink ref="F428" r:id="rId2" display="https://files.afu.se/Downloads/Transcripts/0%20-%20Government/USA%20-%20NASA/"/>
    <hyperlink ref="C429" r:id="rId429" display="https://youtu.be/jAXm_J0KALc"/>
    <hyperlink ref="F429" r:id="rId2" display="https://files.afu.se/Downloads/Transcripts/0%20-%20Government/USA%20-%20NASA/"/>
    <hyperlink ref="C430" r:id="rId430" display="https://youtu.be/jD0QlR_J8vE"/>
    <hyperlink ref="F430" r:id="rId2" display="https://files.afu.se/Downloads/Transcripts/0%20-%20Government/USA%20-%20NASA/"/>
    <hyperlink ref="C431" r:id="rId431" display="https://youtu.be/9zj5-KzHJrY"/>
    <hyperlink ref="F431" r:id="rId2" display="https://files.afu.se/Downloads/Transcripts/0%20-%20Government/USA%20-%20NASA/"/>
    <hyperlink ref="C432" r:id="rId432" display="https://youtu.be/FWPyBmd1Cv0"/>
    <hyperlink ref="F432" r:id="rId2" display="https://files.afu.se/Downloads/Transcripts/0%20-%20Government/USA%20-%20NASA/"/>
    <hyperlink ref="C433" r:id="rId433" display="https://youtu.be/zYGnnfhq8ek"/>
    <hyperlink ref="F433" r:id="rId2" display="https://files.afu.se/Downloads/Transcripts/0%20-%20Government/USA%20-%20NASA/"/>
    <hyperlink ref="C434" r:id="rId434" display="https://youtu.be/RzDFkmqbZBA"/>
    <hyperlink ref="F434" r:id="rId2" display="https://files.afu.se/Downloads/Transcripts/0%20-%20Government/USA%20-%20NASA/"/>
    <hyperlink ref="C435" r:id="rId435" display="https://youtu.be/T0_RJ4fbWA4"/>
    <hyperlink ref="F435" r:id="rId2" display="https://files.afu.se/Downloads/Transcripts/0%20-%20Government/USA%20-%20NASA/"/>
    <hyperlink ref="C436" r:id="rId436" display="https://youtu.be/k2MSw-_hxgg"/>
    <hyperlink ref="F436" r:id="rId2" display="https://files.afu.se/Downloads/Transcripts/0%20-%20Government/USA%20-%20NASA/"/>
    <hyperlink ref="C437" r:id="rId437" display="https://youtu.be/X2XJm8LfaP8"/>
    <hyperlink ref="F437" r:id="rId2" display="https://files.afu.se/Downloads/Transcripts/0%20-%20Government/USA%20-%20NASA/"/>
    <hyperlink ref="C438" r:id="rId438" display="https://youtu.be/6Wj-5d3mE9U"/>
    <hyperlink ref="F438" r:id="rId2" display="https://files.afu.se/Downloads/Transcripts/0%20-%20Government/USA%20-%20NASA/"/>
    <hyperlink ref="C439" r:id="rId439" display="https://youtu.be/XkzB4UZe1JE"/>
    <hyperlink ref="F439" r:id="rId2" display="https://files.afu.se/Downloads/Transcripts/0%20-%20Government/USA%20-%20NASA/"/>
    <hyperlink ref="C440" r:id="rId440" display="https://youtu.be/v2GJwEOUsM4"/>
    <hyperlink ref="F440" r:id="rId2" display="https://files.afu.se/Downloads/Transcripts/0%20-%20Government/USA%20-%20NASA/"/>
    <hyperlink ref="C441" r:id="rId441" display="https://youtu.be/2st9aoYj1ZM"/>
    <hyperlink ref="F441" r:id="rId2" display="https://files.afu.se/Downloads/Transcripts/0%20-%20Government/USA%20-%20NASA/"/>
    <hyperlink ref="C442" r:id="rId442" display="https://youtu.be/3OpDe4v9MbI"/>
    <hyperlink ref="F442" r:id="rId2" display="https://files.afu.se/Downloads/Transcripts/0%20-%20Government/USA%20-%20NASA/"/>
    <hyperlink ref="C443" r:id="rId443" display="https://youtu.be/zjJc8vSPNyk"/>
    <hyperlink ref="F443" r:id="rId2" display="https://files.afu.se/Downloads/Transcripts/0%20-%20Government/USA%20-%20NASA/"/>
    <hyperlink ref="C444" r:id="rId444" display="https://youtu.be/ipxY_1Q2MWo"/>
    <hyperlink ref="F444" r:id="rId2" display="https://files.afu.se/Downloads/Transcripts/0%20-%20Government/USA%20-%20NASA/"/>
    <hyperlink ref="C445" r:id="rId445" display="https://youtu.be/0K61rP6t0L8"/>
    <hyperlink ref="F445" r:id="rId2" display="https://files.afu.se/Downloads/Transcripts/0%20-%20Government/USA%20-%20NASA/"/>
    <hyperlink ref="C446" r:id="rId446" display="https://youtu.be/__OCgKch7AI"/>
    <hyperlink ref="F446" r:id="rId2" display="https://files.afu.se/Downloads/Transcripts/0%20-%20Government/USA%20-%20NASA/"/>
    <hyperlink ref="C447" r:id="rId447" display="https://youtu.be/fvjfhFNN4M8"/>
    <hyperlink ref="F447" r:id="rId2" display="https://files.afu.se/Downloads/Transcripts/0%20-%20Government/USA%20-%20NASA/"/>
    <hyperlink ref="C448" r:id="rId448" display="https://youtu.be/FnYDx1RvtIc"/>
    <hyperlink ref="F448" r:id="rId2" display="https://files.afu.se/Downloads/Transcripts/0%20-%20Government/USA%20-%20NASA/"/>
    <hyperlink ref="C449" r:id="rId449" display="https://youtu.be/vDb3g_r0DfE"/>
    <hyperlink ref="F449" r:id="rId2" display="https://files.afu.se/Downloads/Transcripts/0%20-%20Government/USA%20-%20NASA/"/>
    <hyperlink ref="C450" r:id="rId450" display="https://youtu.be/XEAXTrtsu_0"/>
    <hyperlink ref="F450" r:id="rId2" display="https://files.afu.se/Downloads/Transcripts/0%20-%20Government/USA%20-%20NASA/"/>
    <hyperlink ref="C451" r:id="rId451" display="https://youtu.be/jszJbVoczEc"/>
    <hyperlink ref="F451" r:id="rId2" display="https://files.afu.se/Downloads/Transcripts/0%20-%20Government/USA%20-%20NASA/"/>
    <hyperlink ref="C452" r:id="rId452" display="https://youtu.be/g2mNoksl9CU"/>
    <hyperlink ref="F452" r:id="rId2" display="https://files.afu.se/Downloads/Transcripts/0%20-%20Government/USA%20-%20NASA/"/>
    <hyperlink ref="C453" r:id="rId453" display="https://youtu.be/zG3J57jMidk"/>
    <hyperlink ref="F453" r:id="rId2" display="https://files.afu.se/Downloads/Transcripts/0%20-%20Government/USA%20-%20NASA/"/>
    <hyperlink ref="C454" r:id="rId454" display="https://youtu.be/17ItVJG7fVE"/>
    <hyperlink ref="F454" r:id="rId2" display="https://files.afu.se/Downloads/Transcripts/0%20-%20Government/USA%20-%20NASA/"/>
    <hyperlink ref="C455" r:id="rId455" display="https://youtu.be/QfrLK9xFpYg"/>
    <hyperlink ref="F455" r:id="rId2" display="https://files.afu.se/Downloads/Transcripts/0%20-%20Government/USA%20-%20NASA/"/>
    <hyperlink ref="C456" r:id="rId456" display="https://youtu.be/N_737VvWq-Q"/>
    <hyperlink ref="F456" r:id="rId2" display="https://files.afu.se/Downloads/Transcripts/0%20-%20Government/USA%20-%20NASA/"/>
    <hyperlink ref="C457" r:id="rId457" display="https://youtu.be/u80H3FpTezA"/>
    <hyperlink ref="F457" r:id="rId2" display="https://files.afu.se/Downloads/Transcripts/0%20-%20Government/USA%20-%20NASA/"/>
    <hyperlink ref="C458" r:id="rId458" display="https://youtu.be/xWmtxizuntI"/>
    <hyperlink ref="F458" r:id="rId2" display="https://files.afu.se/Downloads/Transcripts/0%20-%20Government/USA%20-%20NASA/"/>
    <hyperlink ref="C459" r:id="rId459" display="https://youtu.be/uxtZwSSUJHw"/>
    <hyperlink ref="F459" r:id="rId2" display="https://files.afu.se/Downloads/Transcripts/0%20-%20Government/USA%20-%20NASA/"/>
    <hyperlink ref="C460" r:id="rId460" display="https://youtu.be/LkK2jLJ59As"/>
    <hyperlink ref="F460" r:id="rId2" display="https://files.afu.se/Downloads/Transcripts/0%20-%20Government/USA%20-%20NASA/"/>
    <hyperlink ref="C461" r:id="rId461" display="https://youtu.be/4fdbfLJYYgI"/>
    <hyperlink ref="F461" r:id="rId2" display="https://files.afu.se/Downloads/Transcripts/0%20-%20Government/USA%20-%20NASA/"/>
    <hyperlink ref="C462" r:id="rId462" display="https://youtu.be/mlTUDZX4oas"/>
    <hyperlink ref="F462" r:id="rId2" display="https://files.afu.se/Downloads/Transcripts/0%20-%20Government/USA%20-%20NASA/"/>
    <hyperlink ref="C463" r:id="rId463" display="https://youtu.be/rrzHZhZANXU"/>
    <hyperlink ref="F463" r:id="rId2" display="https://files.afu.se/Downloads/Transcripts/0%20-%20Government/USA%20-%20NASA/"/>
    <hyperlink ref="C464" r:id="rId464" display="https://youtu.be/-DmUZkJ9dnk"/>
    <hyperlink ref="F464" r:id="rId2" display="https://files.afu.se/Downloads/Transcripts/0%20-%20Government/USA%20-%20NASA/"/>
    <hyperlink ref="C465" r:id="rId465" display="https://youtu.be/o2t5mbpscfQ"/>
    <hyperlink ref="F465" r:id="rId2" display="https://files.afu.se/Downloads/Transcripts/0%20-%20Government/USA%20-%20NASA/"/>
    <hyperlink ref="C466" r:id="rId466" display="https://youtu.be/3NOmU06Vs6o"/>
    <hyperlink ref="F466" r:id="rId2" display="https://files.afu.se/Downloads/Transcripts/0%20-%20Government/USA%20-%20NASA/"/>
    <hyperlink ref="C467" r:id="rId467" display="https://youtu.be/afw7dMIrw6I"/>
    <hyperlink ref="F467" r:id="rId2" display="https://files.afu.se/Downloads/Transcripts/0%20-%20Government/USA%20-%20NASA/"/>
    <hyperlink ref="C468" r:id="rId468" display="https://youtu.be/V7bhhKOON_o"/>
    <hyperlink ref="F468" r:id="rId2" display="https://files.afu.se/Downloads/Transcripts/0%20-%20Government/USA%20-%20NASA/"/>
    <hyperlink ref="C469" r:id="rId469" display="https://youtu.be/-pJcbKr7iA4"/>
    <hyperlink ref="F469" r:id="rId2" display="https://files.afu.se/Downloads/Transcripts/0%20-%20Government/USA%20-%20NASA/"/>
    <hyperlink ref="C470" r:id="rId470" display="https://youtu.be/CqiIX5cE6BY"/>
    <hyperlink ref="F470" r:id="rId2" display="https://files.afu.se/Downloads/Transcripts/0%20-%20Government/USA%20-%20NASA/"/>
    <hyperlink ref="C471" r:id="rId471" display="https://youtu.be/gHJDD02Jwms"/>
    <hyperlink ref="F471" r:id="rId2" display="https://files.afu.se/Downloads/Transcripts/0%20-%20Government/USA%20-%20NASA/"/>
    <hyperlink ref="C472" r:id="rId472" display="https://youtu.be/PNop2HoNrbY"/>
    <hyperlink ref="F472" r:id="rId2" display="https://files.afu.se/Downloads/Transcripts/0%20-%20Government/USA%20-%20NASA/"/>
    <hyperlink ref="C473" r:id="rId473" display="https://youtu.be/IXKzwwdcUlE"/>
    <hyperlink ref="F473" r:id="rId2" display="https://files.afu.se/Downloads/Transcripts/0%20-%20Government/USA%20-%20NASA/"/>
    <hyperlink ref="C474" r:id="rId474" display="https://youtu.be/fnZ6G7hT-9I"/>
    <hyperlink ref="F474" r:id="rId2" display="https://files.afu.se/Downloads/Transcripts/0%20-%20Government/USA%20-%20NASA/"/>
    <hyperlink ref="C475" r:id="rId475" display="https://youtu.be/aKPE_WwN7Yc"/>
    <hyperlink ref="F475" r:id="rId2" display="https://files.afu.se/Downloads/Transcripts/0%20-%20Government/USA%20-%20NASA/"/>
    <hyperlink ref="C476" r:id="rId476" display="https://youtu.be/PQSagzssvUQ"/>
    <hyperlink ref="F476" r:id="rId2" display="https://files.afu.se/Downloads/Transcripts/0%20-%20Government/USA%20-%20NASA/"/>
    <hyperlink ref="C477" r:id="rId477" display="https://youtu.be/kz_UTSOfs7o"/>
    <hyperlink ref="F477" r:id="rId2" display="https://files.afu.se/Downloads/Transcripts/0%20-%20Government/USA%20-%20NASA/"/>
    <hyperlink ref="C478" r:id="rId478" display="https://youtu.be/_9AYw2EQm8s"/>
    <hyperlink ref="F478" r:id="rId2" display="https://files.afu.se/Downloads/Transcripts/0%20-%20Government/USA%20-%20NASA/"/>
    <hyperlink ref="C479" r:id="rId479" display="https://youtu.be/nHv5lQDwSVM"/>
    <hyperlink ref="F479" r:id="rId2" display="https://files.afu.se/Downloads/Transcripts/0%20-%20Government/USA%20-%20NASA/"/>
    <hyperlink ref="C480" r:id="rId480" display="https://youtu.be/8XFZfgjePlE"/>
    <hyperlink ref="F480" r:id="rId2" display="https://files.afu.se/Downloads/Transcripts/0%20-%20Government/USA%20-%20NASA/"/>
    <hyperlink ref="C481" r:id="rId481" display="https://youtu.be/OyaXBrttBFQ"/>
    <hyperlink ref="F481" r:id="rId2" display="https://files.afu.se/Downloads/Transcripts/0%20-%20Government/USA%20-%20NASA/"/>
    <hyperlink ref="C482" r:id="rId482" display="https://youtu.be/Ps_HtCYOFBk"/>
    <hyperlink ref="F482" r:id="rId2" display="https://files.afu.se/Downloads/Transcripts/0%20-%20Government/USA%20-%20NASA/"/>
    <hyperlink ref="C483" r:id="rId483" display="https://youtu.be/oEwwC9CakYU"/>
    <hyperlink ref="F483" r:id="rId2" display="https://files.afu.se/Downloads/Transcripts/0%20-%20Government/USA%20-%20NASA/"/>
    <hyperlink ref="C484" r:id="rId484" display="https://youtu.be/xwElqBcisMY"/>
    <hyperlink ref="F484" r:id="rId2" display="https://files.afu.se/Downloads/Transcripts/0%20-%20Government/USA%20-%20NASA/"/>
    <hyperlink ref="C485" r:id="rId485" display="https://youtu.be/PLc3_vxTNmM"/>
    <hyperlink ref="F485" r:id="rId2" display="https://files.afu.se/Downloads/Transcripts/0%20-%20Government/USA%20-%20NASA/"/>
    <hyperlink ref="C486" r:id="rId486" display="https://youtu.be/qDjvuBah3K0"/>
    <hyperlink ref="F486" r:id="rId2" display="https://files.afu.se/Downloads/Transcripts/0%20-%20Government/USA%20-%20NASA/"/>
    <hyperlink ref="C487" r:id="rId487" display="https://youtu.be/TUKA7ToC8R0"/>
    <hyperlink ref="F487" r:id="rId2" display="https://files.afu.se/Downloads/Transcripts/0%20-%20Government/USA%20-%20NASA/"/>
    <hyperlink ref="C488" r:id="rId488" display="https://youtu.be/mwQvcGE0kPI"/>
    <hyperlink ref="F488" r:id="rId2" display="https://files.afu.se/Downloads/Transcripts/0%20-%20Government/USA%20-%20NASA/"/>
    <hyperlink ref="C489" r:id="rId489" display="https://youtu.be/J3VuLKFnvlQ"/>
    <hyperlink ref="F489" r:id="rId2" display="https://files.afu.se/Downloads/Transcripts/0%20-%20Government/USA%20-%20NASA/"/>
    <hyperlink ref="C490" r:id="rId490" display="https://youtu.be/KAegwr_ToJI"/>
    <hyperlink ref="F490" r:id="rId2" display="https://files.afu.se/Downloads/Transcripts/0%20-%20Government/USA%20-%20NASA/"/>
    <hyperlink ref="C491" r:id="rId491" display="https://youtu.be/NHW_gq7dyXc"/>
    <hyperlink ref="F491" r:id="rId2" display="https://files.afu.se/Downloads/Transcripts/0%20-%20Government/USA%20-%20NASA/"/>
    <hyperlink ref="C492" r:id="rId492" display="https://youtu.be/ZRCTK5LpZXA"/>
    <hyperlink ref="F492" r:id="rId2" display="https://files.afu.se/Downloads/Transcripts/0%20-%20Government/USA%20-%20NASA/"/>
    <hyperlink ref="C493" r:id="rId493" display="https://youtu.be/McqMigM_YG8"/>
    <hyperlink ref="F493" r:id="rId2" display="https://files.afu.se/Downloads/Transcripts/0%20-%20Government/USA%20-%20NASA/"/>
    <hyperlink ref="C494" r:id="rId494" display="https://youtu.be/yNlAFzG44ko"/>
    <hyperlink ref="F494" r:id="rId2" display="https://files.afu.se/Downloads/Transcripts/0%20-%20Government/USA%20-%20NASA/"/>
    <hyperlink ref="C495" r:id="rId495" display="https://youtu.be/n7_qOWXe7Zw"/>
    <hyperlink ref="F495" r:id="rId2" display="https://files.afu.se/Downloads/Transcripts/0%20-%20Government/USA%20-%20NASA/"/>
    <hyperlink ref="C496" r:id="rId496" display="https://youtu.be/J7wWgmagmQw"/>
    <hyperlink ref="F496" r:id="rId2" display="https://files.afu.se/Downloads/Transcripts/0%20-%20Government/USA%20-%20NASA/"/>
    <hyperlink ref="C497" r:id="rId497" display="https://youtu.be/4ZKQoUGMNv4"/>
    <hyperlink ref="F497" r:id="rId2" display="https://files.afu.se/Downloads/Transcripts/0%20-%20Government/USA%20-%20NASA/"/>
    <hyperlink ref="C498" r:id="rId498" display="https://youtu.be/OnHqYgl88Yo"/>
    <hyperlink ref="F498" r:id="rId2" display="https://files.afu.se/Downloads/Transcripts/0%20-%20Government/USA%20-%20NASA/"/>
    <hyperlink ref="C499" r:id="rId499" display="https://youtu.be/knl6U7AP_ic"/>
    <hyperlink ref="F499" r:id="rId2" display="https://files.afu.se/Downloads/Transcripts/0%20-%20Government/USA%20-%20NASA/"/>
    <hyperlink ref="C500" r:id="rId500" display="https://youtu.be/qjJjyArol8c"/>
    <hyperlink ref="F500" r:id="rId2" display="https://files.afu.se/Downloads/Transcripts/0%20-%20Government/USA%20-%20NASA/"/>
    <hyperlink ref="C501" r:id="rId501" display="https://youtu.be/N0f-QkEVU7U"/>
    <hyperlink ref="F501" r:id="rId2" display="https://files.afu.se/Downloads/Transcripts/0%20-%20Government/USA%20-%20NASA/"/>
    <hyperlink ref="C502" r:id="rId502" display="https://youtu.be/1P-QBtEyDbQ"/>
    <hyperlink ref="F502" r:id="rId2" display="https://files.afu.se/Downloads/Transcripts/0%20-%20Government/USA%20-%20NASA/"/>
    <hyperlink ref="C503" r:id="rId503" display="https://youtu.be/gPJXgpSun04"/>
    <hyperlink ref="F503" r:id="rId2" display="https://files.afu.se/Downloads/Transcripts/0%20-%20Government/USA%20-%20NASA/"/>
    <hyperlink ref="C504" r:id="rId504" display="https://youtu.be/dAZKu_ojb14"/>
    <hyperlink ref="F504" r:id="rId2" display="https://files.afu.se/Downloads/Transcripts/0%20-%20Government/USA%20-%20NASA/"/>
    <hyperlink ref="C505" r:id="rId505" display="https://youtu.be/9m95j0rM9Zs"/>
    <hyperlink ref="F505" r:id="rId2" display="https://files.afu.se/Downloads/Transcripts/0%20-%20Government/USA%20-%20NASA/"/>
    <hyperlink ref="C506" r:id="rId506" display="https://youtu.be/-Ld_urt0tgg"/>
    <hyperlink ref="F506" r:id="rId2" display="https://files.afu.se/Downloads/Transcripts/0%20-%20Government/USA%20-%20NASA/"/>
    <hyperlink ref="C507" r:id="rId507" display="https://youtu.be/6qA9iaAUo8k"/>
    <hyperlink ref="F507" r:id="rId2" display="https://files.afu.se/Downloads/Transcripts/0%20-%20Government/USA%20-%20NASA/"/>
    <hyperlink ref="C508" r:id="rId508" display="https://youtu.be/P7KcRWrUS5E"/>
    <hyperlink ref="F508" r:id="rId2" display="https://files.afu.se/Downloads/Transcripts/0%20-%20Government/USA%20-%20NASA/"/>
    <hyperlink ref="C509" r:id="rId509" display="https://youtu.be/0E5r_94EQEk"/>
    <hyperlink ref="F509" r:id="rId2" display="https://files.afu.se/Downloads/Transcripts/0%20-%20Government/USA%20-%20NASA/"/>
    <hyperlink ref="C510" r:id="rId510" display="https://youtu.be/ZsXoC1HYr0o"/>
    <hyperlink ref="F510" r:id="rId2" display="https://files.afu.se/Downloads/Transcripts/0%20-%20Government/USA%20-%20NASA/"/>
    <hyperlink ref="C511" r:id="rId511" display="https://youtu.be/3HN_zx4JJfM"/>
    <hyperlink ref="F511" r:id="rId2" display="https://files.afu.se/Downloads/Transcripts/0%20-%20Government/USA%20-%20NASA/"/>
    <hyperlink ref="C512" r:id="rId512" display="https://youtu.be/r-OCcFnp2RA"/>
    <hyperlink ref="F512" r:id="rId2" display="https://files.afu.se/Downloads/Transcripts/0%20-%20Government/USA%20-%20NASA/"/>
    <hyperlink ref="C513" r:id="rId513" display="https://youtu.be/cp0t9fKtECA"/>
    <hyperlink ref="F513" r:id="rId2" display="https://files.afu.se/Downloads/Transcripts/0%20-%20Government/USA%20-%20NASA/"/>
    <hyperlink ref="C514" r:id="rId514" display="https://youtu.be/XXPCO3tcmig"/>
    <hyperlink ref="F514" r:id="rId2" display="https://files.afu.se/Downloads/Transcripts/0%20-%20Government/USA%20-%20NASA/"/>
    <hyperlink ref="C515" r:id="rId515" display="https://youtu.be/lLDTnvuSTSo"/>
    <hyperlink ref="F515" r:id="rId2" display="https://files.afu.se/Downloads/Transcripts/0%20-%20Government/USA%20-%20NASA/"/>
    <hyperlink ref="C516" r:id="rId516" display="https://youtu.be/ZM3CPui0fSI"/>
    <hyperlink ref="F516" r:id="rId2" display="https://files.afu.se/Downloads/Transcripts/0%20-%20Government/USA%20-%20NASA/"/>
    <hyperlink ref="C517" r:id="rId517" display="https://youtu.be/XRs8ho3_DJ8"/>
    <hyperlink ref="F517" r:id="rId2" display="https://files.afu.se/Downloads/Transcripts/0%20-%20Government/USA%20-%20NASA/"/>
    <hyperlink ref="C518" r:id="rId518" display="https://youtu.be/A60gk5gXMvc"/>
    <hyperlink ref="F518" r:id="rId2" display="https://files.afu.se/Downloads/Transcripts/0%20-%20Government/USA%20-%20NASA/"/>
    <hyperlink ref="C519" r:id="rId519" display="https://youtu.be/oXtJK-RJGZ8"/>
    <hyperlink ref="F519" r:id="rId2" display="https://files.afu.se/Downloads/Transcripts/0%20-%20Government/USA%20-%20NASA/"/>
    <hyperlink ref="C520" r:id="rId520" display="https://youtu.be/6fVza4gZ7Lk"/>
    <hyperlink ref="F520" r:id="rId2" display="https://files.afu.se/Downloads/Transcripts/0%20-%20Government/USA%20-%20NASA/"/>
    <hyperlink ref="C521" r:id="rId521" display="https://youtu.be/XpJ9GahiS8g"/>
    <hyperlink ref="F521" r:id="rId2" display="https://files.afu.se/Downloads/Transcripts/0%20-%20Government/USA%20-%20NASA/"/>
    <hyperlink ref="C522" r:id="rId522" display="https://youtu.be/NaI8xVY2noU"/>
    <hyperlink ref="F522" r:id="rId2" display="https://files.afu.se/Downloads/Transcripts/0%20-%20Government/USA%20-%20NASA/"/>
    <hyperlink ref="C523" r:id="rId523" display="https://youtu.be/mMSzxmsXXwY"/>
    <hyperlink ref="F523" r:id="rId2" display="https://files.afu.se/Downloads/Transcripts/0%20-%20Government/USA%20-%20NASA/"/>
    <hyperlink ref="C524" r:id="rId524" display="https://youtu.be/vpRPnhuz78U"/>
    <hyperlink ref="F524" r:id="rId2" display="https://files.afu.se/Downloads/Transcripts/0%20-%20Government/USA%20-%20NASA/"/>
    <hyperlink ref="C525" r:id="rId525" display="https://youtu.be/22BXPLkyocw"/>
    <hyperlink ref="F525" r:id="rId2" display="https://files.afu.se/Downloads/Transcripts/0%20-%20Government/USA%20-%20NASA/"/>
    <hyperlink ref="C526" r:id="rId526" display="https://youtu.be/llbIzbOStt4"/>
    <hyperlink ref="F526" r:id="rId2" display="https://files.afu.se/Downloads/Transcripts/0%20-%20Government/USA%20-%20NASA/"/>
    <hyperlink ref="C527" r:id="rId527" display="https://youtu.be/Y6mtakJYSAY"/>
    <hyperlink ref="F527" r:id="rId2" display="https://files.afu.se/Downloads/Transcripts/0%20-%20Government/USA%20-%20NASA/"/>
    <hyperlink ref="C528" r:id="rId528" display="https://youtu.be/l1he-6z95Fk"/>
    <hyperlink ref="F528" r:id="rId2" display="https://files.afu.se/Downloads/Transcripts/0%20-%20Government/USA%20-%20NASA/"/>
    <hyperlink ref="C529" r:id="rId529" display="https://youtu.be/4VuXstRwMaA"/>
    <hyperlink ref="F529" r:id="rId2" display="https://files.afu.se/Downloads/Transcripts/0%20-%20Government/USA%20-%20NASA/"/>
    <hyperlink ref="C530" r:id="rId530" display="https://youtu.be/brcs-Nra_FY"/>
    <hyperlink ref="F530" r:id="rId2" display="https://files.afu.se/Downloads/Transcripts/0%20-%20Government/USA%20-%20NASA/"/>
    <hyperlink ref="C531" r:id="rId531" display="https://youtu.be/vTWZrpLOgT8"/>
    <hyperlink ref="F531" r:id="rId2" display="https://files.afu.se/Downloads/Transcripts/0%20-%20Government/USA%20-%20NASA/"/>
    <hyperlink ref="C532" r:id="rId532" display="https://youtu.be/13RDPimvD_0"/>
    <hyperlink ref="F532" r:id="rId2" display="https://files.afu.se/Downloads/Transcripts/0%20-%20Government/USA%20-%20NASA/"/>
    <hyperlink ref="C533" r:id="rId533" display="https://youtu.be/yNnvWem8V3U"/>
    <hyperlink ref="F533" r:id="rId2" display="https://files.afu.se/Downloads/Transcripts/0%20-%20Government/USA%20-%20NASA/"/>
    <hyperlink ref="C534" r:id="rId534" display="https://youtu.be/hLL8wjUdQSo"/>
    <hyperlink ref="F534" r:id="rId2" display="https://files.afu.se/Downloads/Transcripts/0%20-%20Government/USA%20-%20NASA/"/>
    <hyperlink ref="C535" r:id="rId535" display="https://youtu.be/IwrtrxiwXTE"/>
    <hyperlink ref="F535" r:id="rId2" display="https://files.afu.se/Downloads/Transcripts/0%20-%20Government/USA%20-%20NASA/"/>
    <hyperlink ref="C536" r:id="rId536" display="https://youtu.be/Vou2QLrP7jU"/>
    <hyperlink ref="F536" r:id="rId2" display="https://files.afu.se/Downloads/Transcripts/0%20-%20Government/USA%20-%20NASA/"/>
    <hyperlink ref="C537" r:id="rId537" display="https://youtu.be/NtZCpq5QI64"/>
    <hyperlink ref="F537" r:id="rId2" display="https://files.afu.se/Downloads/Transcripts/0%20-%20Government/USA%20-%20NASA/"/>
    <hyperlink ref="C538" r:id="rId538" display="https://youtu.be/oGeocFnAaFc"/>
    <hyperlink ref="F538" r:id="rId2" display="https://files.afu.se/Downloads/Transcripts/0%20-%20Government/USA%20-%20NASA/"/>
    <hyperlink ref="C539" r:id="rId539" display="https://youtu.be/cS27PGmMFKg"/>
    <hyperlink ref="F539" r:id="rId2" display="https://files.afu.se/Downloads/Transcripts/0%20-%20Government/USA%20-%20NASA/"/>
    <hyperlink ref="C540" r:id="rId540" display="https://youtu.be/a-vwD3eHN6Q"/>
    <hyperlink ref="F540" r:id="rId2" display="https://files.afu.se/Downloads/Transcripts/0%20-%20Government/USA%20-%20NASA/"/>
    <hyperlink ref="C541" r:id="rId541" display="https://youtu.be/5EgRrAK8_HQ"/>
    <hyperlink ref="F541" r:id="rId2" display="https://files.afu.se/Downloads/Transcripts/0%20-%20Government/USA%20-%20NASA/"/>
    <hyperlink ref="C542" r:id="rId542" display="https://youtu.be/iezhtq-OLx0"/>
    <hyperlink ref="F542" r:id="rId2" display="https://files.afu.se/Downloads/Transcripts/0%20-%20Government/USA%20-%20NASA/"/>
    <hyperlink ref="C543" r:id="rId543" display="https://youtu.be/DUSOJcEuMzA"/>
    <hyperlink ref="F543" r:id="rId2" display="https://files.afu.se/Downloads/Transcripts/0%20-%20Government/USA%20-%20NASA/"/>
    <hyperlink ref="C544" r:id="rId544" display="https://youtu.be/jQaxUUraV_c"/>
    <hyperlink ref="F544" r:id="rId2" display="https://files.afu.se/Downloads/Transcripts/0%20-%20Government/USA%20-%20NASA/"/>
    <hyperlink ref="C545" r:id="rId545" display="https://youtu.be/G690YvtHYEA"/>
    <hyperlink ref="F545" r:id="rId2" display="https://files.afu.se/Downloads/Transcripts/0%20-%20Government/USA%20-%20NASA/"/>
    <hyperlink ref="C546" r:id="rId546" display="https://youtu.be/9_Flt9NZCc4"/>
    <hyperlink ref="F546" r:id="rId2" display="https://files.afu.se/Downloads/Transcripts/0%20-%20Government/USA%20-%20NASA/"/>
    <hyperlink ref="C547" r:id="rId547" display="https://youtu.be/SQBOjAkI5mk"/>
    <hyperlink ref="F547" r:id="rId2" display="https://files.afu.se/Downloads/Transcripts/0%20-%20Government/USA%20-%20NASA/"/>
    <hyperlink ref="C548" r:id="rId548" display="https://youtu.be/dlHJAKIaALg"/>
    <hyperlink ref="F548" r:id="rId2" display="https://files.afu.se/Downloads/Transcripts/0%20-%20Government/USA%20-%20NASA/"/>
    <hyperlink ref="C549" r:id="rId549" display="https://youtu.be/MhQ2o4aSMy0"/>
    <hyperlink ref="F549" r:id="rId2" display="https://files.afu.se/Downloads/Transcripts/0%20-%20Government/USA%20-%20NASA/"/>
    <hyperlink ref="C550" r:id="rId550" display="https://youtu.be/eiS8EPOL488"/>
    <hyperlink ref="F550" r:id="rId2" display="https://files.afu.se/Downloads/Transcripts/0%20-%20Government/USA%20-%20NASA/"/>
    <hyperlink ref="C551" r:id="rId551" display="https://youtu.be/LMqB44rX6WM"/>
    <hyperlink ref="F551" r:id="rId2" display="https://files.afu.se/Downloads/Transcripts/0%20-%20Government/USA%20-%20NASA/"/>
    <hyperlink ref="C552" r:id="rId552" display="https://youtu.be/Zg4Jmcb485g"/>
    <hyperlink ref="F552" r:id="rId2" display="https://files.afu.se/Downloads/Transcripts/0%20-%20Government/USA%20-%20NASA/"/>
    <hyperlink ref="C553" r:id="rId553" display="https://youtu.be/f3c617j1hJQ"/>
    <hyperlink ref="F553" r:id="rId2" display="https://files.afu.se/Downloads/Transcripts/0%20-%20Government/USA%20-%20NASA/"/>
    <hyperlink ref="C554" r:id="rId554" display="https://youtu.be/79Zjr3WRXLw"/>
    <hyperlink ref="F554" r:id="rId2" display="https://files.afu.se/Downloads/Transcripts/0%20-%20Government/USA%20-%20NASA/"/>
    <hyperlink ref="C555" r:id="rId555" display="https://youtu.be/RIbGcby4iZU"/>
    <hyperlink ref="F555" r:id="rId2" display="https://files.afu.se/Downloads/Transcripts/0%20-%20Government/USA%20-%20NASA/"/>
    <hyperlink ref="C556" r:id="rId556" display="https://youtu.be/d815wa7aIMs"/>
    <hyperlink ref="F556" r:id="rId2" display="https://files.afu.se/Downloads/Transcripts/0%20-%20Government/USA%20-%20NASA/"/>
    <hyperlink ref="C557" r:id="rId557" display="https://youtu.be/zFKND-X-0I8"/>
    <hyperlink ref="F557" r:id="rId2" display="https://files.afu.se/Downloads/Transcripts/0%20-%20Government/USA%20-%20NASA/"/>
    <hyperlink ref="C558" r:id="rId558" display="https://youtu.be/q4L3w8tCi94"/>
    <hyperlink ref="F558" r:id="rId2" display="https://files.afu.se/Downloads/Transcripts/0%20-%20Government/USA%20-%20NASA/"/>
    <hyperlink ref="C559" r:id="rId559" display="https://youtu.be/xuJDB5MrKAQ"/>
    <hyperlink ref="F559" r:id="rId2" display="https://files.afu.se/Downloads/Transcripts/0%20-%20Government/USA%20-%20NASA/"/>
    <hyperlink ref="C560" r:id="rId560" display="https://youtu.be/SKKvJpjeMJY"/>
    <hyperlink ref="F560" r:id="rId2" display="https://files.afu.se/Downloads/Transcripts/0%20-%20Government/USA%20-%20NASA/"/>
    <hyperlink ref="C561" r:id="rId561" display="https://youtu.be/UU-wmSEPiqw"/>
    <hyperlink ref="F561" r:id="rId2" display="https://files.afu.se/Downloads/Transcripts/0%20-%20Government/USA%20-%20NASA/"/>
    <hyperlink ref="C562" r:id="rId562" display="https://youtu.be/MdvoA-sjs0A"/>
    <hyperlink ref="F562" r:id="rId2" display="https://files.afu.se/Downloads/Transcripts/0%20-%20Government/USA%20-%20NASA/"/>
    <hyperlink ref="C563" r:id="rId563" display="https://youtu.be/WM8kjDF0IJU"/>
    <hyperlink ref="F563" r:id="rId2" display="https://files.afu.se/Downloads/Transcripts/0%20-%20Government/USA%20-%20NASA/"/>
    <hyperlink ref="C564" r:id="rId564" display="https://youtu.be/BeyKvoRPT9M"/>
    <hyperlink ref="F564" r:id="rId2" display="https://files.afu.se/Downloads/Transcripts/0%20-%20Government/USA%20-%20NASA/"/>
    <hyperlink ref="C565" r:id="rId565" display="https://youtu.be/ySXZ5qOJODA"/>
    <hyperlink ref="F565" r:id="rId2" display="https://files.afu.se/Downloads/Transcripts/0%20-%20Government/USA%20-%20NASA/"/>
    <hyperlink ref="C566" r:id="rId566" display="https://youtu.be/XMFE35LbcJs"/>
    <hyperlink ref="F566" r:id="rId2" display="https://files.afu.se/Downloads/Transcripts/0%20-%20Government/USA%20-%20NASA/"/>
    <hyperlink ref="C567" r:id="rId567" display="https://youtu.be/cExUmHb2gbU"/>
    <hyperlink ref="F567" r:id="rId2" display="https://files.afu.se/Downloads/Transcripts/0%20-%20Government/USA%20-%20NASA/"/>
    <hyperlink ref="C568" r:id="rId568" display="https://youtu.be/thF44EUhvb4"/>
    <hyperlink ref="F568" r:id="rId2" display="https://files.afu.se/Downloads/Transcripts/0%20-%20Government/USA%20-%20NASA/"/>
    <hyperlink ref="C569" r:id="rId569" display="https://youtu.be/MXVXTFelFbA"/>
    <hyperlink ref="F569" r:id="rId2" display="https://files.afu.se/Downloads/Transcripts/0%20-%20Government/USA%20-%20NASA/"/>
    <hyperlink ref="C570" r:id="rId570" display="https://youtu.be/BZyjT5TkWw4"/>
    <hyperlink ref="F570" r:id="rId2" display="https://files.afu.se/Downloads/Transcripts/0%20-%20Government/USA%20-%20NASA/"/>
    <hyperlink ref="C571" r:id="rId571" display="https://youtu.be/HhBUmxEOfpc"/>
    <hyperlink ref="F571" r:id="rId2" display="https://files.afu.se/Downloads/Transcripts/0%20-%20Government/USA%20-%20NASA/"/>
    <hyperlink ref="C572" r:id="rId572" display="https://youtu.be/9BtIbEyf3sw"/>
    <hyperlink ref="F572" r:id="rId2" display="https://files.afu.se/Downloads/Transcripts/0%20-%20Government/USA%20-%20NASA/"/>
    <hyperlink ref="C573" r:id="rId573" display="https://youtu.be/jN-tb_2vbAQ"/>
    <hyperlink ref="F573" r:id="rId2" display="https://files.afu.se/Downloads/Transcripts/0%20-%20Government/USA%20-%20NASA/"/>
    <hyperlink ref="C574" r:id="rId574" display="https://youtu.be/pFyFvR58wN8"/>
    <hyperlink ref="F574" r:id="rId2" display="https://files.afu.se/Downloads/Transcripts/0%20-%20Government/USA%20-%20NASA/"/>
    <hyperlink ref="C575" r:id="rId575" display="https://youtu.be/8UhnO53XoHM"/>
    <hyperlink ref="F575" r:id="rId2" display="https://files.afu.se/Downloads/Transcripts/0%20-%20Government/USA%20-%20NASA/"/>
    <hyperlink ref="C576" r:id="rId576" display="https://youtu.be/ME3IjrDU4PY"/>
    <hyperlink ref="F576" r:id="rId2" display="https://files.afu.se/Downloads/Transcripts/0%20-%20Government/USA%20-%20NASA/"/>
    <hyperlink ref="C577" r:id="rId577" display="https://youtu.be/wqiVQFYHXbg"/>
    <hyperlink ref="F577" r:id="rId2" display="https://files.afu.se/Downloads/Transcripts/0%20-%20Government/USA%20-%20NASA/"/>
    <hyperlink ref="C578" r:id="rId578" display="https://youtu.be/h0oclM1Yw2A"/>
    <hyperlink ref="F578" r:id="rId2" display="https://files.afu.se/Downloads/Transcripts/0%20-%20Government/USA%20-%20NASA/"/>
    <hyperlink ref="C579" r:id="rId579" display="https://youtu.be/79q1UGH5xS0"/>
    <hyperlink ref="F579" r:id="rId2" display="https://files.afu.se/Downloads/Transcripts/0%20-%20Government/USA%20-%20NASA/"/>
    <hyperlink ref="C580" r:id="rId580" display="https://youtu.be/8yuwwjjmP3Y"/>
    <hyperlink ref="F580" r:id="rId2" display="https://files.afu.se/Downloads/Transcripts/0%20-%20Government/USA%20-%20NASA/"/>
    <hyperlink ref="C581" r:id="rId581" display="https://youtu.be/NA64dzkk20Y"/>
    <hyperlink ref="F581" r:id="rId2" display="https://files.afu.se/Downloads/Transcripts/0%20-%20Government/USA%20-%20NASA/"/>
    <hyperlink ref="C582" r:id="rId582" display="https://youtu.be/6X4CJD4PhOs"/>
    <hyperlink ref="F582" r:id="rId2" display="https://files.afu.se/Downloads/Transcripts/0%20-%20Government/USA%20-%20NASA/"/>
    <hyperlink ref="C583" r:id="rId583" display="https://youtu.be/lxb2v5sv9YQ"/>
    <hyperlink ref="F583" r:id="rId2" display="https://files.afu.se/Downloads/Transcripts/0%20-%20Government/USA%20-%20NASA/"/>
    <hyperlink ref="C584" r:id="rId584" display="https://youtu.be/q5T9iYjt6Lk"/>
    <hyperlink ref="F584" r:id="rId2" display="https://files.afu.se/Downloads/Transcripts/0%20-%20Government/USA%20-%20NASA/"/>
    <hyperlink ref="C585" r:id="rId585" display="https://youtu.be/qhbF70hzzcw"/>
    <hyperlink ref="F585" r:id="rId2" display="https://files.afu.se/Downloads/Transcripts/0%20-%20Government/USA%20-%20NASA/"/>
    <hyperlink ref="C586" r:id="rId586" display="https://youtu.be/-XQ_CuIwDlc"/>
    <hyperlink ref="F586" r:id="rId2" display="https://files.afu.se/Downloads/Transcripts/0%20-%20Government/USA%20-%20NASA/"/>
    <hyperlink ref="C587" r:id="rId587" display="https://youtu.be/TtO3YQo3kY8"/>
    <hyperlink ref="F587" r:id="rId2" display="https://files.afu.se/Downloads/Transcripts/0%20-%20Government/USA%20-%20NASA/"/>
    <hyperlink ref="C588" r:id="rId588" display="https://youtu.be/ZVPgH749AM0"/>
    <hyperlink ref="F588" r:id="rId2" display="https://files.afu.se/Downloads/Transcripts/0%20-%20Government/USA%20-%20NASA/"/>
    <hyperlink ref="C589" r:id="rId589" display="https://youtu.be/UixpTgJmuwc"/>
    <hyperlink ref="F589" r:id="rId2" display="https://files.afu.se/Downloads/Transcripts/0%20-%20Government/USA%20-%20NASA/"/>
    <hyperlink ref="C590" r:id="rId590" display="https://youtu.be/yW38YH3oFi0"/>
    <hyperlink ref="F590" r:id="rId2" display="https://files.afu.se/Downloads/Transcripts/0%20-%20Government/USA%20-%20NASA/"/>
    <hyperlink ref="C591" r:id="rId591" display="https://youtu.be/uOGUI4u0Rjs"/>
    <hyperlink ref="F591" r:id="rId2" display="https://files.afu.se/Downloads/Transcripts/0%20-%20Government/USA%20-%20NASA/"/>
    <hyperlink ref="C592" r:id="rId592" display="https://youtu.be/nKxgieXQ82w"/>
    <hyperlink ref="F592" r:id="rId2" display="https://files.afu.se/Downloads/Transcripts/0%20-%20Government/USA%20-%20NASA/"/>
    <hyperlink ref="C593" r:id="rId593" display="https://youtu.be/E8wBJ71zJ34"/>
    <hyperlink ref="F593" r:id="rId2" display="https://files.afu.se/Downloads/Transcripts/0%20-%20Government/USA%20-%20NASA/"/>
    <hyperlink ref="C594" r:id="rId594" display="https://youtu.be/CJucyKbQydQ"/>
    <hyperlink ref="F594" r:id="rId2" display="https://files.afu.se/Downloads/Transcripts/0%20-%20Government/USA%20-%20NASA/"/>
    <hyperlink ref="C595" r:id="rId595" display="https://youtu.be/aa28FejUW8s"/>
    <hyperlink ref="F595" r:id="rId2" display="https://files.afu.se/Downloads/Transcripts/0%20-%20Government/USA%20-%20NASA/"/>
    <hyperlink ref="C596" r:id="rId596" display="https://youtu.be/eX_z8btMIsw"/>
    <hyperlink ref="F596" r:id="rId2" display="https://files.afu.se/Downloads/Transcripts/0%20-%20Government/USA%20-%20NASA/"/>
    <hyperlink ref="C597" r:id="rId597" display="https://youtu.be/wVFm-ueQDnw"/>
    <hyperlink ref="F597" r:id="rId2" display="https://files.afu.se/Downloads/Transcripts/0%20-%20Government/USA%20-%20NASA/"/>
    <hyperlink ref="C598" r:id="rId598" display="https://youtu.be/DPPc8BVNjQs"/>
    <hyperlink ref="F598" r:id="rId2" display="https://files.afu.se/Downloads/Transcripts/0%20-%20Government/USA%20-%20NASA/"/>
    <hyperlink ref="C599" r:id="rId599" display="https://youtu.be/tG1kCIpIQBw"/>
    <hyperlink ref="F599" r:id="rId2" display="https://files.afu.se/Downloads/Transcripts/0%20-%20Government/USA%20-%20NASA/"/>
    <hyperlink ref="C600" r:id="rId600" display="https://youtu.be/3RcGsuq2hn8"/>
    <hyperlink ref="F600" r:id="rId2" display="https://files.afu.se/Downloads/Transcripts/0%20-%20Government/USA%20-%20NASA/"/>
    <hyperlink ref="C601" r:id="rId601" display="https://youtu.be/WvT3hMVrSzs"/>
    <hyperlink ref="F601" r:id="rId2" display="https://files.afu.se/Downloads/Transcripts/0%20-%20Government/USA%20-%20NASA/"/>
    <hyperlink ref="C602" r:id="rId602" display="https://youtu.be/9KGKlp3J-N4"/>
    <hyperlink ref="F602" r:id="rId2" display="https://files.afu.se/Downloads/Transcripts/0%20-%20Government/USA%20-%20NASA/"/>
    <hyperlink ref="C603" r:id="rId603" display="https://youtu.be/4fXsAvv96Gw"/>
    <hyperlink ref="F603" r:id="rId2" display="https://files.afu.se/Downloads/Transcripts/0%20-%20Government/USA%20-%20NASA/"/>
    <hyperlink ref="C604" r:id="rId604" display="https://youtu.be/Iy5uN7xf0dA"/>
    <hyperlink ref="F604" r:id="rId2" display="https://files.afu.se/Downloads/Transcripts/0%20-%20Government/USA%20-%20NASA/"/>
    <hyperlink ref="C605" r:id="rId605" display="https://youtu.be/3P0EUBrWh50"/>
    <hyperlink ref="F605" r:id="rId2" display="https://files.afu.se/Downloads/Transcripts/0%20-%20Government/USA%20-%20NASA/"/>
    <hyperlink ref="C606" r:id="rId606" display="https://youtu.be/raEcGoy3xvE"/>
    <hyperlink ref="F606" r:id="rId2" display="https://files.afu.se/Downloads/Transcripts/0%20-%20Government/USA%20-%20NASA/"/>
    <hyperlink ref="C607" r:id="rId607" display="https://youtu.be/80d6_ZROVAA"/>
    <hyperlink ref="F607" r:id="rId2" display="https://files.afu.se/Downloads/Transcripts/0%20-%20Government/USA%20-%20NASA/"/>
    <hyperlink ref="C608" r:id="rId608" display="https://youtu.be/21iEBbsuuTI"/>
    <hyperlink ref="F608" r:id="rId2" display="https://files.afu.se/Downloads/Transcripts/0%20-%20Government/USA%20-%20NASA/"/>
    <hyperlink ref="C609" r:id="rId609" display="https://youtu.be/Nd1BnJEKdzI"/>
    <hyperlink ref="F609" r:id="rId2" display="https://files.afu.se/Downloads/Transcripts/0%20-%20Government/USA%20-%20NASA/"/>
    <hyperlink ref="C610" r:id="rId610" display="https://youtu.be/IHS5orsjmTk"/>
    <hyperlink ref="F610" r:id="rId2" display="https://files.afu.se/Downloads/Transcripts/0%20-%20Government/USA%20-%20NASA/"/>
    <hyperlink ref="C611" r:id="rId611" display="https://youtu.be/yqHiShYGkZQ"/>
    <hyperlink ref="F611" r:id="rId2" display="https://files.afu.se/Downloads/Transcripts/0%20-%20Government/USA%20-%20NASA/"/>
    <hyperlink ref="C612" r:id="rId612" display="https://youtu.be/uc7rl3EXFS4"/>
    <hyperlink ref="F612" r:id="rId2" display="https://files.afu.se/Downloads/Transcripts/0%20-%20Government/USA%20-%20NASA/"/>
    <hyperlink ref="C613" r:id="rId613" display="https://youtu.be/U_GQ65c2jrk"/>
    <hyperlink ref="F613" r:id="rId2" display="https://files.afu.se/Downloads/Transcripts/0%20-%20Government/USA%20-%20NASA/"/>
    <hyperlink ref="C614" r:id="rId614" display="https://youtu.be/DpXxdSr1FWs"/>
    <hyperlink ref="F614" r:id="rId2" display="https://files.afu.se/Downloads/Transcripts/0%20-%20Government/USA%20-%20NASA/"/>
    <hyperlink ref="C615" r:id="rId615" display="https://youtu.be/4C3wWknliQQ"/>
    <hyperlink ref="F615" r:id="rId2" display="https://files.afu.se/Downloads/Transcripts/0%20-%20Government/USA%20-%20NASA/"/>
    <hyperlink ref="C616" r:id="rId616" display="https://youtu.be/gkYhcyn5fdU"/>
    <hyperlink ref="F616" r:id="rId2" display="https://files.afu.se/Downloads/Transcripts/0%20-%20Government/USA%20-%20NASA/"/>
    <hyperlink ref="C617" r:id="rId617" display="https://youtu.be/-O8c0B5h4WA"/>
    <hyperlink ref="F617" r:id="rId2" display="https://files.afu.se/Downloads/Transcripts/0%20-%20Government/USA%20-%20NASA/"/>
    <hyperlink ref="C618" r:id="rId618" display="https://youtu.be/ryPKdGVNtJo"/>
    <hyperlink ref="F618" r:id="rId2" display="https://files.afu.se/Downloads/Transcripts/0%20-%20Government/USA%20-%20NASA/"/>
    <hyperlink ref="C619" r:id="rId619" display="https://youtu.be/F2zaykKhWyg"/>
    <hyperlink ref="F619" r:id="rId2" display="https://files.afu.se/Downloads/Transcripts/0%20-%20Government/USA%20-%20NASA/"/>
    <hyperlink ref="C620" r:id="rId620" display="https://youtu.be/HRgOZ-cj2ro"/>
    <hyperlink ref="F620" r:id="rId2" display="https://files.afu.se/Downloads/Transcripts/0%20-%20Government/USA%20-%20NASA/"/>
    <hyperlink ref="C621" r:id="rId621" display="https://youtu.be/ma6wr5mTsbg"/>
    <hyperlink ref="F621" r:id="rId2" display="https://files.afu.se/Downloads/Transcripts/0%20-%20Government/USA%20-%20NASA/"/>
    <hyperlink ref="C622" r:id="rId622" display="https://youtu.be/hkKaaVnzm8A"/>
    <hyperlink ref="F622" r:id="rId2" display="https://files.afu.se/Downloads/Transcripts/0%20-%20Government/USA%20-%20NASA/"/>
    <hyperlink ref="C623" r:id="rId623" display="https://youtu.be/vhj5OYwND14"/>
    <hyperlink ref="F623" r:id="rId2" display="https://files.afu.se/Downloads/Transcripts/0%20-%20Government/USA%20-%20NASA/"/>
    <hyperlink ref="C624" r:id="rId624" display="https://youtu.be/mB1nAzriqRQ"/>
    <hyperlink ref="F624" r:id="rId2" display="https://files.afu.se/Downloads/Transcripts/0%20-%20Government/USA%20-%20NASA/"/>
    <hyperlink ref="C625" r:id="rId625" display="https://youtu.be/Xj65u8kTXIk"/>
    <hyperlink ref="F625" r:id="rId2" display="https://files.afu.se/Downloads/Transcripts/0%20-%20Government/USA%20-%20NASA/"/>
    <hyperlink ref="C626" r:id="rId626" display="https://youtu.be/H5KwmZDcYLY"/>
    <hyperlink ref="F626" r:id="rId2" display="https://files.afu.se/Downloads/Transcripts/0%20-%20Government/USA%20-%20NASA/"/>
    <hyperlink ref="C627" r:id="rId627" display="https://youtu.be/9SUNH61QbH0"/>
    <hyperlink ref="F627" r:id="rId2" display="https://files.afu.se/Downloads/Transcripts/0%20-%20Government/USA%20-%20NASA/"/>
    <hyperlink ref="C628" r:id="rId628" display="https://youtu.be/_T8cn2J13-4"/>
    <hyperlink ref="F628" r:id="rId2" display="https://files.afu.se/Downloads/Transcripts/0%20-%20Government/USA%20-%20NASA/"/>
    <hyperlink ref="C629" r:id="rId629" display="https://youtu.be/fGkZjciAV1A"/>
    <hyperlink ref="F629" r:id="rId2" display="https://files.afu.se/Downloads/Transcripts/0%20-%20Government/USA%20-%20NASA/"/>
    <hyperlink ref="C630" r:id="rId630" display="https://youtu.be/60JAciOhi2A"/>
    <hyperlink ref="F630" r:id="rId2" display="https://files.afu.se/Downloads/Transcripts/0%20-%20Government/USA%20-%20NASA/"/>
    <hyperlink ref="C631" r:id="rId631" display="https://youtu.be/fCpnQYYas0c"/>
    <hyperlink ref="F631" r:id="rId2" display="https://files.afu.se/Downloads/Transcripts/0%20-%20Government/USA%20-%20NASA/"/>
    <hyperlink ref="C632" r:id="rId632" display="https://youtu.be/xBRRU2-etAQ"/>
    <hyperlink ref="F632" r:id="rId2" display="https://files.afu.se/Downloads/Transcripts/0%20-%20Government/USA%20-%20NASA/"/>
    <hyperlink ref="C633" r:id="rId633" display="https://youtu.be/w6BP5H7VOIU"/>
    <hyperlink ref="F633" r:id="rId2" display="https://files.afu.se/Downloads/Transcripts/0%20-%20Government/USA%20-%20NASA/"/>
    <hyperlink ref="C634" r:id="rId634" display="https://youtu.be/RvMPoS4DqYE"/>
    <hyperlink ref="F634" r:id="rId2" display="https://files.afu.se/Downloads/Transcripts/0%20-%20Government/USA%20-%20NASA/"/>
    <hyperlink ref="C635" r:id="rId635" display="https://youtu.be/Ue4YSdph7TQ"/>
    <hyperlink ref="F635" r:id="rId2" display="https://files.afu.se/Downloads/Transcripts/0%20-%20Government/USA%20-%20NASA/"/>
    <hyperlink ref="C636" r:id="rId636" display="https://youtu.be/VkFSqdoTSms"/>
    <hyperlink ref="F636" r:id="rId2" display="https://files.afu.se/Downloads/Transcripts/0%20-%20Government/USA%20-%20NASA/"/>
    <hyperlink ref="C637" r:id="rId637" display="https://youtu.be/LEmQY4O6E4k"/>
    <hyperlink ref="F637" r:id="rId2" display="https://files.afu.se/Downloads/Transcripts/0%20-%20Government/USA%20-%20NASA/"/>
    <hyperlink ref="C638" r:id="rId638" display="https://youtu.be/uanbL9a3gM0"/>
    <hyperlink ref="F638" r:id="rId2" display="https://files.afu.se/Downloads/Transcripts/0%20-%20Government/USA%20-%20NASA/"/>
    <hyperlink ref="C639" r:id="rId639" display="https://youtu.be/Zx4uqkgLyUE"/>
    <hyperlink ref="F639" r:id="rId2" display="https://files.afu.se/Downloads/Transcripts/0%20-%20Government/USA%20-%20NASA/"/>
    <hyperlink ref="C640" r:id="rId640" display="https://youtu.be/Rxd8gT5oZHU"/>
    <hyperlink ref="F640" r:id="rId2" display="https://files.afu.se/Downloads/Transcripts/0%20-%20Government/USA%20-%20NASA/"/>
    <hyperlink ref="C641" r:id="rId641" display="https://youtu.be/6MR-qaDaG6w"/>
    <hyperlink ref="F641" r:id="rId2" display="https://files.afu.se/Downloads/Transcripts/0%20-%20Government/USA%20-%20NASA/"/>
    <hyperlink ref="C642" r:id="rId642" display="https://youtu.be/b9YcPB0qAig"/>
    <hyperlink ref="F642" r:id="rId2" display="https://files.afu.se/Downloads/Transcripts/0%20-%20Government/USA%20-%20NASA/"/>
    <hyperlink ref="C643" r:id="rId643" display="https://youtu.be/NgztN23ZALU"/>
    <hyperlink ref="F643" r:id="rId2" display="https://files.afu.se/Downloads/Transcripts/0%20-%20Government/USA%20-%20NASA/"/>
    <hyperlink ref="C644" r:id="rId644" display="https://youtu.be/l11sW5KOi_g"/>
    <hyperlink ref="F644" r:id="rId2" display="https://files.afu.se/Downloads/Transcripts/0%20-%20Government/USA%20-%20NASA/"/>
    <hyperlink ref="C645" r:id="rId645" display="https://youtu.be/emQej1NKTtU"/>
    <hyperlink ref="F645" r:id="rId2" display="https://files.afu.se/Downloads/Transcripts/0%20-%20Government/USA%20-%20NASA/"/>
    <hyperlink ref="C646" r:id="rId646" display="https://youtu.be/yfvrAq21Gco"/>
    <hyperlink ref="F646" r:id="rId2" display="https://files.afu.se/Downloads/Transcripts/0%20-%20Government/USA%20-%20NASA/"/>
    <hyperlink ref="C647" r:id="rId647" display="https://youtu.be/NR1c_4VWx9M"/>
    <hyperlink ref="F647" r:id="rId2" display="https://files.afu.se/Downloads/Transcripts/0%20-%20Government/USA%20-%20NASA/"/>
    <hyperlink ref="C648" r:id="rId648" display="https://youtu.be/jTvP1VhGh8s"/>
    <hyperlink ref="F648" r:id="rId2" display="https://files.afu.se/Downloads/Transcripts/0%20-%20Government/USA%20-%20NASA/"/>
    <hyperlink ref="C649" r:id="rId649" display="https://youtu.be/4nspRYAso0c"/>
    <hyperlink ref="F649" r:id="rId2" display="https://files.afu.se/Downloads/Transcripts/0%20-%20Government/USA%20-%20NASA/"/>
    <hyperlink ref="C650" r:id="rId650" display="https://youtu.be/UgLNbGl9-iY"/>
    <hyperlink ref="F650" r:id="rId2" display="https://files.afu.se/Downloads/Transcripts/0%20-%20Government/USA%20-%20NASA/"/>
    <hyperlink ref="C651" r:id="rId651" display="https://youtu.be/1nwwTZhGC_0"/>
    <hyperlink ref="F651" r:id="rId2" display="https://files.afu.se/Downloads/Transcripts/0%20-%20Government/USA%20-%20NASA/"/>
    <hyperlink ref="C652" r:id="rId652" display="https://youtu.be/jfVs5G5k8ZI"/>
    <hyperlink ref="F652" r:id="rId2" display="https://files.afu.se/Downloads/Transcripts/0%20-%20Government/USA%20-%20NASA/"/>
    <hyperlink ref="C653" r:id="rId653" display="https://youtu.be/V7qrZcTrPIg"/>
    <hyperlink ref="F653" r:id="rId2" display="https://files.afu.se/Downloads/Transcripts/0%20-%20Government/USA%20-%20NASA/"/>
    <hyperlink ref="C654" r:id="rId654" display="https://youtu.be/6-LqyTeHLQg"/>
    <hyperlink ref="F654" r:id="rId2" display="https://files.afu.se/Downloads/Transcripts/0%20-%20Government/USA%20-%20NASA/"/>
    <hyperlink ref="C655" r:id="rId655" display="https://youtu.be/F_iA2DdgMUA"/>
    <hyperlink ref="F655" r:id="rId2" display="https://files.afu.se/Downloads/Transcripts/0%20-%20Government/USA%20-%20NASA/"/>
    <hyperlink ref="C656" r:id="rId656" display="https://youtu.be/cNnvYACgwrE"/>
    <hyperlink ref="F656" r:id="rId2" display="https://files.afu.se/Downloads/Transcripts/0%20-%20Government/USA%20-%20NASA/"/>
    <hyperlink ref="C657" r:id="rId657" display="https://youtu.be/Daelqxwph08"/>
    <hyperlink ref="F657" r:id="rId2" display="https://files.afu.se/Downloads/Transcripts/0%20-%20Government/USA%20-%20NASA/"/>
    <hyperlink ref="C658" r:id="rId658" display="https://youtu.be/S6KgbRX1tPI"/>
    <hyperlink ref="F658" r:id="rId2" display="https://files.afu.se/Downloads/Transcripts/0%20-%20Government/USA%20-%20NASA/"/>
    <hyperlink ref="C659" r:id="rId659" display="https://youtu.be/EsJkyNnS0Z4"/>
    <hyperlink ref="F659" r:id="rId2" display="https://files.afu.se/Downloads/Transcripts/0%20-%20Government/USA%20-%20NASA/"/>
    <hyperlink ref="C660" r:id="rId660" display="https://youtu.be/yj6LYpZosRU"/>
    <hyperlink ref="F660" r:id="rId2" display="https://files.afu.se/Downloads/Transcripts/0%20-%20Government/USA%20-%20NASA/"/>
    <hyperlink ref="C661" r:id="rId661" display="https://youtu.be/dJ-04R_Zw6M"/>
    <hyperlink ref="F661" r:id="rId2" display="https://files.afu.se/Downloads/Transcripts/0%20-%20Government/USA%20-%20NASA/"/>
    <hyperlink ref="C662" r:id="rId662" display="https://youtu.be/uUf7RCnymys"/>
    <hyperlink ref="F662" r:id="rId2" display="https://files.afu.se/Downloads/Transcripts/0%20-%20Government/USA%20-%20NASA/"/>
    <hyperlink ref="C663" r:id="rId663" display="https://youtu.be/nwDS_ZbSssI"/>
    <hyperlink ref="F663" r:id="rId2" display="https://files.afu.se/Downloads/Transcripts/0%20-%20Government/USA%20-%20NASA/"/>
    <hyperlink ref="C664" r:id="rId664" display="https://youtu.be/opHOetEcyK0"/>
    <hyperlink ref="F664" r:id="rId2" display="https://files.afu.se/Downloads/Transcripts/0%20-%20Government/USA%20-%20NASA/"/>
    <hyperlink ref="C665" r:id="rId665" display="https://youtu.be/_-TiP7onEmo"/>
    <hyperlink ref="F665" r:id="rId2" display="https://files.afu.se/Downloads/Transcripts/0%20-%20Government/USA%20-%20NASA/"/>
    <hyperlink ref="C666" r:id="rId666" display="https://youtu.be/4NBAlxwA6Rs"/>
    <hyperlink ref="F666" r:id="rId2" display="https://files.afu.se/Downloads/Transcripts/0%20-%20Government/USA%20-%20NASA/"/>
    <hyperlink ref="C667" r:id="rId667" display="https://youtu.be/NrFd-17QMzY"/>
    <hyperlink ref="F667" r:id="rId2" display="https://files.afu.se/Downloads/Transcripts/0%20-%20Government/USA%20-%20NASA/"/>
    <hyperlink ref="C668" r:id="rId668" display="https://youtu.be/7Lol3lumMTo"/>
    <hyperlink ref="F668" r:id="rId2" display="https://files.afu.se/Downloads/Transcripts/0%20-%20Government/USA%20-%20NASA/"/>
    <hyperlink ref="C669" r:id="rId669" display="https://youtu.be/OhflFp-3YvY"/>
    <hyperlink ref="F669" r:id="rId2" display="https://files.afu.se/Downloads/Transcripts/0%20-%20Government/USA%20-%20NASA/"/>
    <hyperlink ref="C670" r:id="rId670" display="https://youtu.be/C4C8JsgGrrY"/>
    <hyperlink ref="F670" r:id="rId2" display="https://files.afu.se/Downloads/Transcripts/0%20-%20Government/USA%20-%20NASA/"/>
    <hyperlink ref="C671" r:id="rId671" display="https://youtu.be/ethlD9moxyI"/>
    <hyperlink ref="F671" r:id="rId2" display="https://files.afu.se/Downloads/Transcripts/0%20-%20Government/USA%20-%20NASA/"/>
    <hyperlink ref="C672" r:id="rId672" display="https://youtu.be/AWCRYZF8QVw"/>
    <hyperlink ref="F672" r:id="rId2" display="https://files.afu.se/Downloads/Transcripts/0%20-%20Government/USA%20-%20NASA/"/>
    <hyperlink ref="C673" r:id="rId673" display="https://youtu.be/LTk1SepOvXk"/>
    <hyperlink ref="F673" r:id="rId2" display="https://files.afu.se/Downloads/Transcripts/0%20-%20Government/USA%20-%20NASA/"/>
    <hyperlink ref="C674" r:id="rId674" display="https://youtu.be/0WaiAyU-3mU"/>
    <hyperlink ref="F674" r:id="rId2" display="https://files.afu.se/Downloads/Transcripts/0%20-%20Government/USA%20-%20NASA/"/>
    <hyperlink ref="C675" r:id="rId675" display="https://youtu.be/VklY8tT4AsY"/>
    <hyperlink ref="F675" r:id="rId2" display="https://files.afu.se/Downloads/Transcripts/0%20-%20Government/USA%20-%20NASA/"/>
    <hyperlink ref="C676" r:id="rId676" display="https://youtu.be/RN7fm1ZRK90"/>
    <hyperlink ref="F676" r:id="rId2" display="https://files.afu.se/Downloads/Transcripts/0%20-%20Government/USA%20-%20NASA/"/>
    <hyperlink ref="C677" r:id="rId677" display="https://youtu.be/YOG3tAkPpPE"/>
    <hyperlink ref="F677" r:id="rId2" display="https://files.afu.se/Downloads/Transcripts/0%20-%20Government/USA%20-%20NASA/"/>
    <hyperlink ref="C678" r:id="rId678" display="https://youtu.be/6Sau0pFAkTk"/>
    <hyperlink ref="F678" r:id="rId2" display="https://files.afu.se/Downloads/Transcripts/0%20-%20Government/USA%20-%20NASA/"/>
    <hyperlink ref="C679" r:id="rId679" display="https://youtu.be/CUrshzt-muI"/>
    <hyperlink ref="F679" r:id="rId2" display="https://files.afu.se/Downloads/Transcripts/0%20-%20Government/USA%20-%20NASA/"/>
    <hyperlink ref="C680" r:id="rId680" display="https://youtu.be/wialrxoQTWM"/>
    <hyperlink ref="F680" r:id="rId2" display="https://files.afu.se/Downloads/Transcripts/0%20-%20Government/USA%20-%20NASA/"/>
    <hyperlink ref="C681" r:id="rId681" display="https://youtu.be/jPQD-u5ZP6M"/>
    <hyperlink ref="F681" r:id="rId2" display="https://files.afu.se/Downloads/Transcripts/0%20-%20Government/USA%20-%20NASA/"/>
    <hyperlink ref="C682" r:id="rId682" display="https://youtu.be/_oVYSwmIrZk"/>
    <hyperlink ref="F682" r:id="rId2" display="https://files.afu.se/Downloads/Transcripts/0%20-%20Government/USA%20-%20NASA/"/>
    <hyperlink ref="C683" r:id="rId683" display="https://youtu.be/nSR2Yvlki7I"/>
    <hyperlink ref="F683" r:id="rId2" display="https://files.afu.se/Downloads/Transcripts/0%20-%20Government/USA%20-%20NASA/"/>
    <hyperlink ref="C684" r:id="rId684" display="https://youtu.be/1bJDPqd8V88"/>
    <hyperlink ref="F684" r:id="rId2" display="https://files.afu.se/Downloads/Transcripts/0%20-%20Government/USA%20-%20NASA/"/>
    <hyperlink ref="C685" r:id="rId685" display="https://youtu.be/uuNTE3oTZZo"/>
    <hyperlink ref="F685" r:id="rId2" display="https://files.afu.se/Downloads/Transcripts/0%20-%20Government/USA%20-%20NASA/"/>
    <hyperlink ref="C686" r:id="rId686" display="https://youtu.be/RFKKy3IPSxg"/>
    <hyperlink ref="F686" r:id="rId2" display="https://files.afu.se/Downloads/Transcripts/0%20-%20Government/USA%20-%20NASA/"/>
    <hyperlink ref="C687" r:id="rId687" display="https://youtu.be/sun1LumDuVw"/>
    <hyperlink ref="F687" r:id="rId2" display="https://files.afu.se/Downloads/Transcripts/0%20-%20Government/USA%20-%20NASA/"/>
    <hyperlink ref="C688" r:id="rId688" display="https://youtu.be/XtB_z74-qa4"/>
    <hyperlink ref="F688" r:id="rId2" display="https://files.afu.se/Downloads/Transcripts/0%20-%20Government/USA%20-%20NASA/"/>
    <hyperlink ref="C689" r:id="rId689" display="https://youtu.be/mFqWr-WHqmo"/>
    <hyperlink ref="F689" r:id="rId2" display="https://files.afu.se/Downloads/Transcripts/0%20-%20Government/USA%20-%20NASA/"/>
    <hyperlink ref="C690" r:id="rId690" display="https://youtu.be/U7DnzGdsJFY"/>
    <hyperlink ref="F690" r:id="rId2" display="https://files.afu.se/Downloads/Transcripts/0%20-%20Government/USA%20-%20NASA/"/>
    <hyperlink ref="C691" r:id="rId691" display="https://youtu.be/_BTd40ed3sg"/>
    <hyperlink ref="F691" r:id="rId2" display="https://files.afu.se/Downloads/Transcripts/0%20-%20Government/USA%20-%20NASA/"/>
    <hyperlink ref="C692" r:id="rId692" display="https://youtu.be/W1e8uWkVja8"/>
    <hyperlink ref="F692" r:id="rId2" display="https://files.afu.se/Downloads/Transcripts/0%20-%20Government/USA%20-%20NASA/"/>
    <hyperlink ref="C693" r:id="rId693" display="https://youtu.be/K5VkjPlAz6s"/>
    <hyperlink ref="F693" r:id="rId2" display="https://files.afu.se/Downloads/Transcripts/0%20-%20Government/USA%20-%20NASA/"/>
    <hyperlink ref="C694" r:id="rId694" display="https://youtu.be/aOukt6g3os0"/>
    <hyperlink ref="F694" r:id="rId2" display="https://files.afu.se/Downloads/Transcripts/0%20-%20Government/USA%20-%20NASA/"/>
    <hyperlink ref="C695" r:id="rId695" display="https://youtu.be/FP1NoO9uh18"/>
    <hyperlink ref="F695" r:id="rId2" display="https://files.afu.se/Downloads/Transcripts/0%20-%20Government/USA%20-%20NASA/"/>
    <hyperlink ref="C696" r:id="rId696" display="https://youtu.be/sIIT68UnAUg"/>
    <hyperlink ref="F696" r:id="rId2" display="https://files.afu.se/Downloads/Transcripts/0%20-%20Government/USA%20-%20NASA/"/>
    <hyperlink ref="C697" r:id="rId697" display="https://youtu.be/WEkl-M36yC4"/>
    <hyperlink ref="F697" r:id="rId2" display="https://files.afu.se/Downloads/Transcripts/0%20-%20Government/USA%20-%20NASA/"/>
    <hyperlink ref="C698" r:id="rId698" display="https://youtu.be/5qnYNY6DvtM"/>
    <hyperlink ref="F698" r:id="rId2" display="https://files.afu.se/Downloads/Transcripts/0%20-%20Government/USA%20-%20NASA/"/>
    <hyperlink ref="C699" r:id="rId699" display="https://youtu.be/d1-6h4Wj6Aw"/>
    <hyperlink ref="F699" r:id="rId2" display="https://files.afu.se/Downloads/Transcripts/0%20-%20Government/USA%20-%20NASA/"/>
    <hyperlink ref="C700" r:id="rId700" display="https://youtu.be/lnn_-1BYbiY"/>
    <hyperlink ref="F700" r:id="rId2" display="https://files.afu.se/Downloads/Transcripts/0%20-%20Government/USA%20-%20NASA/"/>
    <hyperlink ref="C701" r:id="rId701" display="https://youtu.be/v2JsxXxf1MM"/>
    <hyperlink ref="F701" r:id="rId2" display="https://files.afu.se/Downloads/Transcripts/0%20-%20Government/USA%20-%20NASA/"/>
    <hyperlink ref="C702" r:id="rId702" display="https://youtu.be/D5J-xTFyido"/>
    <hyperlink ref="F702" r:id="rId2" display="https://files.afu.se/Downloads/Transcripts/0%20-%20Government/USA%20-%20NASA/"/>
    <hyperlink ref="C703" r:id="rId703" display="https://youtu.be/5qaKa8tSXmo"/>
    <hyperlink ref="F703" r:id="rId2" display="https://files.afu.se/Downloads/Transcripts/0%20-%20Government/USA%20-%20NASA/"/>
    <hyperlink ref="C704" r:id="rId704" display="https://youtu.be/7y7jcqE_JVc"/>
    <hyperlink ref="F704" r:id="rId2" display="https://files.afu.se/Downloads/Transcripts/0%20-%20Government/USA%20-%20NASA/"/>
    <hyperlink ref="C705" r:id="rId705" display="https://youtu.be/XlunBKSpFrM"/>
    <hyperlink ref="F705" r:id="rId2" display="https://files.afu.se/Downloads/Transcripts/0%20-%20Government/USA%20-%20NASA/"/>
    <hyperlink ref="C706" r:id="rId706" display="https://youtu.be/_tgxyuzaQkU"/>
    <hyperlink ref="F706" r:id="rId2" display="https://files.afu.se/Downloads/Transcripts/0%20-%20Government/USA%20-%20NASA/"/>
    <hyperlink ref="C707" r:id="rId707" display="https://youtu.be/GmBlqb_FxLI"/>
    <hyperlink ref="F707" r:id="rId2" display="https://files.afu.se/Downloads/Transcripts/0%20-%20Government/USA%20-%20NASA/"/>
    <hyperlink ref="C708" r:id="rId708" display="https://youtu.be/d-ygJpehWLQ"/>
    <hyperlink ref="F708" r:id="rId2" display="https://files.afu.se/Downloads/Transcripts/0%20-%20Government/USA%20-%20NASA/"/>
    <hyperlink ref="C709" r:id="rId709" display="https://youtu.be/ko-bkCkOgak"/>
    <hyperlink ref="F709" r:id="rId2" display="https://files.afu.se/Downloads/Transcripts/0%20-%20Government/USA%20-%20NASA/"/>
    <hyperlink ref="C710" r:id="rId710" display="https://youtu.be/4goOVaxI9mU"/>
    <hyperlink ref="F710" r:id="rId2" display="https://files.afu.se/Downloads/Transcripts/0%20-%20Government/USA%20-%20NASA/"/>
    <hyperlink ref="C711" r:id="rId711" display="https://youtu.be/qifHM32AHvw"/>
    <hyperlink ref="F711" r:id="rId2" display="https://files.afu.se/Downloads/Transcripts/0%20-%20Government/USA%20-%20NASA/"/>
    <hyperlink ref="C712" r:id="rId712" display="https://youtu.be/22PBC-YgWYM"/>
    <hyperlink ref="F712" r:id="rId2" display="https://files.afu.se/Downloads/Transcripts/0%20-%20Government/USA%20-%20NASA/"/>
    <hyperlink ref="C713" r:id="rId713" display="https://youtu.be/w4wx_3XOrns"/>
    <hyperlink ref="F713" r:id="rId2" display="https://files.afu.se/Downloads/Transcripts/0%20-%20Government/USA%20-%20NASA/"/>
    <hyperlink ref="C714" r:id="rId714" display="https://youtu.be/nOcDftgR5UQ"/>
    <hyperlink ref="F714" r:id="rId2" display="https://files.afu.se/Downloads/Transcripts/0%20-%20Government/USA%20-%20NASA/"/>
    <hyperlink ref="C715" r:id="rId715" display="https://youtu.be/rWFSj2d3vl0"/>
    <hyperlink ref="F715" r:id="rId2" display="https://files.afu.se/Downloads/Transcripts/0%20-%20Government/USA%20-%20NASA/"/>
    <hyperlink ref="C716" r:id="rId716" display="https://youtu.be/EvFqN-6YAl8"/>
    <hyperlink ref="F716" r:id="rId2" display="https://files.afu.se/Downloads/Transcripts/0%20-%20Government/USA%20-%20NASA/"/>
    <hyperlink ref="C717" r:id="rId717" display="https://youtu.be/L3zOeNKXAI8"/>
    <hyperlink ref="F717" r:id="rId2" display="https://files.afu.se/Downloads/Transcripts/0%20-%20Government/USA%20-%20NASA/"/>
    <hyperlink ref="C718" r:id="rId718" display="https://youtu.be/jJoJh-Bird0"/>
    <hyperlink ref="F718" r:id="rId2" display="https://files.afu.se/Downloads/Transcripts/0%20-%20Government/USA%20-%20NASA/"/>
    <hyperlink ref="C719" r:id="rId719" display="https://youtu.be/Mo7aAHW5TKw"/>
    <hyperlink ref="F719" r:id="rId2" display="https://files.afu.se/Downloads/Transcripts/0%20-%20Government/USA%20-%20NASA/"/>
    <hyperlink ref="C720" r:id="rId720" display="https://youtu.be/qsyTc4Su5vQ"/>
    <hyperlink ref="F720" r:id="rId2" display="https://files.afu.se/Downloads/Transcripts/0%20-%20Government/USA%20-%20NASA/"/>
    <hyperlink ref="C721" r:id="rId721" display="https://youtu.be/v8aWXJeh9R4"/>
    <hyperlink ref="F721" r:id="rId2" display="https://files.afu.se/Downloads/Transcripts/0%20-%20Government/USA%20-%20NASA/"/>
    <hyperlink ref="C722" r:id="rId722" display="https://youtu.be/CIQMsI87jmA"/>
    <hyperlink ref="F722" r:id="rId2" display="https://files.afu.se/Downloads/Transcripts/0%20-%20Government/USA%20-%20NASA/"/>
    <hyperlink ref="C723" r:id="rId723" display="https://youtu.be/1S5jaApOYl0"/>
    <hyperlink ref="F723" r:id="rId2" display="https://files.afu.se/Downloads/Transcripts/0%20-%20Government/USA%20-%20NASA/"/>
    <hyperlink ref="C724" r:id="rId724" display="https://youtu.be/3FIXaxXaX4I"/>
    <hyperlink ref="F724" r:id="rId2" display="https://files.afu.se/Downloads/Transcripts/0%20-%20Government/USA%20-%20NASA/"/>
    <hyperlink ref="C725" r:id="rId725" display="https://youtu.be/BVLj_Hzs_9k"/>
    <hyperlink ref="F725" r:id="rId2" display="https://files.afu.se/Downloads/Transcripts/0%20-%20Government/USA%20-%20NASA/"/>
    <hyperlink ref="C726" r:id="rId726" display="https://youtu.be/jX_1equIOpU"/>
    <hyperlink ref="F726" r:id="rId2" display="https://files.afu.se/Downloads/Transcripts/0%20-%20Government/USA%20-%20NASA/"/>
    <hyperlink ref="C727" r:id="rId727" display="https://youtu.be/rJgqhznBntE"/>
    <hyperlink ref="F727" r:id="rId2" display="https://files.afu.se/Downloads/Transcripts/0%20-%20Government/USA%20-%20NASA/"/>
    <hyperlink ref="C728" r:id="rId728" display="https://youtu.be/4T_GLYKQb_M"/>
    <hyperlink ref="F728" r:id="rId2" display="https://files.afu.se/Downloads/Transcripts/0%20-%20Government/USA%20-%20NASA/"/>
    <hyperlink ref="C729" r:id="rId729" display="https://youtu.be/xn3-0a19sC8"/>
    <hyperlink ref="F729" r:id="rId2" display="https://files.afu.se/Downloads/Transcripts/0%20-%20Government/USA%20-%20NASA/"/>
    <hyperlink ref="C730" r:id="rId730" display="https://youtu.be/NeHQcS1kRVQ"/>
    <hyperlink ref="F730" r:id="rId2" display="https://files.afu.se/Downloads/Transcripts/0%20-%20Government/USA%20-%20NASA/"/>
    <hyperlink ref="C731" r:id="rId731" display="https://youtu.be/2d6_BwRrL1E"/>
    <hyperlink ref="F731" r:id="rId2" display="https://files.afu.se/Downloads/Transcripts/0%20-%20Government/USA%20-%20NASA/"/>
    <hyperlink ref="C732" r:id="rId732" display="https://youtu.be/sJm-5srzBQg"/>
    <hyperlink ref="F732" r:id="rId2" display="https://files.afu.se/Downloads/Transcripts/0%20-%20Government/USA%20-%20NASA/"/>
    <hyperlink ref="C733" r:id="rId733" display="https://youtu.be/P3utzfQHbQQ"/>
    <hyperlink ref="F733" r:id="rId2" display="https://files.afu.se/Downloads/Transcripts/0%20-%20Government/USA%20-%20NASA/"/>
    <hyperlink ref="C734" r:id="rId734" display="https://youtu.be/y6NGgs8S4qs"/>
    <hyperlink ref="F734" r:id="rId2" display="https://files.afu.se/Downloads/Transcripts/0%20-%20Government/USA%20-%20NASA/"/>
    <hyperlink ref="C735" r:id="rId735" display="https://youtu.be/y7Z6R7DZFUs"/>
    <hyperlink ref="F735" r:id="rId2" display="https://files.afu.se/Downloads/Transcripts/0%20-%20Government/USA%20-%20NASA/"/>
    <hyperlink ref="C736" r:id="rId736" display="https://youtu.be/2WHXOi2orxA"/>
    <hyperlink ref="F736" r:id="rId2" display="https://files.afu.se/Downloads/Transcripts/0%20-%20Government/USA%20-%20NASA/"/>
    <hyperlink ref="C737" r:id="rId737" display="https://youtu.be/uu-_K_S4IOA"/>
    <hyperlink ref="F737" r:id="rId2" display="https://files.afu.se/Downloads/Transcripts/0%20-%20Government/USA%20-%20NASA/"/>
    <hyperlink ref="C738" r:id="rId738" display="https://youtu.be/oOxFoeXiiSA"/>
    <hyperlink ref="F738" r:id="rId2" display="https://files.afu.se/Downloads/Transcripts/0%20-%20Government/USA%20-%20NASA/"/>
    <hyperlink ref="C739" r:id="rId739" display="https://youtu.be/gEjVPyALZno"/>
    <hyperlink ref="F739" r:id="rId2" display="https://files.afu.se/Downloads/Transcripts/0%20-%20Government/USA%20-%20NASA/"/>
    <hyperlink ref="C740" r:id="rId740" display="https://youtu.be/qODDdqK9rL4"/>
    <hyperlink ref="F740" r:id="rId2" display="https://files.afu.se/Downloads/Transcripts/0%20-%20Government/USA%20-%20NASA/"/>
    <hyperlink ref="C741" r:id="rId741" display="https://youtu.be/75BvlfSbkEA"/>
    <hyperlink ref="F741" r:id="rId2" display="https://files.afu.se/Downloads/Transcripts/0%20-%20Government/USA%20-%20NASA/"/>
    <hyperlink ref="C742" r:id="rId742" display="https://youtu.be/G9KQfnqukno"/>
    <hyperlink ref="F742" r:id="rId2" display="https://files.afu.se/Downloads/Transcripts/0%20-%20Government/USA%20-%20NASA/"/>
    <hyperlink ref="C743" r:id="rId743" display="https://youtu.be/2kxqsA23lts"/>
    <hyperlink ref="F743" r:id="rId2" display="https://files.afu.se/Downloads/Transcripts/0%20-%20Government/USA%20-%20NASA/"/>
    <hyperlink ref="C744" r:id="rId744" display="https://youtu.be/QbtjlE2Sy8U"/>
    <hyperlink ref="F744" r:id="rId2" display="https://files.afu.se/Downloads/Transcripts/0%20-%20Government/USA%20-%20NASA/"/>
    <hyperlink ref="C745" r:id="rId745" display="https://youtu.be/CyhtXtRVXEo"/>
    <hyperlink ref="F745" r:id="rId2" display="https://files.afu.se/Downloads/Transcripts/0%20-%20Government/USA%20-%20NASA/"/>
    <hyperlink ref="C746" r:id="rId746" display="https://youtu.be/8pS_S3Pxoto"/>
    <hyperlink ref="F746" r:id="rId2" display="https://files.afu.se/Downloads/Transcripts/0%20-%20Government/USA%20-%20NASA/"/>
    <hyperlink ref="C747" r:id="rId747" display="https://youtu.be/KfjvYuEI-0U"/>
    <hyperlink ref="F747" r:id="rId2" display="https://files.afu.se/Downloads/Transcripts/0%20-%20Government/USA%20-%20NASA/"/>
    <hyperlink ref="C748" r:id="rId748" display="https://youtu.be/Rq8cyvmJMNQ"/>
    <hyperlink ref="F748" r:id="rId2" display="https://files.afu.se/Downloads/Transcripts/0%20-%20Government/USA%20-%20NASA/"/>
    <hyperlink ref="C749" r:id="rId749" display="https://youtu.be/vl6jn-DdafM"/>
    <hyperlink ref="F749" r:id="rId2" display="https://files.afu.se/Downloads/Transcripts/0%20-%20Government/USA%20-%20NASA/"/>
    <hyperlink ref="C750" r:id="rId750" display="https://youtu.be/5Vgzz2_2-84"/>
    <hyperlink ref="F750" r:id="rId2" display="https://files.afu.se/Downloads/Transcripts/0%20-%20Government/USA%20-%20NASA/"/>
    <hyperlink ref="C751" r:id="rId751" display="https://youtu.be/c-reig1cMPE"/>
    <hyperlink ref="F751" r:id="rId2" display="https://files.afu.se/Downloads/Transcripts/0%20-%20Government/USA%20-%20NASA/"/>
    <hyperlink ref="C752" r:id="rId752" display="https://youtu.be/KiGOpT9T4A8"/>
    <hyperlink ref="F752" r:id="rId2" display="https://files.afu.se/Downloads/Transcripts/0%20-%20Government/USA%20-%20NASA/"/>
    <hyperlink ref="C753" r:id="rId753" display="https://youtu.be/kPipPqzo-QQ"/>
    <hyperlink ref="F753" r:id="rId2" display="https://files.afu.se/Downloads/Transcripts/0%20-%20Government/USA%20-%20NASA/"/>
    <hyperlink ref="C754" r:id="rId754" display="https://youtu.be/QmvY8ZmN0Ic"/>
    <hyperlink ref="F754" r:id="rId2" display="https://files.afu.se/Downloads/Transcripts/0%20-%20Government/USA%20-%20NASA/"/>
    <hyperlink ref="C755" r:id="rId755" display="https://youtu.be/ObkvrRPX-ts"/>
    <hyperlink ref="F755" r:id="rId2" display="https://files.afu.se/Downloads/Transcripts/0%20-%20Government/USA%20-%20NASA/"/>
    <hyperlink ref="C756" r:id="rId756" display="https://youtu.be/FF6NTKKWgFU"/>
    <hyperlink ref="F756" r:id="rId2" display="https://files.afu.se/Downloads/Transcripts/0%20-%20Government/USA%20-%20NASA/"/>
    <hyperlink ref="C757" r:id="rId757" display="https://youtu.be/hxQPGtN9f64"/>
    <hyperlink ref="F757" r:id="rId2" display="https://files.afu.se/Downloads/Transcripts/0%20-%20Government/USA%20-%20NASA/"/>
    <hyperlink ref="C758" r:id="rId758" display="https://youtu.be/tKZmcZc9-LY"/>
    <hyperlink ref="F758" r:id="rId2" display="https://files.afu.se/Downloads/Transcripts/0%20-%20Government/USA%20-%20NASA/"/>
    <hyperlink ref="C759" r:id="rId759" display="https://youtu.be/ps3kWOQRQnY"/>
    <hyperlink ref="F759" r:id="rId2" display="https://files.afu.se/Downloads/Transcripts/0%20-%20Government/USA%20-%20NASA/"/>
    <hyperlink ref="C760" r:id="rId760" display="https://youtu.be/BpPnc4_tSwA"/>
    <hyperlink ref="F760" r:id="rId2" display="https://files.afu.se/Downloads/Transcripts/0%20-%20Government/USA%20-%20NASA/"/>
    <hyperlink ref="C761" r:id="rId761" display="https://youtu.be/_2tf7o8AtmI"/>
    <hyperlink ref="F761" r:id="rId2" display="https://files.afu.se/Downloads/Transcripts/0%20-%20Government/USA%20-%20NASA/"/>
    <hyperlink ref="C762" r:id="rId762" display="https://youtu.be/xPDYfXayugw"/>
    <hyperlink ref="F762" r:id="rId2" display="https://files.afu.se/Downloads/Transcripts/0%20-%20Government/USA%20-%20NASA/"/>
    <hyperlink ref="C763" r:id="rId763" display="https://youtu.be/y9TJVLdIqp0"/>
    <hyperlink ref="F763" r:id="rId2" display="https://files.afu.se/Downloads/Transcripts/0%20-%20Government/USA%20-%20NASA/"/>
    <hyperlink ref="C764" r:id="rId764" display="https://youtu.be/gXy8sSv64fY"/>
    <hyperlink ref="F764" r:id="rId2" display="https://files.afu.se/Downloads/Transcripts/0%20-%20Government/USA%20-%20NASA/"/>
    <hyperlink ref="C765" r:id="rId765" display="https://youtu.be/tBngQcySHdU"/>
    <hyperlink ref="F765" r:id="rId2" display="https://files.afu.se/Downloads/Transcripts/0%20-%20Government/USA%20-%20NASA/"/>
    <hyperlink ref="C766" r:id="rId766" display="https://youtu.be/FJDWHm_ZjoM"/>
    <hyperlink ref="F766" r:id="rId2" display="https://files.afu.se/Downloads/Transcripts/0%20-%20Government/USA%20-%20NASA/"/>
    <hyperlink ref="C767" r:id="rId767" display="https://youtu.be/k_2yFEzwNG4"/>
    <hyperlink ref="F767" r:id="rId2" display="https://files.afu.se/Downloads/Transcripts/0%20-%20Government/USA%20-%20NASA/"/>
    <hyperlink ref="C768" r:id="rId768" display="https://youtu.be/c9moR-KQpDQ"/>
    <hyperlink ref="F768" r:id="rId2" display="https://files.afu.se/Downloads/Transcripts/0%20-%20Government/USA%20-%20NASA/"/>
    <hyperlink ref="C769" r:id="rId769" display="https://youtu.be/FdbiIbaLj3o"/>
    <hyperlink ref="F769" r:id="rId2" display="https://files.afu.se/Downloads/Transcripts/0%20-%20Government/USA%20-%20NASA/"/>
    <hyperlink ref="C770" r:id="rId770" display="https://youtu.be/miyZ9DMJBsY"/>
    <hyperlink ref="F770" r:id="rId2" display="https://files.afu.se/Downloads/Transcripts/0%20-%20Government/USA%20-%20NASA/"/>
    <hyperlink ref="C771" r:id="rId771" display="https://youtu.be/nkqirlQowEw"/>
    <hyperlink ref="F771" r:id="rId2" display="https://files.afu.se/Downloads/Transcripts/0%20-%20Government/USA%20-%20NASA/"/>
    <hyperlink ref="C772" r:id="rId772" display="https://youtu.be/3rH3KAcYgBs"/>
    <hyperlink ref="F772" r:id="rId2" display="https://files.afu.se/Downloads/Transcripts/0%20-%20Government/USA%20-%20NASA/"/>
    <hyperlink ref="C773" r:id="rId773" display="https://youtu.be/o2gz2E-Wrws"/>
    <hyperlink ref="F773" r:id="rId2" display="https://files.afu.se/Downloads/Transcripts/0%20-%20Government/USA%20-%20NASA/"/>
    <hyperlink ref="C774" r:id="rId774" display="https://youtu.be/ERDxM9It9FE"/>
    <hyperlink ref="F774" r:id="rId2" display="https://files.afu.se/Downloads/Transcripts/0%20-%20Government/USA%20-%20NASA/"/>
    <hyperlink ref="C775" r:id="rId775" display="https://youtu.be/l1GPdqX8Xbo"/>
    <hyperlink ref="F775" r:id="rId2" display="https://files.afu.se/Downloads/Transcripts/0%20-%20Government/USA%20-%20NASA/"/>
    <hyperlink ref="C776" r:id="rId776" display="https://youtu.be/L9karIUJrSc"/>
    <hyperlink ref="F776" r:id="rId2" display="https://files.afu.se/Downloads/Transcripts/0%20-%20Government/USA%20-%20NASA/"/>
    <hyperlink ref="C777" r:id="rId777" display="https://youtu.be/zyG4YlPftxk"/>
    <hyperlink ref="F777" r:id="rId2" display="https://files.afu.se/Downloads/Transcripts/0%20-%20Government/USA%20-%20NASA/"/>
    <hyperlink ref="C778" r:id="rId778" display="https://youtu.be/fIW8ypUZT_c"/>
    <hyperlink ref="F778" r:id="rId2" display="https://files.afu.se/Downloads/Transcripts/0%20-%20Government/USA%20-%20NASA/"/>
    <hyperlink ref="C779" r:id="rId779" display="https://youtu.be/6dpmWyOZNyU"/>
    <hyperlink ref="F779" r:id="rId2" display="https://files.afu.se/Downloads/Transcripts/0%20-%20Government/USA%20-%20NASA/"/>
    <hyperlink ref="C780" r:id="rId780" display="https://youtu.be/ZQkoFuNWXg8"/>
    <hyperlink ref="F780" r:id="rId2" display="https://files.afu.se/Downloads/Transcripts/0%20-%20Government/USA%20-%20NASA/"/>
    <hyperlink ref="C781" r:id="rId781" display="https://youtu.be/PxvFsqevSdw"/>
    <hyperlink ref="F781" r:id="rId2" display="https://files.afu.se/Downloads/Transcripts/0%20-%20Government/USA%20-%20NASA/"/>
    <hyperlink ref="C782" r:id="rId782" display="https://youtu.be/HzEPE4IrY0c"/>
    <hyperlink ref="F782" r:id="rId2" display="https://files.afu.se/Downloads/Transcripts/0%20-%20Government/USA%20-%20NASA/"/>
    <hyperlink ref="C783" r:id="rId783" display="https://youtu.be/FaEqVYw7O3g"/>
    <hyperlink ref="F783" r:id="rId2" display="https://files.afu.se/Downloads/Transcripts/0%20-%20Government/USA%20-%20NASA/"/>
    <hyperlink ref="C784" r:id="rId784" display="https://youtu.be/2Pu5ubAJqco"/>
    <hyperlink ref="F784" r:id="rId2" display="https://files.afu.se/Downloads/Transcripts/0%20-%20Government/USA%20-%20NASA/"/>
    <hyperlink ref="C785" r:id="rId785" display="https://youtu.be/qYUAg9hZDmU"/>
    <hyperlink ref="F785" r:id="rId2" display="https://files.afu.se/Downloads/Transcripts/0%20-%20Government/USA%20-%20NASA/"/>
    <hyperlink ref="C786" r:id="rId786" display="https://youtu.be/X2t4l_yMStE"/>
    <hyperlink ref="F786" r:id="rId2" display="https://files.afu.se/Downloads/Transcripts/0%20-%20Government/USA%20-%20NASA/"/>
    <hyperlink ref="C787" r:id="rId787" display="https://youtu.be/fiMMeteLRek"/>
    <hyperlink ref="F787" r:id="rId2" display="https://files.afu.se/Downloads/Transcripts/0%20-%20Government/USA%20-%20NASA/"/>
    <hyperlink ref="C788" r:id="rId788" display="https://youtu.be/tt8_vTduQbw"/>
    <hyperlink ref="F788" r:id="rId2" display="https://files.afu.se/Downloads/Transcripts/0%20-%20Government/USA%20-%20NASA/"/>
    <hyperlink ref="C789" r:id="rId789" display="https://youtu.be/mSfhws_XCpI"/>
    <hyperlink ref="F789" r:id="rId2" display="https://files.afu.se/Downloads/Transcripts/0%20-%20Government/USA%20-%20NASA/"/>
    <hyperlink ref="C790" r:id="rId790" display="https://youtu.be/wJ0ia4M2dxs"/>
    <hyperlink ref="F790" r:id="rId2" display="https://files.afu.se/Downloads/Transcripts/0%20-%20Government/USA%20-%20NASA/"/>
    <hyperlink ref="C791" r:id="rId791" display="https://youtu.be/0SKjX4_r_vU"/>
    <hyperlink ref="F791" r:id="rId2" display="https://files.afu.se/Downloads/Transcripts/0%20-%20Government/USA%20-%20NASA/"/>
    <hyperlink ref="C792" r:id="rId792" display="https://youtu.be/YJ2bgMSoR0Q"/>
    <hyperlink ref="F792" r:id="rId2" display="https://files.afu.se/Downloads/Transcripts/0%20-%20Government/USA%20-%20NASA/"/>
    <hyperlink ref="C793" r:id="rId793" display="https://youtu.be/bivXt0hVufk"/>
    <hyperlink ref="F793" r:id="rId2" display="https://files.afu.se/Downloads/Transcripts/0%20-%20Government/USA%20-%20NASA/"/>
    <hyperlink ref="C794" r:id="rId794" display="https://youtu.be/mbPlJXZ_rv8"/>
    <hyperlink ref="F794" r:id="rId2" display="https://files.afu.se/Downloads/Transcripts/0%20-%20Government/USA%20-%20NASA/"/>
    <hyperlink ref="C795" r:id="rId795" display="https://youtu.be/b6jPnmCXwqI"/>
    <hyperlink ref="F795" r:id="rId2" display="https://files.afu.se/Downloads/Transcripts/0%20-%20Government/USA%20-%20NASA/"/>
    <hyperlink ref="C796" r:id="rId796" display="https://youtu.be/jIL-iRF5u34"/>
    <hyperlink ref="F796" r:id="rId2" display="https://files.afu.se/Downloads/Transcripts/0%20-%20Government/USA%20-%20NASA/"/>
    <hyperlink ref="C797" r:id="rId797" display="https://youtu.be/4cy68OoNHF0"/>
    <hyperlink ref="F797" r:id="rId2" display="https://files.afu.se/Downloads/Transcripts/0%20-%20Government/USA%20-%20NASA/"/>
    <hyperlink ref="C798" r:id="rId798" display="https://youtu.be/L4Y36LeleP0"/>
    <hyperlink ref="F798" r:id="rId2" display="https://files.afu.se/Downloads/Transcripts/0%20-%20Government/USA%20-%20NASA/"/>
    <hyperlink ref="C799" r:id="rId799" display="https://youtu.be/gPYgwrnr644"/>
    <hyperlink ref="F799" r:id="rId2" display="https://files.afu.se/Downloads/Transcripts/0%20-%20Government/USA%20-%20NASA/"/>
    <hyperlink ref="C800" r:id="rId800" display="https://youtu.be/H-Ci_YwfH04"/>
    <hyperlink ref="F800" r:id="rId2" display="https://files.afu.se/Downloads/Transcripts/0%20-%20Government/USA%20-%20NASA/"/>
    <hyperlink ref="C801" r:id="rId801" display="https://youtu.be/hG6lWYAFeCQ"/>
    <hyperlink ref="F801" r:id="rId2" display="https://files.afu.se/Downloads/Transcripts/0%20-%20Government/USA%20-%20NASA/"/>
    <hyperlink ref="C802" r:id="rId802" display="https://youtu.be/L9rVANO5qJ8"/>
    <hyperlink ref="F802" r:id="rId2" display="https://files.afu.se/Downloads/Transcripts/0%20-%20Government/USA%20-%20NASA/"/>
    <hyperlink ref="C803" r:id="rId803" display="https://youtu.be/W9-ob-o_YAg"/>
    <hyperlink ref="F803" r:id="rId2" display="https://files.afu.se/Downloads/Transcripts/0%20-%20Government/USA%20-%20NASA/"/>
    <hyperlink ref="C804" r:id="rId804" display="https://youtu.be/mE_hCTfMdng"/>
    <hyperlink ref="F804" r:id="rId2" display="https://files.afu.se/Downloads/Transcripts/0%20-%20Government/USA%20-%20NASA/"/>
    <hyperlink ref="C805" r:id="rId805" display="https://youtu.be/U7ep1GQ__kg"/>
    <hyperlink ref="F805" r:id="rId2" display="https://files.afu.se/Downloads/Transcripts/0%20-%20Government/USA%20-%20NASA/"/>
    <hyperlink ref="C806" r:id="rId806" display="https://youtu.be/JN0OWlfGWhw"/>
    <hyperlink ref="F806" r:id="rId2" display="https://files.afu.se/Downloads/Transcripts/0%20-%20Government/USA%20-%20NASA/"/>
    <hyperlink ref="C807" r:id="rId807" display="https://youtu.be/6hx20ca_poQ"/>
    <hyperlink ref="F807" r:id="rId2" display="https://files.afu.se/Downloads/Transcripts/0%20-%20Government/USA%20-%20NASA/"/>
    <hyperlink ref="C808" r:id="rId808" display="https://youtu.be/h0miq_cgI0s"/>
    <hyperlink ref="F808" r:id="rId2" display="https://files.afu.se/Downloads/Transcripts/0%20-%20Government/USA%20-%20NASA/"/>
    <hyperlink ref="C809" r:id="rId809" display="https://youtu.be/CVNHOX_jWvo"/>
    <hyperlink ref="F809" r:id="rId2" display="https://files.afu.se/Downloads/Transcripts/0%20-%20Government/USA%20-%20NASA/"/>
    <hyperlink ref="C810" r:id="rId810" display="https://youtu.be/5FTgkY82nT0"/>
    <hyperlink ref="F810" r:id="rId2" display="https://files.afu.se/Downloads/Transcripts/0%20-%20Government/USA%20-%20NASA/"/>
    <hyperlink ref="C811" r:id="rId811" display="https://youtu.be/ffSub6Q1FlE"/>
    <hyperlink ref="F811" r:id="rId2" display="https://files.afu.se/Downloads/Transcripts/0%20-%20Government/USA%20-%20NASA/"/>
    <hyperlink ref="C812" r:id="rId812" display="https://youtu.be/aOk9ClxXw_8"/>
    <hyperlink ref="F812" r:id="rId2" display="https://files.afu.se/Downloads/Transcripts/0%20-%20Government/USA%20-%20NASA/"/>
    <hyperlink ref="C813" r:id="rId813" display="https://youtu.be/w-QbR1gWEP8"/>
    <hyperlink ref="F813" r:id="rId2" display="https://files.afu.se/Downloads/Transcripts/0%20-%20Government/USA%20-%20NASA/"/>
    <hyperlink ref="C814" r:id="rId814" display="https://youtu.be/Wfd0oC3eFWw"/>
    <hyperlink ref="F814" r:id="rId2" display="https://files.afu.se/Downloads/Transcripts/0%20-%20Government/USA%20-%20NASA/"/>
    <hyperlink ref="C815" r:id="rId815" display="https://youtu.be/Nrv2keOYGbQ"/>
    <hyperlink ref="F815" r:id="rId2" display="https://files.afu.se/Downloads/Transcripts/0%20-%20Government/USA%20-%20NASA/"/>
    <hyperlink ref="C816" r:id="rId816" display="https://youtu.be/01fa_zQ_yqI"/>
    <hyperlink ref="F816" r:id="rId2" display="https://files.afu.se/Downloads/Transcripts/0%20-%20Government/USA%20-%20NASA/"/>
    <hyperlink ref="C817" r:id="rId817" display="https://youtu.be/5LpwhzCVTAY"/>
    <hyperlink ref="F817" r:id="rId2" display="https://files.afu.se/Downloads/Transcripts/0%20-%20Government/USA%20-%20NASA/"/>
    <hyperlink ref="C818" r:id="rId818" display="https://youtu.be/s6v-9Qf3qFg"/>
    <hyperlink ref="F818" r:id="rId2" display="https://files.afu.se/Downloads/Transcripts/0%20-%20Government/USA%20-%20NASA/"/>
    <hyperlink ref="C819" r:id="rId819" display="https://youtu.be/W6kuPPO48iE"/>
    <hyperlink ref="F819" r:id="rId2" display="https://files.afu.se/Downloads/Transcripts/0%20-%20Government/USA%20-%20NASA/"/>
    <hyperlink ref="C820" r:id="rId820" display="https://youtu.be/zJ-kcuBuR3c"/>
    <hyperlink ref="F820" r:id="rId2" display="https://files.afu.se/Downloads/Transcripts/0%20-%20Government/USA%20-%20NASA/"/>
    <hyperlink ref="C821" r:id="rId821" display="https://youtu.be/OfIlau2VVp4"/>
    <hyperlink ref="F821" r:id="rId2" display="https://files.afu.se/Downloads/Transcripts/0%20-%20Government/USA%20-%20NASA/"/>
    <hyperlink ref="C822" r:id="rId822" display="https://youtu.be/y7ZbghndiwQ"/>
    <hyperlink ref="F822" r:id="rId2" display="https://files.afu.se/Downloads/Transcripts/0%20-%20Government/USA%20-%20NASA/"/>
    <hyperlink ref="C823" r:id="rId823" display="https://youtu.be/9B9YyxiLvZI"/>
    <hyperlink ref="F823" r:id="rId2" display="https://files.afu.se/Downloads/Transcripts/0%20-%20Government/USA%20-%20NASA/"/>
    <hyperlink ref="C824" r:id="rId824" display="https://youtu.be/yZoGUm_SFs8"/>
    <hyperlink ref="F824" r:id="rId2" display="https://files.afu.se/Downloads/Transcripts/0%20-%20Government/USA%20-%20NASA/"/>
    <hyperlink ref="C825" r:id="rId825" display="https://youtu.be/UhSemu3P8aY"/>
    <hyperlink ref="F825" r:id="rId2" display="https://files.afu.se/Downloads/Transcripts/0%20-%20Government/USA%20-%20NASA/"/>
    <hyperlink ref="C826" r:id="rId826" display="https://youtu.be/6MS_vXQ50vc"/>
    <hyperlink ref="F826" r:id="rId2" display="https://files.afu.se/Downloads/Transcripts/0%20-%20Government/USA%20-%20NASA/"/>
    <hyperlink ref="C827" r:id="rId827" display="https://youtu.be/ulr36BypZTU"/>
    <hyperlink ref="F827" r:id="rId2" display="https://files.afu.se/Downloads/Transcripts/0%20-%20Government/USA%20-%20NASA/"/>
    <hyperlink ref="C828" r:id="rId828" display="https://youtu.be/_F4Y4NOQJHk"/>
    <hyperlink ref="F828" r:id="rId2" display="https://files.afu.se/Downloads/Transcripts/0%20-%20Government/USA%20-%20NASA/"/>
    <hyperlink ref="C829" r:id="rId829" display="https://youtu.be/kyD0q57zw40"/>
    <hyperlink ref="F829" r:id="rId2" display="https://files.afu.se/Downloads/Transcripts/0%20-%20Government/USA%20-%20NASA/"/>
    <hyperlink ref="C830" r:id="rId830" display="https://youtu.be/wSetbwukWDQ"/>
    <hyperlink ref="F830" r:id="rId2" display="https://files.afu.se/Downloads/Transcripts/0%20-%20Government/USA%20-%20NASA/"/>
    <hyperlink ref="C831" r:id="rId831" display="https://youtu.be/O1W4xVpAQio"/>
    <hyperlink ref="F831" r:id="rId2" display="https://files.afu.se/Downloads/Transcripts/0%20-%20Government/USA%20-%20NASA/"/>
    <hyperlink ref="C832" r:id="rId832" display="https://youtu.be/Zg7i4q_EX9E"/>
    <hyperlink ref="F832" r:id="rId2" display="https://files.afu.se/Downloads/Transcripts/0%20-%20Government/USA%20-%20NASA/"/>
    <hyperlink ref="C833" r:id="rId833" display="https://youtu.be/m6308PIJ130"/>
    <hyperlink ref="F833" r:id="rId2" display="https://files.afu.se/Downloads/Transcripts/0%20-%20Government/USA%20-%20NASA/"/>
    <hyperlink ref="C834" r:id="rId834" display="https://youtu.be/01mdhIhZZy4"/>
    <hyperlink ref="F834" r:id="rId2" display="https://files.afu.se/Downloads/Transcripts/0%20-%20Government/USA%20-%20NASA/"/>
    <hyperlink ref="C835" r:id="rId835" display="https://youtu.be/WeA7edXsU40"/>
    <hyperlink ref="F835" r:id="rId2" display="https://files.afu.se/Downloads/Transcripts/0%20-%20Government/USA%20-%20NASA/"/>
    <hyperlink ref="C836" r:id="rId836" display="https://youtu.be/oFHy8vaP_Bw"/>
    <hyperlink ref="F836" r:id="rId2" display="https://files.afu.se/Downloads/Transcripts/0%20-%20Government/USA%20-%20NASA/"/>
    <hyperlink ref="C837" r:id="rId837" display="https://youtu.be/q09lz9q3-yM"/>
    <hyperlink ref="F837" r:id="rId2" display="https://files.afu.se/Downloads/Transcripts/0%20-%20Government/USA%20-%20NASA/"/>
    <hyperlink ref="C838" r:id="rId838" display="https://youtu.be/_tVMaG7KLmY"/>
    <hyperlink ref="F838" r:id="rId2" display="https://files.afu.se/Downloads/Transcripts/0%20-%20Government/USA%20-%20NASA/"/>
    <hyperlink ref="C839" r:id="rId839" display="https://youtu.be/0e8U2wQ51l0"/>
    <hyperlink ref="F839" r:id="rId2" display="https://files.afu.se/Downloads/Transcripts/0%20-%20Government/USA%20-%20NASA/"/>
    <hyperlink ref="C840" r:id="rId840" display="https://youtu.be/hrNRr4ChKWg"/>
    <hyperlink ref="F840" r:id="rId2" display="https://files.afu.se/Downloads/Transcripts/0%20-%20Government/USA%20-%20NASA/"/>
    <hyperlink ref="C841" r:id="rId841" display="https://youtu.be/XHpwtRkrxdw"/>
    <hyperlink ref="F841" r:id="rId2" display="https://files.afu.se/Downloads/Transcripts/0%20-%20Government/USA%20-%20NASA/"/>
    <hyperlink ref="C842" r:id="rId842" display="https://youtu.be/8jdFlRDEkAA"/>
    <hyperlink ref="F842" r:id="rId2" display="https://files.afu.se/Downloads/Transcripts/0%20-%20Government/USA%20-%20NASA/"/>
    <hyperlink ref="C843" r:id="rId843" display="https://youtu.be/le6NhxabmHs"/>
    <hyperlink ref="F843" r:id="rId2" display="https://files.afu.se/Downloads/Transcripts/0%20-%20Government/USA%20-%20NASA/"/>
    <hyperlink ref="C844" r:id="rId844" display="https://youtu.be/7k2uKb9vCOI"/>
    <hyperlink ref="F844" r:id="rId2" display="https://files.afu.se/Downloads/Transcripts/0%20-%20Government/USA%20-%20NASA/"/>
    <hyperlink ref="C845" r:id="rId845" display="https://youtu.be/a3NF-r98y1M"/>
    <hyperlink ref="F845" r:id="rId2" display="https://files.afu.se/Downloads/Transcripts/0%20-%20Government/USA%20-%20NASA/"/>
    <hyperlink ref="C846" r:id="rId846" display="https://youtu.be/60D5EWLb20Y"/>
    <hyperlink ref="F846" r:id="rId2" display="https://files.afu.se/Downloads/Transcripts/0%20-%20Government/USA%20-%20NASA/"/>
    <hyperlink ref="C847" r:id="rId847" display="https://youtu.be/_V7J05fK5e0"/>
    <hyperlink ref="F847" r:id="rId2" display="https://files.afu.se/Downloads/Transcripts/0%20-%20Government/USA%20-%20NASA/"/>
    <hyperlink ref="C848" r:id="rId848" display="https://youtu.be/tznqvq2Po8o"/>
    <hyperlink ref="F848" r:id="rId2" display="https://files.afu.se/Downloads/Transcripts/0%20-%20Government/USA%20-%20NASA/"/>
    <hyperlink ref="C849" r:id="rId849" display="https://youtu.be/1Lb-r9-Dczw"/>
    <hyperlink ref="F849" r:id="rId2" display="https://files.afu.se/Downloads/Transcripts/0%20-%20Government/USA%20-%20NASA/"/>
    <hyperlink ref="C850" r:id="rId850" display="https://youtu.be/mi2PCuGSllo"/>
    <hyperlink ref="F850" r:id="rId2" display="https://files.afu.se/Downloads/Transcripts/0%20-%20Government/USA%20-%20NASA/"/>
    <hyperlink ref="C851" r:id="rId851" display="https://youtu.be/cToazVt_aCc"/>
    <hyperlink ref="F851" r:id="rId2" display="https://files.afu.se/Downloads/Transcripts/0%20-%20Government/USA%20-%20NASA/"/>
    <hyperlink ref="C852" r:id="rId852" display="https://youtu.be/L2H_vIqyWTU"/>
    <hyperlink ref="F852" r:id="rId2" display="https://files.afu.se/Downloads/Transcripts/0%20-%20Government/USA%20-%20NASA/"/>
    <hyperlink ref="C853" r:id="rId853" display="https://youtu.be/3KrToNURGvI"/>
    <hyperlink ref="F853" r:id="rId2" display="https://files.afu.se/Downloads/Transcripts/0%20-%20Government/USA%20-%20NASA/"/>
    <hyperlink ref="C854" r:id="rId854" display="https://youtu.be/g9dNgHGtHqU"/>
    <hyperlink ref="F854" r:id="rId2" display="https://files.afu.se/Downloads/Transcripts/0%20-%20Government/USA%20-%20NASA/"/>
    <hyperlink ref="C855" r:id="rId855" display="https://youtu.be/hLP_IQJ8Tso"/>
    <hyperlink ref="F855" r:id="rId2" display="https://files.afu.se/Downloads/Transcripts/0%20-%20Government/USA%20-%20NASA/"/>
    <hyperlink ref="C856" r:id="rId856" display="https://youtu.be/ur5txa42D9I"/>
    <hyperlink ref="F856" r:id="rId2" display="https://files.afu.se/Downloads/Transcripts/0%20-%20Government/USA%20-%20NASA/"/>
    <hyperlink ref="C857" r:id="rId857" display="https://youtu.be/cFC71rFejvo"/>
    <hyperlink ref="F857" r:id="rId2" display="https://files.afu.se/Downloads/Transcripts/0%20-%20Government/USA%20-%20NASA/"/>
    <hyperlink ref="C858" r:id="rId858" display="https://youtu.be/QcFmSH9GY2k"/>
    <hyperlink ref="F858" r:id="rId2" display="https://files.afu.se/Downloads/Transcripts/0%20-%20Government/USA%20-%20NASA/"/>
    <hyperlink ref="C859" r:id="rId859" display="https://youtu.be/iauo11KsAPY"/>
    <hyperlink ref="F859" r:id="rId2" display="https://files.afu.se/Downloads/Transcripts/0%20-%20Government/USA%20-%20NASA/"/>
    <hyperlink ref="C860" r:id="rId860" display="https://youtu.be/LNkmwrTjKuo"/>
    <hyperlink ref="F860" r:id="rId2" display="https://files.afu.se/Downloads/Transcripts/0%20-%20Government/USA%20-%20NASA/"/>
    <hyperlink ref="C861" r:id="rId861" display="https://youtu.be/40VBnLyrUyw"/>
    <hyperlink ref="F861" r:id="rId2" display="https://files.afu.se/Downloads/Transcripts/0%20-%20Government/USA%20-%20NASA/"/>
    <hyperlink ref="C862" r:id="rId862" display="https://youtu.be/UTaE0_jrHk0"/>
    <hyperlink ref="F862" r:id="rId2" display="https://files.afu.se/Downloads/Transcripts/0%20-%20Government/USA%20-%20NASA/"/>
    <hyperlink ref="C863" r:id="rId863" display="https://youtu.be/vqEpCDCnduU"/>
    <hyperlink ref="F863" r:id="rId2" display="https://files.afu.se/Downloads/Transcripts/0%20-%20Government/USA%20-%20NASA/"/>
    <hyperlink ref="C864" r:id="rId864" display="https://youtu.be/Vk2AkJmt6GQ"/>
    <hyperlink ref="F864" r:id="rId2" display="https://files.afu.se/Downloads/Transcripts/0%20-%20Government/USA%20-%20NASA/"/>
    <hyperlink ref="C865" r:id="rId865" display="https://youtu.be/jxlvbFOIXUk"/>
    <hyperlink ref="F865" r:id="rId2" display="https://files.afu.se/Downloads/Transcripts/0%20-%20Government/USA%20-%20NASA/"/>
    <hyperlink ref="C866" r:id="rId866" display="https://youtu.be/KNElTfFtBL4"/>
    <hyperlink ref="F866" r:id="rId2" display="https://files.afu.se/Downloads/Transcripts/0%20-%20Government/USA%20-%20NASA/"/>
    <hyperlink ref="C867" r:id="rId867" display="https://youtu.be/VTFHiRbOFkU"/>
    <hyperlink ref="F867" r:id="rId2" display="https://files.afu.se/Downloads/Transcripts/0%20-%20Government/USA%20-%20NASA/"/>
    <hyperlink ref="C868" r:id="rId868" display="https://youtu.be/wolBYX84Efk"/>
    <hyperlink ref="F868" r:id="rId2" display="https://files.afu.se/Downloads/Transcripts/0%20-%20Government/USA%20-%20NASA/"/>
    <hyperlink ref="C869" r:id="rId869" display="https://youtu.be/LUwnLFKfuBE"/>
    <hyperlink ref="F869" r:id="rId2" display="https://files.afu.se/Downloads/Transcripts/0%20-%20Government/USA%20-%20NASA/"/>
    <hyperlink ref="C870" r:id="rId870" display="https://youtu.be/QbDb4J7dgUk"/>
    <hyperlink ref="F870" r:id="rId2" display="https://files.afu.se/Downloads/Transcripts/0%20-%20Government/USA%20-%20NASA/"/>
    <hyperlink ref="C871" r:id="rId871" display="https://youtu.be/SH7koYc0tac"/>
    <hyperlink ref="F871" r:id="rId2" display="https://files.afu.se/Downloads/Transcripts/0%20-%20Government/USA%20-%20NASA/"/>
    <hyperlink ref="C872" r:id="rId872" display="https://youtu.be/3lQA9K9CrQk"/>
    <hyperlink ref="F872" r:id="rId2" display="https://files.afu.se/Downloads/Transcripts/0%20-%20Government/USA%20-%20NASA/"/>
    <hyperlink ref="C873" r:id="rId873" display="https://youtu.be/uDhDZi9Qxhk"/>
    <hyperlink ref="F873" r:id="rId2" display="https://files.afu.se/Downloads/Transcripts/0%20-%20Government/USA%20-%20NASA/"/>
    <hyperlink ref="C874" r:id="rId874" display="https://youtu.be/i5k7von5rKI"/>
    <hyperlink ref="F874" r:id="rId2" display="https://files.afu.se/Downloads/Transcripts/0%20-%20Government/USA%20-%20NASA/"/>
    <hyperlink ref="C875" r:id="rId875" display="https://youtu.be/1UaBgr_sq9A"/>
    <hyperlink ref="F875" r:id="rId2" display="https://files.afu.se/Downloads/Transcripts/0%20-%20Government/USA%20-%20NASA/"/>
    <hyperlink ref="C876" r:id="rId876" display="https://youtu.be/BKxrkKSzILs"/>
    <hyperlink ref="F876" r:id="rId2" display="https://files.afu.se/Downloads/Transcripts/0%20-%20Government/USA%20-%20NASA/"/>
    <hyperlink ref="C877" r:id="rId877" display="https://youtu.be/vZBSZLn60Ms"/>
    <hyperlink ref="F877" r:id="rId2" display="https://files.afu.se/Downloads/Transcripts/0%20-%20Government/USA%20-%20NASA/"/>
    <hyperlink ref="C878" r:id="rId878" display="https://youtu.be/GMDiL_DICeU"/>
    <hyperlink ref="F878" r:id="rId2" display="https://files.afu.se/Downloads/Transcripts/0%20-%20Government/USA%20-%20NASA/"/>
    <hyperlink ref="C879" r:id="rId879" display="https://youtu.be/6jq8-UjhHh4"/>
    <hyperlink ref="F879" r:id="rId2" display="https://files.afu.se/Downloads/Transcripts/0%20-%20Government/USA%20-%20NASA/"/>
    <hyperlink ref="C880" r:id="rId880" display="https://youtu.be/TrIyqnAFHNs"/>
    <hyperlink ref="F880" r:id="rId2" display="https://files.afu.se/Downloads/Transcripts/0%20-%20Government/USA%20-%20NASA/"/>
    <hyperlink ref="C881" r:id="rId881" display="https://youtu.be/coF4nm-y1Uw"/>
    <hyperlink ref="F881" r:id="rId2" display="https://files.afu.se/Downloads/Transcripts/0%20-%20Government/USA%20-%20NASA/"/>
    <hyperlink ref="C882" r:id="rId882" display="https://youtu.be/fO1LK8IAX9s"/>
    <hyperlink ref="F882" r:id="rId2" display="https://files.afu.se/Downloads/Transcripts/0%20-%20Government/USA%20-%20NASA/"/>
    <hyperlink ref="C883" r:id="rId883" display="https://youtu.be/YvGFtrr4KkY"/>
    <hyperlink ref="F883" r:id="rId2" display="https://files.afu.se/Downloads/Transcripts/0%20-%20Government/USA%20-%20NASA/"/>
    <hyperlink ref="C884" r:id="rId884" display="https://youtu.be/uqzovqnP5nc"/>
    <hyperlink ref="F884" r:id="rId2" display="https://files.afu.se/Downloads/Transcripts/0%20-%20Government/USA%20-%20NASA/"/>
    <hyperlink ref="C885" r:id="rId885" display="https://youtu.be/39jNpn3RLqI"/>
    <hyperlink ref="F885" r:id="rId2" display="https://files.afu.se/Downloads/Transcripts/0%20-%20Government/USA%20-%20NASA/"/>
    <hyperlink ref="C886" r:id="rId886" display="https://youtu.be/PCcO0gftbPQ"/>
    <hyperlink ref="F886" r:id="rId2" display="https://files.afu.se/Downloads/Transcripts/0%20-%20Government/USA%20-%20NASA/"/>
    <hyperlink ref="C887" r:id="rId887" display="https://youtu.be/2HmsjyJclWY"/>
    <hyperlink ref="F887" r:id="rId2" display="https://files.afu.se/Downloads/Transcripts/0%20-%20Government/USA%20-%20NASA/"/>
    <hyperlink ref="C888" r:id="rId888" display="https://youtu.be/N02R_sqjOmI"/>
    <hyperlink ref="F888" r:id="rId2" display="https://files.afu.se/Downloads/Transcripts/0%20-%20Government/USA%20-%20NASA/"/>
    <hyperlink ref="C889" r:id="rId889" display="https://youtu.be/weoWlAs4Dr4"/>
    <hyperlink ref="F889" r:id="rId2" display="https://files.afu.se/Downloads/Transcripts/0%20-%20Government/USA%20-%20NASA/"/>
    <hyperlink ref="C890" r:id="rId890" display="https://youtu.be/5rMN2rtPOTo"/>
    <hyperlink ref="F890" r:id="rId2" display="https://files.afu.se/Downloads/Transcripts/0%20-%20Government/USA%20-%20NASA/"/>
    <hyperlink ref="C891" r:id="rId891" display="https://youtu.be/IllWRRayBk8"/>
    <hyperlink ref="F891" r:id="rId2" display="https://files.afu.se/Downloads/Transcripts/0%20-%20Government/USA%20-%20NASA/"/>
    <hyperlink ref="C892" r:id="rId892" display="https://youtu.be/KFFmSA4TDKA"/>
    <hyperlink ref="F892" r:id="rId2" display="https://files.afu.se/Downloads/Transcripts/0%20-%20Government/USA%20-%20NASA/"/>
    <hyperlink ref="C893" r:id="rId893" display="https://youtu.be/PTMbHVD6DpI"/>
    <hyperlink ref="F893" r:id="rId2" display="https://files.afu.se/Downloads/Transcripts/0%20-%20Government/USA%20-%20NASA/"/>
    <hyperlink ref="C894" r:id="rId894" display="https://youtu.be/BUClxcUbuNM"/>
    <hyperlink ref="F894" r:id="rId2" display="https://files.afu.se/Downloads/Transcripts/0%20-%20Government/USA%20-%20NASA/"/>
    <hyperlink ref="C895" r:id="rId895" display="https://youtu.be/PPIGi45cZKM"/>
    <hyperlink ref="F895" r:id="rId2" display="https://files.afu.se/Downloads/Transcripts/0%20-%20Government/USA%20-%20NASA/"/>
    <hyperlink ref="C896" r:id="rId896" display="https://youtu.be/dr-drmOdfoY"/>
    <hyperlink ref="F896" r:id="rId2" display="https://files.afu.se/Downloads/Transcripts/0%20-%20Government/USA%20-%20NASA/"/>
    <hyperlink ref="C897" r:id="rId897" display="https://youtu.be/6BHQWGw8QNY"/>
    <hyperlink ref="F897" r:id="rId2" display="https://files.afu.se/Downloads/Transcripts/0%20-%20Government/USA%20-%20NASA/"/>
    <hyperlink ref="C898" r:id="rId898" display="https://youtu.be/dxV-v_YaboQ"/>
    <hyperlink ref="F898" r:id="rId2" display="https://files.afu.se/Downloads/Transcripts/0%20-%20Government/USA%20-%20NASA/"/>
    <hyperlink ref="C899" r:id="rId899" display="https://youtu.be/tvgrXBoQY_M"/>
    <hyperlink ref="F899" r:id="rId2" display="https://files.afu.se/Downloads/Transcripts/0%20-%20Government/USA%20-%20NASA/"/>
    <hyperlink ref="C900" r:id="rId900" display="https://youtu.be/BCBQYvr7dAM"/>
    <hyperlink ref="F900" r:id="rId2" display="https://files.afu.se/Downloads/Transcripts/0%20-%20Government/USA%20-%20NASA/"/>
    <hyperlink ref="C901" r:id="rId901" display="https://youtu.be/7twrDde6P0g"/>
    <hyperlink ref="F901" r:id="rId2" display="https://files.afu.se/Downloads/Transcripts/0%20-%20Government/USA%20-%20NASA/"/>
    <hyperlink ref="C902" r:id="rId902" display="https://youtu.be/_ERy7-Pd0dU"/>
    <hyperlink ref="F902" r:id="rId2" display="https://files.afu.se/Downloads/Transcripts/0%20-%20Government/USA%20-%20NASA/"/>
    <hyperlink ref="C903" r:id="rId903" display="https://youtu.be/qJnjcmxzpOs"/>
    <hyperlink ref="F903" r:id="rId2" display="https://files.afu.se/Downloads/Transcripts/0%20-%20Government/USA%20-%20NASA/"/>
    <hyperlink ref="C904" r:id="rId904" display="https://youtu.be/uGI-8_G7dQY"/>
    <hyperlink ref="F904" r:id="rId2" display="https://files.afu.se/Downloads/Transcripts/0%20-%20Government/USA%20-%20NASA/"/>
    <hyperlink ref="C905" r:id="rId905" display="https://youtu.be/C0NyvxTJGcQ"/>
    <hyperlink ref="F905" r:id="rId2" display="https://files.afu.se/Downloads/Transcripts/0%20-%20Government/USA%20-%20NASA/"/>
    <hyperlink ref="C906" r:id="rId906" display="https://youtu.be/0are7UM5kMU"/>
    <hyperlink ref="F906" r:id="rId2" display="https://files.afu.se/Downloads/Transcripts/0%20-%20Government/USA%20-%20NASA/"/>
    <hyperlink ref="C907" r:id="rId907" display="https://youtu.be/AlyuSwRSVHU"/>
    <hyperlink ref="F907" r:id="rId2" display="https://files.afu.se/Downloads/Transcripts/0%20-%20Government/USA%20-%20NASA/"/>
    <hyperlink ref="C908" r:id="rId908" display="https://youtu.be/vme1j6kivnk"/>
    <hyperlink ref="F908" r:id="rId2" display="https://files.afu.se/Downloads/Transcripts/0%20-%20Government/USA%20-%20NASA/"/>
    <hyperlink ref="C909" r:id="rId909" display="https://youtu.be/MvKvX-niMLA"/>
    <hyperlink ref="F909" r:id="rId2" display="https://files.afu.se/Downloads/Transcripts/0%20-%20Government/USA%20-%20NASA/"/>
    <hyperlink ref="C910" r:id="rId910" display="https://youtu.be/Xd5hyAkmRQQ"/>
    <hyperlink ref="F910" r:id="rId2" display="https://files.afu.se/Downloads/Transcripts/0%20-%20Government/USA%20-%20NASA/"/>
    <hyperlink ref="C911" r:id="rId911" display="https://youtu.be/Eu13IPVFGp0"/>
    <hyperlink ref="F911" r:id="rId2" display="https://files.afu.se/Downloads/Transcripts/0%20-%20Government/USA%20-%20NASA/"/>
    <hyperlink ref="C912" r:id="rId912" display="https://youtu.be/BzWtbN9nKB0"/>
    <hyperlink ref="F912" r:id="rId2" display="https://files.afu.se/Downloads/Transcripts/0%20-%20Government/USA%20-%20NASA/"/>
    <hyperlink ref="C913" r:id="rId913" display="https://youtu.be/VV6QeZFaVSQ"/>
    <hyperlink ref="F913" r:id="rId2" display="https://files.afu.se/Downloads/Transcripts/0%20-%20Government/USA%20-%20NASA/"/>
    <hyperlink ref="C914" r:id="rId914" display="https://youtu.be/UwWCd4UjSdg"/>
    <hyperlink ref="F914" r:id="rId2" display="https://files.afu.se/Downloads/Transcripts/0%20-%20Government/USA%20-%20NASA/"/>
    <hyperlink ref="C915" r:id="rId915" display="https://youtu.be/-I-zdmg_Dno"/>
    <hyperlink ref="F915" r:id="rId2" display="https://files.afu.se/Downloads/Transcripts/0%20-%20Government/USA%20-%20NASA/"/>
    <hyperlink ref="C916" r:id="rId916" display="https://youtu.be/K0l1RJ4Aag8"/>
    <hyperlink ref="F916" r:id="rId2" display="https://files.afu.se/Downloads/Transcripts/0%20-%20Government/USA%20-%20NASA/"/>
    <hyperlink ref="C917" r:id="rId917" display="https://youtu.be/CRu_hG3X3bI"/>
    <hyperlink ref="F917" r:id="rId2" display="https://files.afu.se/Downloads/Transcripts/0%20-%20Government/USA%20-%20NASA/"/>
    <hyperlink ref="C918" r:id="rId918" display="https://youtu.be/F5cjXCQ5Cpk"/>
    <hyperlink ref="F918" r:id="rId2" display="https://files.afu.se/Downloads/Transcripts/0%20-%20Government/USA%20-%20NASA/"/>
    <hyperlink ref="C919" r:id="rId919" display="https://youtu.be/L06p8Jba45c"/>
    <hyperlink ref="F919" r:id="rId2" display="https://files.afu.se/Downloads/Transcripts/0%20-%20Government/USA%20-%20NASA/"/>
    <hyperlink ref="C920" r:id="rId920" display="https://youtu.be/RT9laVHZZQo"/>
    <hyperlink ref="F920" r:id="rId2" display="https://files.afu.se/Downloads/Transcripts/0%20-%20Government/USA%20-%20NASA/"/>
    <hyperlink ref="C921" r:id="rId921" display="https://youtu.be/AmT9XeSDSno"/>
    <hyperlink ref="F921" r:id="rId2" display="https://files.afu.se/Downloads/Transcripts/0%20-%20Government/USA%20-%20NASA/"/>
    <hyperlink ref="C922" r:id="rId922" display="https://youtu.be/0M9Sxm7peC8"/>
    <hyperlink ref="F922" r:id="rId2" display="https://files.afu.se/Downloads/Transcripts/0%20-%20Government/USA%20-%20NASA/"/>
    <hyperlink ref="C923" r:id="rId923" display="https://youtu.be/cbLqTfm_bac"/>
    <hyperlink ref="F923" r:id="rId2" display="https://files.afu.se/Downloads/Transcripts/0%20-%20Government/USA%20-%20NASA/"/>
    <hyperlink ref="C924" r:id="rId924" display="https://youtu.be/7SQ3kLhXpS4"/>
    <hyperlink ref="F924" r:id="rId2" display="https://files.afu.se/Downloads/Transcripts/0%20-%20Government/USA%20-%20NASA/"/>
    <hyperlink ref="C925" r:id="rId925" display="https://youtu.be/rPiqC-PyLDo"/>
    <hyperlink ref="F925" r:id="rId2" display="https://files.afu.se/Downloads/Transcripts/0%20-%20Government/USA%20-%20NASA/"/>
    <hyperlink ref="C926" r:id="rId926" display="https://youtu.be/3kljit1CqKI"/>
    <hyperlink ref="F926" r:id="rId2" display="https://files.afu.se/Downloads/Transcripts/0%20-%20Government/USA%20-%20NASA/"/>
    <hyperlink ref="C927" r:id="rId927" display="https://youtu.be/qY5b4QXLSJk"/>
    <hyperlink ref="F927" r:id="rId2" display="https://files.afu.se/Downloads/Transcripts/0%20-%20Government/USA%20-%20NASA/"/>
    <hyperlink ref="C928" r:id="rId928" display="https://youtu.be/TV4oNZzRBYY"/>
    <hyperlink ref="F928" r:id="rId2" display="https://files.afu.se/Downloads/Transcripts/0%20-%20Government/USA%20-%20NASA/"/>
    <hyperlink ref="C929" r:id="rId929" display="https://youtu.be/aEY6CIM7YUI"/>
    <hyperlink ref="F929" r:id="rId2" display="https://files.afu.se/Downloads/Transcripts/0%20-%20Government/USA%20-%20NASA/"/>
    <hyperlink ref="C930" r:id="rId930" display="https://youtu.be/M7mYVftosSc"/>
    <hyperlink ref="F930" r:id="rId2" display="https://files.afu.se/Downloads/Transcripts/0%20-%20Government/USA%20-%20NASA/"/>
    <hyperlink ref="C931" r:id="rId931" display="https://youtu.be/6CmtZLKgIWs"/>
    <hyperlink ref="F931" r:id="rId2" display="https://files.afu.se/Downloads/Transcripts/0%20-%20Government/USA%20-%20NASA/"/>
    <hyperlink ref="C932" r:id="rId932" display="https://youtu.be/OeJhXAigzNc"/>
    <hyperlink ref="F932" r:id="rId2" display="https://files.afu.se/Downloads/Transcripts/0%20-%20Government/USA%20-%20NASA/"/>
    <hyperlink ref="C933" r:id="rId933" display="https://youtu.be/UN42PgZTKTg"/>
    <hyperlink ref="F933" r:id="rId2" display="https://files.afu.se/Downloads/Transcripts/0%20-%20Government/USA%20-%20NASA/"/>
    <hyperlink ref="C934" r:id="rId934" display="https://youtu.be/o19qjafoy64"/>
    <hyperlink ref="F934" r:id="rId2" display="https://files.afu.se/Downloads/Transcripts/0%20-%20Government/USA%20-%20NASA/"/>
    <hyperlink ref="C935" r:id="rId935" display="https://youtu.be/ksSqhjUBCNM"/>
    <hyperlink ref="F935" r:id="rId2" display="https://files.afu.se/Downloads/Transcripts/0%20-%20Government/USA%20-%20NASA/"/>
    <hyperlink ref="C936" r:id="rId936" display="https://youtu.be/zvfNUGkSQ_k"/>
    <hyperlink ref="F936" r:id="rId2" display="https://files.afu.se/Downloads/Transcripts/0%20-%20Government/USA%20-%20NASA/"/>
    <hyperlink ref="C937" r:id="rId937" display="https://youtu.be/wK22fHb2pjE"/>
    <hyperlink ref="F937" r:id="rId2" display="https://files.afu.se/Downloads/Transcripts/0%20-%20Government/USA%20-%20NASA/"/>
    <hyperlink ref="C938" r:id="rId938" display="https://youtu.be/xNerVZZYPNU"/>
    <hyperlink ref="F938" r:id="rId2" display="https://files.afu.se/Downloads/Transcripts/0%20-%20Government/USA%20-%20NASA/"/>
    <hyperlink ref="C939" r:id="rId939" display="https://youtu.be/a0gsz8EHiNc"/>
    <hyperlink ref="F939" r:id="rId2" display="https://files.afu.se/Downloads/Transcripts/0%20-%20Government/USA%20-%20NASA/"/>
    <hyperlink ref="C940" r:id="rId940" display="https://youtu.be/TY4OtS9RXfs"/>
    <hyperlink ref="F940" r:id="rId2" display="https://files.afu.se/Downloads/Transcripts/0%20-%20Government/USA%20-%20NASA/"/>
    <hyperlink ref="C941" r:id="rId941" display="https://youtu.be/O0XS6g8hVqg"/>
    <hyperlink ref="F941" r:id="rId2" display="https://files.afu.se/Downloads/Transcripts/0%20-%20Government/USA%20-%20NASA/"/>
    <hyperlink ref="C942" r:id="rId942" display="https://youtu.be/qZkTyEe7DfY"/>
    <hyperlink ref="F942" r:id="rId2" display="https://files.afu.se/Downloads/Transcripts/0%20-%20Government/USA%20-%20NASA/"/>
    <hyperlink ref="C943" r:id="rId943" display="https://youtu.be/08ivM_PI8zA"/>
    <hyperlink ref="F943" r:id="rId2" display="https://files.afu.se/Downloads/Transcripts/0%20-%20Government/USA%20-%20NASA/"/>
    <hyperlink ref="C944" r:id="rId944" display="https://youtu.be/kFUDNTLHypU"/>
    <hyperlink ref="F944" r:id="rId2" display="https://files.afu.se/Downloads/Transcripts/0%20-%20Government/USA%20-%20NASA/"/>
    <hyperlink ref="C945" r:id="rId945" display="https://youtu.be/kvgDOLHu7Uo"/>
    <hyperlink ref="F945" r:id="rId2" display="https://files.afu.se/Downloads/Transcripts/0%20-%20Government/USA%20-%20NASA/"/>
    <hyperlink ref="C946" r:id="rId946" display="https://youtu.be/G1hhKzBq6kw"/>
    <hyperlink ref="F946" r:id="rId2" display="https://files.afu.se/Downloads/Transcripts/0%20-%20Government/USA%20-%20NASA/"/>
    <hyperlink ref="C947" r:id="rId947" display="https://youtu.be/K4_QxyC8nsc"/>
    <hyperlink ref="F947" r:id="rId2" display="https://files.afu.se/Downloads/Transcripts/0%20-%20Government/USA%20-%20NASA/"/>
    <hyperlink ref="C948" r:id="rId948" display="https://youtu.be/qWE6D8nE8RY"/>
    <hyperlink ref="F948" r:id="rId2" display="https://files.afu.se/Downloads/Transcripts/0%20-%20Government/USA%20-%20NASA/"/>
    <hyperlink ref="C949" r:id="rId949" display="https://youtu.be/BNCGiH2_uio"/>
    <hyperlink ref="F949" r:id="rId2" display="https://files.afu.se/Downloads/Transcripts/0%20-%20Government/USA%20-%20NASA/"/>
    <hyperlink ref="C950" r:id="rId950" display="https://youtu.be/wS247Ofb8g8"/>
    <hyperlink ref="F950" r:id="rId2" display="https://files.afu.se/Downloads/Transcripts/0%20-%20Government/USA%20-%20NASA/"/>
    <hyperlink ref="C951" r:id="rId951" display="https://youtu.be/0OXahEkf6WA"/>
    <hyperlink ref="F951" r:id="rId2" display="https://files.afu.se/Downloads/Transcripts/0%20-%20Government/USA%20-%20NASA/"/>
    <hyperlink ref="C952" r:id="rId952" display="https://youtu.be/JtzCaLE4Si4"/>
    <hyperlink ref="F952" r:id="rId2" display="https://files.afu.se/Downloads/Transcripts/0%20-%20Government/USA%20-%20NASA/"/>
    <hyperlink ref="C953" r:id="rId953" display="https://youtu.be/cm9zA64LScU"/>
    <hyperlink ref="F953" r:id="rId2" display="https://files.afu.se/Downloads/Transcripts/0%20-%20Government/USA%20-%20NASA/"/>
    <hyperlink ref="C954" r:id="rId954" display="https://youtu.be/52A_Q-KY3-g"/>
    <hyperlink ref="F954" r:id="rId2" display="https://files.afu.se/Downloads/Transcripts/0%20-%20Government/USA%20-%20NASA/"/>
    <hyperlink ref="C955" r:id="rId955" display="https://youtu.be/QETZbYUSNkU"/>
    <hyperlink ref="F955" r:id="rId2" display="https://files.afu.se/Downloads/Transcripts/0%20-%20Government/USA%20-%20NASA/"/>
    <hyperlink ref="C956" r:id="rId956" display="https://youtu.be/SgOap2DGh6A"/>
    <hyperlink ref="F956" r:id="rId2" display="https://files.afu.se/Downloads/Transcripts/0%20-%20Government/USA%20-%20NASA/"/>
    <hyperlink ref="C957" r:id="rId957" display="https://youtu.be/3LTa2VAqKm8"/>
    <hyperlink ref="F957" r:id="rId2" display="https://files.afu.se/Downloads/Transcripts/0%20-%20Government/USA%20-%20NASA/"/>
    <hyperlink ref="C958" r:id="rId958" display="https://youtu.be/DwaD0UKsX3g"/>
    <hyperlink ref="F958" r:id="rId2" display="https://files.afu.se/Downloads/Transcripts/0%20-%20Government/USA%20-%20NASA/"/>
    <hyperlink ref="C959" r:id="rId959" display="https://youtu.be/195rWd_YCzo"/>
    <hyperlink ref="F959" r:id="rId2" display="https://files.afu.se/Downloads/Transcripts/0%20-%20Government/USA%20-%20NASA/"/>
    <hyperlink ref="C960" r:id="rId960" display="https://youtu.be/IXUAJqEozFw"/>
    <hyperlink ref="F960" r:id="rId2" display="https://files.afu.se/Downloads/Transcripts/0%20-%20Government/USA%20-%20NASA/"/>
    <hyperlink ref="C961" r:id="rId961" display="https://youtu.be/ACgTZ01d9O0"/>
    <hyperlink ref="F961" r:id="rId2" display="https://files.afu.se/Downloads/Transcripts/0%20-%20Government/USA%20-%20NASA/"/>
    <hyperlink ref="C962" r:id="rId962" display="https://youtu.be/LPvfeOiKbm8"/>
    <hyperlink ref="F962" r:id="rId2" display="https://files.afu.se/Downloads/Transcripts/0%20-%20Government/USA%20-%20NASA/"/>
    <hyperlink ref="C963" r:id="rId963" display="https://youtu.be/By6sZ6RGCEQ"/>
    <hyperlink ref="F963" r:id="rId2" display="https://files.afu.se/Downloads/Transcripts/0%20-%20Government/USA%20-%20NASA/"/>
    <hyperlink ref="C964" r:id="rId964" display="https://youtu.be/jwsGitHemno"/>
    <hyperlink ref="F964" r:id="rId2" display="https://files.afu.se/Downloads/Transcripts/0%20-%20Government/USA%20-%20NASA/"/>
    <hyperlink ref="C965" r:id="rId965" display="https://youtu.be/5ehN5NxvNBk"/>
    <hyperlink ref="F965" r:id="rId2" display="https://files.afu.se/Downloads/Transcripts/0%20-%20Government/USA%20-%20NASA/"/>
    <hyperlink ref="C966" r:id="rId966" display="https://youtu.be/aExTQGcIGKo"/>
    <hyperlink ref="F966" r:id="rId2" display="https://files.afu.se/Downloads/Transcripts/0%20-%20Government/USA%20-%20NASA/"/>
    <hyperlink ref="C967" r:id="rId967" display="https://youtu.be/tHvU42lpzJI"/>
    <hyperlink ref="F967" r:id="rId2" display="https://files.afu.se/Downloads/Transcripts/0%20-%20Government/USA%20-%20NASA/"/>
    <hyperlink ref="C968" r:id="rId968" display="https://youtu.be/3T8dn2EmlBU"/>
    <hyperlink ref="F968" r:id="rId2" display="https://files.afu.se/Downloads/Transcripts/0%20-%20Government/USA%20-%20NASA/"/>
    <hyperlink ref="C969" r:id="rId969" display="https://youtu.be/YEmR2PBPvec"/>
    <hyperlink ref="F969" r:id="rId2" display="https://files.afu.se/Downloads/Transcripts/0%20-%20Government/USA%20-%20NASA/"/>
    <hyperlink ref="C970" r:id="rId970" display="https://youtu.be/UkvshMc3z1s"/>
    <hyperlink ref="F970" r:id="rId2" display="https://files.afu.se/Downloads/Transcripts/0%20-%20Government/USA%20-%20NASA/"/>
    <hyperlink ref="C971" r:id="rId971" display="https://youtu.be/wf4gBKk1Des"/>
    <hyperlink ref="F971" r:id="rId2" display="https://files.afu.se/Downloads/Transcripts/0%20-%20Government/USA%20-%20NASA/"/>
    <hyperlink ref="C972" r:id="rId972" display="https://youtu.be/urQ2ZbtzhfU"/>
    <hyperlink ref="F972" r:id="rId2" display="https://files.afu.se/Downloads/Transcripts/0%20-%20Government/USA%20-%20NASA/"/>
    <hyperlink ref="C973" r:id="rId973" display="https://youtu.be/hF0UjhPSS3A"/>
    <hyperlink ref="F973" r:id="rId2" display="https://files.afu.se/Downloads/Transcripts/0%20-%20Government/USA%20-%20NASA/"/>
    <hyperlink ref="C974" r:id="rId974" display="https://youtu.be/YpS7PHX7Tjo"/>
    <hyperlink ref="F974" r:id="rId2" display="https://files.afu.se/Downloads/Transcripts/0%20-%20Government/USA%20-%20NASA/"/>
    <hyperlink ref="C975" r:id="rId975" display="https://youtu.be/DVvZ1abXsk8"/>
    <hyperlink ref="F975" r:id="rId2" display="https://files.afu.se/Downloads/Transcripts/0%20-%20Government/USA%20-%20NASA/"/>
    <hyperlink ref="C976" r:id="rId976" display="https://youtu.be/la67FdwAOXU"/>
    <hyperlink ref="F976" r:id="rId2" display="https://files.afu.se/Downloads/Transcripts/0%20-%20Government/USA%20-%20NASA/"/>
    <hyperlink ref="C977" r:id="rId977" display="https://youtu.be/H0K4bLFVQ1w"/>
    <hyperlink ref="F977" r:id="rId2" display="https://files.afu.se/Downloads/Transcripts/0%20-%20Government/USA%20-%20NASA/"/>
    <hyperlink ref="C978" r:id="rId978" display="https://youtu.be/kJo157o_qaw"/>
    <hyperlink ref="F978" r:id="rId2" display="https://files.afu.se/Downloads/Transcripts/0%20-%20Government/USA%20-%20NASA/"/>
    <hyperlink ref="C979" r:id="rId979" display="https://youtu.be/Q9BVD4cd7H8"/>
    <hyperlink ref="F979" r:id="rId2" display="https://files.afu.se/Downloads/Transcripts/0%20-%20Government/USA%20-%20NASA/"/>
    <hyperlink ref="C980" r:id="rId980" display="https://youtu.be/Q2CuyPIXD1s"/>
    <hyperlink ref="F980" r:id="rId2" display="https://files.afu.se/Downloads/Transcripts/0%20-%20Government/USA%20-%20NASA/"/>
    <hyperlink ref="C981" r:id="rId981" display="https://youtu.be/Fe2HxMDyKXk"/>
    <hyperlink ref="F981" r:id="rId2" display="https://files.afu.se/Downloads/Transcripts/0%20-%20Government/USA%20-%20NASA/"/>
    <hyperlink ref="C982" r:id="rId982" display="https://youtu.be/jAbj2C3Jdpg"/>
    <hyperlink ref="F982" r:id="rId2" display="https://files.afu.se/Downloads/Transcripts/0%20-%20Government/USA%20-%20NASA/"/>
    <hyperlink ref="C983" r:id="rId983" display="https://youtu.be/GiZMaKlluF8"/>
    <hyperlink ref="F983" r:id="rId2" display="https://files.afu.se/Downloads/Transcripts/0%20-%20Government/USA%20-%20NASA/"/>
    <hyperlink ref="C984" r:id="rId984" display="https://youtu.be/SJOz3qjfQXU"/>
    <hyperlink ref="F984" r:id="rId2" display="https://files.afu.se/Downloads/Transcripts/0%20-%20Government/USA%20-%20NASA/"/>
    <hyperlink ref="C985" r:id="rId985" display="https://youtu.be/Y2-xZ-1HE-Q"/>
    <hyperlink ref="F985" r:id="rId2" display="https://files.afu.se/Downloads/Transcripts/0%20-%20Government/USA%20-%20NASA/"/>
    <hyperlink ref="C986" r:id="rId986" display="https://youtu.be/IrydklNpcFI"/>
    <hyperlink ref="F986" r:id="rId2" display="https://files.afu.se/Downloads/Transcripts/0%20-%20Government/USA%20-%20NASA/"/>
    <hyperlink ref="C987" r:id="rId987" display="https://youtu.be/9ubytEsCaS0"/>
    <hyperlink ref="F987" r:id="rId2" display="https://files.afu.se/Downloads/Transcripts/0%20-%20Government/USA%20-%20NASA/"/>
    <hyperlink ref="C988" r:id="rId988" display="https://youtu.be/cu3-EZKF6gY"/>
    <hyperlink ref="F988" r:id="rId2" display="https://files.afu.se/Downloads/Transcripts/0%20-%20Government/USA%20-%20NASA/"/>
    <hyperlink ref="C989" r:id="rId989" display="https://youtu.be/jBMztWLpTGs"/>
    <hyperlink ref="F989" r:id="rId2" display="https://files.afu.se/Downloads/Transcripts/0%20-%20Government/USA%20-%20NASA/"/>
    <hyperlink ref="C990" r:id="rId990" display="https://youtu.be/PQWeWmKB_II"/>
    <hyperlink ref="F990" r:id="rId2" display="https://files.afu.se/Downloads/Transcripts/0%20-%20Government/USA%20-%20NASA/"/>
    <hyperlink ref="C991" r:id="rId991" display="https://youtu.be/fkWrjrdT3Zg"/>
    <hyperlink ref="F991" r:id="rId2" display="https://files.afu.se/Downloads/Transcripts/0%20-%20Government/USA%20-%20NASA/"/>
    <hyperlink ref="C992" r:id="rId992" display="https://youtu.be/qU7QwIOsodw"/>
    <hyperlink ref="F992" r:id="rId2" display="https://files.afu.se/Downloads/Transcripts/0%20-%20Government/USA%20-%20NASA/"/>
    <hyperlink ref="C993" r:id="rId993" display="https://youtu.be/6qBb_iKZbGM"/>
    <hyperlink ref="F993" r:id="rId2" display="https://files.afu.se/Downloads/Transcripts/0%20-%20Government/USA%20-%20NASA/"/>
    <hyperlink ref="C994" r:id="rId994" display="https://youtu.be/_F1wS-fcx6M"/>
    <hyperlink ref="F994" r:id="rId2" display="https://files.afu.se/Downloads/Transcripts/0%20-%20Government/USA%20-%20NASA/"/>
    <hyperlink ref="C995" r:id="rId995" display="https://youtu.be/HCBZ8I2yC1w"/>
    <hyperlink ref="F995" r:id="rId2" display="https://files.afu.se/Downloads/Transcripts/0%20-%20Government/USA%20-%20NASA/"/>
    <hyperlink ref="C996" r:id="rId996" display="https://youtu.be/0xs7b1Sp_ac"/>
    <hyperlink ref="F996" r:id="rId2" display="https://files.afu.se/Downloads/Transcripts/0%20-%20Government/USA%20-%20NASA/"/>
    <hyperlink ref="C997" r:id="rId997" display="https://youtu.be/NqWwhY_8j0I"/>
    <hyperlink ref="F997" r:id="rId2" display="https://files.afu.se/Downloads/Transcripts/0%20-%20Government/USA%20-%20NASA/"/>
    <hyperlink ref="C998" r:id="rId998" display="https://youtu.be/CxguTV-xwiI"/>
    <hyperlink ref="F998" r:id="rId2" display="https://files.afu.se/Downloads/Transcripts/0%20-%20Government/USA%20-%20NASA/"/>
    <hyperlink ref="C999" r:id="rId999" display="https://youtu.be/RZTnYRA9y9A"/>
    <hyperlink ref="F999" r:id="rId2" display="https://files.afu.se/Downloads/Transcripts/0%20-%20Government/USA%20-%20NASA/"/>
    <hyperlink ref="C1000" r:id="rId1000" display="https://youtu.be/UUPoFt72wmY"/>
    <hyperlink ref="F1000" r:id="rId2" display="https://files.afu.se/Downloads/Transcripts/0%20-%20Government/USA%20-%20NASA/"/>
    <hyperlink ref="C1001" r:id="rId1001" display="https://youtu.be/0uzv-tEa7SI"/>
    <hyperlink ref="F1001" r:id="rId2" display="https://files.afu.se/Downloads/Transcripts/0%20-%20Government/USA%20-%20NASA/"/>
    <hyperlink ref="C1002" r:id="rId1002" display="https://youtu.be/PRgpuvjV_Vs"/>
    <hyperlink ref="F1002" r:id="rId2" display="https://files.afu.se/Downloads/Transcripts/0%20-%20Government/USA%20-%20NASA/"/>
    <hyperlink ref="C1003" r:id="rId1003" display="https://youtu.be/H9-uzsKHEIw"/>
    <hyperlink ref="F1003" r:id="rId2" display="https://files.afu.se/Downloads/Transcripts/0%20-%20Government/USA%20-%20NASA/"/>
    <hyperlink ref="C1004" r:id="rId1004" display="https://youtu.be/YzKxUM_RJsE"/>
    <hyperlink ref="F1004" r:id="rId2" display="https://files.afu.se/Downloads/Transcripts/0%20-%20Government/USA%20-%20NASA/"/>
    <hyperlink ref="C1005" r:id="rId1005" display="https://youtu.be/uj3Lq7Gu94Y"/>
    <hyperlink ref="F1005" r:id="rId2" display="https://files.afu.se/Downloads/Transcripts/0%20-%20Government/USA%20-%20NASA/"/>
    <hyperlink ref="C1006" r:id="rId1006" display="https://youtu.be/1Or_6O4hutc"/>
    <hyperlink ref="F1006" r:id="rId2" display="https://files.afu.se/Downloads/Transcripts/0%20-%20Government/USA%20-%20NASA/"/>
    <hyperlink ref="C1007" r:id="rId1007" display="https://youtu.be/tVyhB_yaa70"/>
    <hyperlink ref="F1007" r:id="rId2" display="https://files.afu.se/Downloads/Transcripts/0%20-%20Government/USA%20-%20NASA/"/>
    <hyperlink ref="C1008" r:id="rId1008" display="https://youtu.be/UVGgrLqsAzw"/>
    <hyperlink ref="F1008" r:id="rId2" display="https://files.afu.se/Downloads/Transcripts/0%20-%20Government/USA%20-%20NASA/"/>
    <hyperlink ref="C1009" r:id="rId1009" display="https://youtu.be/odJq1g-nGj0"/>
    <hyperlink ref="F1009" r:id="rId2" display="https://files.afu.se/Downloads/Transcripts/0%20-%20Government/USA%20-%20NASA/"/>
    <hyperlink ref="C1010" r:id="rId1010" display="https://youtu.be/O-woH3u7hJk"/>
    <hyperlink ref="F1010" r:id="rId2" display="https://files.afu.se/Downloads/Transcripts/0%20-%20Government/USA%20-%20NASA/"/>
    <hyperlink ref="C1011" r:id="rId1011" display="https://youtu.be/A4v5YgC9vkE"/>
    <hyperlink ref="F1011" r:id="rId2" display="https://files.afu.se/Downloads/Transcripts/0%20-%20Government/USA%20-%20NASA/"/>
    <hyperlink ref="C1012" r:id="rId1012" display="https://youtu.be/LZOKYqEiyiw"/>
    <hyperlink ref="F1012" r:id="rId2" display="https://files.afu.se/Downloads/Transcripts/0%20-%20Government/USA%20-%20NASA/"/>
    <hyperlink ref="C1013" r:id="rId1013" display="https://youtu.be/Wfoy_OvNDvw"/>
    <hyperlink ref="F1013" r:id="rId2" display="https://files.afu.se/Downloads/Transcripts/0%20-%20Government/USA%20-%20NASA/"/>
    <hyperlink ref="C1014" r:id="rId1014" display="https://youtu.be/l1y-EbdrHbU"/>
    <hyperlink ref="F1014" r:id="rId2" display="https://files.afu.se/Downloads/Transcripts/0%20-%20Government/USA%20-%20NASA/"/>
    <hyperlink ref="C1015" r:id="rId1015" display="https://youtu.be/iAwbmjcGMZk"/>
    <hyperlink ref="F1015" r:id="rId2" display="https://files.afu.se/Downloads/Transcripts/0%20-%20Government/USA%20-%20NASA/"/>
    <hyperlink ref="C1016" r:id="rId1016" display="https://youtu.be/BwkC8QVfQLY"/>
    <hyperlink ref="F1016" r:id="rId2" display="https://files.afu.se/Downloads/Transcripts/0%20-%20Government/USA%20-%20NASA/"/>
    <hyperlink ref="C1017" r:id="rId1017" display="https://youtu.be/zjW2pfltx5U"/>
    <hyperlink ref="F1017" r:id="rId2" display="https://files.afu.se/Downloads/Transcripts/0%20-%20Government/USA%20-%20NASA/"/>
    <hyperlink ref="C1018" r:id="rId1018" display="https://youtu.be/GJtEGtbfJ34"/>
    <hyperlink ref="F1018" r:id="rId2" display="https://files.afu.se/Downloads/Transcripts/0%20-%20Government/USA%20-%20NASA/"/>
    <hyperlink ref="C1019" r:id="rId1019" display="https://youtu.be/gDHUDFwUkfw"/>
    <hyperlink ref="F1019" r:id="rId2" display="https://files.afu.se/Downloads/Transcripts/0%20-%20Government/USA%20-%20NASA/"/>
    <hyperlink ref="C1020" r:id="rId1020" display="https://youtu.be/K9hQ5SqZKd0"/>
    <hyperlink ref="F1020" r:id="rId2" display="https://files.afu.se/Downloads/Transcripts/0%20-%20Government/USA%20-%20NASA/"/>
    <hyperlink ref="C1021" r:id="rId1021" display="https://youtu.be/HpE6h6sHg3Q"/>
    <hyperlink ref="F1021" r:id="rId2" display="https://files.afu.se/Downloads/Transcripts/0%20-%20Government/USA%20-%20NASA/"/>
    <hyperlink ref="C1022" r:id="rId1022" display="https://youtu.be/_5uhDWAR88Y"/>
    <hyperlink ref="F1022" r:id="rId2" display="https://files.afu.se/Downloads/Transcripts/0%20-%20Government/USA%20-%20NASA/"/>
    <hyperlink ref="C1023" r:id="rId1023" display="https://youtu.be/WDWLzZk3AwA"/>
    <hyperlink ref="F1023" r:id="rId2" display="https://files.afu.se/Downloads/Transcripts/0%20-%20Government/USA%20-%20NASA/"/>
    <hyperlink ref="C1024" r:id="rId1024" display="https://youtu.be/I8PzQX3LVE0"/>
    <hyperlink ref="F1024" r:id="rId2" display="https://files.afu.se/Downloads/Transcripts/0%20-%20Government/USA%20-%20NASA/"/>
    <hyperlink ref="C1025" r:id="rId1025" display="https://youtu.be/cVPAkyWq1is"/>
    <hyperlink ref="F1025" r:id="rId2" display="https://files.afu.se/Downloads/Transcripts/0%20-%20Government/USA%20-%20NASA/"/>
    <hyperlink ref="C1026" r:id="rId1026" display="https://youtu.be/SyWmz0nK9lY"/>
    <hyperlink ref="F1026" r:id="rId2" display="https://files.afu.se/Downloads/Transcripts/0%20-%20Government/USA%20-%20NASA/"/>
    <hyperlink ref="C1027" r:id="rId1027" display="https://youtu.be/lFFS5HpJXpM"/>
    <hyperlink ref="F1027" r:id="rId2" display="https://files.afu.se/Downloads/Transcripts/0%20-%20Government/USA%20-%20NASA/"/>
    <hyperlink ref="C1028" r:id="rId1028" display="https://youtu.be/7M23twUDQI4"/>
    <hyperlink ref="F1028" r:id="rId2" display="https://files.afu.se/Downloads/Transcripts/0%20-%20Government/USA%20-%20NASA/"/>
    <hyperlink ref="C1029" r:id="rId1029" display="https://youtu.be/WwIyKaz2wvs"/>
    <hyperlink ref="F1029" r:id="rId2" display="https://files.afu.se/Downloads/Transcripts/0%20-%20Government/USA%20-%20NASA/"/>
    <hyperlink ref="C1030" r:id="rId1030" display="https://youtu.be/QBjE2sfkfAg"/>
    <hyperlink ref="F1030" r:id="rId2" display="https://files.afu.se/Downloads/Transcripts/0%20-%20Government/USA%20-%20NASA/"/>
    <hyperlink ref="C1031" r:id="rId1031" display="https://youtu.be/fahda08jNUI"/>
    <hyperlink ref="F1031" r:id="rId2" display="https://files.afu.se/Downloads/Transcripts/0%20-%20Government/USA%20-%20NASA/"/>
    <hyperlink ref="C1032" r:id="rId1032" display="https://youtu.be/senTKo0imb4"/>
    <hyperlink ref="F1032" r:id="rId2" display="https://files.afu.se/Downloads/Transcripts/0%20-%20Government/USA%20-%20NASA/"/>
    <hyperlink ref="C1033" r:id="rId1033" display="https://youtu.be/4qVKo4ByO6c"/>
    <hyperlink ref="F1033" r:id="rId2" display="https://files.afu.se/Downloads/Transcripts/0%20-%20Government/USA%20-%20NASA/"/>
    <hyperlink ref="C1034" r:id="rId1034" display="https://youtu.be/R9rvCRix-HM"/>
    <hyperlink ref="F1034" r:id="rId2" display="https://files.afu.se/Downloads/Transcripts/0%20-%20Government/USA%20-%20NASA/"/>
    <hyperlink ref="C1035" r:id="rId1035" display="https://youtu.be/Yyp5W1AeTr8"/>
    <hyperlink ref="F1035" r:id="rId2" display="https://files.afu.se/Downloads/Transcripts/0%20-%20Government/USA%20-%20NASA/"/>
    <hyperlink ref="C1036" r:id="rId1036" display="https://youtu.be/nO7TWsXUfCQ"/>
    <hyperlink ref="F1036" r:id="rId2" display="https://files.afu.se/Downloads/Transcripts/0%20-%20Government/USA%20-%20NASA/"/>
    <hyperlink ref="C1037" r:id="rId1037" display="https://youtu.be/2fa6JSWVDxk"/>
    <hyperlink ref="F1037" r:id="rId2" display="https://files.afu.se/Downloads/Transcripts/0%20-%20Government/USA%20-%20NASA/"/>
    <hyperlink ref="C1038" r:id="rId1038" display="https://youtu.be/w6oe7oFxDaQ"/>
    <hyperlink ref="F1038" r:id="rId2" display="https://files.afu.se/Downloads/Transcripts/0%20-%20Government/USA%20-%20NASA/"/>
    <hyperlink ref="C1039" r:id="rId1039" display="https://youtu.be/55XVfwkmepY"/>
    <hyperlink ref="F1039" r:id="rId2" display="https://files.afu.se/Downloads/Transcripts/0%20-%20Government/USA%20-%20NASA/"/>
    <hyperlink ref="C1040" r:id="rId1040" display="https://youtu.be/pTvFJjy4YOE"/>
    <hyperlink ref="F1040" r:id="rId2" display="https://files.afu.se/Downloads/Transcripts/0%20-%20Government/USA%20-%20NASA/"/>
    <hyperlink ref="C1041" r:id="rId1041" display="https://youtu.be/0BUxR5ZNaJg"/>
    <hyperlink ref="F1041" r:id="rId2" display="https://files.afu.se/Downloads/Transcripts/0%20-%20Government/USA%20-%20NASA/"/>
    <hyperlink ref="C1042" r:id="rId1042" display="https://youtu.be/lFqfCDEp6iw"/>
    <hyperlink ref="F1042" r:id="rId2" display="https://files.afu.se/Downloads/Transcripts/0%20-%20Government/USA%20-%20NASA/"/>
    <hyperlink ref="C1043" r:id="rId1043" display="https://youtu.be/OfGaqdMPDfc"/>
    <hyperlink ref="F1043" r:id="rId2" display="https://files.afu.se/Downloads/Transcripts/0%20-%20Government/USA%20-%20NASA/"/>
    <hyperlink ref="C1044" r:id="rId1044" display="https://youtu.be/pfjqWhY_7Sc"/>
    <hyperlink ref="F1044" r:id="rId2" display="https://files.afu.se/Downloads/Transcripts/0%20-%20Government/USA%20-%20NASA/"/>
    <hyperlink ref="C1045" r:id="rId1045" display="https://youtu.be/9ZU516uCuzk"/>
    <hyperlink ref="F1045" r:id="rId2" display="https://files.afu.se/Downloads/Transcripts/0%20-%20Government/USA%20-%20NASA/"/>
    <hyperlink ref="C1046" r:id="rId1046" display="https://youtu.be/NIDUGPqZK-8"/>
    <hyperlink ref="F1046" r:id="rId2" display="https://files.afu.se/Downloads/Transcripts/0%20-%20Government/USA%20-%20NASA/"/>
    <hyperlink ref="C1047" r:id="rId1047" display="https://youtu.be/4aUjf9y556M"/>
    <hyperlink ref="F1047" r:id="rId2" display="https://files.afu.se/Downloads/Transcripts/0%20-%20Government/USA%20-%20NASA/"/>
    <hyperlink ref="C1048" r:id="rId1048" display="https://youtu.be/n-N3pdOYf7Y"/>
    <hyperlink ref="F1048" r:id="rId2" display="https://files.afu.se/Downloads/Transcripts/0%20-%20Government/USA%20-%20NASA/"/>
    <hyperlink ref="C1049" r:id="rId1049" display="https://youtu.be/o1zywEl-Sj0"/>
    <hyperlink ref="F1049" r:id="rId2" display="https://files.afu.se/Downloads/Transcripts/0%20-%20Government/USA%20-%20NASA/"/>
    <hyperlink ref="C1050" r:id="rId1050" display="https://youtu.be/zQEPKKmQGG0"/>
    <hyperlink ref="F1050" r:id="rId2" display="https://files.afu.se/Downloads/Transcripts/0%20-%20Government/USA%20-%20NASA/"/>
    <hyperlink ref="C1051" r:id="rId1051" display="https://youtu.be/WKkRvg4Kl2E"/>
    <hyperlink ref="F1051" r:id="rId2" display="https://files.afu.se/Downloads/Transcripts/0%20-%20Government/USA%20-%20NASA/"/>
    <hyperlink ref="C1052" r:id="rId1052" display="https://youtu.be/MxCZHuvJHuY"/>
    <hyperlink ref="F1052" r:id="rId2" display="https://files.afu.se/Downloads/Transcripts/0%20-%20Government/USA%20-%20NASA/"/>
    <hyperlink ref="C1053" r:id="rId1053" display="https://youtu.be/SKeYEZ6WrAg"/>
    <hyperlink ref="F1053" r:id="rId2" display="https://files.afu.se/Downloads/Transcripts/0%20-%20Government/USA%20-%20NASA/"/>
    <hyperlink ref="C1054" r:id="rId1054" display="https://youtu.be/5FERa2oxWhQ"/>
    <hyperlink ref="F1054" r:id="rId2" display="https://files.afu.se/Downloads/Transcripts/0%20-%20Government/USA%20-%20NASA/"/>
    <hyperlink ref="C1055" r:id="rId1055" display="https://youtu.be/pB9Lhnvm7Gc"/>
    <hyperlink ref="F1055" r:id="rId2" display="https://files.afu.se/Downloads/Transcripts/0%20-%20Government/USA%20-%20NASA/"/>
    <hyperlink ref="C1056" r:id="rId1056" display="https://youtu.be/JeB_QzGljqc"/>
    <hyperlink ref="F1056" r:id="rId2" display="https://files.afu.se/Downloads/Transcripts/0%20-%20Government/USA%20-%20NASA/"/>
    <hyperlink ref="C1057" r:id="rId1057" display="https://youtu.be/WiFrayRL_UQ"/>
    <hyperlink ref="F1057" r:id="rId2" display="https://files.afu.se/Downloads/Transcripts/0%20-%20Government/USA%20-%20NASA/"/>
    <hyperlink ref="C1058" r:id="rId1058" display="https://youtu.be/yM5BFvtLORU"/>
    <hyperlink ref="F1058" r:id="rId2" display="https://files.afu.se/Downloads/Transcripts/0%20-%20Government/USA%20-%20NASA/"/>
    <hyperlink ref="C1059" r:id="rId1059" display="https://youtu.be/dJQZtn-vdjk"/>
    <hyperlink ref="F1059" r:id="rId2" display="https://files.afu.se/Downloads/Transcripts/0%20-%20Government/USA%20-%20NASA/"/>
    <hyperlink ref="C1060" r:id="rId1060" display="https://youtu.be/UeFSTs8udh4"/>
    <hyperlink ref="F1060" r:id="rId2" display="https://files.afu.se/Downloads/Transcripts/0%20-%20Government/USA%20-%20NASA/"/>
    <hyperlink ref="C1061" r:id="rId1061" display="https://youtu.be/j0YnpkNw794"/>
    <hyperlink ref="F1061" r:id="rId2" display="https://files.afu.se/Downloads/Transcripts/0%20-%20Government/USA%20-%20NASA/"/>
    <hyperlink ref="C1062" r:id="rId1062" display="https://youtu.be/GiOnzj6tnM8"/>
    <hyperlink ref="F1062" r:id="rId2" display="https://files.afu.se/Downloads/Transcripts/0%20-%20Government/USA%20-%20NASA/"/>
    <hyperlink ref="C1063" r:id="rId1063" display="https://youtu.be/wxFFm12L_Ak"/>
    <hyperlink ref="F1063" r:id="rId2" display="https://files.afu.se/Downloads/Transcripts/0%20-%20Government/USA%20-%20NASA/"/>
    <hyperlink ref="C1064" r:id="rId1064" display="https://youtu.be/MvDhX7NAs-g"/>
    <hyperlink ref="F1064" r:id="rId2" display="https://files.afu.se/Downloads/Transcripts/0%20-%20Government/USA%20-%20NASA/"/>
    <hyperlink ref="C1065" r:id="rId1065" display="https://youtu.be/xV38PQW3AmE"/>
    <hyperlink ref="F1065" r:id="rId2" display="https://files.afu.se/Downloads/Transcripts/0%20-%20Government/USA%20-%20NASA/"/>
    <hyperlink ref="C1066" r:id="rId1066" display="https://youtu.be/U4fdBlzisP4"/>
    <hyperlink ref="F1066" r:id="rId2" display="https://files.afu.se/Downloads/Transcripts/0%20-%20Government/USA%20-%20NASA/"/>
    <hyperlink ref="C1067" r:id="rId1067" display="https://youtu.be/1-_2pQvUlhw"/>
    <hyperlink ref="F1067" r:id="rId2" display="https://files.afu.se/Downloads/Transcripts/0%20-%20Government/USA%20-%20NASA/"/>
    <hyperlink ref="C1068" r:id="rId1068" display="https://youtu.be/2vN1TSz8XvY"/>
    <hyperlink ref="F1068" r:id="rId2" display="https://files.afu.se/Downloads/Transcripts/0%20-%20Government/USA%20-%20NASA/"/>
    <hyperlink ref="C1069" r:id="rId1069" display="https://youtu.be/mAsbkShdv8U"/>
    <hyperlink ref="F1069" r:id="rId2" display="https://files.afu.se/Downloads/Transcripts/0%20-%20Government/USA%20-%20NASA/"/>
    <hyperlink ref="C1070" r:id="rId1070" display="https://youtu.be/bk4Bj9mtbAU"/>
    <hyperlink ref="F1070" r:id="rId2" display="https://files.afu.se/Downloads/Transcripts/0%20-%20Government/USA%20-%20NASA/"/>
    <hyperlink ref="C1071" r:id="rId1071" display="https://youtu.be/rKneHOU7SFk"/>
    <hyperlink ref="F1071" r:id="rId2" display="https://files.afu.se/Downloads/Transcripts/0%20-%20Government/USA%20-%20NASA/"/>
    <hyperlink ref="C1072" r:id="rId1072" display="https://youtu.be/B2XQLHDtkqw"/>
    <hyperlink ref="F1072" r:id="rId2" display="https://files.afu.se/Downloads/Transcripts/0%20-%20Government/USA%20-%20NASA/"/>
    <hyperlink ref="C1073" r:id="rId1073" display="https://youtu.be/2zy0dUu8eoo"/>
    <hyperlink ref="F1073" r:id="rId2" display="https://files.afu.se/Downloads/Transcripts/0%20-%20Government/USA%20-%20NASA/"/>
    <hyperlink ref="C1074" r:id="rId1074" display="https://youtu.be/w7F1GIyAru4"/>
    <hyperlink ref="F1074" r:id="rId2" display="https://files.afu.se/Downloads/Transcripts/0%20-%20Government/USA%20-%20NASA/"/>
    <hyperlink ref="C1075" r:id="rId1075" display="https://youtu.be/GT_s3amuO8o"/>
    <hyperlink ref="F1075" r:id="rId2" display="https://files.afu.se/Downloads/Transcripts/0%20-%20Government/USA%20-%20NASA/"/>
    <hyperlink ref="C1076" r:id="rId1076" display="https://youtu.be/d3S7iy_4pvs"/>
    <hyperlink ref="F1076" r:id="rId2" display="https://files.afu.se/Downloads/Transcripts/0%20-%20Government/USA%20-%20NASA/"/>
    <hyperlink ref="C1077" r:id="rId1077" display="https://youtu.be/Rj8LfEpw_o0"/>
    <hyperlink ref="F1077" r:id="rId2" display="https://files.afu.se/Downloads/Transcripts/0%20-%20Government/USA%20-%20NASA/"/>
    <hyperlink ref="C1078" r:id="rId1078" display="https://youtu.be/K06H50XKcqw"/>
    <hyperlink ref="F1078" r:id="rId2" display="https://files.afu.se/Downloads/Transcripts/0%20-%20Government/USA%20-%20NASA/"/>
    <hyperlink ref="C1079" r:id="rId1079" display="https://youtu.be/1LL24zQMYJM"/>
    <hyperlink ref="F1079" r:id="rId2" display="https://files.afu.se/Downloads/Transcripts/0%20-%20Government/USA%20-%20NASA/"/>
    <hyperlink ref="C1080" r:id="rId1080" display="https://youtu.be/b4g8daHqNp4"/>
    <hyperlink ref="F1080" r:id="rId2" display="https://files.afu.se/Downloads/Transcripts/0%20-%20Government/USA%20-%20NASA/"/>
    <hyperlink ref="C1081" r:id="rId1081" display="https://youtu.be/D4m3BOtAaj0"/>
    <hyperlink ref="F1081" r:id="rId2" display="https://files.afu.se/Downloads/Transcripts/0%20-%20Government/USA%20-%20NASA/"/>
    <hyperlink ref="C1082" r:id="rId1082" display="https://youtu.be/2FEnuXVVL0Q"/>
    <hyperlink ref="F1082" r:id="rId2" display="https://files.afu.se/Downloads/Transcripts/0%20-%20Government/USA%20-%20NASA/"/>
    <hyperlink ref="C1083" r:id="rId1083" display="https://youtu.be/s_bbZHIVkmY"/>
    <hyperlink ref="F1083" r:id="rId2" display="https://files.afu.se/Downloads/Transcripts/0%20-%20Government/USA%20-%20NASA/"/>
    <hyperlink ref="C1084" r:id="rId1084" display="https://youtu.be/ZmcZZbfb0EY"/>
    <hyperlink ref="F1084" r:id="rId2" display="https://files.afu.se/Downloads/Transcripts/0%20-%20Government/USA%20-%20NASA/"/>
    <hyperlink ref="C1085" r:id="rId1085" display="https://youtu.be/dSXffXSSHRM"/>
    <hyperlink ref="F1085" r:id="rId2" display="https://files.afu.se/Downloads/Transcripts/0%20-%20Government/USA%20-%20NASA/"/>
    <hyperlink ref="C1086" r:id="rId1086" display="https://youtu.be/qBRmfjc0EDY"/>
    <hyperlink ref="F1086" r:id="rId2" display="https://files.afu.se/Downloads/Transcripts/0%20-%20Government/USA%20-%20NASA/"/>
    <hyperlink ref="C1087" r:id="rId1087" display="https://youtu.be/7AGVxYhcA4M"/>
    <hyperlink ref="F1087" r:id="rId2" display="https://files.afu.se/Downloads/Transcripts/0%20-%20Government/USA%20-%20NASA/"/>
    <hyperlink ref="C1088" r:id="rId1088" display="https://youtu.be/E_H3RdpyjE0"/>
    <hyperlink ref="F1088" r:id="rId2" display="https://files.afu.se/Downloads/Transcripts/0%20-%20Government/USA%20-%20NASA/"/>
    <hyperlink ref="C1089" r:id="rId1089" display="https://youtu.be/qYNIsgDrIRE"/>
    <hyperlink ref="F1089" r:id="rId2" display="https://files.afu.se/Downloads/Transcripts/0%20-%20Government/USA%20-%20NASA/"/>
    <hyperlink ref="C1090" r:id="rId1090" display="https://youtu.be/l8TA7BU2Bvo"/>
    <hyperlink ref="F1090" r:id="rId2" display="https://files.afu.se/Downloads/Transcripts/0%20-%20Government/USA%20-%20NASA/"/>
    <hyperlink ref="C1091" r:id="rId1091" display="https://youtu.be/g5BvriNNb64"/>
    <hyperlink ref="F1091" r:id="rId2" display="https://files.afu.se/Downloads/Transcripts/0%20-%20Government/USA%20-%20NASA/"/>
    <hyperlink ref="C1092" r:id="rId1092" display="https://youtu.be/WjxZd7fPSVI"/>
    <hyperlink ref="F1092" r:id="rId2" display="https://files.afu.se/Downloads/Transcripts/0%20-%20Government/USA%20-%20NASA/"/>
    <hyperlink ref="C1093" r:id="rId1093" display="https://youtu.be/xBMAI7hZS1s"/>
    <hyperlink ref="F1093" r:id="rId2" display="https://files.afu.se/Downloads/Transcripts/0%20-%20Government/USA%20-%20NASA/"/>
    <hyperlink ref="C1094" r:id="rId1094" display="https://youtu.be/3gDkDpzB8Zo"/>
    <hyperlink ref="F1094" r:id="rId2" display="https://files.afu.se/Downloads/Transcripts/0%20-%20Government/USA%20-%20NASA/"/>
    <hyperlink ref="C1095" r:id="rId1095" display="https://youtu.be/nr4Sozvo5aU"/>
    <hyperlink ref="F1095" r:id="rId2" display="https://files.afu.se/Downloads/Transcripts/0%20-%20Government/USA%20-%20NASA/"/>
    <hyperlink ref="C1096" r:id="rId1096" display="https://youtu.be/7pWf_3sc2K4"/>
    <hyperlink ref="F1096" r:id="rId2" display="https://files.afu.se/Downloads/Transcripts/0%20-%20Government/USA%20-%20NASA/"/>
    <hyperlink ref="C1097" r:id="rId1097" display="https://youtu.be/7NoATJhCt1Y"/>
    <hyperlink ref="F1097" r:id="rId2" display="https://files.afu.se/Downloads/Transcripts/0%20-%20Government/USA%20-%20NASA/"/>
    <hyperlink ref="C1098" r:id="rId1098" display="https://youtu.be/HsOll65Wseg"/>
    <hyperlink ref="F1098" r:id="rId2" display="https://files.afu.se/Downloads/Transcripts/0%20-%20Government/USA%20-%20NASA/"/>
    <hyperlink ref="C1099" r:id="rId1099" display="https://youtu.be/LwOmJRZQfmw"/>
    <hyperlink ref="F1099" r:id="rId2" display="https://files.afu.se/Downloads/Transcripts/0%20-%20Government/USA%20-%20NASA/"/>
    <hyperlink ref="C1100" r:id="rId1100" display="https://youtu.be/HcvXtZoSoY0"/>
    <hyperlink ref="F1100" r:id="rId2" display="https://files.afu.se/Downloads/Transcripts/0%20-%20Government/USA%20-%20NASA/"/>
    <hyperlink ref="C1101" r:id="rId1101" display="https://youtu.be/Nc2ZoTzP5gg"/>
    <hyperlink ref="F1101" r:id="rId2" display="https://files.afu.se/Downloads/Transcripts/0%20-%20Government/USA%20-%20NASA/"/>
    <hyperlink ref="C1102" r:id="rId1102" display="https://youtu.be/Iv70HHJBJyU"/>
    <hyperlink ref="F1102" r:id="rId2" display="https://files.afu.se/Downloads/Transcripts/0%20-%20Government/USA%20-%20NASA/"/>
    <hyperlink ref="C1103" r:id="rId1103" display="https://youtu.be/Re5y4hKFOUg"/>
    <hyperlink ref="F1103" r:id="rId2" display="https://files.afu.se/Downloads/Transcripts/0%20-%20Government/USA%20-%20NASA/"/>
    <hyperlink ref="C1104" r:id="rId1104" display="https://youtu.be/A6_mw1MRaeM"/>
    <hyperlink ref="F1104" r:id="rId2" display="https://files.afu.se/Downloads/Transcripts/0%20-%20Government/USA%20-%20NASA/"/>
    <hyperlink ref="C1105" r:id="rId1105" display="https://youtu.be/f_BIxC7TH_o"/>
    <hyperlink ref="F1105" r:id="rId2" display="https://files.afu.se/Downloads/Transcripts/0%20-%20Government/USA%20-%20NASA/"/>
    <hyperlink ref="C1106" r:id="rId1106" display="https://youtu.be/huC1j4VOdls"/>
    <hyperlink ref="F1106" r:id="rId2" display="https://files.afu.se/Downloads/Transcripts/0%20-%20Government/USA%20-%20NASA/"/>
    <hyperlink ref="C1107" r:id="rId1107" display="https://youtu.be/mUCSFkCy7CE"/>
    <hyperlink ref="F1107" r:id="rId2" display="https://files.afu.se/Downloads/Transcripts/0%20-%20Government/USA%20-%20NASA/"/>
    <hyperlink ref="C1108" r:id="rId1108" display="https://youtu.be/Dfq_VJRV-qw"/>
    <hyperlink ref="F1108" r:id="rId2" display="https://files.afu.se/Downloads/Transcripts/0%20-%20Government/USA%20-%20NASA/"/>
    <hyperlink ref="C1109" r:id="rId1109" display="https://youtu.be/Wo9rBW-y-OI"/>
    <hyperlink ref="F1109" r:id="rId2" display="https://files.afu.se/Downloads/Transcripts/0%20-%20Government/USA%20-%20NASA/"/>
    <hyperlink ref="C1110" r:id="rId1110" display="https://youtu.be/n-VFMjzyR-Y"/>
    <hyperlink ref="F1110" r:id="rId2" display="https://files.afu.se/Downloads/Transcripts/0%20-%20Government/USA%20-%20NASA/"/>
    <hyperlink ref="C1111" r:id="rId1111" display="https://youtu.be/cXgJVrmdYrY"/>
    <hyperlink ref="F1111" r:id="rId2" display="https://files.afu.se/Downloads/Transcripts/0%20-%20Government/USA%20-%20NASA/"/>
    <hyperlink ref="C1112" r:id="rId1112" display="https://youtu.be/7apSAxXbmg0"/>
    <hyperlink ref="F1112" r:id="rId2" display="https://files.afu.se/Downloads/Transcripts/0%20-%20Government/USA%20-%20NASA/"/>
    <hyperlink ref="C1113" r:id="rId1113" display="https://youtu.be/grS7l1JJrY0"/>
    <hyperlink ref="F1113" r:id="rId2" display="https://files.afu.se/Downloads/Transcripts/0%20-%20Government/USA%20-%20NASA/"/>
    <hyperlink ref="C1114" r:id="rId1114" display="https://youtu.be/dtqwaSBf4gE"/>
    <hyperlink ref="F1114" r:id="rId2" display="https://files.afu.se/Downloads/Transcripts/0%20-%20Government/USA%20-%20NASA/"/>
    <hyperlink ref="C1115" r:id="rId1115" display="https://youtu.be/d1RmxG-BjVk"/>
    <hyperlink ref="F1115" r:id="rId2" display="https://files.afu.se/Downloads/Transcripts/0%20-%20Government/USA%20-%20NASA/"/>
    <hyperlink ref="C1116" r:id="rId1116" display="https://youtu.be/zxX9qunKh6k"/>
    <hyperlink ref="F1116" r:id="rId2" display="https://files.afu.se/Downloads/Transcripts/0%20-%20Government/USA%20-%20NASA/"/>
    <hyperlink ref="C1117" r:id="rId1117" display="https://youtu.be/5SrcM1Gg5Yk"/>
    <hyperlink ref="F1117" r:id="rId2" display="https://files.afu.se/Downloads/Transcripts/0%20-%20Government/USA%20-%20NASA/"/>
    <hyperlink ref="C1118" r:id="rId1118" display="https://youtu.be/EQwq6H4aNX4"/>
    <hyperlink ref="F1118" r:id="rId2" display="https://files.afu.se/Downloads/Transcripts/0%20-%20Government/USA%20-%20NASA/"/>
    <hyperlink ref="C1119" r:id="rId1119" display="https://youtu.be/SwoVyJzrkU4"/>
    <hyperlink ref="F1119" r:id="rId2" display="https://files.afu.se/Downloads/Transcripts/0%20-%20Government/USA%20-%20NASA/"/>
    <hyperlink ref="C1120" r:id="rId1120" display="https://youtu.be/YDGlV_lATao"/>
    <hyperlink ref="F1120" r:id="rId2" display="https://files.afu.se/Downloads/Transcripts/0%20-%20Government/USA%20-%20NASA/"/>
    <hyperlink ref="C1121" r:id="rId1121" display="https://youtu.be/YQSiqoHlMY8"/>
    <hyperlink ref="F1121" r:id="rId2" display="https://files.afu.se/Downloads/Transcripts/0%20-%20Government/USA%20-%20NASA/"/>
    <hyperlink ref="C1122" r:id="rId1122" display="https://youtu.be/47UatQC0mm8"/>
    <hyperlink ref="F1122" r:id="rId2" display="https://files.afu.se/Downloads/Transcripts/0%20-%20Government/USA%20-%20NASA/"/>
    <hyperlink ref="C1123" r:id="rId1123" display="https://youtu.be/B0ggPP5QYck"/>
    <hyperlink ref="F1123" r:id="rId2" display="https://files.afu.se/Downloads/Transcripts/0%20-%20Government/USA%20-%20NASA/"/>
    <hyperlink ref="C1124" r:id="rId1124" display="https://youtu.be/fQxxvxHX6gM"/>
    <hyperlink ref="F1124" r:id="rId2" display="https://files.afu.se/Downloads/Transcripts/0%20-%20Government/USA%20-%20NASA/"/>
    <hyperlink ref="C1125" r:id="rId1125" display="https://youtu.be/nbQU5NlXa2o"/>
    <hyperlink ref="F1125" r:id="rId2" display="https://files.afu.se/Downloads/Transcripts/0%20-%20Government/USA%20-%20NASA/"/>
    <hyperlink ref="C1126" r:id="rId1126" display="https://youtu.be/CANsRjeEnQ0"/>
    <hyperlink ref="F1126" r:id="rId2" display="https://files.afu.se/Downloads/Transcripts/0%20-%20Government/USA%20-%20NASA/"/>
    <hyperlink ref="C1127" r:id="rId1127" display="https://youtu.be/49bzaUBVoUQ"/>
    <hyperlink ref="F1127" r:id="rId2" display="https://files.afu.se/Downloads/Transcripts/0%20-%20Government/USA%20-%20NASA/"/>
    <hyperlink ref="C1128" r:id="rId1128" display="https://youtu.be/ks1SRA6Sljw"/>
    <hyperlink ref="F1128" r:id="rId2" display="https://files.afu.se/Downloads/Transcripts/0%20-%20Government/USA%20-%20NASA/"/>
    <hyperlink ref="C1129" r:id="rId1129" display="https://youtu.be/pMOVbfgnmsI"/>
    <hyperlink ref="F1129" r:id="rId2" display="https://files.afu.se/Downloads/Transcripts/0%20-%20Government/USA%20-%20NASA/"/>
    <hyperlink ref="C1130" r:id="rId1130" display="https://youtu.be/Ym7p4ZM4mj8"/>
    <hyperlink ref="F1130" r:id="rId2" display="https://files.afu.se/Downloads/Transcripts/0%20-%20Government/USA%20-%20NASA/"/>
    <hyperlink ref="C1131" r:id="rId1131" display="https://youtu.be/8Kv_MQYmCUU"/>
    <hyperlink ref="F1131" r:id="rId2" display="https://files.afu.se/Downloads/Transcripts/0%20-%20Government/USA%20-%20NASA/"/>
    <hyperlink ref="C1132" r:id="rId1132" display="https://youtu.be/-V9DBBOfJIA"/>
    <hyperlink ref="F1132" r:id="rId2" display="https://files.afu.se/Downloads/Transcripts/0%20-%20Government/USA%20-%20NASA/"/>
    <hyperlink ref="C1133" r:id="rId1133" display="https://youtu.be/WLXK54duZfE"/>
    <hyperlink ref="F1133" r:id="rId2" display="https://files.afu.se/Downloads/Transcripts/0%20-%20Government/USA%20-%20NASA/"/>
    <hyperlink ref="C1134" r:id="rId1134" display="https://youtu.be/u9fip6f9eYo"/>
    <hyperlink ref="F1134" r:id="rId2" display="https://files.afu.se/Downloads/Transcripts/0%20-%20Government/USA%20-%20NASA/"/>
    <hyperlink ref="C1135" r:id="rId1135" display="https://youtu.be/cNb5e0lxGTQ"/>
    <hyperlink ref="F1135" r:id="rId2" display="https://files.afu.se/Downloads/Transcripts/0%20-%20Government/USA%20-%20NASA/"/>
    <hyperlink ref="C1136" r:id="rId1136" display="https://youtu.be/rCfzlxGWGgE"/>
    <hyperlink ref="F1136" r:id="rId2" display="https://files.afu.se/Downloads/Transcripts/0%20-%20Government/USA%20-%20NASA/"/>
    <hyperlink ref="C1137" r:id="rId1137" display="https://youtu.be/7usr3kQv_1w"/>
    <hyperlink ref="F1137" r:id="rId2" display="https://files.afu.se/Downloads/Transcripts/0%20-%20Government/USA%20-%20NASA/"/>
    <hyperlink ref="C1138" r:id="rId1138" display="https://youtu.be/motIlXvNEao"/>
    <hyperlink ref="F1138" r:id="rId2" display="https://files.afu.se/Downloads/Transcripts/0%20-%20Government/USA%20-%20NASA/"/>
    <hyperlink ref="C1139" r:id="rId1139" display="https://youtu.be/d1CLtV1WY34"/>
    <hyperlink ref="F1139" r:id="rId2" display="https://files.afu.se/Downloads/Transcripts/0%20-%20Government/USA%20-%20NASA/"/>
    <hyperlink ref="C1140" r:id="rId1140" display="https://youtu.be/VYO-mpoC8_s"/>
    <hyperlink ref="F1140" r:id="rId2" display="https://files.afu.se/Downloads/Transcripts/0%20-%20Government/USA%20-%20NASA/"/>
    <hyperlink ref="C1141" r:id="rId1141" display="https://youtu.be/0YNn1C8AQRE"/>
    <hyperlink ref="F1141" r:id="rId2" display="https://files.afu.se/Downloads/Transcripts/0%20-%20Government/USA%20-%20NASA/"/>
    <hyperlink ref="C1142" r:id="rId1142" display="https://youtu.be/-q7mo4Q0Cu8"/>
    <hyperlink ref="F1142" r:id="rId2" display="https://files.afu.se/Downloads/Transcripts/0%20-%20Government/USA%20-%20NASA/"/>
    <hyperlink ref="C1143" r:id="rId1143" display="https://youtu.be/VN_3fFoep1s"/>
    <hyperlink ref="F1143" r:id="rId2" display="https://files.afu.se/Downloads/Transcripts/0%20-%20Government/USA%20-%20NASA/"/>
    <hyperlink ref="C1144" r:id="rId1144" display="https://youtu.be/CLu3ZGVztfI"/>
    <hyperlink ref="F1144" r:id="rId2" display="https://files.afu.se/Downloads/Transcripts/0%20-%20Government/USA%20-%20NASA/"/>
    <hyperlink ref="C1145" r:id="rId1145" display="https://youtu.be/-uWTGpzmAFI"/>
    <hyperlink ref="F1145" r:id="rId2" display="https://files.afu.se/Downloads/Transcripts/0%20-%20Government/USA%20-%20NASA/"/>
    <hyperlink ref="C1146" r:id="rId1146" display="https://youtu.be/69QceCuTojs"/>
    <hyperlink ref="F1146" r:id="rId2" display="https://files.afu.se/Downloads/Transcripts/0%20-%20Government/USA%20-%20NASA/"/>
    <hyperlink ref="C1147" r:id="rId1147" display="https://youtu.be/SI9AovFNVUQ"/>
    <hyperlink ref="F1147" r:id="rId2" display="https://files.afu.se/Downloads/Transcripts/0%20-%20Government/USA%20-%20NASA/"/>
    <hyperlink ref="C1148" r:id="rId1148" display="https://youtu.be/TVBoOVC_9bc"/>
    <hyperlink ref="F1148" r:id="rId2" display="https://files.afu.se/Downloads/Transcripts/0%20-%20Government/USA%20-%20NASA/"/>
    <hyperlink ref="C1149" r:id="rId1149" display="https://youtu.be/lQ9jf-M9p-I"/>
    <hyperlink ref="F1149" r:id="rId2" display="https://files.afu.se/Downloads/Transcripts/0%20-%20Government/USA%20-%20NASA/"/>
    <hyperlink ref="C1150" r:id="rId1150" display="https://youtu.be/VVTaWEFEOFI"/>
    <hyperlink ref="F1150" r:id="rId2" display="https://files.afu.se/Downloads/Transcripts/0%20-%20Government/USA%20-%20NASA/"/>
    <hyperlink ref="C1151" r:id="rId1151" display="https://youtu.be/SHzNT7b_V7M"/>
    <hyperlink ref="F1151" r:id="rId2" display="https://files.afu.se/Downloads/Transcripts/0%20-%20Government/USA%20-%20NASA/"/>
    <hyperlink ref="C1152" r:id="rId1152" display="https://youtu.be/gGkShITnb9U"/>
    <hyperlink ref="F1152" r:id="rId2" display="https://files.afu.se/Downloads/Transcripts/0%20-%20Government/USA%20-%20NASA/"/>
    <hyperlink ref="C1153" r:id="rId1153" display="https://youtu.be/Ular61rpIVs"/>
    <hyperlink ref="F1153" r:id="rId2" display="https://files.afu.se/Downloads/Transcripts/0%20-%20Government/USA%20-%20NASA/"/>
    <hyperlink ref="C1154" r:id="rId1154" display="https://youtu.be/PP7gtQhLhG4"/>
    <hyperlink ref="F1154" r:id="rId2" display="https://files.afu.se/Downloads/Transcripts/0%20-%20Government/USA%20-%20NASA/"/>
    <hyperlink ref="C1155" r:id="rId1155" display="https://youtu.be/2IAmEKsG3Yo"/>
    <hyperlink ref="F1155" r:id="rId2" display="https://files.afu.se/Downloads/Transcripts/0%20-%20Government/USA%20-%20NASA/"/>
    <hyperlink ref="C1156" r:id="rId1156" display="https://youtu.be/xwAb4tYG9w8"/>
    <hyperlink ref="F1156" r:id="rId2" display="https://files.afu.se/Downloads/Transcripts/0%20-%20Government/USA%20-%20NASA/"/>
    <hyperlink ref="C1157" r:id="rId1157" display="https://youtu.be/0gU5HAM4XSE"/>
    <hyperlink ref="F1157" r:id="rId2" display="https://files.afu.se/Downloads/Transcripts/0%20-%20Government/USA%20-%20NASA/"/>
    <hyperlink ref="C1158" r:id="rId1158" display="https://youtu.be/PHNxd-b3baU"/>
    <hyperlink ref="F1158" r:id="rId2" display="https://files.afu.se/Downloads/Transcripts/0%20-%20Government/USA%20-%20NASA/"/>
    <hyperlink ref="C1159" r:id="rId1159" display="https://youtu.be/LuXYPj6fIj8"/>
    <hyperlink ref="F1159" r:id="rId2" display="https://files.afu.se/Downloads/Transcripts/0%20-%20Government/USA%20-%20NASA/"/>
    <hyperlink ref="C1160" r:id="rId1160" display="https://youtu.be/e1YyeNM8RLs"/>
    <hyperlink ref="F1160" r:id="rId2" display="https://files.afu.se/Downloads/Transcripts/0%20-%20Government/USA%20-%20NASA/"/>
    <hyperlink ref="C1161" r:id="rId1161" display="https://youtu.be/FF36XCcs8cM"/>
    <hyperlink ref="F1161" r:id="rId2" display="https://files.afu.se/Downloads/Transcripts/0%20-%20Government/USA%20-%20NASA/"/>
    <hyperlink ref="C1162" r:id="rId1162" display="https://youtu.be/HoQPitS3lq4"/>
    <hyperlink ref="F1162" r:id="rId2" display="https://files.afu.se/Downloads/Transcripts/0%20-%20Government/USA%20-%20NASA/"/>
    <hyperlink ref="C1163" r:id="rId1163" display="https://youtu.be/zQ5TirURht4"/>
    <hyperlink ref="F1163" r:id="rId2" display="https://files.afu.se/Downloads/Transcripts/0%20-%20Government/USA%20-%20NASA/"/>
    <hyperlink ref="C1164" r:id="rId1164" display="https://youtu.be/vHr-fylhVbs"/>
    <hyperlink ref="F1164" r:id="rId2" display="https://files.afu.se/Downloads/Transcripts/0%20-%20Government/USA%20-%20NASA/"/>
    <hyperlink ref="C1165" r:id="rId1165" display="https://youtu.be/5QKXphPsRkY"/>
    <hyperlink ref="F1165" r:id="rId2" display="https://files.afu.se/Downloads/Transcripts/0%20-%20Government/USA%20-%20NASA/"/>
    <hyperlink ref="C1166" r:id="rId1166" display="https://youtu.be/ggy-Ham5AW8"/>
    <hyperlink ref="F1166" r:id="rId2" display="https://files.afu.se/Downloads/Transcripts/0%20-%20Government/USA%20-%20NASA/"/>
    <hyperlink ref="C1167" r:id="rId1167" display="https://youtu.be/eO6ooxvOYZs"/>
    <hyperlink ref="F1167" r:id="rId2" display="https://files.afu.se/Downloads/Transcripts/0%20-%20Government/USA%20-%20NASA/"/>
    <hyperlink ref="C1168" r:id="rId1168" display="https://youtu.be/HKJtROhJPFE"/>
    <hyperlink ref="F1168" r:id="rId2" display="https://files.afu.se/Downloads/Transcripts/0%20-%20Government/USA%20-%20NASA/"/>
    <hyperlink ref="C1169" r:id="rId1169" display="https://youtu.be/UZRf6yxzjbQ"/>
    <hyperlink ref="F1169" r:id="rId2" display="https://files.afu.se/Downloads/Transcripts/0%20-%20Government/USA%20-%20NASA/"/>
    <hyperlink ref="C1170" r:id="rId1170" display="https://youtu.be/jRyKWzTT6kg"/>
    <hyperlink ref="F1170" r:id="rId2" display="https://files.afu.se/Downloads/Transcripts/0%20-%20Government/USA%20-%20NASA/"/>
    <hyperlink ref="C1171" r:id="rId1171" display="https://youtu.be/kv-hgH4vnvo"/>
    <hyperlink ref="F1171" r:id="rId2" display="https://files.afu.se/Downloads/Transcripts/0%20-%20Government/USA%20-%20NASA/"/>
    <hyperlink ref="C1172" r:id="rId1172" display="https://youtu.be/cBOm3WzoLeQ"/>
    <hyperlink ref="F1172" r:id="rId2" display="https://files.afu.se/Downloads/Transcripts/0%20-%20Government/USA%20-%20NASA/"/>
    <hyperlink ref="C1173" r:id="rId1173" display="https://youtu.be/VQH725d5-WA"/>
    <hyperlink ref="F1173" r:id="rId2" display="https://files.afu.se/Downloads/Transcripts/0%20-%20Government/USA%20-%20NASA/"/>
    <hyperlink ref="C1174" r:id="rId1174" display="https://youtu.be/hEOkHbpXSTs"/>
    <hyperlink ref="F1174" r:id="rId2" display="https://files.afu.se/Downloads/Transcripts/0%20-%20Government/USA%20-%20NASA/"/>
    <hyperlink ref="C1175" r:id="rId1175" display="https://youtu.be/gqcAYs4fcfo"/>
    <hyperlink ref="F1175" r:id="rId2" display="https://files.afu.se/Downloads/Transcripts/0%20-%20Government/USA%20-%20NASA/"/>
    <hyperlink ref="C1176" r:id="rId1176" display="https://youtu.be/gKcAh-RtVus"/>
    <hyperlink ref="F1176" r:id="rId2" display="https://files.afu.se/Downloads/Transcripts/0%20-%20Government/USA%20-%20NASA/"/>
    <hyperlink ref="C1177" r:id="rId1177" display="https://youtu.be/1s3f1rETyEU"/>
    <hyperlink ref="F1177" r:id="rId2" display="https://files.afu.se/Downloads/Transcripts/0%20-%20Government/USA%20-%20NASA/"/>
    <hyperlink ref="C1178" r:id="rId1178" display="https://youtu.be/hrHMvlxYGf0"/>
    <hyperlink ref="F1178" r:id="rId2" display="https://files.afu.se/Downloads/Transcripts/0%20-%20Government/USA%20-%20NASA/"/>
    <hyperlink ref="C1179" r:id="rId1179" display="https://youtu.be/b1oZKIsnWeU"/>
    <hyperlink ref="F1179" r:id="rId2" display="https://files.afu.se/Downloads/Transcripts/0%20-%20Government/USA%20-%20NASA/"/>
    <hyperlink ref="C1180" r:id="rId1180" display="https://youtu.be/TwBVaAH7q-k"/>
    <hyperlink ref="F1180" r:id="rId2" display="https://files.afu.se/Downloads/Transcripts/0%20-%20Government/USA%20-%20NASA/"/>
    <hyperlink ref="C1181" r:id="rId1181" display="https://youtu.be/BZOMDa_02ck"/>
    <hyperlink ref="F1181" r:id="rId2" display="https://files.afu.se/Downloads/Transcripts/0%20-%20Government/USA%20-%20NASA/"/>
    <hyperlink ref="C1182" r:id="rId1182" display="https://youtu.be/wWMu_47tsFs"/>
    <hyperlink ref="F1182" r:id="rId2" display="https://files.afu.se/Downloads/Transcripts/0%20-%20Government/USA%20-%20NASA/"/>
    <hyperlink ref="C1183" r:id="rId1183" display="https://youtu.be/FF8k9NWaRuw"/>
    <hyperlink ref="F1183" r:id="rId2" display="https://files.afu.se/Downloads/Transcripts/0%20-%20Government/USA%20-%20NASA/"/>
    <hyperlink ref="C1184" r:id="rId1184" display="https://youtu.be/KwUKPyWRT9A"/>
    <hyperlink ref="F1184" r:id="rId2" display="https://files.afu.se/Downloads/Transcripts/0%20-%20Government/USA%20-%20NASA/"/>
    <hyperlink ref="C1185" r:id="rId1185" display="https://youtu.be/RTSNKC-VDmU"/>
    <hyperlink ref="F1185" r:id="rId2" display="https://files.afu.se/Downloads/Transcripts/0%20-%20Government/USA%20-%20NASA/"/>
    <hyperlink ref="C1186" r:id="rId1186" display="https://youtu.be/z3F5ZXhuD70"/>
    <hyperlink ref="F1186" r:id="rId2" display="https://files.afu.se/Downloads/Transcripts/0%20-%20Government/USA%20-%20NASA/"/>
    <hyperlink ref="C1187" r:id="rId1187" display="https://youtu.be/eeY-0-kZmrw"/>
    <hyperlink ref="F1187" r:id="rId2" display="https://files.afu.se/Downloads/Transcripts/0%20-%20Government/USA%20-%20NASA/"/>
    <hyperlink ref="C1188" r:id="rId1188" display="https://youtu.be/u5Har_tEsPs"/>
    <hyperlink ref="F1188" r:id="rId2" display="https://files.afu.se/Downloads/Transcripts/0%20-%20Government/USA%20-%20NASA/"/>
    <hyperlink ref="C1189" r:id="rId1189" display="https://youtu.be/0JLg21Dh56I"/>
    <hyperlink ref="F1189" r:id="rId2" display="https://files.afu.se/Downloads/Transcripts/0%20-%20Government/USA%20-%20NASA/"/>
    <hyperlink ref="C1190" r:id="rId1190" display="https://youtu.be/y93Mgx-yfUg"/>
    <hyperlink ref="F1190" r:id="rId2" display="https://files.afu.se/Downloads/Transcripts/0%20-%20Government/USA%20-%20NASA/"/>
    <hyperlink ref="C1191" r:id="rId1191" display="https://youtu.be/j0IYSEIhGkY"/>
    <hyperlink ref="F1191" r:id="rId2" display="https://files.afu.se/Downloads/Transcripts/0%20-%20Government/USA%20-%20NASA/"/>
    <hyperlink ref="C1192" r:id="rId1192" display="https://youtu.be/zQyWjzw_wfQ"/>
    <hyperlink ref="F1192" r:id="rId2" display="https://files.afu.se/Downloads/Transcripts/0%20-%20Government/USA%20-%20NASA/"/>
    <hyperlink ref="C1193" r:id="rId1193" display="https://youtu.be/zEPCeXWQtyM"/>
    <hyperlink ref="F1193" r:id="rId2" display="https://files.afu.se/Downloads/Transcripts/0%20-%20Government/USA%20-%20NASA/"/>
    <hyperlink ref="C1194" r:id="rId1194" display="https://youtu.be/5HMwKwWnV4k"/>
    <hyperlink ref="F1194" r:id="rId2" display="https://files.afu.se/Downloads/Transcripts/0%20-%20Government/USA%20-%20NASA/"/>
    <hyperlink ref="C1195" r:id="rId1195" display="https://youtu.be/3Qycsss6bXI"/>
    <hyperlink ref="F1195" r:id="rId2" display="https://files.afu.se/Downloads/Transcripts/0%20-%20Government/USA%20-%20NASA/"/>
    <hyperlink ref="C1196" r:id="rId1196" display="https://youtu.be/c-BY-JpUfsQ"/>
    <hyperlink ref="F1196" r:id="rId2" display="https://files.afu.se/Downloads/Transcripts/0%20-%20Government/USA%20-%20NASA/"/>
    <hyperlink ref="C1197" r:id="rId1197" display="https://youtu.be/NFJ50KZDTrc"/>
    <hyperlink ref="F1197" r:id="rId2" display="https://files.afu.se/Downloads/Transcripts/0%20-%20Government/USA%20-%20NASA/"/>
    <hyperlink ref="C1198" r:id="rId1198" display="https://youtu.be/TQgZ8QM_t04"/>
    <hyperlink ref="F1198" r:id="rId2" display="https://files.afu.se/Downloads/Transcripts/0%20-%20Government/USA%20-%20NASA/"/>
    <hyperlink ref="C1199" r:id="rId1199" display="https://youtu.be/UXrQJ5h0xFs"/>
    <hyperlink ref="F1199" r:id="rId2" display="https://files.afu.se/Downloads/Transcripts/0%20-%20Government/USA%20-%20NASA/"/>
    <hyperlink ref="C1200" r:id="rId1200" display="https://youtu.be/XdS7xrP6xG8"/>
    <hyperlink ref="F1200" r:id="rId2" display="https://files.afu.se/Downloads/Transcripts/0%20-%20Government/USA%20-%20NASA/"/>
    <hyperlink ref="C1201" r:id="rId1201" display="https://youtu.be/r2MCnCjzFZc"/>
    <hyperlink ref="F1201" r:id="rId2" display="https://files.afu.se/Downloads/Transcripts/0%20-%20Government/USA%20-%20NASA/"/>
    <hyperlink ref="C1202" r:id="rId1202" display="https://youtu.be/osno3wJuj7Q"/>
    <hyperlink ref="F1202" r:id="rId2" display="https://files.afu.se/Downloads/Transcripts/0%20-%20Government/USA%20-%20NASA/"/>
    <hyperlink ref="C1203" r:id="rId1203" display="https://youtu.be/cvOWo7iDT6M"/>
    <hyperlink ref="F1203" r:id="rId2" display="https://files.afu.se/Downloads/Transcripts/0%20-%20Government/USA%20-%20NASA/"/>
    <hyperlink ref="C1204" r:id="rId1204" display="https://youtu.be/suqMoiTvxrg"/>
    <hyperlink ref="F1204" r:id="rId2" display="https://files.afu.se/Downloads/Transcripts/0%20-%20Government/USA%20-%20NASA/"/>
    <hyperlink ref="C1205" r:id="rId1205" display="https://youtu.be/Wb0eLZISnxE"/>
    <hyperlink ref="F1205" r:id="rId2" display="https://files.afu.se/Downloads/Transcripts/0%20-%20Government/USA%20-%20NASA/"/>
    <hyperlink ref="C1206" r:id="rId1206" display="https://youtu.be/7I78wLrWBmA"/>
    <hyperlink ref="F1206" r:id="rId2" display="https://files.afu.se/Downloads/Transcripts/0%20-%20Government/USA%20-%20NASA/"/>
    <hyperlink ref="C1207" r:id="rId1207" display="https://youtu.be/rQXl0vreQkA"/>
    <hyperlink ref="F1207" r:id="rId2" display="https://files.afu.se/Downloads/Transcripts/0%20-%20Government/USA%20-%20NASA/"/>
    <hyperlink ref="C1208" r:id="rId1208" display="https://youtu.be/q6DZacU-yMo"/>
    <hyperlink ref="F1208" r:id="rId2" display="https://files.afu.se/Downloads/Transcripts/0%20-%20Government/USA%20-%20NASA/"/>
    <hyperlink ref="C1209" r:id="rId1209" display="https://youtu.be/YwsPKE1QUwg"/>
    <hyperlink ref="F1209" r:id="rId2" display="https://files.afu.se/Downloads/Transcripts/0%20-%20Government/USA%20-%20NASA/"/>
    <hyperlink ref="C1210" r:id="rId1210" display="https://youtu.be/v4gG3LQf2RI"/>
    <hyperlink ref="F1210" r:id="rId2" display="https://files.afu.se/Downloads/Transcripts/0%20-%20Government/USA%20-%20NASA/"/>
    <hyperlink ref="C1211" r:id="rId1211" display="https://youtu.be/t1pBC9q8DLM"/>
    <hyperlink ref="F1211" r:id="rId2" display="https://files.afu.se/Downloads/Transcripts/0%20-%20Government/USA%20-%20NASA/"/>
    <hyperlink ref="C1212" r:id="rId1212" display="https://youtu.be/sfCoPZnvhpQ"/>
    <hyperlink ref="F1212" r:id="rId2" display="https://files.afu.se/Downloads/Transcripts/0%20-%20Government/USA%20-%20NASA/"/>
    <hyperlink ref="C1213" r:id="rId1213" display="https://youtu.be/s-TCk5HdBiE"/>
    <hyperlink ref="F1213" r:id="rId2" display="https://files.afu.se/Downloads/Transcripts/0%20-%20Government/USA%20-%20NASA/"/>
    <hyperlink ref="C1214" r:id="rId1214" display="https://youtu.be/3n-0CSCcJuQ"/>
    <hyperlink ref="F1214" r:id="rId2" display="https://files.afu.se/Downloads/Transcripts/0%20-%20Government/USA%20-%20NASA/"/>
    <hyperlink ref="C1215" r:id="rId1215" display="https://youtu.be/nJiwSL-2ECw"/>
    <hyperlink ref="F1215" r:id="rId2" display="https://files.afu.se/Downloads/Transcripts/0%20-%20Government/USA%20-%20NASA/"/>
    <hyperlink ref="C1216" r:id="rId1216" display="https://youtu.be/EwQTNNp2uUI"/>
    <hyperlink ref="F1216" r:id="rId2" display="https://files.afu.se/Downloads/Transcripts/0%20-%20Government/USA%20-%20NASA/"/>
    <hyperlink ref="C1217" r:id="rId1217" display="https://youtu.be/BWP90RQq_Wc"/>
    <hyperlink ref="F1217" r:id="rId2" display="https://files.afu.se/Downloads/Transcripts/0%20-%20Government/USA%20-%20NASA/"/>
    <hyperlink ref="C1218" r:id="rId1218" display="https://youtu.be/9J_k3ro0sLk"/>
    <hyperlink ref="F1218" r:id="rId2" display="https://files.afu.se/Downloads/Transcripts/0%20-%20Government/USA%20-%20NASA/"/>
    <hyperlink ref="C1219" r:id="rId1219" display="https://youtu.be/mJYMzsQZ5SY"/>
    <hyperlink ref="F1219" r:id="rId2" display="https://files.afu.se/Downloads/Transcripts/0%20-%20Government/USA%20-%20NASA/"/>
    <hyperlink ref="C1220" r:id="rId1220" display="https://youtu.be/gtwhd_3LWXY"/>
    <hyperlink ref="F1220" r:id="rId2" display="https://files.afu.se/Downloads/Transcripts/0%20-%20Government/USA%20-%20NASA/"/>
    <hyperlink ref="C1221" r:id="rId1221" display="https://youtu.be/_ykgj5IurzI"/>
    <hyperlink ref="F1221" r:id="rId2" display="https://files.afu.se/Downloads/Transcripts/0%20-%20Government/USA%20-%20NASA/"/>
    <hyperlink ref="C1222" r:id="rId1222" display="https://youtu.be/G9lFTYLr2AY"/>
    <hyperlink ref="F1222" r:id="rId2" display="https://files.afu.se/Downloads/Transcripts/0%20-%20Government/USA%20-%20NASA/"/>
    <hyperlink ref="C1223" r:id="rId1223" display="https://youtu.be/85CdUFxr8yM"/>
    <hyperlink ref="F1223" r:id="rId2" display="https://files.afu.se/Downloads/Transcripts/0%20-%20Government/USA%20-%20NASA/"/>
    <hyperlink ref="C1224" r:id="rId1224" display="https://youtu.be/n08MwZn2qCs"/>
    <hyperlink ref="F1224" r:id="rId2" display="https://files.afu.se/Downloads/Transcripts/0%20-%20Government/USA%20-%20NASA/"/>
    <hyperlink ref="C1225" r:id="rId1225" display="https://youtu.be/Cc2ytcEsy1o"/>
    <hyperlink ref="F1225" r:id="rId2" display="https://files.afu.se/Downloads/Transcripts/0%20-%20Government/USA%20-%20NASA/"/>
    <hyperlink ref="C1226" r:id="rId1226" display="https://youtu.be/hzt6_JaUyFU"/>
    <hyperlink ref="F1226" r:id="rId2" display="https://files.afu.se/Downloads/Transcripts/0%20-%20Government/USA%20-%20NASA/"/>
    <hyperlink ref="C1227" r:id="rId1227" display="https://youtu.be/KivgQJzKtfY"/>
    <hyperlink ref="F1227" r:id="rId2" display="https://files.afu.se/Downloads/Transcripts/0%20-%20Government/USA%20-%20NASA/"/>
    <hyperlink ref="C1228" r:id="rId1228" display="https://youtu.be/V-EAJV3e9xw"/>
    <hyperlink ref="F1228" r:id="rId2" display="https://files.afu.se/Downloads/Transcripts/0%20-%20Government/USA%20-%20NASA/"/>
    <hyperlink ref="C1229" r:id="rId1229" display="https://youtu.be/CZmCHDJOSwU"/>
    <hyperlink ref="F1229" r:id="rId2" display="https://files.afu.se/Downloads/Transcripts/0%20-%20Government/USA%20-%20NASA/"/>
    <hyperlink ref="C1230" r:id="rId1230" display="https://youtu.be/c8RSgL2dxCk"/>
    <hyperlink ref="F1230" r:id="rId2" display="https://files.afu.se/Downloads/Transcripts/0%20-%20Government/USA%20-%20NASA/"/>
    <hyperlink ref="C1231" r:id="rId1231" display="https://youtu.be/fHu3VdaH7gU"/>
    <hyperlink ref="F1231" r:id="rId2" display="https://files.afu.se/Downloads/Transcripts/0%20-%20Government/USA%20-%20NASA/"/>
    <hyperlink ref="C1232" r:id="rId1232" display="https://youtu.be/mdtKAbS4FuE"/>
    <hyperlink ref="F1232" r:id="rId2" display="https://files.afu.se/Downloads/Transcripts/0%20-%20Government/USA%20-%20NASA/"/>
    <hyperlink ref="C1233" r:id="rId1233" display="https://youtu.be/cM16zp1tNvI"/>
    <hyperlink ref="F1233" r:id="rId2" display="https://files.afu.se/Downloads/Transcripts/0%20-%20Government/USA%20-%20NASA/"/>
    <hyperlink ref="C1234" r:id="rId1234" display="https://youtu.be/mTc22ZPMl_c"/>
    <hyperlink ref="F1234" r:id="rId2" display="https://files.afu.se/Downloads/Transcripts/0%20-%20Government/USA%20-%20NASA/"/>
    <hyperlink ref="C1235" r:id="rId1235" display="https://youtu.be/pORQHY59Qqs"/>
    <hyperlink ref="F1235" r:id="rId2" display="https://files.afu.se/Downloads/Transcripts/0%20-%20Government/USA%20-%20NASA/"/>
    <hyperlink ref="C1236" r:id="rId1236" display="https://youtu.be/CbtfsIY1f1Q"/>
    <hyperlink ref="F1236" r:id="rId2" display="https://files.afu.se/Downloads/Transcripts/0%20-%20Government/USA%20-%20NASA/"/>
    <hyperlink ref="C1237" r:id="rId1237" display="https://youtu.be/crr5Uk-Tvzk"/>
    <hyperlink ref="F1237" r:id="rId2" display="https://files.afu.se/Downloads/Transcripts/0%20-%20Government/USA%20-%20NASA/"/>
    <hyperlink ref="C1238" r:id="rId1238" display="https://youtu.be/OV1nZdG0oQk"/>
    <hyperlink ref="F1238" r:id="rId2" display="https://files.afu.se/Downloads/Transcripts/0%20-%20Government/USA%20-%20NASA/"/>
    <hyperlink ref="C1239" r:id="rId1239" display="https://youtu.be/GZHzZANk6jA"/>
    <hyperlink ref="F1239" r:id="rId2" display="https://files.afu.se/Downloads/Transcripts/0%20-%20Government/USA%20-%20NASA/"/>
    <hyperlink ref="C1240" r:id="rId1240" display="https://youtu.be/v1hBajn3vI8"/>
    <hyperlink ref="F1240" r:id="rId2" display="https://files.afu.se/Downloads/Transcripts/0%20-%20Government/USA%20-%20NASA/"/>
    <hyperlink ref="C1241" r:id="rId1241" display="https://youtu.be/tjxRGQ2kSf8"/>
    <hyperlink ref="F1241" r:id="rId2" display="https://files.afu.se/Downloads/Transcripts/0%20-%20Government/USA%20-%20NASA/"/>
    <hyperlink ref="C1242" r:id="rId1242" display="https://youtu.be/vc2qvfXEl7s"/>
    <hyperlink ref="F1242" r:id="rId2" display="https://files.afu.se/Downloads/Transcripts/0%20-%20Government/USA%20-%20NASA/"/>
    <hyperlink ref="C1243" r:id="rId1243" display="https://youtu.be/2mUHtyA0eO4"/>
    <hyperlink ref="F1243" r:id="rId2" display="https://files.afu.se/Downloads/Transcripts/0%20-%20Government/USA%20-%20NASA/"/>
    <hyperlink ref="C1244" r:id="rId1244" display="https://youtu.be/MLR4P21s59o"/>
    <hyperlink ref="F1244" r:id="rId2" display="https://files.afu.se/Downloads/Transcripts/0%20-%20Government/USA%20-%20NASA/"/>
    <hyperlink ref="C1245" r:id="rId1245" display="https://youtu.be/4Fc6QABHnYA"/>
    <hyperlink ref="F1245" r:id="rId2" display="https://files.afu.se/Downloads/Transcripts/0%20-%20Government/USA%20-%20NASA/"/>
    <hyperlink ref="C1246" r:id="rId1246" display="https://youtu.be/bZ9D5Iz_o10"/>
    <hyperlink ref="F1246" r:id="rId2" display="https://files.afu.se/Downloads/Transcripts/0%20-%20Government/USA%20-%20NASA/"/>
    <hyperlink ref="C1247" r:id="rId1247" display="https://youtu.be/DVjZQQWp_8o"/>
    <hyperlink ref="F1247" r:id="rId2" display="https://files.afu.se/Downloads/Transcripts/0%20-%20Government/USA%20-%20NASA/"/>
    <hyperlink ref="C1248" r:id="rId1248" display="https://youtu.be/ZYU_uS19aNg"/>
    <hyperlink ref="F1248" r:id="rId2" display="https://files.afu.se/Downloads/Transcripts/0%20-%20Government/USA%20-%20NASA/"/>
    <hyperlink ref="C1249" r:id="rId1249" display="https://youtu.be/3FYW37_Oypo"/>
    <hyperlink ref="F1249" r:id="rId2" display="https://files.afu.se/Downloads/Transcripts/0%20-%20Government/USA%20-%20NASA/"/>
    <hyperlink ref="C1250" r:id="rId1250" display="https://youtu.be/z4bgP6QLJI8"/>
    <hyperlink ref="F1250" r:id="rId2" display="https://files.afu.se/Downloads/Transcripts/0%20-%20Government/USA%20-%20NASA/"/>
    <hyperlink ref="C1251" r:id="rId1251" display="https://youtu.be/NEHw-wanC1E"/>
    <hyperlink ref="F1251" r:id="rId2" display="https://files.afu.se/Downloads/Transcripts/0%20-%20Government/USA%20-%20NASA/"/>
    <hyperlink ref="C1252" r:id="rId1252" display="https://youtu.be/zHvC4fCdvZc"/>
    <hyperlink ref="F1252" r:id="rId2" display="https://files.afu.se/Downloads/Transcripts/0%20-%20Government/USA%20-%20NASA/"/>
    <hyperlink ref="C1253" r:id="rId1253" display="https://youtu.be/iwl6uD9A8Qg"/>
    <hyperlink ref="F1253" r:id="rId2" display="https://files.afu.se/Downloads/Transcripts/0%20-%20Government/USA%20-%20NASA/"/>
    <hyperlink ref="C1254" r:id="rId1254" display="https://youtu.be/ElfkWqJ1D9I"/>
    <hyperlink ref="F1254" r:id="rId2" display="https://files.afu.se/Downloads/Transcripts/0%20-%20Government/USA%20-%20NASA/"/>
    <hyperlink ref="C1255" r:id="rId1255" display="https://youtu.be/DHMC0dqUe_o"/>
    <hyperlink ref="F1255" r:id="rId2" display="https://files.afu.se/Downloads/Transcripts/0%20-%20Government/USA%20-%20NASA/"/>
    <hyperlink ref="C1256" r:id="rId1256" display="https://youtu.be/OyinPlh8A98"/>
    <hyperlink ref="F1256" r:id="rId2" display="https://files.afu.se/Downloads/Transcripts/0%20-%20Government/USA%20-%20NASA/"/>
    <hyperlink ref="C1257" r:id="rId1257" display="https://youtu.be/v5Xr-WkW5JM"/>
    <hyperlink ref="F1257" r:id="rId2" display="https://files.afu.se/Downloads/Transcripts/0%20-%20Government/USA%20-%20NASA/"/>
    <hyperlink ref="C1258" r:id="rId1258" display="https://youtu.be/VMRhijLXKq0"/>
    <hyperlink ref="F1258" r:id="rId2" display="https://files.afu.se/Downloads/Transcripts/0%20-%20Government/USA%20-%20NASA/"/>
    <hyperlink ref="C1259" r:id="rId1259" display="https://youtu.be/MPxW5Am2j-w"/>
    <hyperlink ref="F1259" r:id="rId2" display="https://files.afu.se/Downloads/Transcripts/0%20-%20Government/USA%20-%20NASA/"/>
    <hyperlink ref="C1260" r:id="rId1260" display="https://youtu.be/jAmvGHyylQ4"/>
    <hyperlink ref="F1260" r:id="rId2" display="https://files.afu.se/Downloads/Transcripts/0%20-%20Government/USA%20-%20NASA/"/>
    <hyperlink ref="C1261" r:id="rId1261" display="https://youtu.be/zyA2RZYCFY4"/>
    <hyperlink ref="F1261" r:id="rId2" display="https://files.afu.se/Downloads/Transcripts/0%20-%20Government/USA%20-%20NASA/"/>
    <hyperlink ref="C1262" r:id="rId1262" display="https://youtu.be/E4YHhIVZuWA"/>
    <hyperlink ref="F1262" r:id="rId2" display="https://files.afu.se/Downloads/Transcripts/0%20-%20Government/USA%20-%20NASA/"/>
    <hyperlink ref="C1263" r:id="rId1263" display="https://youtu.be/z23RuPcdYD8"/>
    <hyperlink ref="F1263" r:id="rId2" display="https://files.afu.se/Downloads/Transcripts/0%20-%20Government/USA%20-%20NASA/"/>
    <hyperlink ref="C1264" r:id="rId1264" display="https://youtu.be/xjXYSJF-7Cs"/>
    <hyperlink ref="F1264" r:id="rId2" display="https://files.afu.se/Downloads/Transcripts/0%20-%20Government/USA%20-%20NASA/"/>
    <hyperlink ref="C1265" r:id="rId1265" display="https://youtu.be/NsBDNyCtMAI"/>
    <hyperlink ref="F1265" r:id="rId2" display="https://files.afu.se/Downloads/Transcripts/0%20-%20Government/USA%20-%20NASA/"/>
    <hyperlink ref="C1266" r:id="rId1266" display="https://youtu.be/4wlcb5L_enA"/>
    <hyperlink ref="F1266" r:id="rId2" display="https://files.afu.se/Downloads/Transcripts/0%20-%20Government/USA%20-%20NASA/"/>
    <hyperlink ref="C1267" r:id="rId1267" display="https://youtu.be/DHlSAIu03us"/>
    <hyperlink ref="F1267" r:id="rId2" display="https://files.afu.se/Downloads/Transcripts/0%20-%20Government/USA%20-%20NASA/"/>
    <hyperlink ref="C1268" r:id="rId1268" display="https://youtu.be/TNPXr4Pgd2M"/>
    <hyperlink ref="F1268" r:id="rId2" display="https://files.afu.se/Downloads/Transcripts/0%20-%20Government/USA%20-%20NASA/"/>
    <hyperlink ref="C1269" r:id="rId1269" display="https://youtu.be/s7vLo2Ic4ZE"/>
    <hyperlink ref="F1269" r:id="rId2" display="https://files.afu.se/Downloads/Transcripts/0%20-%20Government/USA%20-%20NASA/"/>
    <hyperlink ref="C1270" r:id="rId1270" display="https://youtu.be/_kuId9fC8SA"/>
    <hyperlink ref="F1270" r:id="rId2" display="https://files.afu.se/Downloads/Transcripts/0%20-%20Government/USA%20-%20NASA/"/>
    <hyperlink ref="C1271" r:id="rId1271" display="https://youtu.be/5YSFgSEzufE"/>
    <hyperlink ref="F1271" r:id="rId2" display="https://files.afu.se/Downloads/Transcripts/0%20-%20Government/USA%20-%20NASA/"/>
    <hyperlink ref="C1272" r:id="rId1272" display="https://youtu.be/9XtVQn9kcYM"/>
    <hyperlink ref="F1272" r:id="rId2" display="https://files.afu.se/Downloads/Transcripts/0%20-%20Government/USA%20-%20NASA/"/>
    <hyperlink ref="C1273" r:id="rId1273" display="https://youtu.be/qIGt7mFk7as"/>
    <hyperlink ref="F1273" r:id="rId2" display="https://files.afu.se/Downloads/Transcripts/0%20-%20Government/USA%20-%20NASA/"/>
    <hyperlink ref="C1274" r:id="rId1274" display="https://youtu.be/puXeQa8LFHM"/>
    <hyperlink ref="F1274" r:id="rId2" display="https://files.afu.se/Downloads/Transcripts/0%20-%20Government/USA%20-%20NASA/"/>
    <hyperlink ref="C1275" r:id="rId1275" display="https://youtu.be/xfL2FVHoeZQ"/>
    <hyperlink ref="F1275" r:id="rId2" display="https://files.afu.se/Downloads/Transcripts/0%20-%20Government/USA%20-%20NASA/"/>
    <hyperlink ref="C1276" r:id="rId1276" display="https://youtu.be/Jp4ZsNobZ2o"/>
    <hyperlink ref="F1276" r:id="rId2" display="https://files.afu.se/Downloads/Transcripts/0%20-%20Government/USA%20-%20NASA/"/>
    <hyperlink ref="C1277" r:id="rId1277" display="https://youtu.be/6U5N_uEn2Ko"/>
    <hyperlink ref="F1277" r:id="rId2" display="https://files.afu.se/Downloads/Transcripts/0%20-%20Government/USA%20-%20NASA/"/>
    <hyperlink ref="C1278" r:id="rId1278" display="https://youtu.be/7X1qZmmP2mw"/>
    <hyperlink ref="F1278" r:id="rId2" display="https://files.afu.se/Downloads/Transcripts/0%20-%20Government/USA%20-%20NASA/"/>
    <hyperlink ref="C1279" r:id="rId1279" display="https://youtu.be/mfjx2ZN6vU4"/>
    <hyperlink ref="F1279" r:id="rId2" display="https://files.afu.se/Downloads/Transcripts/0%20-%20Government/USA%20-%20NASA/"/>
    <hyperlink ref="C1280" r:id="rId1280" display="https://youtu.be/CRXnExLzapA"/>
    <hyperlink ref="F1280" r:id="rId2" display="https://files.afu.se/Downloads/Transcripts/0%20-%20Government/USA%20-%20NASA/"/>
    <hyperlink ref="C1281" r:id="rId1281" display="https://youtu.be/Aw6MD_KSQDU"/>
    <hyperlink ref="F1281" r:id="rId2" display="https://files.afu.se/Downloads/Transcripts/0%20-%20Government/USA%20-%20NASA/"/>
    <hyperlink ref="C1282" r:id="rId1282" display="https://youtu.be/M0v9Vtu3KII"/>
    <hyperlink ref="F1282" r:id="rId2" display="https://files.afu.se/Downloads/Transcripts/0%20-%20Government/USA%20-%20NASA/"/>
    <hyperlink ref="C1283" r:id="rId1283" display="https://youtu.be/v2cmgdBtkeA"/>
    <hyperlink ref="F1283" r:id="rId2" display="https://files.afu.se/Downloads/Transcripts/0%20-%20Government/USA%20-%20NASA/"/>
    <hyperlink ref="C1284" r:id="rId1284" display="https://youtu.be/Zag-n8Iw5yQ"/>
    <hyperlink ref="F1284" r:id="rId2" display="https://files.afu.se/Downloads/Transcripts/0%20-%20Government/USA%20-%20NASA/"/>
    <hyperlink ref="C1285" r:id="rId1285" display="https://youtu.be/tBSMsI4bsmo"/>
    <hyperlink ref="F1285" r:id="rId2" display="https://files.afu.se/Downloads/Transcripts/0%20-%20Government/USA%20-%20NASA/"/>
    <hyperlink ref="C1286" r:id="rId1286" display="https://youtu.be/Cp4aEsSB7K0"/>
    <hyperlink ref="F1286" r:id="rId2" display="https://files.afu.se/Downloads/Transcripts/0%20-%20Government/USA%20-%20NASA/"/>
    <hyperlink ref="C1287" r:id="rId1287" display="https://youtu.be/ZGc91NuZiUU"/>
    <hyperlink ref="F1287" r:id="rId2" display="https://files.afu.se/Downloads/Transcripts/0%20-%20Government/USA%20-%20NASA/"/>
    <hyperlink ref="C1288" r:id="rId1288" display="https://youtu.be/mD-I6Gq6eZc"/>
    <hyperlink ref="F1288" r:id="rId2" display="https://files.afu.se/Downloads/Transcripts/0%20-%20Government/USA%20-%20NASA/"/>
    <hyperlink ref="C1289" r:id="rId1289" display="https://youtu.be/TdvND-cYINQ"/>
    <hyperlink ref="F1289" r:id="rId2" display="https://files.afu.se/Downloads/Transcripts/0%20-%20Government/USA%20-%20NASA/"/>
    <hyperlink ref="C1290" r:id="rId1290" display="https://youtu.be/zbODBcnVQ7w"/>
    <hyperlink ref="F1290" r:id="rId2" display="https://files.afu.se/Downloads/Transcripts/0%20-%20Government/USA%20-%20NASA/"/>
    <hyperlink ref="C1291" r:id="rId1291" display="https://youtu.be/zhsH3MB11Vg"/>
    <hyperlink ref="F1291" r:id="rId2" display="https://files.afu.se/Downloads/Transcripts/0%20-%20Government/USA%20-%20NASA/"/>
    <hyperlink ref="C1292" r:id="rId1292" display="https://youtu.be/PPgc0MbMB84"/>
    <hyperlink ref="F1292" r:id="rId2" display="https://files.afu.se/Downloads/Transcripts/0%20-%20Government/USA%20-%20NASA/"/>
    <hyperlink ref="C1293" r:id="rId1293" display="https://youtu.be/9lInMFHKlIM"/>
    <hyperlink ref="F1293" r:id="rId2" display="https://files.afu.se/Downloads/Transcripts/0%20-%20Government/USA%20-%20NASA/"/>
    <hyperlink ref="C1294" r:id="rId1294" display="https://youtu.be/3DjWsQRoZ2g"/>
    <hyperlink ref="F1294" r:id="rId2" display="https://files.afu.se/Downloads/Transcripts/0%20-%20Government/USA%20-%20NASA/"/>
    <hyperlink ref="C1295" r:id="rId1295" display="https://youtu.be/HfrAoR_xeTk"/>
    <hyperlink ref="F1295" r:id="rId2" display="https://files.afu.se/Downloads/Transcripts/0%20-%20Government/USA%20-%20NASA/"/>
    <hyperlink ref="C1296" r:id="rId1296" display="https://youtu.be/ta907wQlllQ"/>
    <hyperlink ref="F1296" r:id="rId2" display="https://files.afu.se/Downloads/Transcripts/0%20-%20Government/USA%20-%20NASA/"/>
    <hyperlink ref="C1297" r:id="rId1297" display="https://youtu.be/b4n72ceDdVA"/>
    <hyperlink ref="F1297" r:id="rId2" display="https://files.afu.se/Downloads/Transcripts/0%20-%20Government/USA%20-%20NASA/"/>
    <hyperlink ref="C1298" r:id="rId1298" display="https://youtu.be/Uw8E26uS6Xs"/>
    <hyperlink ref="F1298" r:id="rId2" display="https://files.afu.se/Downloads/Transcripts/0%20-%20Government/USA%20-%20NASA/"/>
    <hyperlink ref="C1299" r:id="rId1299" display="https://youtu.be/vIrUL0p25s0"/>
    <hyperlink ref="F1299" r:id="rId2" display="https://files.afu.se/Downloads/Transcripts/0%20-%20Government/USA%20-%20NASA/"/>
    <hyperlink ref="C1300" r:id="rId1300" display="https://youtu.be/OGuaYnHw4tk"/>
    <hyperlink ref="F1300" r:id="rId2" display="https://files.afu.se/Downloads/Transcripts/0%20-%20Government/USA%20-%20NASA/"/>
    <hyperlink ref="C1301" r:id="rId1301" display="https://youtu.be/xPF4sJsiFaQ"/>
    <hyperlink ref="F1301" r:id="rId2" display="https://files.afu.se/Downloads/Transcripts/0%20-%20Government/USA%20-%20NASA/"/>
    <hyperlink ref="C1302" r:id="rId1302" display="https://youtu.be/Q3-mK7VSma4"/>
    <hyperlink ref="F1302" r:id="rId2" display="https://files.afu.se/Downloads/Transcripts/0%20-%20Government/USA%20-%20NASA/"/>
    <hyperlink ref="C1303" r:id="rId1303" display="https://youtu.be/hVmX7-GOPiU"/>
    <hyperlink ref="F1303" r:id="rId2" display="https://files.afu.se/Downloads/Transcripts/0%20-%20Government/USA%20-%20NASA/"/>
    <hyperlink ref="C1304" r:id="rId1304" display="https://youtu.be/hhd19ZPy4Pc"/>
    <hyperlink ref="F1304" r:id="rId2" display="https://files.afu.se/Downloads/Transcripts/0%20-%20Government/USA%20-%20NASA/"/>
    <hyperlink ref="C1305" r:id="rId1305" display="https://youtu.be/LuUncJgH-YA"/>
    <hyperlink ref="F1305" r:id="rId2" display="https://files.afu.se/Downloads/Transcripts/0%20-%20Government/USA%20-%20NASA/"/>
    <hyperlink ref="C1306" r:id="rId1306" display="https://youtu.be/nYdCU1QQQro"/>
    <hyperlink ref="F1306" r:id="rId2" display="https://files.afu.se/Downloads/Transcripts/0%20-%20Government/USA%20-%20NASA/"/>
    <hyperlink ref="C1307" r:id="rId1307" display="https://youtu.be/unnoeVghr5c"/>
    <hyperlink ref="F1307" r:id="rId2" display="https://files.afu.se/Downloads/Transcripts/0%20-%20Government/USA%20-%20NASA/"/>
    <hyperlink ref="C1308" r:id="rId1308" display="https://youtu.be/tBDKqbCV0RM"/>
    <hyperlink ref="F1308" r:id="rId2" display="https://files.afu.se/Downloads/Transcripts/0%20-%20Government/USA%20-%20NASA/"/>
    <hyperlink ref="C1309" r:id="rId1309" display="https://youtu.be/QU8NfXmbMZc"/>
    <hyperlink ref="F1309" r:id="rId2" display="https://files.afu.se/Downloads/Transcripts/0%20-%20Government/USA%20-%20NASA/"/>
    <hyperlink ref="C1310" r:id="rId1310" display="https://youtu.be/sc7TGp2Fhls"/>
    <hyperlink ref="F1310" r:id="rId2" display="https://files.afu.se/Downloads/Transcripts/0%20-%20Government/USA%20-%20NASA/"/>
    <hyperlink ref="C1311" r:id="rId1311" display="https://youtu.be/cTULoZggpcw"/>
    <hyperlink ref="F1311" r:id="rId2" display="https://files.afu.se/Downloads/Transcripts/0%20-%20Government/USA%20-%20NASA/"/>
    <hyperlink ref="C1312" r:id="rId1312" display="https://youtu.be/DfjLNULOz20"/>
    <hyperlink ref="F1312" r:id="rId2" display="https://files.afu.se/Downloads/Transcripts/0%20-%20Government/USA%20-%20NASA/"/>
    <hyperlink ref="C1313" r:id="rId1313" display="https://youtu.be/1NrqBe_xm-w"/>
    <hyperlink ref="F1313" r:id="rId2" display="https://files.afu.se/Downloads/Transcripts/0%20-%20Government/USA%20-%20NASA/"/>
    <hyperlink ref="C1314" r:id="rId1314" display="https://youtu.be/UWCUGDm8NvM"/>
    <hyperlink ref="F1314" r:id="rId2" display="https://files.afu.se/Downloads/Transcripts/0%20-%20Government/USA%20-%20NASA/"/>
    <hyperlink ref="C1315" r:id="rId1315" display="https://youtu.be/3_rbhRCXQhg"/>
    <hyperlink ref="F1315" r:id="rId2" display="https://files.afu.se/Downloads/Transcripts/0%20-%20Government/USA%20-%20NASA/"/>
    <hyperlink ref="C1316" r:id="rId1316" display="https://youtu.be/3mrSJoogdyw"/>
    <hyperlink ref="F1316" r:id="rId2" display="https://files.afu.se/Downloads/Transcripts/0%20-%20Government/USA%20-%20NASA/"/>
    <hyperlink ref="C1317" r:id="rId1317" display="https://youtu.be/DsSRWM85y7s"/>
    <hyperlink ref="F1317" r:id="rId2" display="https://files.afu.se/Downloads/Transcripts/0%20-%20Government/USA%20-%20NASA/"/>
    <hyperlink ref="C1318" r:id="rId1318" display="https://youtu.be/7Pu5MizzFP0"/>
    <hyperlink ref="F1318" r:id="rId2" display="https://files.afu.se/Downloads/Transcripts/0%20-%20Government/USA%20-%20NASA/"/>
    <hyperlink ref="C1319" r:id="rId1319" display="https://youtu.be/hqICEGWow98"/>
    <hyperlink ref="F1319" r:id="rId2" display="https://files.afu.se/Downloads/Transcripts/0%20-%20Government/USA%20-%20NASA/"/>
    <hyperlink ref="C1320" r:id="rId1320" display="https://youtu.be/JjoKF6M_37M"/>
    <hyperlink ref="F1320" r:id="rId2" display="https://files.afu.se/Downloads/Transcripts/0%20-%20Government/USA%20-%20NASA/"/>
    <hyperlink ref="C1321" r:id="rId1321" display="https://youtu.be/CbtufKt1sSM"/>
    <hyperlink ref="F1321" r:id="rId2" display="https://files.afu.se/Downloads/Transcripts/0%20-%20Government/USA%20-%20NASA/"/>
    <hyperlink ref="C1322" r:id="rId1322" display="https://youtu.be/E0gaG1aNvkE"/>
    <hyperlink ref="F1322" r:id="rId2" display="https://files.afu.se/Downloads/Transcripts/0%20-%20Government/USA%20-%20NASA/"/>
    <hyperlink ref="C1323" r:id="rId1323" display="https://youtu.be/-2yVN_hL-Xo"/>
    <hyperlink ref="F1323" r:id="rId2" display="https://files.afu.se/Downloads/Transcripts/0%20-%20Government/USA%20-%20NASA/"/>
    <hyperlink ref="C1324" r:id="rId1324" display="https://youtu.be/BAv5bA2_5q8"/>
    <hyperlink ref="F1324" r:id="rId2" display="https://files.afu.se/Downloads/Transcripts/0%20-%20Government/USA%20-%20NASA/"/>
    <hyperlink ref="C1325" r:id="rId1325" display="https://youtu.be/0at7Dq3mtFo"/>
    <hyperlink ref="F1325" r:id="rId2" display="https://files.afu.se/Downloads/Transcripts/0%20-%20Government/USA%20-%20NASA/"/>
    <hyperlink ref="C1326" r:id="rId1326" display="https://youtu.be/P2Aj3jGni-I"/>
    <hyperlink ref="F1326" r:id="rId2" display="https://files.afu.se/Downloads/Transcripts/0%20-%20Government/USA%20-%20NASA/"/>
    <hyperlink ref="C1327" r:id="rId1327" display="https://youtu.be/JKMUpi9IP3A"/>
    <hyperlink ref="F1327" r:id="rId2" display="https://files.afu.se/Downloads/Transcripts/0%20-%20Government/USA%20-%20NASA/"/>
    <hyperlink ref="C1328" r:id="rId1328" display="https://youtu.be/qoMtPgyafHg"/>
    <hyperlink ref="F1328" r:id="rId2" display="https://files.afu.se/Downloads/Transcripts/0%20-%20Government/USA%20-%20NASA/"/>
    <hyperlink ref="C1329" r:id="rId1329" display="https://youtu.be/BAopjEcxIUQ"/>
    <hyperlink ref="F1329" r:id="rId2" display="https://files.afu.se/Downloads/Transcripts/0%20-%20Government/USA%20-%20NASA/"/>
    <hyperlink ref="C1330" r:id="rId1330" display="https://youtu.be/qX612jbS9po"/>
    <hyperlink ref="F1330" r:id="rId2" display="https://files.afu.se/Downloads/Transcripts/0%20-%20Government/USA%20-%20NASA/"/>
    <hyperlink ref="C1331" r:id="rId1331" display="https://youtu.be/iPCaqbM3474"/>
    <hyperlink ref="F1331" r:id="rId2" display="https://files.afu.se/Downloads/Transcripts/0%20-%20Government/USA%20-%20NASA/"/>
    <hyperlink ref="C1332" r:id="rId1332" display="https://youtu.be/EZoJdZhvadE"/>
    <hyperlink ref="F1332" r:id="rId2" display="https://files.afu.se/Downloads/Transcripts/0%20-%20Government/USA%20-%20NASA/"/>
    <hyperlink ref="C1333" r:id="rId1333" display="https://youtu.be/YWuo8bcIXiM"/>
    <hyperlink ref="F1333" r:id="rId2" display="https://files.afu.se/Downloads/Transcripts/0%20-%20Government/USA%20-%20NASA/"/>
    <hyperlink ref="C1334" r:id="rId1334" display="https://youtu.be/yNxPO6nYqLc"/>
    <hyperlink ref="F1334" r:id="rId2" display="https://files.afu.se/Downloads/Transcripts/0%20-%20Government/USA%20-%20NASA/"/>
    <hyperlink ref="C1335" r:id="rId1335" display="https://youtu.be/avSZeI7WYgw"/>
    <hyperlink ref="F1335" r:id="rId2" display="https://files.afu.se/Downloads/Transcripts/0%20-%20Government/USA%20-%20NASA/"/>
    <hyperlink ref="C1336" r:id="rId1336" display="https://youtu.be/lXDBaQJI7-8"/>
    <hyperlink ref="F1336" r:id="rId2" display="https://files.afu.se/Downloads/Transcripts/0%20-%20Government/USA%20-%20NASA/"/>
    <hyperlink ref="C1337" r:id="rId1337" display="https://youtu.be/9y86GAOmhC0"/>
    <hyperlink ref="F1337" r:id="rId2" display="https://files.afu.se/Downloads/Transcripts/0%20-%20Government/USA%20-%20NASA/"/>
    <hyperlink ref="C1338" r:id="rId1338" display="https://youtu.be/f_wDJMKSFgY"/>
    <hyperlink ref="F1338" r:id="rId2" display="https://files.afu.se/Downloads/Transcripts/0%20-%20Government/USA%20-%20NASA/"/>
    <hyperlink ref="C1339" r:id="rId1339" display="https://youtu.be/PWaaewxwc90"/>
    <hyperlink ref="F1339" r:id="rId2" display="https://files.afu.se/Downloads/Transcripts/0%20-%20Government/USA%20-%20NASA/"/>
    <hyperlink ref="C1340" r:id="rId1340" display="https://youtu.be/e018fUaHqLE"/>
    <hyperlink ref="F1340" r:id="rId2" display="https://files.afu.se/Downloads/Transcripts/0%20-%20Government/USA%20-%20NASA/"/>
    <hyperlink ref="C1341" r:id="rId1341" display="https://youtu.be/cj6EkDzO1aA"/>
    <hyperlink ref="F1341" r:id="rId2" display="https://files.afu.se/Downloads/Transcripts/0%20-%20Government/USA%20-%20NASA/"/>
    <hyperlink ref="C1342" r:id="rId1342" display="https://youtu.be/NFQf5QCD71o"/>
    <hyperlink ref="F1342" r:id="rId2" display="https://files.afu.se/Downloads/Transcripts/0%20-%20Government/USA%20-%20NASA/"/>
    <hyperlink ref="C1343" r:id="rId1343" display="https://youtu.be/iwE4y-3WBT0"/>
    <hyperlink ref="F1343" r:id="rId2" display="https://files.afu.se/Downloads/Transcripts/0%20-%20Government/USA%20-%20NASA/"/>
    <hyperlink ref="C1344" r:id="rId1344" display="https://youtu.be/rQUkpmvhhuQ"/>
    <hyperlink ref="F1344" r:id="rId2" display="https://files.afu.se/Downloads/Transcripts/0%20-%20Government/USA%20-%20NASA/"/>
    <hyperlink ref="C1345" r:id="rId1345" display="https://youtu.be/YpJFdudBNUw"/>
    <hyperlink ref="F1345" r:id="rId2" display="https://files.afu.se/Downloads/Transcripts/0%20-%20Government/USA%20-%20NASA/"/>
    <hyperlink ref="C1346" r:id="rId1346" display="https://youtu.be/RHTAQG8xXz8"/>
    <hyperlink ref="F1346" r:id="rId2" display="https://files.afu.se/Downloads/Transcripts/0%20-%20Government/USA%20-%20NASA/"/>
    <hyperlink ref="C1347" r:id="rId1347" display="https://youtu.be/LVk_28d5Gb8"/>
    <hyperlink ref="F1347" r:id="rId2" display="https://files.afu.se/Downloads/Transcripts/0%20-%20Government/USA%20-%20NASA/"/>
    <hyperlink ref="C1348" r:id="rId1348" display="https://youtu.be/gBbpI9Qp2Jk"/>
    <hyperlink ref="F1348" r:id="rId2" display="https://files.afu.se/Downloads/Transcripts/0%20-%20Government/USA%20-%20NASA/"/>
    <hyperlink ref="C1349" r:id="rId1349" display="https://youtu.be/c_IBugQhvNU"/>
    <hyperlink ref="F1349" r:id="rId2" display="https://files.afu.se/Downloads/Transcripts/0%20-%20Government/USA%20-%20NASA/"/>
    <hyperlink ref="C1350" r:id="rId1350" display="https://youtu.be/n8IFx26R3VE"/>
    <hyperlink ref="F1350" r:id="rId2" display="https://files.afu.se/Downloads/Transcripts/0%20-%20Government/USA%20-%20NASA/"/>
    <hyperlink ref="C1351" r:id="rId1351" display="https://youtu.be/XauCMYOxtwk"/>
    <hyperlink ref="F1351" r:id="rId2" display="https://files.afu.se/Downloads/Transcripts/0%20-%20Government/USA%20-%20NASA/"/>
    <hyperlink ref="C1352" r:id="rId1352" display="https://youtu.be/S0STm4i5hIE"/>
    <hyperlink ref="F1352" r:id="rId2" display="https://files.afu.se/Downloads/Transcripts/0%20-%20Government/USA%20-%20NASA/"/>
    <hyperlink ref="C1353" r:id="rId1353" display="https://youtu.be/DRyc7Ljf-2M"/>
    <hyperlink ref="F1353" r:id="rId2" display="https://files.afu.se/Downloads/Transcripts/0%20-%20Government/USA%20-%20NASA/"/>
    <hyperlink ref="C1354" r:id="rId1354" display="https://youtu.be/5E4Hy3PMizo"/>
    <hyperlink ref="F1354" r:id="rId2" display="https://files.afu.se/Downloads/Transcripts/0%20-%20Government/USA%20-%20NASA/"/>
    <hyperlink ref="C1355" r:id="rId1355" display="https://youtu.be/_qlI0w3NS-w"/>
    <hyperlink ref="F1355" r:id="rId2" display="https://files.afu.se/Downloads/Transcripts/0%20-%20Government/USA%20-%20NASA/"/>
    <hyperlink ref="C1356" r:id="rId1356" display="https://youtu.be/hgEUMzTCaZA"/>
    <hyperlink ref="F1356" r:id="rId2" display="https://files.afu.se/Downloads/Transcripts/0%20-%20Government/USA%20-%20NASA/"/>
    <hyperlink ref="C1357" r:id="rId1357" display="https://youtu.be/Qo8EEZwUFvc"/>
    <hyperlink ref="F1357" r:id="rId2" display="https://files.afu.se/Downloads/Transcripts/0%20-%20Government/USA%20-%20NASA/"/>
    <hyperlink ref="C1358" r:id="rId1358" display="https://youtu.be/KEp2cctB_XI"/>
    <hyperlink ref="F1358" r:id="rId2" display="https://files.afu.se/Downloads/Transcripts/0%20-%20Government/USA%20-%20NASA/"/>
    <hyperlink ref="C1359" r:id="rId1359" display="https://youtu.be/iBqdJXvTrp4"/>
    <hyperlink ref="F1359" r:id="rId2" display="https://files.afu.se/Downloads/Transcripts/0%20-%20Government/USA%20-%20NASA/"/>
    <hyperlink ref="C1360" r:id="rId1360" display="https://youtu.be/L4u-1EKsdbU"/>
    <hyperlink ref="F1360" r:id="rId2" display="https://files.afu.se/Downloads/Transcripts/0%20-%20Government/USA%20-%20NASA/"/>
    <hyperlink ref="C1361" r:id="rId1361" display="https://youtu.be/LFkFH2pphKM"/>
    <hyperlink ref="F1361" r:id="rId2" display="https://files.afu.se/Downloads/Transcripts/0%20-%20Government/USA%20-%20NASA/"/>
    <hyperlink ref="C1362" r:id="rId1362" display="https://youtu.be/5tcDB079_Ss"/>
    <hyperlink ref="F1362" r:id="rId2" display="https://files.afu.se/Downloads/Transcripts/0%20-%20Government/USA%20-%20NASA/"/>
    <hyperlink ref="C1363" r:id="rId1363" display="https://youtu.be/ZbT66uBUh-A"/>
    <hyperlink ref="F1363" r:id="rId2" display="https://files.afu.se/Downloads/Transcripts/0%20-%20Government/USA%20-%20NASA/"/>
    <hyperlink ref="C1364" r:id="rId1364" display="https://youtu.be/3gwEVH1haLs"/>
    <hyperlink ref="F1364" r:id="rId2" display="https://files.afu.se/Downloads/Transcripts/0%20-%20Government/USA%20-%20NASA/"/>
    <hyperlink ref="C1365" r:id="rId1365" display="https://youtu.be/8F-IzDcSOJ0"/>
    <hyperlink ref="F1365" r:id="rId2" display="https://files.afu.se/Downloads/Transcripts/0%20-%20Government/USA%20-%20NASA/"/>
    <hyperlink ref="C1366" r:id="rId1366" display="https://youtu.be/q4BiDR4_H-Y"/>
    <hyperlink ref="F1366" r:id="rId2" display="https://files.afu.se/Downloads/Transcripts/0%20-%20Government/USA%20-%20NASA/"/>
    <hyperlink ref="C1367" r:id="rId1367" display="https://youtu.be/6GvM8LXVg_U"/>
    <hyperlink ref="F1367" r:id="rId2" display="https://files.afu.se/Downloads/Transcripts/0%20-%20Government/USA%20-%20NASA/"/>
    <hyperlink ref="C1368" r:id="rId1368" display="https://youtu.be/M_2ig1mXmY4"/>
    <hyperlink ref="F1368" r:id="rId2" display="https://files.afu.se/Downloads/Transcripts/0%20-%20Government/USA%20-%20NASA/"/>
    <hyperlink ref="C1369" r:id="rId1369" display="https://youtu.be/z3B7cIbHA8I"/>
    <hyperlink ref="F1369" r:id="rId2" display="https://files.afu.se/Downloads/Transcripts/0%20-%20Government/USA%20-%20NASA/"/>
    <hyperlink ref="C1370" r:id="rId1370" display="https://youtu.be/u7twZyc9U6M"/>
    <hyperlink ref="F1370" r:id="rId2" display="https://files.afu.se/Downloads/Transcripts/0%20-%20Government/USA%20-%20NASA/"/>
    <hyperlink ref="C1371" r:id="rId1371" display="https://youtu.be/alu8OtrNGTQ"/>
    <hyperlink ref="F1371" r:id="rId2" display="https://files.afu.se/Downloads/Transcripts/0%20-%20Government/USA%20-%20NASA/"/>
    <hyperlink ref="C1372" r:id="rId1372" display="https://youtu.be/zt9OZaY9T5M"/>
    <hyperlink ref="F1372" r:id="rId2" display="https://files.afu.se/Downloads/Transcripts/0%20-%20Government/USA%20-%20NASA/"/>
    <hyperlink ref="C1373" r:id="rId1373" display="https://youtu.be/PtucbM9kXRk"/>
    <hyperlink ref="F1373" r:id="rId2" display="https://files.afu.se/Downloads/Transcripts/0%20-%20Government/USA%20-%20NASA/"/>
    <hyperlink ref="C1374" r:id="rId1374" display="https://youtu.be/2O3qFdx7OXs"/>
    <hyperlink ref="F1374" r:id="rId2" display="https://files.afu.se/Downloads/Transcripts/0%20-%20Government/USA%20-%20NASA/"/>
    <hyperlink ref="C1375" r:id="rId1375" display="https://youtu.be/vdrJMKLP960"/>
    <hyperlink ref="F1375" r:id="rId2" display="https://files.afu.se/Downloads/Transcripts/0%20-%20Government/USA%20-%20NASA/"/>
    <hyperlink ref="C1376" r:id="rId1376" display="https://youtu.be/Xq4JQyF83rk"/>
    <hyperlink ref="F1376" r:id="rId2" display="https://files.afu.se/Downloads/Transcripts/0%20-%20Government/USA%20-%20NASA/"/>
    <hyperlink ref="C1377" r:id="rId1377" display="https://youtu.be/QCw2oYv1w5Y"/>
    <hyperlink ref="F1377" r:id="rId2" display="https://files.afu.se/Downloads/Transcripts/0%20-%20Government/USA%20-%20NASA/"/>
    <hyperlink ref="C1378" r:id="rId1378" display="https://youtu.be/7zmuuTiOQeY"/>
    <hyperlink ref="F1378" r:id="rId2" display="https://files.afu.se/Downloads/Transcripts/0%20-%20Government/USA%20-%20NASA/"/>
    <hyperlink ref="C1379" r:id="rId1379" display="https://youtu.be/MGTgWteQHsw"/>
    <hyperlink ref="F1379" r:id="rId2" display="https://files.afu.se/Downloads/Transcripts/0%20-%20Government/USA%20-%20NASA/"/>
    <hyperlink ref="C1380" r:id="rId1380" display="https://youtu.be/CS37I0SIEWs"/>
    <hyperlink ref="F1380" r:id="rId2" display="https://files.afu.se/Downloads/Transcripts/0%20-%20Government/USA%20-%20NASA/"/>
    <hyperlink ref="C1381" r:id="rId1381" display="https://youtu.be/7okywRJrrBA"/>
    <hyperlink ref="F1381" r:id="rId2" display="https://files.afu.se/Downloads/Transcripts/0%20-%20Government/USA%20-%20NASA/"/>
    <hyperlink ref="C1382" r:id="rId1382" display="https://youtu.be/NO6Go3tMQwU"/>
    <hyperlink ref="F1382" r:id="rId2" display="https://files.afu.se/Downloads/Transcripts/0%20-%20Government/USA%20-%20NASA/"/>
    <hyperlink ref="C1383" r:id="rId1383" display="https://youtu.be/dKYemLYihWk"/>
    <hyperlink ref="F1383" r:id="rId2" display="https://files.afu.se/Downloads/Transcripts/0%20-%20Government/USA%20-%20NASA/"/>
    <hyperlink ref="C1384" r:id="rId1384" display="https://youtu.be/se-OHpOKkfw"/>
    <hyperlink ref="F1384" r:id="rId2" display="https://files.afu.se/Downloads/Transcripts/0%20-%20Government/USA%20-%20NASA/"/>
    <hyperlink ref="C1385" r:id="rId1385" display="https://youtu.be/p3CTMi3LuFc"/>
    <hyperlink ref="F1385" r:id="rId2" display="https://files.afu.se/Downloads/Transcripts/0%20-%20Government/USA%20-%20NASA/"/>
    <hyperlink ref="C1386" r:id="rId1386" display="https://youtu.be/E6vO_LQt9JA"/>
    <hyperlink ref="F1386" r:id="rId2" display="https://files.afu.se/Downloads/Transcripts/0%20-%20Government/USA%20-%20NASA/"/>
    <hyperlink ref="C1387" r:id="rId1387" display="https://youtu.be/Mija9sKPBy8"/>
    <hyperlink ref="F1387" r:id="rId2" display="https://files.afu.se/Downloads/Transcripts/0%20-%20Government/USA%20-%20NASA/"/>
    <hyperlink ref="C1388" r:id="rId1388" display="https://youtu.be/ao0DKmU3g0w"/>
    <hyperlink ref="F1388" r:id="rId2" display="https://files.afu.se/Downloads/Transcripts/0%20-%20Government/USA%20-%20NASA/"/>
    <hyperlink ref="C1389" r:id="rId1389" display="https://youtu.be/E0pzYtupOXY"/>
    <hyperlink ref="F1389" r:id="rId2" display="https://files.afu.se/Downloads/Transcripts/0%20-%20Government/USA%20-%20NASA/"/>
    <hyperlink ref="C1390" r:id="rId1390" display="https://youtu.be/Y1tYRH72ETI"/>
    <hyperlink ref="F1390" r:id="rId2" display="https://files.afu.se/Downloads/Transcripts/0%20-%20Government/USA%20-%20NASA/"/>
    <hyperlink ref="C1391" r:id="rId1391" display="https://youtu.be/-ndzgZ6ECrw"/>
    <hyperlink ref="F1391" r:id="rId2" display="https://files.afu.se/Downloads/Transcripts/0%20-%20Government/USA%20-%20NASA/"/>
    <hyperlink ref="C1392" r:id="rId1392" display="https://youtu.be/5zR7jtW5vXU"/>
    <hyperlink ref="F1392" r:id="rId2" display="https://files.afu.se/Downloads/Transcripts/0%20-%20Government/USA%20-%20NASA/"/>
    <hyperlink ref="C1393" r:id="rId1393" display="https://youtu.be/at35zNUoGU4"/>
    <hyperlink ref="F1393" r:id="rId2" display="https://files.afu.se/Downloads/Transcripts/0%20-%20Government/USA%20-%20NASA/"/>
    <hyperlink ref="C1394" r:id="rId1394" display="https://youtu.be/VWeg88PTg4s"/>
    <hyperlink ref="F1394" r:id="rId2" display="https://files.afu.se/Downloads/Transcripts/0%20-%20Government/USA%20-%20NASA/"/>
    <hyperlink ref="C1395" r:id="rId1395" display="https://youtu.be/ZvWc957a2To"/>
    <hyperlink ref="F1395" r:id="rId2" display="https://files.afu.se/Downloads/Transcripts/0%20-%20Government/USA%20-%20NASA/"/>
    <hyperlink ref="C1396" r:id="rId1396" display="https://youtu.be/TLl7grOPpAo"/>
    <hyperlink ref="F1396" r:id="rId2" display="https://files.afu.se/Downloads/Transcripts/0%20-%20Government/USA%20-%20NASA/"/>
    <hyperlink ref="C1397" r:id="rId1397" display="https://youtu.be/wf6hcFn27zk"/>
    <hyperlink ref="F1397" r:id="rId2" display="https://files.afu.se/Downloads/Transcripts/0%20-%20Government/USA%20-%20NASA/"/>
    <hyperlink ref="C1398" r:id="rId1398" display="https://youtu.be/fzLSMuvxK28"/>
    <hyperlink ref="F1398" r:id="rId2" display="https://files.afu.se/Downloads/Transcripts/0%20-%20Government/USA%20-%20NASA/"/>
    <hyperlink ref="C1399" r:id="rId1399" display="https://youtu.be/TrZ9hNB47Qs"/>
    <hyperlink ref="F1399" r:id="rId2" display="https://files.afu.se/Downloads/Transcripts/0%20-%20Government/USA%20-%20NASA/"/>
    <hyperlink ref="C1400" r:id="rId1400" display="https://youtu.be/i8KfDyHtm44"/>
    <hyperlink ref="F1400" r:id="rId2" display="https://files.afu.se/Downloads/Transcripts/0%20-%20Government/USA%20-%20NASA/"/>
    <hyperlink ref="C1401" r:id="rId1401" display="https://youtu.be/ktfJVwkJG2g"/>
    <hyperlink ref="F1401" r:id="rId2" display="https://files.afu.se/Downloads/Transcripts/0%20-%20Government/USA%20-%20NASA/"/>
    <hyperlink ref="C1402" r:id="rId1402" display="https://youtu.be/v1_uVd1PwpA"/>
    <hyperlink ref="F1402" r:id="rId2" display="https://files.afu.se/Downloads/Transcripts/0%20-%20Government/USA%20-%20NASA/"/>
    <hyperlink ref="C1403" r:id="rId1403" display="https://youtu.be/Y_TRF-Wtcks"/>
    <hyperlink ref="F1403" r:id="rId2" display="https://files.afu.se/Downloads/Transcripts/0%20-%20Government/USA%20-%20NASA/"/>
    <hyperlink ref="C1404" r:id="rId1404" display="https://youtu.be/DhmdyQdu96M"/>
    <hyperlink ref="F1404" r:id="rId2" display="https://files.afu.se/Downloads/Transcripts/0%20-%20Government/USA%20-%20NASA/"/>
    <hyperlink ref="C1405" r:id="rId1405" display="https://youtu.be/Crqn0MV69sI"/>
    <hyperlink ref="F1405" r:id="rId2" display="https://files.afu.se/Downloads/Transcripts/0%20-%20Government/USA%20-%20NASA/"/>
    <hyperlink ref="C1406" r:id="rId1406" display="https://youtu.be/e50jYM0Wyx4"/>
    <hyperlink ref="F1406" r:id="rId2" display="https://files.afu.se/Downloads/Transcripts/0%20-%20Government/USA%20-%20NASA/"/>
    <hyperlink ref="C1407" r:id="rId1407" display="https://youtu.be/uDLPD40QI_0"/>
    <hyperlink ref="F1407" r:id="rId2" display="https://files.afu.se/Downloads/Transcripts/0%20-%20Government/USA%20-%20NASA/"/>
    <hyperlink ref="C1408" r:id="rId1408" display="https://youtu.be/pw7lpAFbCQk"/>
    <hyperlink ref="F1408" r:id="rId2" display="https://files.afu.se/Downloads/Transcripts/0%20-%20Government/USA%20-%20NASA/"/>
    <hyperlink ref="C1409" r:id="rId1409" display="https://youtu.be/IBpT1CIchNQ"/>
    <hyperlink ref="F1409" r:id="rId2" display="https://files.afu.se/Downloads/Transcripts/0%20-%20Government/USA%20-%20NASA/"/>
    <hyperlink ref="C1410" r:id="rId1410" display="https://youtu.be/QPRzaR03bM4"/>
    <hyperlink ref="F1410" r:id="rId2" display="https://files.afu.se/Downloads/Transcripts/0%20-%20Government/USA%20-%20NASA/"/>
    <hyperlink ref="C1411" r:id="rId1411" display="https://youtu.be/71rTmHwVur8"/>
    <hyperlink ref="F1411" r:id="rId2" display="https://files.afu.se/Downloads/Transcripts/0%20-%20Government/USA%20-%20NASA/"/>
    <hyperlink ref="C1412" r:id="rId1412" display="https://youtu.be/ETajMu36p_M"/>
    <hyperlink ref="F1412" r:id="rId2" display="https://files.afu.se/Downloads/Transcripts/0%20-%20Government/USA%20-%20NASA/"/>
    <hyperlink ref="C1413" r:id="rId1413" display="https://youtu.be/NgzoMmsPOUo"/>
    <hyperlink ref="F1413" r:id="rId2" display="https://files.afu.se/Downloads/Transcripts/0%20-%20Government/USA%20-%20NASA/"/>
    <hyperlink ref="C1414" r:id="rId1414" display="https://youtu.be/fU0hqYYcTas"/>
    <hyperlink ref="F1414" r:id="rId2" display="https://files.afu.se/Downloads/Transcripts/0%20-%20Government/USA%20-%20NASA/"/>
    <hyperlink ref="C1415" r:id="rId1415" display="https://youtu.be/81pp0lDaQMQ"/>
    <hyperlink ref="F1415" r:id="rId2" display="https://files.afu.se/Downloads/Transcripts/0%20-%20Government/USA%20-%20NASA/"/>
    <hyperlink ref="C1416" r:id="rId1416" display="https://youtu.be/V6Y6IfA26Sg"/>
    <hyperlink ref="F1416" r:id="rId2" display="https://files.afu.se/Downloads/Transcripts/0%20-%20Government/USA%20-%20NASA/"/>
    <hyperlink ref="C1417" r:id="rId1417" display="https://youtu.be/fVpRUNIn_oI"/>
    <hyperlink ref="F1417" r:id="rId2" display="https://files.afu.se/Downloads/Transcripts/0%20-%20Government/USA%20-%20NASA/"/>
    <hyperlink ref="C1418" r:id="rId1418" display="https://youtu.be/BE-qwR0jcN0"/>
    <hyperlink ref="F1418" r:id="rId2" display="https://files.afu.se/Downloads/Transcripts/0%20-%20Government/USA%20-%20NASA/"/>
    <hyperlink ref="C1419" r:id="rId1419" display="https://youtu.be/5ZkiglD2_Mw"/>
    <hyperlink ref="F1419" r:id="rId2" display="https://files.afu.se/Downloads/Transcripts/0%20-%20Government/USA%20-%20NASA/"/>
    <hyperlink ref="C1420" r:id="rId1420" display="https://youtu.be/--x3JvBx46c"/>
    <hyperlink ref="F1420" r:id="rId2" display="https://files.afu.se/Downloads/Transcripts/0%20-%20Government/USA%20-%20NASA/"/>
    <hyperlink ref="C1421" r:id="rId1421" display="https://youtu.be/1tl2EJj42bI"/>
    <hyperlink ref="F1421" r:id="rId2" display="https://files.afu.se/Downloads/Transcripts/0%20-%20Government/USA%20-%20NASA/"/>
    <hyperlink ref="C1422" r:id="rId1422" display="https://youtu.be/QYaYMo2XrAY"/>
    <hyperlink ref="F1422" r:id="rId2" display="https://files.afu.se/Downloads/Transcripts/0%20-%20Government/USA%20-%20NASA/"/>
    <hyperlink ref="C1423" r:id="rId1423" display="https://youtu.be/WoCMz-ee1Ho"/>
    <hyperlink ref="F1423" r:id="rId2" display="https://files.afu.se/Downloads/Transcripts/0%20-%20Government/USA%20-%20NASA/"/>
    <hyperlink ref="C1424" r:id="rId1424" display="https://youtu.be/NX31vCePp1o"/>
    <hyperlink ref="F1424" r:id="rId2" display="https://files.afu.se/Downloads/Transcripts/0%20-%20Government/USA%20-%20NASA/"/>
    <hyperlink ref="C1425" r:id="rId1425" display="https://youtu.be/p7KhmQIYV8w"/>
    <hyperlink ref="F1425" r:id="rId2" display="https://files.afu.se/Downloads/Transcripts/0%20-%20Government/USA%20-%20NASA/"/>
    <hyperlink ref="C1426" r:id="rId1426" display="https://youtu.be/_4UHQnB-naE"/>
    <hyperlink ref="F1426" r:id="rId2" display="https://files.afu.se/Downloads/Transcripts/0%20-%20Government/USA%20-%20NASA/"/>
    <hyperlink ref="C1427" r:id="rId1427" display="https://youtu.be/fvIT10SLPQU"/>
    <hyperlink ref="F1427" r:id="rId2" display="https://files.afu.se/Downloads/Transcripts/0%20-%20Government/USA%20-%20NASA/"/>
    <hyperlink ref="C1428" r:id="rId1428" display="https://youtu.be/AZ6DSCAbLwA"/>
    <hyperlink ref="F1428" r:id="rId2" display="https://files.afu.se/Downloads/Transcripts/0%20-%20Government/USA%20-%20NASA/"/>
    <hyperlink ref="C1429" r:id="rId1429" display="https://youtu.be/2cp3PKzShzw"/>
    <hyperlink ref="F1429" r:id="rId2" display="https://files.afu.se/Downloads/Transcripts/0%20-%20Government/USA%20-%20NASA/"/>
    <hyperlink ref="C1430" r:id="rId1430" display="https://youtu.be/KErMYvcPge4"/>
    <hyperlink ref="F1430" r:id="rId2" display="https://files.afu.se/Downloads/Transcripts/0%20-%20Government/USA%20-%20NASA/"/>
    <hyperlink ref="C1431" r:id="rId1431" display="https://youtu.be/Wuzu3jhlBaE"/>
    <hyperlink ref="F1431" r:id="rId2" display="https://files.afu.se/Downloads/Transcripts/0%20-%20Government/USA%20-%20NASA/"/>
    <hyperlink ref="C1432" r:id="rId1432" display="https://youtu.be/Kr3OPNjsx_M"/>
    <hyperlink ref="F1432" r:id="rId2" display="https://files.afu.se/Downloads/Transcripts/0%20-%20Government/USA%20-%20NASA/"/>
    <hyperlink ref="C1433" r:id="rId1433" display="https://youtu.be/AYiO6q8Rs7Q"/>
    <hyperlink ref="F1433" r:id="rId2" display="https://files.afu.se/Downloads/Transcripts/0%20-%20Government/USA%20-%20NASA/"/>
    <hyperlink ref="C1434" r:id="rId1434" display="https://youtu.be/lFwiEJaEYck"/>
    <hyperlink ref="F1434" r:id="rId2" display="https://files.afu.se/Downloads/Transcripts/0%20-%20Government/USA%20-%20NASA/"/>
    <hyperlink ref="C1435" r:id="rId1435" display="https://youtu.be/9NuosO9PyVo"/>
    <hyperlink ref="F1435" r:id="rId2" display="https://files.afu.se/Downloads/Transcripts/0%20-%20Government/USA%20-%20NASA/"/>
    <hyperlink ref="C1436" r:id="rId1436" display="https://youtu.be/bpkEOCEgNtg"/>
    <hyperlink ref="F1436" r:id="rId2" display="https://files.afu.se/Downloads/Transcripts/0%20-%20Government/USA%20-%20NASA/"/>
    <hyperlink ref="C1437" r:id="rId1437" display="https://youtu.be/7zY5RVAe7mQ"/>
    <hyperlink ref="F1437" r:id="rId2" display="https://files.afu.se/Downloads/Transcripts/0%20-%20Government/USA%20-%20NASA/"/>
    <hyperlink ref="C1438" r:id="rId1438" display="https://youtu.be/nB3XTRwZ--k"/>
    <hyperlink ref="F1438" r:id="rId2" display="https://files.afu.se/Downloads/Transcripts/0%20-%20Government/USA%20-%20NASA/"/>
    <hyperlink ref="C1439" r:id="rId1439" display="https://youtu.be/S3BZ7eWqk80"/>
    <hyperlink ref="F1439" r:id="rId2" display="https://files.afu.se/Downloads/Transcripts/0%20-%20Government/USA%20-%20NASA/"/>
    <hyperlink ref="C1440" r:id="rId1440" display="https://youtu.be/NETm7i1XgCE"/>
    <hyperlink ref="F1440" r:id="rId2" display="https://files.afu.se/Downloads/Transcripts/0%20-%20Government/USA%20-%20NASA/"/>
    <hyperlink ref="C1441" r:id="rId1441" display="https://youtu.be/tPS3aiyV5Ys"/>
    <hyperlink ref="F1441" r:id="rId2" display="https://files.afu.se/Downloads/Transcripts/0%20-%20Government/USA%20-%20NASA/"/>
    <hyperlink ref="C1442" r:id="rId1442" display="https://youtu.be/FMc7CK5jAYk"/>
    <hyperlink ref="F1442" r:id="rId2" display="https://files.afu.se/Downloads/Transcripts/0%20-%20Government/USA%20-%20NASA/"/>
    <hyperlink ref="C1443" r:id="rId1443" display="https://youtu.be/VPy9aGCCv8U"/>
    <hyperlink ref="F1443" r:id="rId2" display="https://files.afu.se/Downloads/Transcripts/0%20-%20Government/USA%20-%20NASA/"/>
    <hyperlink ref="C1444" r:id="rId1444" display="https://youtu.be/tNB0CUvInU0"/>
    <hyperlink ref="F1444" r:id="rId2" display="https://files.afu.se/Downloads/Transcripts/0%20-%20Government/USA%20-%20NASA/"/>
    <hyperlink ref="C1445" r:id="rId1445" display="https://youtu.be/5rsyyWQcGMg"/>
    <hyperlink ref="F1445" r:id="rId2" display="https://files.afu.se/Downloads/Transcripts/0%20-%20Government/USA%20-%20NASA/"/>
    <hyperlink ref="C1446" r:id="rId1446" display="https://youtu.be/kxDUcgzvHEI"/>
    <hyperlink ref="F1446" r:id="rId2" display="https://files.afu.se/Downloads/Transcripts/0%20-%20Government/USA%20-%20NASA/"/>
    <hyperlink ref="C1447" r:id="rId1447" display="https://youtu.be/5cin6vw-kn0"/>
    <hyperlink ref="F1447" r:id="rId2" display="https://files.afu.se/Downloads/Transcripts/0%20-%20Government/USA%20-%20NASA/"/>
    <hyperlink ref="C1448" r:id="rId1448" display="https://youtu.be/izMKh_UC7rU"/>
    <hyperlink ref="F1448" r:id="rId2" display="https://files.afu.se/Downloads/Transcripts/0%20-%20Government/USA%20-%20NASA/"/>
    <hyperlink ref="C1449" r:id="rId1449" display="https://youtu.be/DzgosNgn8-Q"/>
    <hyperlink ref="F1449" r:id="rId2" display="https://files.afu.se/Downloads/Transcripts/0%20-%20Government/USA%20-%20NASA/"/>
    <hyperlink ref="C1450" r:id="rId1450" display="https://youtu.be/d3JW5ONf4aQ"/>
    <hyperlink ref="F1450" r:id="rId2" display="https://files.afu.se/Downloads/Transcripts/0%20-%20Government/USA%20-%20NASA/"/>
    <hyperlink ref="C1451" r:id="rId1451" display="https://youtu.be/MUa2E_M-b1A"/>
    <hyperlink ref="F1451" r:id="rId2" display="https://files.afu.se/Downloads/Transcripts/0%20-%20Government/USA%20-%20NASA/"/>
    <hyperlink ref="C1452" r:id="rId1452" display="https://youtu.be/11HfW94CBpI"/>
    <hyperlink ref="F1452" r:id="rId2" display="https://files.afu.se/Downloads/Transcripts/0%20-%20Government/USA%20-%20NASA/"/>
    <hyperlink ref="C1453" r:id="rId1453" display="https://youtu.be/P03vvRW5EIg"/>
    <hyperlink ref="F1453" r:id="rId2" display="https://files.afu.se/Downloads/Transcripts/0%20-%20Government/USA%20-%20NASA/"/>
    <hyperlink ref="C1454" r:id="rId1454" display="https://youtu.be/kJ1bdzkexrM"/>
    <hyperlink ref="F1454" r:id="rId2" display="https://files.afu.se/Downloads/Transcripts/0%20-%20Government/USA%20-%20NASA/"/>
    <hyperlink ref="C1455" r:id="rId1455" display="https://youtu.be/2kpVRBbLu_0"/>
    <hyperlink ref="F1455" r:id="rId2" display="https://files.afu.se/Downloads/Transcripts/0%20-%20Government/USA%20-%20NASA/"/>
    <hyperlink ref="C1456" r:id="rId1456" display="https://youtu.be/gEUrPrDUMK0"/>
    <hyperlink ref="F1456" r:id="rId2" display="https://files.afu.se/Downloads/Transcripts/0%20-%20Government/USA%20-%20NASA/"/>
    <hyperlink ref="C1457" r:id="rId1457" display="https://youtu.be/8sRvS262x0Q"/>
    <hyperlink ref="F1457" r:id="rId2" display="https://files.afu.se/Downloads/Transcripts/0%20-%20Government/USA%20-%20NASA/"/>
    <hyperlink ref="C1458" r:id="rId1458" display="https://youtu.be/QTKGEFtD5-Y"/>
    <hyperlink ref="F1458" r:id="rId2" display="https://files.afu.se/Downloads/Transcripts/0%20-%20Government/USA%20-%20NASA/"/>
    <hyperlink ref="C1459" r:id="rId1459" display="https://youtu.be/UC5k7xbSQ7c"/>
    <hyperlink ref="F1459" r:id="rId2" display="https://files.afu.se/Downloads/Transcripts/0%20-%20Government/USA%20-%20NASA/"/>
    <hyperlink ref="C1460" r:id="rId1460" display="https://youtu.be/GP_ZrENMTuo"/>
    <hyperlink ref="F1460" r:id="rId2" display="https://files.afu.se/Downloads/Transcripts/0%20-%20Government/USA%20-%20NASA/"/>
    <hyperlink ref="C1461" r:id="rId1461" display="https://youtu.be/V1O7XfcXGTI"/>
    <hyperlink ref="F1461" r:id="rId2" display="https://files.afu.se/Downloads/Transcripts/0%20-%20Government/USA%20-%20NASA/"/>
    <hyperlink ref="C1462" r:id="rId1462" display="https://youtu.be/YqwO8lEQOUA"/>
    <hyperlink ref="F1462" r:id="rId2" display="https://files.afu.se/Downloads/Transcripts/0%20-%20Government/USA%20-%20NASA/"/>
    <hyperlink ref="C1463" r:id="rId1463" display="https://youtu.be/6Ogty1C6LYw"/>
    <hyperlink ref="F1463" r:id="rId2" display="https://files.afu.se/Downloads/Transcripts/0%20-%20Government/USA%20-%20NASA/"/>
    <hyperlink ref="C1464" r:id="rId1464" display="https://youtu.be/94egWBr6OtA"/>
    <hyperlink ref="F1464" r:id="rId2" display="https://files.afu.se/Downloads/Transcripts/0%20-%20Government/USA%20-%20NASA/"/>
    <hyperlink ref="C1465" r:id="rId1465" display="https://youtu.be/z8bKd0JjdGo"/>
    <hyperlink ref="F1465" r:id="rId2" display="https://files.afu.se/Downloads/Transcripts/0%20-%20Government/USA%20-%20NASA/"/>
    <hyperlink ref="C1466" r:id="rId1466" display="https://youtu.be/eILL1cRnG1o"/>
    <hyperlink ref="F1466" r:id="rId2" display="https://files.afu.se/Downloads/Transcripts/0%20-%20Government/USA%20-%20NASA/"/>
    <hyperlink ref="C1467" r:id="rId1467" display="https://youtu.be/mfYgqxf8RNs"/>
    <hyperlink ref="F1467" r:id="rId2" display="https://files.afu.se/Downloads/Transcripts/0%20-%20Government/USA%20-%20NASA/"/>
    <hyperlink ref="C1468" r:id="rId1468" display="https://youtu.be/FticpVEmE1s"/>
    <hyperlink ref="F1468" r:id="rId2" display="https://files.afu.se/Downloads/Transcripts/0%20-%20Government/USA%20-%20NASA/"/>
    <hyperlink ref="C1469" r:id="rId1469" display="https://youtu.be/1dJzX4GmFT8"/>
    <hyperlink ref="F1469" r:id="rId2" display="https://files.afu.se/Downloads/Transcripts/0%20-%20Government/USA%20-%20NASA/"/>
    <hyperlink ref="C1470" r:id="rId1470" display="https://youtu.be/3x5VCvuoCy0"/>
    <hyperlink ref="F1470" r:id="rId2" display="https://files.afu.se/Downloads/Transcripts/0%20-%20Government/USA%20-%20NASA/"/>
    <hyperlink ref="C1471" r:id="rId1471" display="https://youtu.be/GoxRNewsMGI"/>
    <hyperlink ref="F1471" r:id="rId2" display="https://files.afu.se/Downloads/Transcripts/0%20-%20Government/USA%20-%20NASA/"/>
    <hyperlink ref="C1472" r:id="rId1472" display="https://youtu.be/lAZfx7FQ0F8"/>
    <hyperlink ref="F1472" r:id="rId2" display="https://files.afu.se/Downloads/Transcripts/0%20-%20Government/USA%20-%20NASA/"/>
    <hyperlink ref="C1473" r:id="rId1473" display="https://youtu.be/lil_I_-7aOM"/>
    <hyperlink ref="F1473" r:id="rId2" display="https://files.afu.se/Downloads/Transcripts/0%20-%20Government/USA%20-%20NASA/"/>
    <hyperlink ref="C1474" r:id="rId1474" display="https://youtu.be/j2j0U8amSZA"/>
    <hyperlink ref="F1474" r:id="rId2" display="https://files.afu.se/Downloads/Transcripts/0%20-%20Government/USA%20-%20NASA/"/>
    <hyperlink ref="C1475" r:id="rId1475" display="https://youtu.be/Ob_lXMLRSkg"/>
    <hyperlink ref="F1475" r:id="rId2" display="https://files.afu.se/Downloads/Transcripts/0%20-%20Government/USA%20-%20NASA/"/>
    <hyperlink ref="C1476" r:id="rId1476" display="https://youtu.be/RICr24MoVoE"/>
    <hyperlink ref="F1476" r:id="rId2" display="https://files.afu.se/Downloads/Transcripts/0%20-%20Government/USA%20-%20NASA/"/>
    <hyperlink ref="C1477" r:id="rId1477" display="https://youtu.be/Fu2Z5ZC1HBo"/>
    <hyperlink ref="F1477" r:id="rId2" display="https://files.afu.se/Downloads/Transcripts/0%20-%20Government/USA%20-%20NASA/"/>
    <hyperlink ref="C1478" r:id="rId1478" display="https://youtu.be/zl_iZbQbfTY"/>
    <hyperlink ref="F1478" r:id="rId2" display="https://files.afu.se/Downloads/Transcripts/0%20-%20Government/USA%20-%20NASA/"/>
    <hyperlink ref="C1479" r:id="rId1479" display="https://youtu.be/uXXvpwCeEiw"/>
    <hyperlink ref="F1479" r:id="rId2" display="https://files.afu.se/Downloads/Transcripts/0%20-%20Government/USA%20-%20NASA/"/>
    <hyperlink ref="C1480" r:id="rId1480" display="https://youtu.be/za9Drj6rmz8"/>
    <hyperlink ref="F1480" r:id="rId2" display="https://files.afu.se/Downloads/Transcripts/0%20-%20Government/USA%20-%20NASA/"/>
    <hyperlink ref="C1481" r:id="rId1481" display="https://youtu.be/8GONAiytTGM"/>
    <hyperlink ref="F1481" r:id="rId2" display="https://files.afu.se/Downloads/Transcripts/0%20-%20Government/USA%20-%20NASA/"/>
    <hyperlink ref="C1482" r:id="rId1482" display="https://youtu.be/wpgNlkqEPfE"/>
    <hyperlink ref="F1482" r:id="rId2" display="https://files.afu.se/Downloads/Transcripts/0%20-%20Government/USA%20-%20NASA/"/>
    <hyperlink ref="C1483" r:id="rId1483" display="https://youtu.be/dt1IDQF8d_4"/>
    <hyperlink ref="F1483" r:id="rId2" display="https://files.afu.se/Downloads/Transcripts/0%20-%20Government/USA%20-%20NASA/"/>
    <hyperlink ref="C1484" r:id="rId1484" display="https://youtu.be/6Lr3-BkkhkQ"/>
    <hyperlink ref="F1484" r:id="rId2" display="https://files.afu.se/Downloads/Transcripts/0%20-%20Government/USA%20-%20NASA/"/>
    <hyperlink ref="C1485" r:id="rId1485" display="https://youtu.be/bJYzUimSaDA"/>
    <hyperlink ref="F1485" r:id="rId2" display="https://files.afu.se/Downloads/Transcripts/0%20-%20Government/USA%20-%20NASA/"/>
    <hyperlink ref="C1486" r:id="rId1486" display="https://youtu.be/cyNbyiglDRg"/>
    <hyperlink ref="F1486" r:id="rId2" display="https://files.afu.se/Downloads/Transcripts/0%20-%20Government/USA%20-%20NASA/"/>
    <hyperlink ref="C1487" r:id="rId1487" display="https://youtu.be/Pf0VMSpZ1qI"/>
    <hyperlink ref="F1487" r:id="rId2" display="https://files.afu.se/Downloads/Transcripts/0%20-%20Government/USA%20-%20NASA/"/>
    <hyperlink ref="C1488" r:id="rId1488" display="https://youtu.be/ElaaF2nFKGo"/>
    <hyperlink ref="F1488" r:id="rId2" display="https://files.afu.se/Downloads/Transcripts/0%20-%20Government/USA%20-%20NASA/"/>
    <hyperlink ref="C1489" r:id="rId1489" display="https://youtu.be/0NYoJp-AQ-8"/>
    <hyperlink ref="F1489" r:id="rId2" display="https://files.afu.se/Downloads/Transcripts/0%20-%20Government/USA%20-%20NASA/"/>
    <hyperlink ref="C1490" r:id="rId1490" display="https://youtu.be/sV0pkbG_7Zo"/>
    <hyperlink ref="F1490" r:id="rId2" display="https://files.afu.se/Downloads/Transcripts/0%20-%20Government/USA%20-%20NASA/"/>
    <hyperlink ref="C1491" r:id="rId1491" display="https://youtu.be/tBAR1Ok_Zoc"/>
    <hyperlink ref="F1491" r:id="rId2" display="https://files.afu.se/Downloads/Transcripts/0%20-%20Government/USA%20-%20NASA/"/>
    <hyperlink ref="C1492" r:id="rId1492" display="https://youtu.be/-QzicRTR5SI"/>
    <hyperlink ref="F1492" r:id="rId2" display="https://files.afu.se/Downloads/Transcripts/0%20-%20Government/USA%20-%20NASA/"/>
    <hyperlink ref="C1493" r:id="rId1493" display="https://youtu.be/1MfFCxVpR3k"/>
    <hyperlink ref="F1493" r:id="rId2" display="https://files.afu.se/Downloads/Transcripts/0%20-%20Government/USA%20-%20NASA/"/>
    <hyperlink ref="C1494" r:id="rId1494" display="https://youtu.be/cmDj_MB82OQ"/>
    <hyperlink ref="F1494" r:id="rId2" display="https://files.afu.se/Downloads/Transcripts/0%20-%20Government/USA%20-%20NASA/"/>
    <hyperlink ref="C1495" r:id="rId1495" display="https://youtu.be/mPpdlVKN3Ug"/>
    <hyperlink ref="F1495" r:id="rId2" display="https://files.afu.se/Downloads/Transcripts/0%20-%20Government/USA%20-%20NASA/"/>
    <hyperlink ref="C1496" r:id="rId1496" display="https://youtu.be/AvXV0m3IBi8"/>
    <hyperlink ref="F1496" r:id="rId2" display="https://files.afu.se/Downloads/Transcripts/0%20-%20Government/USA%20-%20NASA/"/>
    <hyperlink ref="C1497" r:id="rId1497" display="https://youtu.be/ZrfYcs_t93c"/>
    <hyperlink ref="F1497" r:id="rId2" display="https://files.afu.se/Downloads/Transcripts/0%20-%20Government/USA%20-%20NASA/"/>
    <hyperlink ref="C1498" r:id="rId1498" display="https://youtu.be/n9-R9P2cKA0"/>
    <hyperlink ref="F1498" r:id="rId2" display="https://files.afu.se/Downloads/Transcripts/0%20-%20Government/USA%20-%20NASA/"/>
    <hyperlink ref="C1499" r:id="rId1499" display="https://youtu.be/85JT3yIVXwc"/>
    <hyperlink ref="F1499" r:id="rId2" display="https://files.afu.se/Downloads/Transcripts/0%20-%20Government/USA%20-%20NASA/"/>
    <hyperlink ref="C1500" r:id="rId1500" display="https://youtu.be/HFGHwO75aSs"/>
    <hyperlink ref="F1500" r:id="rId2" display="https://files.afu.se/Downloads/Transcripts/0%20-%20Government/USA%20-%20NASA/"/>
    <hyperlink ref="C1501" r:id="rId1501" display="https://youtu.be/_SS3UsMDdik"/>
    <hyperlink ref="F1501" r:id="rId2" display="https://files.afu.se/Downloads/Transcripts/0%20-%20Government/USA%20-%20NASA/"/>
    <hyperlink ref="C1502" r:id="rId1502" display="https://youtu.be/bJgsdnpjyes"/>
    <hyperlink ref="F1502" r:id="rId2" display="https://files.afu.se/Downloads/Transcripts/0%20-%20Government/USA%20-%20NASA/"/>
    <hyperlink ref="C1503" r:id="rId1503" display="https://youtu.be/cCxjSjoJw9I"/>
    <hyperlink ref="F1503" r:id="rId2" display="https://files.afu.se/Downloads/Transcripts/0%20-%20Government/USA%20-%20NASA/"/>
    <hyperlink ref="C1504" r:id="rId1504" display="https://youtu.be/oeXlI5ndaCk"/>
    <hyperlink ref="F1504" r:id="rId2" display="https://files.afu.se/Downloads/Transcripts/0%20-%20Government/USA%20-%20NASA/"/>
    <hyperlink ref="C1505" r:id="rId1505" display="https://youtu.be/RDyshMX_BQw"/>
    <hyperlink ref="F1505" r:id="rId2" display="https://files.afu.se/Downloads/Transcripts/0%20-%20Government/USA%20-%20NASA/"/>
    <hyperlink ref="C1506" r:id="rId1506" display="https://youtu.be/rf52LSg4AsA"/>
    <hyperlink ref="F1506" r:id="rId2" display="https://files.afu.se/Downloads/Transcripts/0%20-%20Government/USA%20-%20NASA/"/>
    <hyperlink ref="C1507" r:id="rId1507" display="https://youtu.be/6WSQ5Ga9awI"/>
    <hyperlink ref="F1507" r:id="rId2" display="https://files.afu.se/Downloads/Transcripts/0%20-%20Government/USA%20-%20NASA/"/>
    <hyperlink ref="C1508" r:id="rId1508" display="https://youtu.be/6dTjPIwCyNc"/>
    <hyperlink ref="F1508" r:id="rId2" display="https://files.afu.se/Downloads/Transcripts/0%20-%20Government/USA%20-%20NASA/"/>
    <hyperlink ref="C1509" r:id="rId1509" display="https://youtu.be/_eDAb9TVzn0"/>
    <hyperlink ref="F1509" r:id="rId2" display="https://files.afu.se/Downloads/Transcripts/0%20-%20Government/USA%20-%20NASA/"/>
    <hyperlink ref="C1510" r:id="rId1510" display="https://youtu.be/aJDXGHphm5A"/>
    <hyperlink ref="F1510" r:id="rId2" display="https://files.afu.se/Downloads/Transcripts/0%20-%20Government/USA%20-%20NASA/"/>
    <hyperlink ref="C1511" r:id="rId1511" display="https://youtu.be/15BRKTsPbR4"/>
    <hyperlink ref="F1511" r:id="rId2" display="https://files.afu.se/Downloads/Transcripts/0%20-%20Government/USA%20-%20NASA/"/>
    <hyperlink ref="C1512" r:id="rId1512" display="https://youtu.be/nKI2InhHDcM"/>
    <hyperlink ref="F1512" r:id="rId2" display="https://files.afu.se/Downloads/Transcripts/0%20-%20Government/USA%20-%20NASA/"/>
    <hyperlink ref="C1513" r:id="rId1513" display="https://youtu.be/kUXhHgnU2xg"/>
    <hyperlink ref="F1513" r:id="rId2" display="https://files.afu.se/Downloads/Transcripts/0%20-%20Government/USA%20-%20NASA/"/>
    <hyperlink ref="C1514" r:id="rId1514" display="https://youtu.be/E-S4NxNYnoU"/>
    <hyperlink ref="F1514" r:id="rId2" display="https://files.afu.se/Downloads/Transcripts/0%20-%20Government/USA%20-%20NASA/"/>
    <hyperlink ref="C1515" r:id="rId1515" display="https://youtu.be/Ateh4P39aBI"/>
    <hyperlink ref="F1515" r:id="rId2" display="https://files.afu.se/Downloads/Transcripts/0%20-%20Government/USA%20-%20NASA/"/>
    <hyperlink ref="C1516" r:id="rId1516" display="https://youtu.be/NYod7EUKKss"/>
    <hyperlink ref="F1516" r:id="rId2" display="https://files.afu.se/Downloads/Transcripts/0%20-%20Government/USA%20-%20NASA/"/>
    <hyperlink ref="C1517" r:id="rId1517" display="https://youtu.be/1F2nlndFNSA"/>
    <hyperlink ref="F1517" r:id="rId2" display="https://files.afu.se/Downloads/Transcripts/0%20-%20Government/USA%20-%20NASA/"/>
    <hyperlink ref="C1518" r:id="rId1518" display="https://youtu.be/ls_9R5q6cKg"/>
    <hyperlink ref="F1518" r:id="rId2" display="https://files.afu.se/Downloads/Transcripts/0%20-%20Government/USA%20-%20NASA/"/>
    <hyperlink ref="C1519" r:id="rId1519" display="https://youtu.be/6USNuCCbS9o"/>
    <hyperlink ref="F1519" r:id="rId2" display="https://files.afu.se/Downloads/Transcripts/0%20-%20Government/USA%20-%20NASA/"/>
    <hyperlink ref="C1520" r:id="rId1520" display="https://youtu.be/dKLOnS7uEYo"/>
    <hyperlink ref="F1520" r:id="rId2" display="https://files.afu.se/Downloads/Transcripts/0%20-%20Government/USA%20-%20NASA/"/>
    <hyperlink ref="C1521" r:id="rId1521" display="https://youtu.be/v3twhoxbr9M"/>
    <hyperlink ref="F1521" r:id="rId2" display="https://files.afu.se/Downloads/Transcripts/0%20-%20Government/USA%20-%20NASA/"/>
    <hyperlink ref="C1522" r:id="rId1522" display="https://youtu.be/qrd-ndjoL-k"/>
    <hyperlink ref="F1522" r:id="rId2" display="https://files.afu.se/Downloads/Transcripts/0%20-%20Government/USA%20-%20NASA/"/>
    <hyperlink ref="C1523" r:id="rId1523" display="https://youtu.be/Yr7tMMevqlw"/>
    <hyperlink ref="F1523" r:id="rId2" display="https://files.afu.se/Downloads/Transcripts/0%20-%20Government/USA%20-%20NASA/"/>
    <hyperlink ref="C1524" r:id="rId1524" display="https://youtu.be/Fd4I7qqZJYk"/>
    <hyperlink ref="F1524" r:id="rId2" display="https://files.afu.se/Downloads/Transcripts/0%20-%20Government/USA%20-%20NASA/"/>
    <hyperlink ref="C1525" r:id="rId1525" display="https://youtu.be/yYjoiMq6UuM"/>
    <hyperlink ref="F1525" r:id="rId2" display="https://files.afu.se/Downloads/Transcripts/0%20-%20Government/USA%20-%20NASA/"/>
    <hyperlink ref="C1526" r:id="rId1526" display="https://youtu.be/uhpQ670XGaM"/>
    <hyperlink ref="F1526" r:id="rId2" display="https://files.afu.se/Downloads/Transcripts/0%20-%20Government/USA%20-%20NASA/"/>
    <hyperlink ref="C1527" r:id="rId1527" display="https://youtu.be/tRmK03-ycJU"/>
    <hyperlink ref="F1527" r:id="rId2" display="https://files.afu.se/Downloads/Transcripts/0%20-%20Government/USA%20-%20NASA/"/>
    <hyperlink ref="C1528" r:id="rId1528" display="https://youtu.be/KjlUL2sbSSc"/>
    <hyperlink ref="F1528" r:id="rId2" display="https://files.afu.se/Downloads/Transcripts/0%20-%20Government/USA%20-%20NASA/"/>
    <hyperlink ref="C1529" r:id="rId1529" display="https://youtu.be/fnX_FGKENx8"/>
    <hyperlink ref="F1529" r:id="rId2" display="https://files.afu.se/Downloads/Transcripts/0%20-%20Government/USA%20-%20NASA/"/>
    <hyperlink ref="C1530" r:id="rId1530" display="https://youtu.be/I0jTQQGU7ic"/>
    <hyperlink ref="F1530" r:id="rId2" display="https://files.afu.se/Downloads/Transcripts/0%20-%20Government/USA%20-%20NASA/"/>
    <hyperlink ref="C1531" r:id="rId1531" display="https://youtu.be/wsBy_UeYM3E"/>
    <hyperlink ref="F1531" r:id="rId2" display="https://files.afu.se/Downloads/Transcripts/0%20-%20Government/USA%20-%20NASA/"/>
    <hyperlink ref="C1532" r:id="rId1532" display="https://youtu.be/EEJ7U6eWKcs"/>
    <hyperlink ref="F1532" r:id="rId2" display="https://files.afu.se/Downloads/Transcripts/0%20-%20Government/USA%20-%20NASA/"/>
    <hyperlink ref="C1533" r:id="rId1533" display="https://youtu.be/NDtbfCt2Gcw"/>
    <hyperlink ref="F1533" r:id="rId2" display="https://files.afu.se/Downloads/Transcripts/0%20-%20Government/USA%20-%20NASA/"/>
    <hyperlink ref="C1534" r:id="rId1534" display="https://youtu.be/G3uY3ml0uks"/>
    <hyperlink ref="F1534" r:id="rId2" display="https://files.afu.se/Downloads/Transcripts/0%20-%20Government/USA%20-%20NASA/"/>
    <hyperlink ref="C1535" r:id="rId1535" display="https://youtu.be/My8vWpgOTog"/>
    <hyperlink ref="F1535" r:id="rId2" display="https://files.afu.se/Downloads/Transcripts/0%20-%20Government/USA%20-%20NASA/"/>
    <hyperlink ref="C1536" r:id="rId1536" display="https://youtu.be/jN9gGW3ovkU"/>
    <hyperlink ref="F1536" r:id="rId2" display="https://files.afu.se/Downloads/Transcripts/0%20-%20Government/USA%20-%20NASA/"/>
    <hyperlink ref="C1537" r:id="rId1537" display="https://youtu.be/EYxvPIBmtiQ"/>
    <hyperlink ref="F1537" r:id="rId2" display="https://files.afu.se/Downloads/Transcripts/0%20-%20Government/USA%20-%20NASA/"/>
    <hyperlink ref="C1538" r:id="rId1538" display="https://youtu.be/ISSaGdg-LEQ"/>
    <hyperlink ref="F1538" r:id="rId2" display="https://files.afu.se/Downloads/Transcripts/0%20-%20Government/USA%20-%20NASA/"/>
    <hyperlink ref="C1539" r:id="rId1539" display="https://youtu.be/DHapy1OySxA"/>
    <hyperlink ref="F1539" r:id="rId2" display="https://files.afu.se/Downloads/Transcripts/0%20-%20Government/USA%20-%20NASA/"/>
    <hyperlink ref="C1540" r:id="rId1540" display="https://youtu.be/nNsaQPy4bBY"/>
    <hyperlink ref="F1540" r:id="rId2" display="https://files.afu.se/Downloads/Transcripts/0%20-%20Government/USA%20-%20NASA/"/>
    <hyperlink ref="C1541" r:id="rId1541" display="https://youtu.be/ExGvJOzcxJo"/>
    <hyperlink ref="F1541" r:id="rId2" display="https://files.afu.se/Downloads/Transcripts/0%20-%20Government/USA%20-%20NASA/"/>
    <hyperlink ref="C1542" r:id="rId1542" display="https://youtu.be/SXmiMPmkjX4"/>
    <hyperlink ref="F1542" r:id="rId2" display="https://files.afu.se/Downloads/Transcripts/0%20-%20Government/USA%20-%20NASA/"/>
    <hyperlink ref="C1543" r:id="rId1543" display="https://youtu.be/WDmjdc9H56M"/>
    <hyperlink ref="F1543" r:id="rId2" display="https://files.afu.se/Downloads/Transcripts/0%20-%20Government/USA%20-%20NASA/"/>
    <hyperlink ref="C1544" r:id="rId1544" display="https://youtu.be/q1RH39iAG1w"/>
    <hyperlink ref="F1544" r:id="rId2" display="https://files.afu.se/Downloads/Transcripts/0%20-%20Government/USA%20-%20NASA/"/>
    <hyperlink ref="C1545" r:id="rId1545" display="https://youtu.be/IvTo4-Ukadw"/>
    <hyperlink ref="F1545" r:id="rId2" display="https://files.afu.se/Downloads/Transcripts/0%20-%20Government/USA%20-%20NASA/"/>
    <hyperlink ref="C1546" r:id="rId1546" display="https://youtu.be/Q_8VF7knp8E"/>
    <hyperlink ref="F1546" r:id="rId2" display="https://files.afu.se/Downloads/Transcripts/0%20-%20Government/USA%20-%20NASA/"/>
    <hyperlink ref="C1547" r:id="rId1547" display="https://youtu.be/Sm17LtoXYP8"/>
    <hyperlink ref="F1547" r:id="rId2" display="https://files.afu.se/Downloads/Transcripts/0%20-%20Government/USA%20-%20NASA/"/>
    <hyperlink ref="C1548" r:id="rId1548" display="https://youtu.be/io9qgUsXJHM"/>
    <hyperlink ref="F1548" r:id="rId2" display="https://files.afu.se/Downloads/Transcripts/0%20-%20Government/USA%20-%20NASA/"/>
    <hyperlink ref="C1549" r:id="rId1549" display="https://youtu.be/zfIqnpqPFbI"/>
    <hyperlink ref="F1549" r:id="rId2" display="https://files.afu.se/Downloads/Transcripts/0%20-%20Government/USA%20-%20NASA/"/>
    <hyperlink ref="C1550" r:id="rId1550" display="https://youtu.be/LH_uPWU5V3o"/>
    <hyperlink ref="F1550" r:id="rId2" display="https://files.afu.se/Downloads/Transcripts/0%20-%20Government/USA%20-%20NASA/"/>
    <hyperlink ref="C1551" r:id="rId1551" display="https://youtu.be/I6uUEYOzipw"/>
    <hyperlink ref="F1551" r:id="rId2" display="https://files.afu.se/Downloads/Transcripts/0%20-%20Government/USA%20-%20NASA/"/>
    <hyperlink ref="C1552" r:id="rId1552" display="https://youtu.be/14ebd3wJauU"/>
    <hyperlink ref="F1552" r:id="rId2" display="https://files.afu.se/Downloads/Transcripts/0%20-%20Government/USA%20-%20NASA/"/>
    <hyperlink ref="C1553" r:id="rId1553" display="https://youtu.be/XyxCA6tTGQ0"/>
    <hyperlink ref="F1553" r:id="rId2" display="https://files.afu.se/Downloads/Transcripts/0%20-%20Government/USA%20-%20NASA/"/>
    <hyperlink ref="C1554" r:id="rId1554" display="https://youtu.be/XGZy6IzsKOg"/>
    <hyperlink ref="F1554" r:id="rId2" display="https://files.afu.se/Downloads/Transcripts/0%20-%20Government/USA%20-%20NASA/"/>
    <hyperlink ref="C1555" r:id="rId1555" display="https://youtu.be/MW0pwiaH3XM"/>
    <hyperlink ref="F1555" r:id="rId2" display="https://files.afu.se/Downloads/Transcripts/0%20-%20Government/USA%20-%20NASA/"/>
    <hyperlink ref="C1556" r:id="rId1556" display="https://youtu.be/qMjLYra-Kak"/>
    <hyperlink ref="F1556" r:id="rId2" display="https://files.afu.se/Downloads/Transcripts/0%20-%20Government/USA%20-%20NASA/"/>
    <hyperlink ref="C1557" r:id="rId1557" display="https://youtu.be/ANc3qDTL0TA"/>
    <hyperlink ref="F1557" r:id="rId2" display="https://files.afu.se/Downloads/Transcripts/0%20-%20Government/USA%20-%20NASA/"/>
    <hyperlink ref="C1558" r:id="rId1558" display="https://youtu.be/kMdcTRE8uR8"/>
    <hyperlink ref="F1558" r:id="rId2" display="https://files.afu.se/Downloads/Transcripts/0%20-%20Government/USA%20-%20NASA/"/>
    <hyperlink ref="C1559" r:id="rId1559" display="https://youtu.be/-dvo9usx6bg"/>
    <hyperlink ref="F1559" r:id="rId2" display="https://files.afu.se/Downloads/Transcripts/0%20-%20Government/USA%20-%20NASA/"/>
    <hyperlink ref="C1560" r:id="rId1560" display="https://youtu.be/ayYLiSNoiFE"/>
    <hyperlink ref="F1560" r:id="rId2" display="https://files.afu.se/Downloads/Transcripts/0%20-%20Government/USA%20-%20NASA/"/>
    <hyperlink ref="C1561" r:id="rId1561" display="https://youtu.be/vOs8giC8hGk"/>
    <hyperlink ref="F1561" r:id="rId2" display="https://files.afu.se/Downloads/Transcripts/0%20-%20Government/USA%20-%20NASA/"/>
    <hyperlink ref="C1562" r:id="rId1562" display="https://youtu.be/XEzgqA0NOvc"/>
    <hyperlink ref="F1562" r:id="rId2" display="https://files.afu.se/Downloads/Transcripts/0%20-%20Government/USA%20-%20NASA/"/>
    <hyperlink ref="C1563" r:id="rId1563" display="https://youtu.be/ONbUSTc9VQQ"/>
    <hyperlink ref="F1563" r:id="rId2" display="https://files.afu.se/Downloads/Transcripts/0%20-%20Government/USA%20-%20NASA/"/>
    <hyperlink ref="C1564" r:id="rId1564" display="https://youtu.be/SlO6wT3FXv0"/>
    <hyperlink ref="F1564" r:id="rId2" display="https://files.afu.se/Downloads/Transcripts/0%20-%20Government/USA%20-%20NASA/"/>
    <hyperlink ref="C1565" r:id="rId1565" display="https://youtu.be/MfMOTf0giqM"/>
    <hyperlink ref="F1565" r:id="rId2" display="https://files.afu.se/Downloads/Transcripts/0%20-%20Government/USA%20-%20NASA/"/>
    <hyperlink ref="C1566" r:id="rId1566" display="https://youtu.be/srUu8batsmc"/>
    <hyperlink ref="F1566" r:id="rId2" display="https://files.afu.se/Downloads/Transcripts/0%20-%20Government/USA%20-%20NASA/"/>
    <hyperlink ref="C1567" r:id="rId1567" display="https://youtu.be/uvv2qYS6-5Q"/>
    <hyperlink ref="F1567" r:id="rId2" display="https://files.afu.se/Downloads/Transcripts/0%20-%20Government/USA%20-%20NASA/"/>
    <hyperlink ref="C1568" r:id="rId1568" display="https://youtu.be/SLEZHUH44A8"/>
    <hyperlink ref="F1568" r:id="rId2" display="https://files.afu.se/Downloads/Transcripts/0%20-%20Government/USA%20-%20NASA/"/>
    <hyperlink ref="C1569" r:id="rId1569" display="https://youtu.be/kUoW7ISFsOI"/>
    <hyperlink ref="F1569" r:id="rId2" display="https://files.afu.se/Downloads/Transcripts/0%20-%20Government/USA%20-%20NASA/"/>
    <hyperlink ref="C1570" r:id="rId1570" display="https://youtu.be/o4GnRKTw2zc"/>
    <hyperlink ref="F1570" r:id="rId2" display="https://files.afu.se/Downloads/Transcripts/0%20-%20Government/USA%20-%20NASA/"/>
    <hyperlink ref="C1571" r:id="rId1571" display="https://youtu.be/xxiC1i6UJD0"/>
    <hyperlink ref="F1571" r:id="rId2" display="https://files.afu.se/Downloads/Transcripts/0%20-%20Government/USA%20-%20NASA/"/>
    <hyperlink ref="C1572" r:id="rId1572" display="https://youtu.be/nfhwgYHGeAE"/>
    <hyperlink ref="F1572" r:id="rId2" display="https://files.afu.se/Downloads/Transcripts/0%20-%20Government/USA%20-%20NASA/"/>
    <hyperlink ref="C1573" r:id="rId1573" display="https://youtu.be/wzIcKOL1pVc"/>
    <hyperlink ref="F1573" r:id="rId2" display="https://files.afu.se/Downloads/Transcripts/0%20-%20Government/USA%20-%20NASA/"/>
    <hyperlink ref="C1574" r:id="rId1574" display="https://youtu.be/nOBng-0dEZw"/>
    <hyperlink ref="F1574" r:id="rId2" display="https://files.afu.se/Downloads/Transcripts/0%20-%20Government/USA%20-%20NASA/"/>
    <hyperlink ref="C1575" r:id="rId1575" display="https://youtu.be/ex-ui7ldnD0"/>
    <hyperlink ref="F1575" r:id="rId2" display="https://files.afu.se/Downloads/Transcripts/0%20-%20Government/USA%20-%20NASA/"/>
    <hyperlink ref="C1576" r:id="rId1576" display="https://youtu.be/XJabriUtjl8"/>
    <hyperlink ref="F1576" r:id="rId2" display="https://files.afu.se/Downloads/Transcripts/0%20-%20Government/USA%20-%20NASA/"/>
    <hyperlink ref="C1577" r:id="rId1577" display="https://youtu.be/p_snvjghMJg"/>
    <hyperlink ref="F1577" r:id="rId2" display="https://files.afu.se/Downloads/Transcripts/0%20-%20Government/USA%20-%20NASA/"/>
    <hyperlink ref="C1578" r:id="rId1578" display="https://youtu.be/QDq_zsHSPng"/>
    <hyperlink ref="F1578" r:id="rId2" display="https://files.afu.se/Downloads/Transcripts/0%20-%20Government/USA%20-%20NASA/"/>
    <hyperlink ref="C1579" r:id="rId1579" display="https://youtu.be/PlG4ow5GO0w"/>
    <hyperlink ref="F1579" r:id="rId2" display="https://files.afu.se/Downloads/Transcripts/0%20-%20Government/USA%20-%20NASA/"/>
    <hyperlink ref="C1580" r:id="rId1580" display="https://youtu.be/VnXqBBPyqbc"/>
    <hyperlink ref="F1580" r:id="rId2" display="https://files.afu.se/Downloads/Transcripts/0%20-%20Government/USA%20-%20NASA/"/>
    <hyperlink ref="C1581" r:id="rId1581" display="https://youtu.be/5agitRTpjRo"/>
    <hyperlink ref="F1581" r:id="rId2" display="https://files.afu.se/Downloads/Transcripts/0%20-%20Government/USA%20-%20NASA/"/>
    <hyperlink ref="C1582" r:id="rId1582" display="https://youtu.be/nrI8U1vIQDg"/>
    <hyperlink ref="F1582" r:id="rId2" display="https://files.afu.se/Downloads/Transcripts/0%20-%20Government/USA%20-%20NASA/"/>
    <hyperlink ref="C1583" r:id="rId1583" display="https://youtu.be/4cCdiTnt4BE"/>
    <hyperlink ref="F1583" r:id="rId2" display="https://files.afu.se/Downloads/Transcripts/0%20-%20Government/USA%20-%20NASA/"/>
    <hyperlink ref="C1584" r:id="rId1584" display="https://youtu.be/R3hb7-MaPlQ"/>
    <hyperlink ref="F1584" r:id="rId2" display="https://files.afu.se/Downloads/Transcripts/0%20-%20Government/USA%20-%20NASA/"/>
    <hyperlink ref="C1585" r:id="rId1585" display="https://youtu.be/N38_WrUUw-A"/>
    <hyperlink ref="F1585" r:id="rId2" display="https://files.afu.se/Downloads/Transcripts/0%20-%20Government/USA%20-%20NASA/"/>
    <hyperlink ref="C1586" r:id="rId1586" display="https://youtu.be/UeLd8aHkZI4"/>
    <hyperlink ref="F1586" r:id="rId2" display="https://files.afu.se/Downloads/Transcripts/0%20-%20Government/USA%20-%20NASA/"/>
    <hyperlink ref="C1587" r:id="rId1587" display="https://youtu.be/-rmgePdQYrc"/>
    <hyperlink ref="F1587" r:id="rId2" display="https://files.afu.se/Downloads/Transcripts/0%20-%20Government/USA%20-%20NASA/"/>
    <hyperlink ref="C1588" r:id="rId1588" display="https://youtu.be/6nNM4aWKCdk"/>
    <hyperlink ref="F1588" r:id="rId2" display="https://files.afu.se/Downloads/Transcripts/0%20-%20Government/USA%20-%20NASA/"/>
    <hyperlink ref="C1589" r:id="rId1589" display="https://youtu.be/LpIeFiLtE78"/>
    <hyperlink ref="F1589" r:id="rId2" display="https://files.afu.se/Downloads/Transcripts/0%20-%20Government/USA%20-%20NASA/"/>
    <hyperlink ref="C1590" r:id="rId1590" display="https://youtu.be/t-MzHqZlwPY"/>
    <hyperlink ref="F1590" r:id="rId2" display="https://files.afu.se/Downloads/Transcripts/0%20-%20Government/USA%20-%20NASA/"/>
    <hyperlink ref="C1591" r:id="rId1591" display="https://youtu.be/nqXQeBqJo_0"/>
    <hyperlink ref="F1591" r:id="rId2" display="https://files.afu.se/Downloads/Transcripts/0%20-%20Government/USA%20-%20NASA/"/>
    <hyperlink ref="C1592" r:id="rId1592" display="https://youtu.be/GcpHrux-OOQ"/>
    <hyperlink ref="F1592" r:id="rId2" display="https://files.afu.se/Downloads/Transcripts/0%20-%20Government/USA%20-%20NASA/"/>
    <hyperlink ref="C1593" r:id="rId1593" display="https://youtu.be/fiuGehQaii0"/>
    <hyperlink ref="F1593" r:id="rId2" display="https://files.afu.se/Downloads/Transcripts/0%20-%20Government/USA%20-%20NASA/"/>
    <hyperlink ref="C1594" r:id="rId1594" display="https://youtu.be/mupWhk2cbT0"/>
    <hyperlink ref="F1594" r:id="rId2" display="https://files.afu.se/Downloads/Transcripts/0%20-%20Government/USA%20-%20NASA/"/>
    <hyperlink ref="C1595" r:id="rId1595" display="https://youtu.be/JFxq4WfiKio"/>
    <hyperlink ref="F1595" r:id="rId2" display="https://files.afu.se/Downloads/Transcripts/0%20-%20Government/USA%20-%20NASA/"/>
    <hyperlink ref="C1596" r:id="rId1596" display="https://youtu.be/mtehu3BEJfM"/>
    <hyperlink ref="F1596" r:id="rId2" display="https://files.afu.se/Downloads/Transcripts/0%20-%20Government/USA%20-%20NASA/"/>
    <hyperlink ref="C1597" r:id="rId1597" display="https://youtu.be/SwlN9rgsYwg"/>
    <hyperlink ref="F1597" r:id="rId2" display="https://files.afu.se/Downloads/Transcripts/0%20-%20Government/USA%20-%20NASA/"/>
    <hyperlink ref="C1598" r:id="rId1598" display="https://youtu.be/xe26PQl965I"/>
    <hyperlink ref="F1598" r:id="rId2" display="https://files.afu.se/Downloads/Transcripts/0%20-%20Government/USA%20-%20NASA/"/>
    <hyperlink ref="C1599" r:id="rId1599" display="https://youtu.be/Fs4KQQgS_JA"/>
    <hyperlink ref="F1599" r:id="rId2" display="https://files.afu.se/Downloads/Transcripts/0%20-%20Government/USA%20-%20NASA/"/>
    <hyperlink ref="C1600" r:id="rId1600" display="https://youtu.be/cat2Kdrujfw"/>
    <hyperlink ref="F1600" r:id="rId2" display="https://files.afu.se/Downloads/Transcripts/0%20-%20Government/USA%20-%20NASA/"/>
    <hyperlink ref="C1601" r:id="rId1601" display="https://youtu.be/pQfN9j9wrKI"/>
    <hyperlink ref="F1601" r:id="rId2" display="https://files.afu.se/Downloads/Transcripts/0%20-%20Government/USA%20-%20NASA/"/>
    <hyperlink ref="C1602" r:id="rId1602" display="https://youtu.be/cHed9shjFIg"/>
    <hyperlink ref="F1602" r:id="rId2" display="https://files.afu.se/Downloads/Transcripts/0%20-%20Government/USA%20-%20NASA/"/>
    <hyperlink ref="C1603" r:id="rId1603" display="https://youtu.be/jrF0k4uQb3g"/>
    <hyperlink ref="F1603" r:id="rId2" display="https://files.afu.se/Downloads/Transcripts/0%20-%20Government/USA%20-%20NASA/"/>
    <hyperlink ref="C1604" r:id="rId1604" display="https://youtu.be/ZIL5x5i8rYc"/>
    <hyperlink ref="F1604" r:id="rId2" display="https://files.afu.se/Downloads/Transcripts/0%20-%20Government/USA%20-%20NASA/"/>
    <hyperlink ref="C1605" r:id="rId1605" display="https://youtu.be/8W5RhA5LCvY"/>
    <hyperlink ref="F1605" r:id="rId2" display="https://files.afu.se/Downloads/Transcripts/0%20-%20Government/USA%20-%20NASA/"/>
    <hyperlink ref="C1606" r:id="rId1606" display="https://youtu.be/62xE6rfUq_o"/>
    <hyperlink ref="F1606" r:id="rId2" display="https://files.afu.se/Downloads/Transcripts/0%20-%20Government/USA%20-%20NASA/"/>
    <hyperlink ref="C1607" r:id="rId1607" display="https://youtu.be/PzkwtH5b95s"/>
    <hyperlink ref="F1607" r:id="rId2" display="https://files.afu.se/Downloads/Transcripts/0%20-%20Government/USA%20-%20NASA/"/>
    <hyperlink ref="C1608" r:id="rId1608" display="https://youtu.be/Y4SE6e74A8c"/>
    <hyperlink ref="F1608" r:id="rId2" display="https://files.afu.se/Downloads/Transcripts/0%20-%20Government/USA%20-%20NASA/"/>
    <hyperlink ref="C1609" r:id="rId1609" display="https://youtu.be/Ij0LD7eAJLw"/>
    <hyperlink ref="F1609" r:id="rId2" display="https://files.afu.se/Downloads/Transcripts/0%20-%20Government/USA%20-%20NASA/"/>
    <hyperlink ref="C1610" r:id="rId1610" display="https://youtu.be/0KZ1OjnzgB8"/>
    <hyperlink ref="F1610" r:id="rId2" display="https://files.afu.se/Downloads/Transcripts/0%20-%20Government/USA%20-%20NASA/"/>
    <hyperlink ref="C1611" r:id="rId1611" display="https://youtu.be/FaMsWmoA2ew"/>
    <hyperlink ref="F1611" r:id="rId2" display="https://files.afu.se/Downloads/Transcripts/0%20-%20Government/USA%20-%20NASA/"/>
    <hyperlink ref="C1612" r:id="rId1612" display="https://youtu.be/rYWoDYknrh8"/>
    <hyperlink ref="F1612" r:id="rId2" display="https://files.afu.se/Downloads/Transcripts/0%20-%20Government/USA%20-%20NASA/"/>
    <hyperlink ref="C1613" r:id="rId1613" display="https://youtu.be/7ccuPP1zS60"/>
    <hyperlink ref="F1613" r:id="rId2" display="https://files.afu.se/Downloads/Transcripts/0%20-%20Government/USA%20-%20NASA/"/>
    <hyperlink ref="C1614" r:id="rId1614" display="https://youtu.be/gKC2OFtHtXQ"/>
    <hyperlink ref="F1614" r:id="rId2" display="https://files.afu.se/Downloads/Transcripts/0%20-%20Government/USA%20-%20NASA/"/>
    <hyperlink ref="C1615" r:id="rId1615" display="https://youtu.be/2V0A7yYdJSQ"/>
    <hyperlink ref="F1615" r:id="rId2" display="https://files.afu.se/Downloads/Transcripts/0%20-%20Government/USA%20-%20NASA/"/>
    <hyperlink ref="C1616" r:id="rId1616" display="https://youtu.be/A4_x02DXXdc"/>
    <hyperlink ref="F1616" r:id="rId2" display="https://files.afu.se/Downloads/Transcripts/0%20-%20Government/USA%20-%20NASA/"/>
    <hyperlink ref="C1617" r:id="rId1617" display="https://youtu.be/Yks3zncjQZk"/>
    <hyperlink ref="F1617" r:id="rId2" display="https://files.afu.se/Downloads/Transcripts/0%20-%20Government/USA%20-%20NASA/"/>
    <hyperlink ref="C1618" r:id="rId1618" display="https://youtu.be/AD-IR3RYYaE"/>
    <hyperlink ref="F1618" r:id="rId2" display="https://files.afu.se/Downloads/Transcripts/0%20-%20Government/USA%20-%20NASA/"/>
    <hyperlink ref="C1619" r:id="rId1619" display="https://youtu.be/rpnVlzlmBls"/>
    <hyperlink ref="F1619" r:id="rId2" display="https://files.afu.se/Downloads/Transcripts/0%20-%20Government/USA%20-%20NASA/"/>
    <hyperlink ref="C1620" r:id="rId1620" display="https://youtu.be/KJlHrD8tURI"/>
    <hyperlink ref="F1620" r:id="rId2" display="https://files.afu.se/Downloads/Transcripts/0%20-%20Government/USA%20-%20NASA/"/>
    <hyperlink ref="C1621" r:id="rId1621" display="https://youtu.be/OXQdJSwfgHA"/>
    <hyperlink ref="F1621" r:id="rId2" display="https://files.afu.se/Downloads/Transcripts/0%20-%20Government/USA%20-%20NASA/"/>
    <hyperlink ref="C1622" r:id="rId1622" display="https://youtu.be/Or8n5KJT2LI"/>
    <hyperlink ref="F1622" r:id="rId2" display="https://files.afu.se/Downloads/Transcripts/0%20-%20Government/USA%20-%20NASA/"/>
    <hyperlink ref="C1623" r:id="rId1623" display="https://youtu.be/sDXht_JYzFY"/>
    <hyperlink ref="F1623" r:id="rId2" display="https://files.afu.se/Downloads/Transcripts/0%20-%20Government/USA%20-%20NASA/"/>
    <hyperlink ref="C1624" r:id="rId1624" display="https://youtu.be/AszEKhN6Ews"/>
    <hyperlink ref="F1624" r:id="rId2" display="https://files.afu.se/Downloads/Transcripts/0%20-%20Government/USA%20-%20NASA/"/>
    <hyperlink ref="C1625" r:id="rId1625" display="https://youtu.be/rZDTuiIkhwY"/>
    <hyperlink ref="F1625" r:id="rId2" display="https://files.afu.se/Downloads/Transcripts/0%20-%20Government/USA%20-%20NASA/"/>
    <hyperlink ref="C1626" r:id="rId1626" display="https://youtu.be/mhC6Eve9qWY"/>
    <hyperlink ref="F1626" r:id="rId2" display="https://files.afu.se/Downloads/Transcripts/0%20-%20Government/USA%20-%20NASA/"/>
    <hyperlink ref="C1627" r:id="rId1627" display="https://youtu.be/2hf5OENWcak"/>
    <hyperlink ref="F1627" r:id="rId2" display="https://files.afu.se/Downloads/Transcripts/0%20-%20Government/USA%20-%20NASA/"/>
    <hyperlink ref="C1628" r:id="rId1628" display="https://youtu.be/xtLZxxsbnXc"/>
    <hyperlink ref="F1628" r:id="rId2" display="https://files.afu.se/Downloads/Transcripts/0%20-%20Government/USA%20-%20NASA/"/>
    <hyperlink ref="C1629" r:id="rId1629" display="https://youtu.be/KTelwF805Os"/>
    <hyperlink ref="F1629" r:id="rId2" display="https://files.afu.se/Downloads/Transcripts/0%20-%20Government/USA%20-%20NASA/"/>
    <hyperlink ref="C1630" r:id="rId1630" display="https://youtu.be/tsw5LtP2wKM"/>
    <hyperlink ref="F1630" r:id="rId2" display="https://files.afu.se/Downloads/Transcripts/0%20-%20Government/USA%20-%20NASA/"/>
    <hyperlink ref="C1631" r:id="rId1631" display="https://youtu.be/Mjwt79i4Eu0"/>
    <hyperlink ref="F1631" r:id="rId2" display="https://files.afu.se/Downloads/Transcripts/0%20-%20Government/USA%20-%20NASA/"/>
    <hyperlink ref="C1632" r:id="rId1632" display="https://youtu.be/7peDwDLzpWU"/>
    <hyperlink ref="F1632" r:id="rId2" display="https://files.afu.se/Downloads/Transcripts/0%20-%20Government/USA%20-%20NASA/"/>
    <hyperlink ref="C1633" r:id="rId1633" display="https://youtu.be/ve8WN_cVMkw"/>
    <hyperlink ref="F1633" r:id="rId2" display="https://files.afu.se/Downloads/Transcripts/0%20-%20Government/USA%20-%20NASA/"/>
    <hyperlink ref="C1634" r:id="rId1634" display="https://youtu.be/MqMWutoQU7s"/>
    <hyperlink ref="F1634" r:id="rId2" display="https://files.afu.se/Downloads/Transcripts/0%20-%20Government/USA%20-%20NASA/"/>
    <hyperlink ref="C1635" r:id="rId1635" display="https://youtu.be/PBJAR3-UvSQ"/>
    <hyperlink ref="F1635" r:id="rId2" display="https://files.afu.se/Downloads/Transcripts/0%20-%20Government/USA%20-%20NASA/"/>
    <hyperlink ref="C1636" r:id="rId1636" display="https://youtu.be/IrM96wxldY8"/>
    <hyperlink ref="F1636" r:id="rId2" display="https://files.afu.se/Downloads/Transcripts/0%20-%20Government/USA%20-%20NASA/"/>
    <hyperlink ref="C1637" r:id="rId1637" display="https://youtu.be/5AvzNF27qVY"/>
    <hyperlink ref="F1637" r:id="rId2" display="https://files.afu.se/Downloads/Transcripts/0%20-%20Government/USA%20-%20NASA/"/>
    <hyperlink ref="C1638" r:id="rId1638" display="https://youtu.be/ccLZ-_ml6mQ"/>
    <hyperlink ref="F1638" r:id="rId2" display="https://files.afu.se/Downloads/Transcripts/0%20-%20Government/USA%20-%20NASA/"/>
    <hyperlink ref="C1639" r:id="rId1639" display="https://youtu.be/HVNQxHiyBYk"/>
    <hyperlink ref="F1639" r:id="rId2" display="https://files.afu.se/Downloads/Transcripts/0%20-%20Government/USA%20-%20NASA/"/>
    <hyperlink ref="C1640" r:id="rId1640" display="https://youtu.be/gJfeFsDICMc"/>
    <hyperlink ref="F1640" r:id="rId2" display="https://files.afu.se/Downloads/Transcripts/0%20-%20Government/USA%20-%20NASA/"/>
    <hyperlink ref="C1641" r:id="rId1641" display="https://youtu.be/lEYQ4oBxGtA"/>
    <hyperlink ref="F1641" r:id="rId2" display="https://files.afu.se/Downloads/Transcripts/0%20-%20Government/USA%20-%20NASA/"/>
    <hyperlink ref="C1642" r:id="rId1642" display="https://youtu.be/J26cfA39BW4"/>
    <hyperlink ref="F1642" r:id="rId2" display="https://files.afu.se/Downloads/Transcripts/0%20-%20Government/USA%20-%20NASA/"/>
    <hyperlink ref="C1643" r:id="rId1643" display="https://youtu.be/Nz60GcmKOvc"/>
    <hyperlink ref="F1643" r:id="rId2" display="https://files.afu.se/Downloads/Transcripts/0%20-%20Government/USA%20-%20NASA/"/>
    <hyperlink ref="C1644" r:id="rId1644" display="https://youtu.be/J2KRKccfojs"/>
    <hyperlink ref="F1644" r:id="rId2" display="https://files.afu.se/Downloads/Transcripts/0%20-%20Government/USA%20-%20NASA/"/>
    <hyperlink ref="C1645" r:id="rId1645" display="https://youtu.be/uFnJefwlg6I"/>
    <hyperlink ref="F1645" r:id="rId2" display="https://files.afu.se/Downloads/Transcripts/0%20-%20Government/USA%20-%20NASA/"/>
    <hyperlink ref="C1646" r:id="rId1646" display="https://youtu.be/JJJjv41M4lc"/>
    <hyperlink ref="F1646" r:id="rId2" display="https://files.afu.se/Downloads/Transcripts/0%20-%20Government/USA%20-%20NASA/"/>
    <hyperlink ref="C1647" r:id="rId1647" display="https://youtu.be/cq_Kl0IGHH0"/>
    <hyperlink ref="F1647" r:id="rId2" display="https://files.afu.se/Downloads/Transcripts/0%20-%20Government/USA%20-%20NASA/"/>
    <hyperlink ref="C1648" r:id="rId1648" display="https://youtu.be/OogSLKH14zs"/>
    <hyperlink ref="F1648" r:id="rId2" display="https://files.afu.se/Downloads/Transcripts/0%20-%20Government/USA%20-%20NASA/"/>
    <hyperlink ref="C1649" r:id="rId1649" display="https://youtu.be/QOHAIUvFtwc"/>
    <hyperlink ref="F1649" r:id="rId2" display="https://files.afu.se/Downloads/Transcripts/0%20-%20Government/USA%20-%20NASA/"/>
    <hyperlink ref="C1650" r:id="rId1650" display="https://youtu.be/7F7kR5Rqr-Y"/>
    <hyperlink ref="F1650" r:id="rId2" display="https://files.afu.se/Downloads/Transcripts/0%20-%20Government/USA%20-%20NASA/"/>
    <hyperlink ref="C1651" r:id="rId1651" display="https://youtu.be/KKGhyDAnp7Q"/>
    <hyperlink ref="F1651" r:id="rId2" display="https://files.afu.se/Downloads/Transcripts/0%20-%20Government/USA%20-%20NASA/"/>
    <hyperlink ref="C1652" r:id="rId1652" display="https://youtu.be/9WLqke4OiJM"/>
    <hyperlink ref="F1652" r:id="rId2" display="https://files.afu.se/Downloads/Transcripts/0%20-%20Government/USA%20-%20NASA/"/>
    <hyperlink ref="C1653" r:id="rId1653" display="https://youtu.be/ZTPF80J2IEU"/>
    <hyperlink ref="F1653" r:id="rId2" display="https://files.afu.se/Downloads/Transcripts/0%20-%20Government/USA%20-%20NASA/"/>
    <hyperlink ref="C1654" r:id="rId1654" display="https://youtu.be/W6uV6tLdekU"/>
    <hyperlink ref="F1654" r:id="rId2" display="https://files.afu.se/Downloads/Transcripts/0%20-%20Government/USA%20-%20NASA/"/>
    <hyperlink ref="C1655" r:id="rId1655" display="https://youtu.be/eAPWVdag-cQ"/>
    <hyperlink ref="F1655" r:id="rId2" display="https://files.afu.se/Downloads/Transcripts/0%20-%20Government/USA%20-%20NASA/"/>
    <hyperlink ref="C1656" r:id="rId1656" display="https://youtu.be/LHrdGA2cCRQ"/>
    <hyperlink ref="F1656" r:id="rId2" display="https://files.afu.se/Downloads/Transcripts/0%20-%20Government/USA%20-%20NASA/"/>
    <hyperlink ref="C1657" r:id="rId1657" display="https://youtu.be/1AUnwlGsxbY"/>
    <hyperlink ref="F1657" r:id="rId2" display="https://files.afu.se/Downloads/Transcripts/0%20-%20Government/USA%20-%20NASA/"/>
    <hyperlink ref="C1658" r:id="rId1658" display="https://youtu.be/c8e-OGgzLww"/>
    <hyperlink ref="F1658" r:id="rId2" display="https://files.afu.se/Downloads/Transcripts/0%20-%20Government/USA%20-%20NASA/"/>
    <hyperlink ref="C1659" r:id="rId1659" display="https://youtu.be/MIkOwaxkZbc"/>
    <hyperlink ref="F1659" r:id="rId2" display="https://files.afu.se/Downloads/Transcripts/0%20-%20Government/USA%20-%20NASA/"/>
    <hyperlink ref="C1660" r:id="rId1660" display="https://youtu.be/ffG6TZ3MIYM"/>
    <hyperlink ref="F1660" r:id="rId2" display="https://files.afu.se/Downloads/Transcripts/0%20-%20Government/USA%20-%20NASA/"/>
    <hyperlink ref="C1661" r:id="rId1661" display="https://youtu.be/y56uqOaURXw"/>
    <hyperlink ref="F1661" r:id="rId2" display="https://files.afu.se/Downloads/Transcripts/0%20-%20Government/USA%20-%20NASA/"/>
    <hyperlink ref="C1662" r:id="rId1662" display="https://youtu.be/CsSG4Eap2HQ"/>
    <hyperlink ref="F1662" r:id="rId2" display="https://files.afu.se/Downloads/Transcripts/0%20-%20Government/USA%20-%20NASA/"/>
    <hyperlink ref="C1663" r:id="rId1663" display="https://youtu.be/OnntQYRHVtM"/>
    <hyperlink ref="F1663" r:id="rId2" display="https://files.afu.se/Downloads/Transcripts/0%20-%20Government/USA%20-%20NASA/"/>
    <hyperlink ref="C1664" r:id="rId1664" display="https://youtu.be/H_osR7kX4tg"/>
    <hyperlink ref="F1664" r:id="rId2" display="https://files.afu.se/Downloads/Transcripts/0%20-%20Government/USA%20-%20NASA/"/>
    <hyperlink ref="C1665" r:id="rId1665" display="https://youtu.be/9BeWu_d2bFI"/>
    <hyperlink ref="F1665" r:id="rId2" display="https://files.afu.se/Downloads/Transcripts/0%20-%20Government/USA%20-%20NASA/"/>
    <hyperlink ref="C1666" r:id="rId1666" display="https://youtu.be/2nFF2JtjtR0"/>
    <hyperlink ref="F1666" r:id="rId2" display="https://files.afu.se/Downloads/Transcripts/0%20-%20Government/USA%20-%20NASA/"/>
    <hyperlink ref="C1667" r:id="rId1667" display="https://youtu.be/CWQencfed-4"/>
    <hyperlink ref="F1667" r:id="rId2" display="https://files.afu.se/Downloads/Transcripts/0%20-%20Government/USA%20-%20NASA/"/>
    <hyperlink ref="C1668" r:id="rId1668" display="https://youtu.be/f35ffIjP3Cg"/>
    <hyperlink ref="F1668" r:id="rId2" display="https://files.afu.se/Downloads/Transcripts/0%20-%20Government/USA%20-%20NASA/"/>
    <hyperlink ref="C1669" r:id="rId1669" display="https://youtu.be/uNGki2KU_pk"/>
    <hyperlink ref="F1669" r:id="rId2" display="https://files.afu.se/Downloads/Transcripts/0%20-%20Government/USA%20-%20NASA/"/>
    <hyperlink ref="C1670" r:id="rId1670" display="https://youtu.be/uwiOrYgTsFs"/>
    <hyperlink ref="F1670" r:id="rId2" display="https://files.afu.se/Downloads/Transcripts/0%20-%20Government/USA%20-%20NASA/"/>
    <hyperlink ref="C1671" r:id="rId1671" display="https://youtu.be/qLFqEwbTDAw"/>
    <hyperlink ref="F1671" r:id="rId2" display="https://files.afu.se/Downloads/Transcripts/0%20-%20Government/USA%20-%20NASA/"/>
    <hyperlink ref="C1672" r:id="rId1672" display="https://youtu.be/psXIPEEaskU"/>
    <hyperlink ref="F1672" r:id="rId2" display="https://files.afu.se/Downloads/Transcripts/0%20-%20Government/USA%20-%20NASA/"/>
    <hyperlink ref="C1673" r:id="rId1673" display="https://youtu.be/cDCvwvhbqBg"/>
    <hyperlink ref="F1673" r:id="rId2" display="https://files.afu.se/Downloads/Transcripts/0%20-%20Government/USA%20-%20NASA/"/>
    <hyperlink ref="C1674" r:id="rId1674" display="https://youtu.be/6JB_HkVgCAc"/>
    <hyperlink ref="F1674" r:id="rId2" display="https://files.afu.se/Downloads/Transcripts/0%20-%20Government/USA%20-%20NASA/"/>
    <hyperlink ref="C1675" r:id="rId1675" display="https://youtu.be/-1qJ70zfx9g"/>
    <hyperlink ref="F1675" r:id="rId2" display="https://files.afu.se/Downloads/Transcripts/0%20-%20Government/USA%20-%20NASA/"/>
    <hyperlink ref="C1676" r:id="rId1676" display="https://youtu.be/lTUrSs0TU2s"/>
    <hyperlink ref="F1676" r:id="rId2" display="https://files.afu.se/Downloads/Transcripts/0%20-%20Government/USA%20-%20NASA/"/>
    <hyperlink ref="C1677" r:id="rId1677" display="https://youtu.be/yQg5fHE9qsQ"/>
    <hyperlink ref="F1677" r:id="rId2" display="https://files.afu.se/Downloads/Transcripts/0%20-%20Government/USA%20-%20NASA/"/>
    <hyperlink ref="C1678" r:id="rId1678" display="https://youtu.be/XB3D0uH5PRU"/>
    <hyperlink ref="F1678" r:id="rId2" display="https://files.afu.se/Downloads/Transcripts/0%20-%20Government/USA%20-%20NASA/"/>
    <hyperlink ref="C1679" r:id="rId1679" display="https://youtu.be/VEVK5_aMfdQ"/>
    <hyperlink ref="F1679" r:id="rId2" display="https://files.afu.se/Downloads/Transcripts/0%20-%20Government/USA%20-%20NASA/"/>
    <hyperlink ref="C1680" r:id="rId1680" display="https://youtu.be/VN4yw_6RaUU"/>
    <hyperlink ref="F1680" r:id="rId2" display="https://files.afu.se/Downloads/Transcripts/0%20-%20Government/USA%20-%20NASA/"/>
    <hyperlink ref="C1681" r:id="rId1681" display="https://youtu.be/nk9EtRdX8D0"/>
    <hyperlink ref="F1681" r:id="rId2" display="https://files.afu.se/Downloads/Transcripts/0%20-%20Government/USA%20-%20NASA/"/>
    <hyperlink ref="C1682" r:id="rId1682" display="https://youtu.be/g3zBBXECLuM"/>
    <hyperlink ref="F1682" r:id="rId2" display="https://files.afu.se/Downloads/Transcripts/0%20-%20Government/USA%20-%20NASA/"/>
    <hyperlink ref="C1683" r:id="rId1683" display="https://youtu.be/_D8FBLu-m4k"/>
    <hyperlink ref="F1683" r:id="rId2" display="https://files.afu.se/Downloads/Transcripts/0%20-%20Government/USA%20-%20NASA/"/>
    <hyperlink ref="C1684" r:id="rId1684" display="https://youtu.be/8hJv2Yh6aUI"/>
    <hyperlink ref="F1684" r:id="rId2" display="https://files.afu.se/Downloads/Transcripts/0%20-%20Government/USA%20-%20NASA/"/>
    <hyperlink ref="C1685" r:id="rId1685" display="https://youtu.be/dJZ-K-tSj0A"/>
    <hyperlink ref="F1685" r:id="rId2" display="https://files.afu.se/Downloads/Transcripts/0%20-%20Government/USA%20-%20NASA/"/>
    <hyperlink ref="C1686" r:id="rId1686" display="https://youtu.be/lit6rQ5RoQE"/>
    <hyperlink ref="F1686" r:id="rId2" display="https://files.afu.se/Downloads/Transcripts/0%20-%20Government/USA%20-%20NASA/"/>
    <hyperlink ref="C1687" r:id="rId1687" display="https://youtu.be/YZGxawWgea0"/>
    <hyperlink ref="F1687" r:id="rId2" display="https://files.afu.se/Downloads/Transcripts/0%20-%20Government/USA%20-%20NASA/"/>
    <hyperlink ref="C1688" r:id="rId1688" display="https://youtu.be/6YGBhQTLlps"/>
    <hyperlink ref="F1688" r:id="rId2" display="https://files.afu.se/Downloads/Transcripts/0%20-%20Government/USA%20-%20NASA/"/>
    <hyperlink ref="C1689" r:id="rId1689" display="https://youtu.be/DanvV8QTaVY"/>
    <hyperlink ref="F1689" r:id="rId2" display="https://files.afu.se/Downloads/Transcripts/0%20-%20Government/USA%20-%20NASA/"/>
    <hyperlink ref="C1690" r:id="rId1690" display="https://youtu.be/zT2B-8qgKRk"/>
    <hyperlink ref="F1690" r:id="rId2" display="https://files.afu.se/Downloads/Transcripts/0%20-%20Government/USA%20-%20NASA/"/>
    <hyperlink ref="C1691" r:id="rId1691" display="https://youtu.be/uIfrztZZ1-A"/>
    <hyperlink ref="F1691" r:id="rId2" display="https://files.afu.se/Downloads/Transcripts/0%20-%20Government/USA%20-%20NASA/"/>
    <hyperlink ref="C1692" r:id="rId1692" display="https://youtu.be/M7pdza9ctRw"/>
    <hyperlink ref="F1692" r:id="rId2" display="https://files.afu.se/Downloads/Transcripts/0%20-%20Government/USA%20-%20NASA/"/>
    <hyperlink ref="C1693" r:id="rId1693" display="https://youtu.be/7mPyJGF7ayY"/>
    <hyperlink ref="F1693" r:id="rId2" display="https://files.afu.se/Downloads/Transcripts/0%20-%20Government/USA%20-%20NASA/"/>
    <hyperlink ref="C1694" r:id="rId1694" display="https://youtu.be/KF74q2BIVFI"/>
    <hyperlink ref="F1694" r:id="rId2" display="https://files.afu.se/Downloads/Transcripts/0%20-%20Government/USA%20-%20NASA/"/>
    <hyperlink ref="C1695" r:id="rId1695" display="https://youtu.be/eZog_ap1Kmg"/>
    <hyperlink ref="F1695" r:id="rId2" display="https://files.afu.se/Downloads/Transcripts/0%20-%20Government/USA%20-%20NASA/"/>
    <hyperlink ref="C1696" r:id="rId1696" display="https://youtu.be/mprLebLDXvY"/>
    <hyperlink ref="F1696" r:id="rId2" display="https://files.afu.se/Downloads/Transcripts/0%20-%20Government/USA%20-%20NASA/"/>
    <hyperlink ref="C1697" r:id="rId1697" display="https://youtu.be/9Ak5-AUZJ14"/>
    <hyperlink ref="F1697" r:id="rId2" display="https://files.afu.se/Downloads/Transcripts/0%20-%20Government/USA%20-%20NASA/"/>
    <hyperlink ref="C1698" r:id="rId1698" display="https://youtu.be/MWpH8H7N424"/>
    <hyperlink ref="F1698" r:id="rId2" display="https://files.afu.se/Downloads/Transcripts/0%20-%20Government/USA%20-%20NASA/"/>
    <hyperlink ref="C1699" r:id="rId1699" display="https://youtu.be/AK-n7m6wrkg"/>
    <hyperlink ref="F1699" r:id="rId2" display="https://files.afu.se/Downloads/Transcripts/0%20-%20Government/USA%20-%20NASA/"/>
    <hyperlink ref="C1700" r:id="rId1700" display="https://youtu.be/SdD080GPuys"/>
    <hyperlink ref="F1700" r:id="rId2" display="https://files.afu.se/Downloads/Transcripts/0%20-%20Government/USA%20-%20NASA/"/>
    <hyperlink ref="C1701" r:id="rId1701" display="https://youtu.be/dWCqzPksYyY"/>
    <hyperlink ref="F1701" r:id="rId2" display="https://files.afu.se/Downloads/Transcripts/0%20-%20Government/USA%20-%20NASA/"/>
    <hyperlink ref="C1702" r:id="rId1702" display="https://youtu.be/RIj1OUJHUnQ"/>
    <hyperlink ref="F1702" r:id="rId2" display="https://files.afu.se/Downloads/Transcripts/0%20-%20Government/USA%20-%20NASA/"/>
    <hyperlink ref="C1703" r:id="rId1703" display="https://youtu.be/saE0JGtIEKE"/>
    <hyperlink ref="F1703" r:id="rId2" display="https://files.afu.se/Downloads/Transcripts/0%20-%20Government/USA%20-%20NASA/"/>
    <hyperlink ref="C1704" r:id="rId1704" display="https://youtu.be/p-SzZXTKWS0"/>
    <hyperlink ref="F1704" r:id="rId2" display="https://files.afu.se/Downloads/Transcripts/0%20-%20Government/USA%20-%20NASA/"/>
    <hyperlink ref="C1705" r:id="rId1705" display="https://youtu.be/VGAm8qU0BC8"/>
    <hyperlink ref="F1705" r:id="rId2" display="https://files.afu.se/Downloads/Transcripts/0%20-%20Government/USA%20-%20NASA/"/>
    <hyperlink ref="C1706" r:id="rId1706" display="https://youtu.be/-u2xuG6XAXg"/>
    <hyperlink ref="F1706" r:id="rId2" display="https://files.afu.se/Downloads/Transcripts/0%20-%20Government/USA%20-%20NASA/"/>
    <hyperlink ref="C1707" r:id="rId1707" display="https://youtu.be/KDSWoxFbIMA"/>
    <hyperlink ref="F1707" r:id="rId2" display="https://files.afu.se/Downloads/Transcripts/0%20-%20Government/USA%20-%20NASA/"/>
    <hyperlink ref="C1708" r:id="rId1708" display="https://youtu.be/JGvbJg-Cle4"/>
    <hyperlink ref="F1708" r:id="rId2" display="https://files.afu.se/Downloads/Transcripts/0%20-%20Government/USA%20-%20NASA/"/>
    <hyperlink ref="C1709" r:id="rId1709" display="https://youtu.be/DjFpOyhWalg"/>
    <hyperlink ref="F1709" r:id="rId2" display="https://files.afu.se/Downloads/Transcripts/0%20-%20Government/USA%20-%20NASA/"/>
    <hyperlink ref="C1710" r:id="rId1710" display="https://youtu.be/DfllMPIL7jY"/>
    <hyperlink ref="F1710" r:id="rId2" display="https://files.afu.se/Downloads/Transcripts/0%20-%20Government/USA%20-%20NASA/"/>
    <hyperlink ref="C1711" r:id="rId1711" display="https://youtu.be/G5tye-o3GLE"/>
    <hyperlink ref="F1711" r:id="rId2" display="https://files.afu.se/Downloads/Transcripts/0%20-%20Government/USA%20-%20NASA/"/>
    <hyperlink ref="C1712" r:id="rId1712" display="https://youtu.be/akpih-wx8WM"/>
    <hyperlink ref="F1712" r:id="rId2" display="https://files.afu.se/Downloads/Transcripts/0%20-%20Government/USA%20-%20NASA/"/>
    <hyperlink ref="C1713" r:id="rId1713" display="https://youtu.be/pLuY4rDQUyI"/>
    <hyperlink ref="F1713" r:id="rId2" display="https://files.afu.se/Downloads/Transcripts/0%20-%20Government/USA%20-%20NASA/"/>
    <hyperlink ref="C1714" r:id="rId1714" display="https://youtu.be/qSnoGjupLRQ"/>
    <hyperlink ref="F1714" r:id="rId2" display="https://files.afu.se/Downloads/Transcripts/0%20-%20Government/USA%20-%20NASA/"/>
    <hyperlink ref="C1715" r:id="rId1715" display="https://youtu.be/_0H4E5IXEuk"/>
    <hyperlink ref="F1715" r:id="rId2" display="https://files.afu.se/Downloads/Transcripts/0%20-%20Government/USA%20-%20NASA/"/>
    <hyperlink ref="C1716" r:id="rId1716" display="https://youtu.be/8H-rc8jyKUg"/>
    <hyperlink ref="F1716" r:id="rId2" display="https://files.afu.se/Downloads/Transcripts/0%20-%20Government/USA%20-%20NASA/"/>
    <hyperlink ref="C1717" r:id="rId1717" display="https://youtu.be/TsXi19JA82k"/>
    <hyperlink ref="F1717" r:id="rId2" display="https://files.afu.se/Downloads/Transcripts/0%20-%20Government/USA%20-%20NASA/"/>
    <hyperlink ref="C1718" r:id="rId1718" display="https://youtu.be/c5cC2r_P-hc"/>
    <hyperlink ref="F1718" r:id="rId2" display="https://files.afu.se/Downloads/Transcripts/0%20-%20Government/USA%20-%20NASA/"/>
    <hyperlink ref="C1719" r:id="rId1719" display="https://youtu.be/G4oWkfBa294"/>
    <hyperlink ref="F1719" r:id="rId2" display="https://files.afu.se/Downloads/Transcripts/0%20-%20Government/USA%20-%20NASA/"/>
    <hyperlink ref="C1720" r:id="rId1720" display="https://youtu.be/sb5wtUh-kkI"/>
    <hyperlink ref="F1720" r:id="rId2" display="https://files.afu.se/Downloads/Transcripts/0%20-%20Government/USA%20-%20NASA/"/>
    <hyperlink ref="C1721" r:id="rId1721" display="https://youtu.be/58m5AivtuGI"/>
    <hyperlink ref="F1721" r:id="rId2" display="https://files.afu.se/Downloads/Transcripts/0%20-%20Government/USA%20-%20NASA/"/>
    <hyperlink ref="C1722" r:id="rId1722" display="https://youtu.be/ej2odhB57ng"/>
    <hyperlink ref="F1722" r:id="rId2" display="https://files.afu.se/Downloads/Transcripts/0%20-%20Government/USA%20-%20NASA/"/>
    <hyperlink ref="C1723" r:id="rId1723" display="https://youtu.be/WG8y1_y-kPw"/>
    <hyperlink ref="F1723" r:id="rId2" display="https://files.afu.se/Downloads/Transcripts/0%20-%20Government/USA%20-%20NASA/"/>
    <hyperlink ref="C1724" r:id="rId1724" display="https://youtu.be/F89Qf-KxSY8"/>
    <hyperlink ref="F1724" r:id="rId2" display="https://files.afu.se/Downloads/Transcripts/0%20-%20Government/USA%20-%20NASA/"/>
    <hyperlink ref="C1725" r:id="rId1725" display="https://youtu.be/CI9kEvZ6IUo"/>
    <hyperlink ref="F1725" r:id="rId2" display="https://files.afu.se/Downloads/Transcripts/0%20-%20Government/USA%20-%20NASA/"/>
    <hyperlink ref="C1726" r:id="rId1726" display="https://youtu.be/fJW3eUyHsZw"/>
    <hyperlink ref="F1726" r:id="rId2" display="https://files.afu.se/Downloads/Transcripts/0%20-%20Government/USA%20-%20NASA/"/>
    <hyperlink ref="C1727" r:id="rId1727" display="https://youtu.be/N11WYjt1uTQ"/>
    <hyperlink ref="F1727" r:id="rId2" display="https://files.afu.se/Downloads/Transcripts/0%20-%20Government/USA%20-%20NASA/"/>
    <hyperlink ref="C1728" r:id="rId1728" display="https://youtu.be/khcAy1AdQPw"/>
    <hyperlink ref="F1728" r:id="rId2" display="https://files.afu.se/Downloads/Transcripts/0%20-%20Government/USA%20-%20NASA/"/>
    <hyperlink ref="C1729" r:id="rId1729" display="https://youtu.be/QU4PbzZao1o"/>
    <hyperlink ref="F1729" r:id="rId2" display="https://files.afu.se/Downloads/Transcripts/0%20-%20Government/USA%20-%20NASA/"/>
    <hyperlink ref="C1730" r:id="rId1730" display="https://youtu.be/Yr0aZ7m4QTE"/>
    <hyperlink ref="F1730" r:id="rId2" display="https://files.afu.se/Downloads/Transcripts/0%20-%20Government/USA%20-%20NASA/"/>
    <hyperlink ref="C1731" r:id="rId1731" display="https://youtu.be/phQQ5viBCxw"/>
    <hyperlink ref="F1731" r:id="rId2" display="https://files.afu.se/Downloads/Transcripts/0%20-%20Government/USA%20-%20NASA/"/>
    <hyperlink ref="C1732" r:id="rId1732" display="https://youtu.be/oPIoKXsXsmk"/>
    <hyperlink ref="F1732" r:id="rId2" display="https://files.afu.se/Downloads/Transcripts/0%20-%20Government/USA%20-%20NASA/"/>
    <hyperlink ref="C1733" r:id="rId1733" display="https://youtu.be/8XAGfhS3RK4"/>
    <hyperlink ref="F1733" r:id="rId2" display="https://files.afu.se/Downloads/Transcripts/0%20-%20Government/USA%20-%20NASA/"/>
    <hyperlink ref="C1734" r:id="rId1734" display="https://youtu.be/EQCs-j-Fjdc"/>
    <hyperlink ref="F1734" r:id="rId2" display="https://files.afu.se/Downloads/Transcripts/0%20-%20Government/USA%20-%20NASA/"/>
    <hyperlink ref="C1735" r:id="rId1735" display="https://youtu.be/tN0dpTUjgGk"/>
    <hyperlink ref="F1735" r:id="rId2" display="https://files.afu.se/Downloads/Transcripts/0%20-%20Government/USA%20-%20NASA/"/>
    <hyperlink ref="C1736" r:id="rId1736" display="https://youtu.be/mLW46-qACEY"/>
    <hyperlink ref="F1736" r:id="rId2" display="https://files.afu.se/Downloads/Transcripts/0%20-%20Government/USA%20-%20NASA/"/>
    <hyperlink ref="C1737" r:id="rId1737" display="https://youtu.be/Nq7f97dtmR4"/>
    <hyperlink ref="F1737" r:id="rId2" display="https://files.afu.se/Downloads/Transcripts/0%20-%20Government/USA%20-%20NASA/"/>
    <hyperlink ref="C1738" r:id="rId1738" display="https://youtu.be/ujruGHhHQIk"/>
    <hyperlink ref="F1738" r:id="rId2" display="https://files.afu.se/Downloads/Transcripts/0%20-%20Government/USA%20-%20NASA/"/>
    <hyperlink ref="C1739" r:id="rId1739" display="https://youtu.be/GliZyspplDs"/>
    <hyperlink ref="F1739" r:id="rId2" display="https://files.afu.se/Downloads/Transcripts/0%20-%20Government/USA%20-%20NASA/"/>
    <hyperlink ref="C1740" r:id="rId1740" display="https://youtu.be/DSRhjE0uJ7g"/>
    <hyperlink ref="F1740" r:id="rId2" display="https://files.afu.se/Downloads/Transcripts/0%20-%20Government/USA%20-%20NASA/"/>
    <hyperlink ref="C1741" r:id="rId1741" display="https://youtu.be/D0AgqhS6B-U"/>
    <hyperlink ref="F1741" r:id="rId2" display="https://files.afu.se/Downloads/Transcripts/0%20-%20Government/USA%20-%20NASA/"/>
    <hyperlink ref="C1742" r:id="rId1742" display="https://youtu.be/qjf5uL31n-Y"/>
    <hyperlink ref="F1742" r:id="rId2" display="https://files.afu.se/Downloads/Transcripts/0%20-%20Government/USA%20-%20NASA/"/>
    <hyperlink ref="C1743" r:id="rId1743" display="https://youtu.be/Ykh-_LpTx0U"/>
    <hyperlink ref="F1743" r:id="rId2" display="https://files.afu.se/Downloads/Transcripts/0%20-%20Government/USA%20-%20NASA/"/>
    <hyperlink ref="C1744" r:id="rId1744" display="https://youtu.be/etUkR3FmDnw"/>
    <hyperlink ref="F1744" r:id="rId2" display="https://files.afu.se/Downloads/Transcripts/0%20-%20Government/USA%20-%20NASA/"/>
    <hyperlink ref="C1745" r:id="rId1745" display="https://youtu.be/RnMVOT8piZs"/>
    <hyperlink ref="F1745" r:id="rId2" display="https://files.afu.se/Downloads/Transcripts/0%20-%20Government/USA%20-%20NASA/"/>
    <hyperlink ref="C1746" r:id="rId1746" display="https://youtu.be/zEF1XeLyXHc"/>
    <hyperlink ref="F1746" r:id="rId2" display="https://files.afu.se/Downloads/Transcripts/0%20-%20Government/USA%20-%20NASA/"/>
    <hyperlink ref="C1747" r:id="rId1747" display="https://youtu.be/lCgcqSwqInU"/>
    <hyperlink ref="F1747" r:id="rId2" display="https://files.afu.se/Downloads/Transcripts/0%20-%20Government/USA%20-%20NASA/"/>
    <hyperlink ref="C1748" r:id="rId1748" display="https://youtu.be/7tNLTszm4f8"/>
    <hyperlink ref="F1748" r:id="rId2" display="https://files.afu.se/Downloads/Transcripts/0%20-%20Government/USA%20-%20NASA/"/>
    <hyperlink ref="C1749" r:id="rId1749" display="https://youtu.be/xQN_2yObED0"/>
    <hyperlink ref="F1749" r:id="rId2" display="https://files.afu.se/Downloads/Transcripts/0%20-%20Government/USA%20-%20NASA/"/>
    <hyperlink ref="C1750" r:id="rId1750" display="https://youtu.be/NrfUkXlLO9Y"/>
    <hyperlink ref="F1750" r:id="rId2" display="https://files.afu.se/Downloads/Transcripts/0%20-%20Government/USA%20-%20NASA/"/>
    <hyperlink ref="C1751" r:id="rId1751" display="https://youtu.be/7eej1jq4p28"/>
    <hyperlink ref="F1751" r:id="rId2" display="https://files.afu.se/Downloads/Transcripts/0%20-%20Government/USA%20-%20NASA/"/>
    <hyperlink ref="C1752" r:id="rId1752" display="https://youtu.be/HKwysk213wM"/>
    <hyperlink ref="F1752" r:id="rId2" display="https://files.afu.se/Downloads/Transcripts/0%20-%20Government/USA%20-%20NASA/"/>
    <hyperlink ref="C1753" r:id="rId1753" display="https://youtu.be/RtrxlwCe25k"/>
    <hyperlink ref="F1753" r:id="rId2" display="https://files.afu.se/Downloads/Transcripts/0%20-%20Government/USA%20-%20NASA/"/>
    <hyperlink ref="C1754" r:id="rId1754" display="https://youtu.be/91J8gNT8YNI"/>
    <hyperlink ref="F1754" r:id="rId2" display="https://files.afu.se/Downloads/Transcripts/0%20-%20Government/USA%20-%20NASA/"/>
    <hyperlink ref="C1755" r:id="rId1755" display="https://youtu.be/Q_1SvFPeW6U"/>
    <hyperlink ref="F1755" r:id="rId2" display="https://files.afu.se/Downloads/Transcripts/0%20-%20Government/USA%20-%20NASA/"/>
    <hyperlink ref="C1756" r:id="rId1756" display="https://youtu.be/ZK2TPiNeE3g"/>
    <hyperlink ref="F1756" r:id="rId2" display="https://files.afu.se/Downloads/Transcripts/0%20-%20Government/USA%20-%20NASA/"/>
    <hyperlink ref="C1757" r:id="rId1757" display="https://youtu.be/tWovUd3WWec"/>
    <hyperlink ref="F1757" r:id="rId2" display="https://files.afu.se/Downloads/Transcripts/0%20-%20Government/USA%20-%20NASA/"/>
    <hyperlink ref="C1758" r:id="rId1758" display="https://youtu.be/4nC3FeWiH_8"/>
    <hyperlink ref="F1758" r:id="rId2" display="https://files.afu.se/Downloads/Transcripts/0%20-%20Government/USA%20-%20NASA/"/>
    <hyperlink ref="C1759" r:id="rId1759" display="https://youtu.be/hvYCI6sFmnk"/>
    <hyperlink ref="F1759" r:id="rId2" display="https://files.afu.se/Downloads/Transcripts/0%20-%20Government/USA%20-%20NASA/"/>
    <hyperlink ref="C1760" r:id="rId1760" display="https://youtu.be/ucaiTUWVAW0"/>
    <hyperlink ref="F1760" r:id="rId2" display="https://files.afu.se/Downloads/Transcripts/0%20-%20Government/USA%20-%20NASA/"/>
    <hyperlink ref="C1761" r:id="rId1761" display="https://youtu.be/8Nj8C0bdZAI"/>
    <hyperlink ref="F1761" r:id="rId2" display="https://files.afu.se/Downloads/Transcripts/0%20-%20Government/USA%20-%20NASA/"/>
    <hyperlink ref="C1762" r:id="rId1762" display="https://youtu.be/EsP9ra_t8Bc"/>
    <hyperlink ref="F1762" r:id="rId2" display="https://files.afu.se/Downloads/Transcripts/0%20-%20Government/USA%20-%20NASA/"/>
    <hyperlink ref="C1763" r:id="rId1763" display="https://youtu.be/tns0FazYcYA"/>
    <hyperlink ref="F1763" r:id="rId2" display="https://files.afu.se/Downloads/Transcripts/0%20-%20Government/USA%20-%20NASA/"/>
    <hyperlink ref="C1764" r:id="rId1764" display="https://youtu.be/y8IFYIADfYw"/>
    <hyperlink ref="F1764" r:id="rId2" display="https://files.afu.se/Downloads/Transcripts/0%20-%20Government/USA%20-%20NASA/"/>
    <hyperlink ref="C1765" r:id="rId1765" display="https://youtu.be/uYO6lASLKCQ"/>
    <hyperlink ref="F1765" r:id="rId2" display="https://files.afu.se/Downloads/Transcripts/0%20-%20Government/USA%20-%20NASA/"/>
    <hyperlink ref="C1766" r:id="rId1766" display="https://youtu.be/dOw6SF_NKu0"/>
    <hyperlink ref="F1766" r:id="rId2" display="https://files.afu.se/Downloads/Transcripts/0%20-%20Government/USA%20-%20NASA/"/>
    <hyperlink ref="C1767" r:id="rId1767" display="https://youtu.be/ORq6dFgf1oQ"/>
    <hyperlink ref="F1767" r:id="rId2" display="https://files.afu.se/Downloads/Transcripts/0%20-%20Government/USA%20-%20NASA/"/>
    <hyperlink ref="C1768" r:id="rId1768" display="https://youtu.be/4g93chKghGc"/>
    <hyperlink ref="F1768" r:id="rId2" display="https://files.afu.se/Downloads/Transcripts/0%20-%20Government/USA%20-%20NASA/"/>
    <hyperlink ref="C1769" r:id="rId1769" display="https://youtu.be/P6iPwysLiCo"/>
    <hyperlink ref="F1769" r:id="rId2" display="https://files.afu.se/Downloads/Transcripts/0%20-%20Government/USA%20-%20NASA/"/>
    <hyperlink ref="C1770" r:id="rId1770" display="https://youtu.be/dRsiUztBhkc"/>
    <hyperlink ref="F1770" r:id="rId2" display="https://files.afu.se/Downloads/Transcripts/0%20-%20Government/USA%20-%20NASA/"/>
    <hyperlink ref="C1771" r:id="rId1771" display="https://youtu.be/0kLGyxX8SOM"/>
    <hyperlink ref="F1771" r:id="rId2" display="https://files.afu.se/Downloads/Transcripts/0%20-%20Government/USA%20-%20NASA/"/>
    <hyperlink ref="C1772" r:id="rId1772" display="https://youtu.be/Ke1IhvMbqJE"/>
    <hyperlink ref="F1772" r:id="rId2" display="https://files.afu.se/Downloads/Transcripts/0%20-%20Government/USA%20-%20NASA/"/>
    <hyperlink ref="C1773" r:id="rId1773" display="https://youtu.be/4tw5uwHD0PE"/>
    <hyperlink ref="F1773" r:id="rId2" display="https://files.afu.se/Downloads/Transcripts/0%20-%20Government/USA%20-%20NASA/"/>
    <hyperlink ref="C1774" r:id="rId1774" display="https://youtu.be/_A5vjE_uNrs"/>
    <hyperlink ref="F1774" r:id="rId2" display="https://files.afu.se/Downloads/Transcripts/0%20-%20Government/USA%20-%20NASA/"/>
    <hyperlink ref="C1775" r:id="rId1775" display="https://youtu.be/9JfsdiGSsrc"/>
    <hyperlink ref="F1775" r:id="rId2" display="https://files.afu.se/Downloads/Transcripts/0%20-%20Government/USA%20-%20NASA/"/>
    <hyperlink ref="C1776" r:id="rId1776" display="https://youtu.be/9U7LAoFEFqg"/>
    <hyperlink ref="F1776" r:id="rId2" display="https://files.afu.se/Downloads/Transcripts/0%20-%20Government/USA%20-%20NASA/"/>
    <hyperlink ref="C1777" r:id="rId1777" display="https://youtu.be/Q5Tu_5SG-1g"/>
    <hyperlink ref="F1777" r:id="rId2" display="https://files.afu.se/Downloads/Transcripts/0%20-%20Government/USA%20-%20NASA/"/>
    <hyperlink ref="C1778" r:id="rId1778" display="https://youtu.be/12QBkuWFtlI"/>
    <hyperlink ref="F1778" r:id="rId2" display="https://files.afu.se/Downloads/Transcripts/0%20-%20Government/USA%20-%20NASA/"/>
    <hyperlink ref="C1779" r:id="rId1779" display="https://youtu.be/wZYa9ZKZeDk"/>
    <hyperlink ref="F1779" r:id="rId2" display="https://files.afu.se/Downloads/Transcripts/0%20-%20Government/USA%20-%20NASA/"/>
    <hyperlink ref="C1780" r:id="rId1780" display="https://youtu.be/m-jx_DAw5uw"/>
    <hyperlink ref="F1780" r:id="rId2" display="https://files.afu.se/Downloads/Transcripts/0%20-%20Government/USA%20-%20NASA/"/>
    <hyperlink ref="C1781" r:id="rId1781" display="https://youtu.be/Yz2t39XVStA"/>
    <hyperlink ref="F1781" r:id="rId2" display="https://files.afu.se/Downloads/Transcripts/0%20-%20Government/USA%20-%20NASA/"/>
    <hyperlink ref="C1782" r:id="rId1782" display="https://youtu.be/whifN2A2aqE"/>
    <hyperlink ref="F1782" r:id="rId2" display="https://files.afu.se/Downloads/Transcripts/0%20-%20Government/USA%20-%20NASA/"/>
    <hyperlink ref="C1783" r:id="rId1783" display="https://youtu.be/3G8x_g__Lbs"/>
    <hyperlink ref="F1783" r:id="rId2" display="https://files.afu.se/Downloads/Transcripts/0%20-%20Government/USA%20-%20NASA/"/>
    <hyperlink ref="C1784" r:id="rId1784" display="https://youtu.be/zbhdq2P7gZo"/>
    <hyperlink ref="F1784" r:id="rId2" display="https://files.afu.se/Downloads/Transcripts/0%20-%20Government/USA%20-%20NASA/"/>
    <hyperlink ref="C1785" r:id="rId1785" display="https://youtu.be/CtiPOsC2Vzg"/>
    <hyperlink ref="F1785" r:id="rId2" display="https://files.afu.se/Downloads/Transcripts/0%20-%20Government/USA%20-%20NASA/"/>
    <hyperlink ref="C1786" r:id="rId1786" display="https://youtu.be/v_hCIk-zSKs"/>
    <hyperlink ref="F1786" r:id="rId2" display="https://files.afu.se/Downloads/Transcripts/0%20-%20Government/USA%20-%20NASA/"/>
    <hyperlink ref="C1787" r:id="rId1787" display="https://youtu.be/Uh5YnXyjT5c"/>
    <hyperlink ref="F1787" r:id="rId2" display="https://files.afu.se/Downloads/Transcripts/0%20-%20Government/USA%20-%20NASA/"/>
    <hyperlink ref="C1788" r:id="rId1788" display="https://youtu.be/fBvoIUDGPIM"/>
    <hyperlink ref="F1788" r:id="rId2" display="https://files.afu.se/Downloads/Transcripts/0%20-%20Government/USA%20-%20NASA/"/>
    <hyperlink ref="C1789" r:id="rId1789" display="https://youtu.be/B2HeIfuqZzw"/>
    <hyperlink ref="F1789" r:id="rId2" display="https://files.afu.se/Downloads/Transcripts/0%20-%20Government/USA%20-%20NASA/"/>
    <hyperlink ref="C1790" r:id="rId1790" display="https://youtu.be/hnyOH4Ega2c"/>
    <hyperlink ref="F1790" r:id="rId2" display="https://files.afu.se/Downloads/Transcripts/0%20-%20Government/USA%20-%20NASA/"/>
    <hyperlink ref="C1791" r:id="rId1791" display="https://youtu.be/2i8AlqomBwo"/>
    <hyperlink ref="F1791" r:id="rId2" display="https://files.afu.se/Downloads/Transcripts/0%20-%20Government/USA%20-%20NASA/"/>
    <hyperlink ref="C1792" r:id="rId1792" display="https://youtu.be/x5pbUj3Arpg"/>
    <hyperlink ref="F1792" r:id="rId2" display="https://files.afu.se/Downloads/Transcripts/0%20-%20Government/USA%20-%20NASA/"/>
    <hyperlink ref="C1793" r:id="rId1793" display="https://youtu.be/FHbUvQl4EYA"/>
    <hyperlink ref="F1793" r:id="rId2" display="https://files.afu.se/Downloads/Transcripts/0%20-%20Government/USA%20-%20NASA/"/>
    <hyperlink ref="C1794" r:id="rId1794" display="https://youtu.be/PVuXLBG52F4"/>
    <hyperlink ref="F1794" r:id="rId2" display="https://files.afu.se/Downloads/Transcripts/0%20-%20Government/USA%20-%20NASA/"/>
    <hyperlink ref="C1795" r:id="rId1795" display="https://youtu.be/e3ypBgB2R3E"/>
    <hyperlink ref="F1795" r:id="rId2" display="https://files.afu.se/Downloads/Transcripts/0%20-%20Government/USA%20-%20NASA/"/>
    <hyperlink ref="C1796" r:id="rId1796" display="https://youtu.be/PCzJkulsjbE"/>
    <hyperlink ref="F1796" r:id="rId2" display="https://files.afu.se/Downloads/Transcripts/0%20-%20Government/USA%20-%20NASA/"/>
    <hyperlink ref="C1797" r:id="rId1797" display="https://youtu.be/hw5ATY1arkM"/>
    <hyperlink ref="F1797" r:id="rId2" display="https://files.afu.se/Downloads/Transcripts/0%20-%20Government/USA%20-%20NASA/"/>
    <hyperlink ref="C1798" r:id="rId1798" display="https://youtu.be/wSqgaRhgTmc"/>
    <hyperlink ref="F1798" r:id="rId2" display="https://files.afu.se/Downloads/Transcripts/0%20-%20Government/USA%20-%20NASA/"/>
    <hyperlink ref="C1799" r:id="rId1799" display="https://youtu.be/B_em-FMhqHo"/>
    <hyperlink ref="F1799" r:id="rId2" display="https://files.afu.se/Downloads/Transcripts/0%20-%20Government/USA%20-%20NASA/"/>
    <hyperlink ref="C1800" r:id="rId1800" display="https://youtu.be/bLgzHutK1wo"/>
    <hyperlink ref="F1800" r:id="rId2" display="https://files.afu.se/Downloads/Transcripts/0%20-%20Government/USA%20-%20NASA/"/>
    <hyperlink ref="C1801" r:id="rId1801" display="https://youtu.be/RoTJIzeLtGI"/>
    <hyperlink ref="F1801" r:id="rId2" display="https://files.afu.se/Downloads/Transcripts/0%20-%20Government/USA%20-%20NASA/"/>
    <hyperlink ref="C1802" r:id="rId1802" display="https://youtu.be/A5HTJVMOh_g"/>
    <hyperlink ref="F1802" r:id="rId2" display="https://files.afu.se/Downloads/Transcripts/0%20-%20Government/USA%20-%20NASA/"/>
    <hyperlink ref="C1803" r:id="rId1803" display="https://youtu.be/2Sdxb-YSTvc"/>
    <hyperlink ref="F1803" r:id="rId2" display="https://files.afu.se/Downloads/Transcripts/0%20-%20Government/USA%20-%20NASA/"/>
    <hyperlink ref="C1804" r:id="rId1804" display="https://youtu.be/3XQchueaE6k"/>
    <hyperlink ref="F1804" r:id="rId2" display="https://files.afu.se/Downloads/Transcripts/0%20-%20Government/USA%20-%20NASA/"/>
    <hyperlink ref="C1805" r:id="rId1805" display="https://youtu.be/Lxyp5IIGO48"/>
    <hyperlink ref="F1805" r:id="rId2" display="https://files.afu.se/Downloads/Transcripts/0%20-%20Government/USA%20-%20NASA/"/>
    <hyperlink ref="C1806" r:id="rId1806" display="https://youtu.be/HvNbzQu-r80"/>
    <hyperlink ref="F1806" r:id="rId2" display="https://files.afu.se/Downloads/Transcripts/0%20-%20Government/USA%20-%20NASA/"/>
    <hyperlink ref="C1807" r:id="rId1807" display="https://youtu.be/t3_5ahJ0-Lw"/>
    <hyperlink ref="F1807" r:id="rId2" display="https://files.afu.se/Downloads/Transcripts/0%20-%20Government/USA%20-%20NASA/"/>
    <hyperlink ref="C1808" r:id="rId1808" display="https://youtu.be/_4NNAN3ffRU"/>
    <hyperlink ref="F1808" r:id="rId2" display="https://files.afu.se/Downloads/Transcripts/0%20-%20Government/USA%20-%20NASA/"/>
    <hyperlink ref="C1809" r:id="rId1809" display="https://youtu.be/NBJfVzvLIQ0"/>
    <hyperlink ref="F1809" r:id="rId2" display="https://files.afu.se/Downloads/Transcripts/0%20-%20Government/USA%20-%20NASA/"/>
    <hyperlink ref="C1810" r:id="rId1810" display="https://youtu.be/K351HVQwpr8"/>
    <hyperlink ref="F1810" r:id="rId2" display="https://files.afu.se/Downloads/Transcripts/0%20-%20Government/USA%20-%20NASA/"/>
    <hyperlink ref="C1811" r:id="rId1811" display="https://youtu.be/i4sMFq2CNGE"/>
    <hyperlink ref="F1811" r:id="rId2" display="https://files.afu.se/Downloads/Transcripts/0%20-%20Government/USA%20-%20NASA/"/>
    <hyperlink ref="C1812" r:id="rId1812" display="https://youtu.be/M9WsTr29hNE"/>
    <hyperlink ref="F1812" r:id="rId2" display="https://files.afu.se/Downloads/Transcripts/0%20-%20Government/USA%20-%20NASA/"/>
    <hyperlink ref="C1813" r:id="rId1813" display="https://youtu.be/4iaScOqvI64"/>
    <hyperlink ref="F1813" r:id="rId2" display="https://files.afu.se/Downloads/Transcripts/0%20-%20Government/USA%20-%20NASA/"/>
    <hyperlink ref="C1814" r:id="rId1814" display="https://youtu.be/4JDZQrnKkGo"/>
    <hyperlink ref="F1814" r:id="rId2" display="https://files.afu.se/Downloads/Transcripts/0%20-%20Government/USA%20-%20NASA/"/>
    <hyperlink ref="C1815" r:id="rId1815" display="https://youtu.be/nq08YGDFu0w"/>
    <hyperlink ref="F1815" r:id="rId2" display="https://files.afu.se/Downloads/Transcripts/0%20-%20Government/USA%20-%20NASA/"/>
    <hyperlink ref="C1816" r:id="rId1816" display="https://youtu.be/knN06v6UGUE"/>
    <hyperlink ref="F1816" r:id="rId2" display="https://files.afu.se/Downloads/Transcripts/0%20-%20Government/USA%20-%20NASA/"/>
    <hyperlink ref="C1817" r:id="rId1817" display="https://youtu.be/FBboATdhxww"/>
    <hyperlink ref="F1817" r:id="rId2" display="https://files.afu.se/Downloads/Transcripts/0%20-%20Government/USA%20-%20NASA/"/>
    <hyperlink ref="C1818" r:id="rId1818" display="https://youtu.be/NPLPmdFx2yw"/>
    <hyperlink ref="F1818" r:id="rId2" display="https://files.afu.se/Downloads/Transcripts/0%20-%20Government/USA%20-%20NASA/"/>
    <hyperlink ref="C1819" r:id="rId1819" display="https://youtu.be/GpwvOnC-Sl8"/>
    <hyperlink ref="F1819" r:id="rId2" display="https://files.afu.se/Downloads/Transcripts/0%20-%20Government/USA%20-%20NASA/"/>
    <hyperlink ref="C1820" r:id="rId1820" display="https://youtu.be/QjECZVitU00"/>
    <hyperlink ref="F1820" r:id="rId2" display="https://files.afu.se/Downloads/Transcripts/0%20-%20Government/USA%20-%20NASA/"/>
    <hyperlink ref="C1821" r:id="rId1821" display="https://youtu.be/UCO-lwho1oU"/>
    <hyperlink ref="F1821" r:id="rId2" display="https://files.afu.se/Downloads/Transcripts/0%20-%20Government/USA%20-%20NASA/"/>
    <hyperlink ref="C1822" r:id="rId1822" display="https://youtu.be/jSPrEuDVf6U"/>
    <hyperlink ref="F1822" r:id="rId2" display="https://files.afu.se/Downloads/Transcripts/0%20-%20Government/USA%20-%20NASA/"/>
    <hyperlink ref="C1823" r:id="rId1823" display="https://youtu.be/hlILijzVbLc"/>
    <hyperlink ref="F1823" r:id="rId2" display="https://files.afu.se/Downloads/Transcripts/0%20-%20Government/USA%20-%20NASA/"/>
    <hyperlink ref="C1824" r:id="rId1824" display="https://youtu.be/_a9og3pAqxY"/>
    <hyperlink ref="F1824" r:id="rId2" display="https://files.afu.se/Downloads/Transcripts/0%20-%20Government/USA%20-%20NASA/"/>
    <hyperlink ref="C1825" r:id="rId1825" display="https://youtu.be/At3CwMW2flg"/>
    <hyperlink ref="F1825" r:id="rId2" display="https://files.afu.se/Downloads/Transcripts/0%20-%20Government/USA%20-%20NASA/"/>
    <hyperlink ref="C1826" r:id="rId1826" display="https://youtu.be/y3vnhqOFMmI"/>
    <hyperlink ref="F1826" r:id="rId2" display="https://files.afu.se/Downloads/Transcripts/0%20-%20Government/USA%20-%20NASA/"/>
    <hyperlink ref="C1827" r:id="rId1827" display="https://youtu.be/jqwqLTDhVXk"/>
    <hyperlink ref="F1827" r:id="rId2" display="https://files.afu.se/Downloads/Transcripts/0%20-%20Government/USA%20-%20NASA/"/>
    <hyperlink ref="C1828" r:id="rId1828" display="https://youtu.be/-s8Ovg04xL8"/>
    <hyperlink ref="F1828" r:id="rId2" display="https://files.afu.se/Downloads/Transcripts/0%20-%20Government/USA%20-%20NASA/"/>
    <hyperlink ref="C1829" r:id="rId1829" display="https://youtu.be/HpV9uNUztvI"/>
    <hyperlink ref="F1829" r:id="rId2" display="https://files.afu.se/Downloads/Transcripts/0%20-%20Government/USA%20-%20NASA/"/>
    <hyperlink ref="C1830" r:id="rId1830" display="https://youtu.be/KycR4kguSII"/>
    <hyperlink ref="F1830" r:id="rId2" display="https://files.afu.se/Downloads/Transcripts/0%20-%20Government/USA%20-%20NASA/"/>
    <hyperlink ref="C1831" r:id="rId1831" display="https://youtu.be/MPWzw-oTnm4"/>
    <hyperlink ref="F1831" r:id="rId2" display="https://files.afu.se/Downloads/Transcripts/0%20-%20Government/USA%20-%20NASA/"/>
    <hyperlink ref="C1832" r:id="rId1832" display="https://youtu.be/PGy8vt3o5Oo"/>
    <hyperlink ref="F1832" r:id="rId2" display="https://files.afu.se/Downloads/Transcripts/0%20-%20Government/USA%20-%20NASA/"/>
    <hyperlink ref="C1833" r:id="rId1833" display="https://youtu.be/LOhMLodA3AI"/>
    <hyperlink ref="F1833" r:id="rId2" display="https://files.afu.se/Downloads/Transcripts/0%20-%20Government/USA%20-%20NASA/"/>
    <hyperlink ref="C1834" r:id="rId1834" display="https://youtu.be/rpHLa2njn98"/>
    <hyperlink ref="F1834" r:id="rId2" display="https://files.afu.se/Downloads/Transcripts/0%20-%20Government/USA%20-%20NASA/"/>
    <hyperlink ref="C1835" r:id="rId1835" display="https://youtu.be/z0y52W3TyQg"/>
    <hyperlink ref="F1835" r:id="rId2" display="https://files.afu.se/Downloads/Transcripts/0%20-%20Government/USA%20-%20NASA/"/>
    <hyperlink ref="C1836" r:id="rId1836" display="https://youtu.be/nEJ0TVgRbC8"/>
    <hyperlink ref="F1836" r:id="rId2" display="https://files.afu.se/Downloads/Transcripts/0%20-%20Government/USA%20-%20NASA/"/>
    <hyperlink ref="C1837" r:id="rId1837" display="https://youtu.be/jl0hZmvS35c"/>
    <hyperlink ref="F1837" r:id="rId2" display="https://files.afu.se/Downloads/Transcripts/0%20-%20Government/USA%20-%20NASA/"/>
    <hyperlink ref="C1838" r:id="rId1838" display="https://youtu.be/ySMLYiJZBHc"/>
    <hyperlink ref="F1838" r:id="rId2" display="https://files.afu.se/Downloads/Transcripts/0%20-%20Government/USA%20-%20NASA/"/>
    <hyperlink ref="C1839" r:id="rId1839" display="https://youtu.be/hghjwQXdNco"/>
    <hyperlink ref="F1839" r:id="rId2" display="https://files.afu.se/Downloads/Transcripts/0%20-%20Government/USA%20-%20NASA/"/>
    <hyperlink ref="C1840" r:id="rId1840" display="https://youtu.be/VustKdXRG6w"/>
    <hyperlink ref="F1840" r:id="rId2" display="https://files.afu.se/Downloads/Transcripts/0%20-%20Government/USA%20-%20NASA/"/>
    <hyperlink ref="C1841" r:id="rId1841" display="https://youtu.be/55dZyCBGEu4"/>
    <hyperlink ref="F1841" r:id="rId2" display="https://files.afu.se/Downloads/Transcripts/0%20-%20Government/USA%20-%20NASA/"/>
    <hyperlink ref="C1842" r:id="rId1842" display="https://youtu.be/bAw6Ajt-jpY"/>
    <hyperlink ref="F1842" r:id="rId2" display="https://files.afu.se/Downloads/Transcripts/0%20-%20Government/USA%20-%20NASA/"/>
    <hyperlink ref="C1843" r:id="rId1843" display="https://youtu.be/vyq7wZrRCHo"/>
    <hyperlink ref="F1843" r:id="rId2" display="https://files.afu.se/Downloads/Transcripts/0%20-%20Government/USA%20-%20NASA/"/>
    <hyperlink ref="C1844" r:id="rId1844" display="https://youtu.be/-Hmq3PEuvhI"/>
    <hyperlink ref="F1844" r:id="rId2" display="https://files.afu.se/Downloads/Transcripts/0%20-%20Government/USA%20-%20NASA/"/>
    <hyperlink ref="C1845" r:id="rId1845" display="https://youtu.be/OlugY_yg1HE"/>
    <hyperlink ref="F1845" r:id="rId2" display="https://files.afu.se/Downloads/Transcripts/0%20-%20Government/USA%20-%20NASA/"/>
    <hyperlink ref="C1846" r:id="rId1846" display="https://youtu.be/cUTiS_L3bXQ"/>
    <hyperlink ref="F1846" r:id="rId2" display="https://files.afu.se/Downloads/Transcripts/0%20-%20Government/USA%20-%20NASA/"/>
    <hyperlink ref="C1847" r:id="rId1847" display="https://youtu.be/1L4Ag603fiU"/>
    <hyperlink ref="F1847" r:id="rId2" display="https://files.afu.se/Downloads/Transcripts/0%20-%20Government/USA%20-%20NASA/"/>
    <hyperlink ref="C1848" r:id="rId1848" display="https://youtu.be/BOZC6Y9h0V4"/>
    <hyperlink ref="F1848" r:id="rId2" display="https://files.afu.se/Downloads/Transcripts/0%20-%20Government/USA%20-%20NASA/"/>
    <hyperlink ref="C1849" r:id="rId1849" display="https://youtu.be/4DvyHJq9j-c"/>
    <hyperlink ref="F1849" r:id="rId2" display="https://files.afu.se/Downloads/Transcripts/0%20-%20Government/USA%20-%20NASA/"/>
    <hyperlink ref="C1850" r:id="rId1850" display="https://youtu.be/WOXFg61hfbA"/>
    <hyperlink ref="F1850" r:id="rId2" display="https://files.afu.se/Downloads/Transcripts/0%20-%20Government/USA%20-%20NASA/"/>
    <hyperlink ref="C1851" r:id="rId1851" display="https://youtu.be/HBzUyuAXr_U"/>
    <hyperlink ref="F1851" r:id="rId2" display="https://files.afu.se/Downloads/Transcripts/0%20-%20Government/USA%20-%20NASA/"/>
    <hyperlink ref="C1852" r:id="rId1852" display="https://youtu.be/pmzHbrv_fJ0"/>
    <hyperlink ref="F1852" r:id="rId2" display="https://files.afu.se/Downloads/Transcripts/0%20-%20Government/USA%20-%20NASA/"/>
    <hyperlink ref="C1853" r:id="rId1853" display="https://youtu.be/i0NeYaRZwos"/>
    <hyperlink ref="F1853" r:id="rId2" display="https://files.afu.se/Downloads/Transcripts/0%20-%20Government/USA%20-%20NASA/"/>
    <hyperlink ref="C1854" r:id="rId1854" display="https://youtu.be/tG_SbgWe1to"/>
    <hyperlink ref="F1854" r:id="rId2" display="https://files.afu.se/Downloads/Transcripts/0%20-%20Government/USA%20-%20NASA/"/>
    <hyperlink ref="C1855" r:id="rId1855" display="https://youtu.be/a7iflFfHQLw"/>
    <hyperlink ref="F1855" r:id="rId2" display="https://files.afu.se/Downloads/Transcripts/0%20-%20Government/USA%20-%20NASA/"/>
    <hyperlink ref="C1856" r:id="rId1856" display="https://youtu.be/idA4Pq5Tchk"/>
    <hyperlink ref="F1856" r:id="rId2" display="https://files.afu.se/Downloads/Transcripts/0%20-%20Government/USA%20-%20NASA/"/>
    <hyperlink ref="C1857" r:id="rId1857" display="https://youtu.be/QMs7sWGm9q0"/>
    <hyperlink ref="F1857" r:id="rId2" display="https://files.afu.se/Downloads/Transcripts/0%20-%20Government/USA%20-%20NASA/"/>
    <hyperlink ref="C1858" r:id="rId1858" display="https://youtu.be/tWOiU2oJMSA"/>
    <hyperlink ref="F1858" r:id="rId2" display="https://files.afu.se/Downloads/Transcripts/0%20-%20Government/USA%20-%20NASA/"/>
    <hyperlink ref="C1859" r:id="rId1859" display="https://youtu.be/gByLBHIsD6E"/>
    <hyperlink ref="F1859" r:id="rId2" display="https://files.afu.se/Downloads/Transcripts/0%20-%20Government/USA%20-%20NASA/"/>
    <hyperlink ref="C1860" r:id="rId1860" display="https://youtu.be/3mL6C3SxaPw"/>
    <hyperlink ref="F1860" r:id="rId2" display="https://files.afu.se/Downloads/Transcripts/0%20-%20Government/USA%20-%20NASA/"/>
    <hyperlink ref="C1861" r:id="rId1861" display="https://youtu.be/8uHgmYKVpGQ"/>
    <hyperlink ref="F1861" r:id="rId2" display="https://files.afu.se/Downloads/Transcripts/0%20-%20Government/USA%20-%20NASA/"/>
    <hyperlink ref="C1862" r:id="rId1862" display="https://youtu.be/vGr8FH92cXc"/>
    <hyperlink ref="F1862" r:id="rId2" display="https://files.afu.se/Downloads/Transcripts/0%20-%20Government/USA%20-%20NASA/"/>
    <hyperlink ref="C1863" r:id="rId1863" display="https://youtu.be/oNufd4QWdjY"/>
    <hyperlink ref="F1863" r:id="rId2" display="https://files.afu.se/Downloads/Transcripts/0%20-%20Government/USA%20-%20NASA/"/>
    <hyperlink ref="C1864" r:id="rId1864" display="https://youtu.be/b-0WOnjPndM"/>
    <hyperlink ref="F1864" r:id="rId2" display="https://files.afu.se/Downloads/Transcripts/0%20-%20Government/USA%20-%20NASA/"/>
    <hyperlink ref="C1865" r:id="rId1865" display="https://youtu.be/c2MOF0tobOo"/>
    <hyperlink ref="F1865" r:id="rId2" display="https://files.afu.se/Downloads/Transcripts/0%20-%20Government/USA%20-%20NASA/"/>
    <hyperlink ref="C1866" r:id="rId1866" display="https://youtu.be/WTMXkpL59Nw"/>
    <hyperlink ref="F1866" r:id="rId2" display="https://files.afu.se/Downloads/Transcripts/0%20-%20Government/USA%20-%20NASA/"/>
    <hyperlink ref="C1867" r:id="rId1867" display="https://youtu.be/kR0US6JEGRU"/>
    <hyperlink ref="F1867" r:id="rId2" display="https://files.afu.se/Downloads/Transcripts/0%20-%20Government/USA%20-%20NASA/"/>
    <hyperlink ref="C1868" r:id="rId1868" display="https://youtu.be/b6duPV3BwcY"/>
    <hyperlink ref="F1868" r:id="rId2" display="https://files.afu.se/Downloads/Transcripts/0%20-%20Government/USA%20-%20NASA/"/>
    <hyperlink ref="C1869" r:id="rId1869" display="https://youtu.be/iOdJ8-my7ls"/>
    <hyperlink ref="F1869" r:id="rId2" display="https://files.afu.se/Downloads/Transcripts/0%20-%20Government/USA%20-%20NASA/"/>
    <hyperlink ref="C1870" r:id="rId1870" display="https://youtu.be/5HfIxhkFFBg"/>
    <hyperlink ref="F1870" r:id="rId2" display="https://files.afu.se/Downloads/Transcripts/0%20-%20Government/USA%20-%20NASA/"/>
    <hyperlink ref="C1871" r:id="rId1871" display="https://youtu.be/WYhQ70Bl8U4"/>
    <hyperlink ref="F1871" r:id="rId2" display="https://files.afu.se/Downloads/Transcripts/0%20-%20Government/USA%20-%20NASA/"/>
    <hyperlink ref="C1872" r:id="rId1872" display="https://youtu.be/8PnKBILf_4I"/>
    <hyperlink ref="F1872" r:id="rId2" display="https://files.afu.se/Downloads/Transcripts/0%20-%20Government/USA%20-%20NASA/"/>
    <hyperlink ref="C1873" r:id="rId1873" display="https://youtu.be/wkyTzL3DZgI"/>
    <hyperlink ref="F1873" r:id="rId2" display="https://files.afu.se/Downloads/Transcripts/0%20-%20Government/USA%20-%20NASA/"/>
    <hyperlink ref="C1874" r:id="rId1874" display="https://youtu.be/bEzxBZL7clc"/>
    <hyperlink ref="F1874" r:id="rId2" display="https://files.afu.se/Downloads/Transcripts/0%20-%20Government/USA%20-%20NASA/"/>
    <hyperlink ref="C1875" r:id="rId1875" display="https://youtu.be/ZLu4zEd9vpE"/>
    <hyperlink ref="F1875" r:id="rId2" display="https://files.afu.se/Downloads/Transcripts/0%20-%20Government/USA%20-%20NASA/"/>
    <hyperlink ref="C1876" r:id="rId1876" display="https://youtu.be/H4kmBX0J3K8"/>
    <hyperlink ref="F1876" r:id="rId2" display="https://files.afu.se/Downloads/Transcripts/0%20-%20Government/USA%20-%20NASA/"/>
    <hyperlink ref="C1877" r:id="rId1877" display="https://youtu.be/zof3HiB-_x8"/>
    <hyperlink ref="F1877" r:id="rId2" display="https://files.afu.se/Downloads/Transcripts/0%20-%20Government/USA%20-%20NASA/"/>
    <hyperlink ref="C1878" r:id="rId1878" display="https://youtu.be/Q28LzAhEz9k"/>
    <hyperlink ref="F1878" r:id="rId2" display="https://files.afu.se/Downloads/Transcripts/0%20-%20Government/USA%20-%20NASA/"/>
    <hyperlink ref="C1879" r:id="rId1879" display="https://youtu.be/fQTOx7fpsCM"/>
    <hyperlink ref="F1879" r:id="rId2" display="https://files.afu.se/Downloads/Transcripts/0%20-%20Government/USA%20-%20NASA/"/>
    <hyperlink ref="C1880" r:id="rId1880" display="https://youtu.be/XQ-S-7SVqqQ"/>
    <hyperlink ref="F1880" r:id="rId2" display="https://files.afu.se/Downloads/Transcripts/0%20-%20Government/USA%20-%20NASA/"/>
    <hyperlink ref="C1881" r:id="rId1881" display="https://youtu.be/ekXCaUwfSg0"/>
    <hyperlink ref="F1881" r:id="rId2" display="https://files.afu.se/Downloads/Transcripts/0%20-%20Government/USA%20-%20NASA/"/>
    <hyperlink ref="C1882" r:id="rId1882" display="https://youtu.be/I3fsdHEOPes"/>
    <hyperlink ref="F1882" r:id="rId2" display="https://files.afu.se/Downloads/Transcripts/0%20-%20Government/USA%20-%20NASA/"/>
    <hyperlink ref="C1883" r:id="rId1883" display="https://youtu.be/QuTBkWRyiCI"/>
    <hyperlink ref="F1883" r:id="rId2" display="https://files.afu.se/Downloads/Transcripts/0%20-%20Government/USA%20-%20NASA/"/>
    <hyperlink ref="C1884" r:id="rId1884" display="https://youtu.be/Jivcn4_ccMQ"/>
    <hyperlink ref="F1884" r:id="rId2" display="https://files.afu.se/Downloads/Transcripts/0%20-%20Government/USA%20-%20NASA/"/>
    <hyperlink ref="C1885" r:id="rId1885" display="https://youtu.be/ZkeSAlRV4a4"/>
    <hyperlink ref="F1885" r:id="rId2" display="https://files.afu.se/Downloads/Transcripts/0%20-%20Government/USA%20-%20NASA/"/>
    <hyperlink ref="C1886" r:id="rId1886" display="https://youtu.be/F2sR8_Kku3o"/>
    <hyperlink ref="F1886" r:id="rId2" display="https://files.afu.se/Downloads/Transcripts/0%20-%20Government/USA%20-%20NASA/"/>
    <hyperlink ref="C1887" r:id="rId1887" display="https://youtu.be/0liQYolMJAc"/>
    <hyperlink ref="F1887" r:id="rId2" display="https://files.afu.se/Downloads/Transcripts/0%20-%20Government/USA%20-%20NASA/"/>
    <hyperlink ref="C1888" r:id="rId1888" display="https://youtu.be/XOFug-P5LXw"/>
    <hyperlink ref="F1888" r:id="rId2" display="https://files.afu.se/Downloads/Transcripts/0%20-%20Government/USA%20-%20NASA/"/>
    <hyperlink ref="C1889" r:id="rId1889" display="https://youtu.be/saDz7gZfF_0"/>
    <hyperlink ref="F1889" r:id="rId2" display="https://files.afu.se/Downloads/Transcripts/0%20-%20Government/USA%20-%20NASA/"/>
    <hyperlink ref="C1890" r:id="rId1890" display="https://youtu.be/flzGF6dkir0"/>
    <hyperlink ref="F1890" r:id="rId2" display="https://files.afu.se/Downloads/Transcripts/0%20-%20Government/USA%20-%20NASA/"/>
    <hyperlink ref="C1891" r:id="rId1891" display="https://youtu.be/P_5PUbFhFN4"/>
    <hyperlink ref="F1891" r:id="rId2" display="https://files.afu.se/Downloads/Transcripts/0%20-%20Government/USA%20-%20NASA/"/>
    <hyperlink ref="C1892" r:id="rId1892" display="https://youtu.be/MRQ5B_ik2dU"/>
    <hyperlink ref="F1892" r:id="rId2" display="https://files.afu.se/Downloads/Transcripts/0%20-%20Government/USA%20-%20NASA/"/>
    <hyperlink ref="C1893" r:id="rId1893" display="https://youtu.be/fbAinSTa37k"/>
    <hyperlink ref="F1893" r:id="rId2" display="https://files.afu.se/Downloads/Transcripts/0%20-%20Government/USA%20-%20NASA/"/>
    <hyperlink ref="C1894" r:id="rId1894" display="https://youtu.be/RBxQuxYvaXk"/>
    <hyperlink ref="F1894" r:id="rId2" display="https://files.afu.se/Downloads/Transcripts/0%20-%20Government/USA%20-%20NASA/"/>
    <hyperlink ref="C1895" r:id="rId1895" display="https://youtu.be/M04J1_HYNgM"/>
    <hyperlink ref="F1895" r:id="rId2" display="https://files.afu.se/Downloads/Transcripts/0%20-%20Government/USA%20-%20NASA/"/>
    <hyperlink ref="C1896" r:id="rId1896" display="https://youtu.be/Pl3P51HNXeg"/>
    <hyperlink ref="F1896" r:id="rId2" display="https://files.afu.se/Downloads/Transcripts/0%20-%20Government/USA%20-%20NASA/"/>
    <hyperlink ref="C1897" r:id="rId1897" display="https://youtu.be/tEJwLvTtULE"/>
    <hyperlink ref="F1897" r:id="rId2" display="https://files.afu.se/Downloads/Transcripts/0%20-%20Government/USA%20-%20NASA/"/>
    <hyperlink ref="C1898" r:id="rId1898" display="https://youtu.be/E3tYOINjIsA"/>
    <hyperlink ref="F1898" r:id="rId2" display="https://files.afu.se/Downloads/Transcripts/0%20-%20Government/USA%20-%20NASA/"/>
    <hyperlink ref="C1899" r:id="rId1899" display="https://youtu.be/9UtpbPY5kwo"/>
    <hyperlink ref="F1899" r:id="rId2" display="https://files.afu.se/Downloads/Transcripts/0%20-%20Government/USA%20-%20NASA/"/>
    <hyperlink ref="C1900" r:id="rId1900" display="https://youtu.be/HemD0zQ_jFY"/>
    <hyperlink ref="F1900" r:id="rId2" display="https://files.afu.se/Downloads/Transcripts/0%20-%20Government/USA%20-%20NASA/"/>
    <hyperlink ref="C1901" r:id="rId1901" display="https://youtu.be/9tIZfLDUWfc"/>
    <hyperlink ref="F1901" r:id="rId2" display="https://files.afu.se/Downloads/Transcripts/0%20-%20Government/USA%20-%20NASA/"/>
    <hyperlink ref="C1902" r:id="rId1902" display="https://youtu.be/_qZMHSbYNFY"/>
    <hyperlink ref="F1902" r:id="rId2" display="https://files.afu.se/Downloads/Transcripts/0%20-%20Government/USA%20-%20NASA/"/>
    <hyperlink ref="C1903" r:id="rId1903" display="https://youtu.be/QjLkOZMUjOs"/>
    <hyperlink ref="F1903" r:id="rId2" display="https://files.afu.se/Downloads/Transcripts/0%20-%20Government/USA%20-%20NASA/"/>
    <hyperlink ref="C1904" r:id="rId1904" display="https://youtu.be/fSVlc1sKdw0"/>
    <hyperlink ref="F1904" r:id="rId2" display="https://files.afu.se/Downloads/Transcripts/0%20-%20Government/USA%20-%20NASA/"/>
    <hyperlink ref="C1905" r:id="rId1905" display="https://youtu.be/-mykqdwInMg"/>
    <hyperlink ref="F1905" r:id="rId2" display="https://files.afu.se/Downloads/Transcripts/0%20-%20Government/USA%20-%20NASA/"/>
    <hyperlink ref="C1906" r:id="rId1906" display="https://youtu.be/4uP4pV-0fjA"/>
    <hyperlink ref="F1906" r:id="rId2" display="https://files.afu.se/Downloads/Transcripts/0%20-%20Government/USA%20-%20NASA/"/>
    <hyperlink ref="C1907" r:id="rId1907" display="https://youtu.be/rYYfcFdI6SU"/>
    <hyperlink ref="F1907" r:id="rId2" display="https://files.afu.se/Downloads/Transcripts/0%20-%20Government/USA%20-%20NASA/"/>
    <hyperlink ref="C1908" r:id="rId1908" display="https://youtu.be/_ssL65V-QME"/>
    <hyperlink ref="F1908" r:id="rId2" display="https://files.afu.se/Downloads/Transcripts/0%20-%20Government/USA%20-%20NASA/"/>
    <hyperlink ref="C1909" r:id="rId1909" display="https://youtu.be/I26FFbTnvM8"/>
    <hyperlink ref="F1909" r:id="rId2" display="https://files.afu.se/Downloads/Transcripts/0%20-%20Government/USA%20-%20NASA/"/>
    <hyperlink ref="C1910" r:id="rId1910" display="https://youtu.be/VvW0LrmTuj0"/>
    <hyperlink ref="F1910" r:id="rId2" display="https://files.afu.se/Downloads/Transcripts/0%20-%20Government/USA%20-%20NASA/"/>
    <hyperlink ref="C1911" r:id="rId1911" display="https://youtu.be/ud2YwBnuu18"/>
    <hyperlink ref="F1911" r:id="rId2" display="https://files.afu.se/Downloads/Transcripts/0%20-%20Government/USA%20-%20NASA/"/>
    <hyperlink ref="C1912" r:id="rId1912" display="https://youtu.be/Qr5lpydoYF8"/>
    <hyperlink ref="F1912" r:id="rId2" display="https://files.afu.se/Downloads/Transcripts/0%20-%20Government/USA%20-%20NASA/"/>
    <hyperlink ref="C1913" r:id="rId1913" display="https://youtu.be/695jneVQrlY"/>
    <hyperlink ref="F1913" r:id="rId2" display="https://files.afu.se/Downloads/Transcripts/0%20-%20Government/USA%20-%20NASA/"/>
    <hyperlink ref="C1914" r:id="rId1914" display="https://youtu.be/8GLpUbTHEMI"/>
    <hyperlink ref="F1914" r:id="rId2" display="https://files.afu.se/Downloads/Transcripts/0%20-%20Government/USA%20-%20NASA/"/>
    <hyperlink ref="C1915" r:id="rId1915" display="https://youtu.be/jTbVCgAsmks"/>
    <hyperlink ref="F1915" r:id="rId2" display="https://files.afu.se/Downloads/Transcripts/0%20-%20Government/USA%20-%20NASA/"/>
    <hyperlink ref="C1916" r:id="rId1916" display="https://youtu.be/LJaKlAGPWjk"/>
    <hyperlink ref="F1916" r:id="rId2" display="https://files.afu.se/Downloads/Transcripts/0%20-%20Government/USA%20-%20NASA/"/>
    <hyperlink ref="C1917" r:id="rId1917" display="https://youtu.be/2jOq1EsfZu8"/>
    <hyperlink ref="F1917" r:id="rId2" display="https://files.afu.se/Downloads/Transcripts/0%20-%20Government/USA%20-%20NASA/"/>
    <hyperlink ref="C1918" r:id="rId1918" display="https://youtu.be/ofq1v_eCbcg"/>
    <hyperlink ref="F1918" r:id="rId2" display="https://files.afu.se/Downloads/Transcripts/0%20-%20Government/USA%20-%20NASA/"/>
    <hyperlink ref="C1919" r:id="rId1919" display="https://youtu.be/gg72loB2DAU"/>
    <hyperlink ref="F1919" r:id="rId2" display="https://files.afu.se/Downloads/Transcripts/0%20-%20Government/USA%20-%20NASA/"/>
    <hyperlink ref="C1920" r:id="rId1920" display="https://youtu.be/SdJbkZMhWpE"/>
    <hyperlink ref="F1920" r:id="rId2" display="https://files.afu.se/Downloads/Transcripts/0%20-%20Government/USA%20-%20NASA/"/>
    <hyperlink ref="C1921" r:id="rId1921" display="https://youtu.be/pHtdzWZoNfY"/>
    <hyperlink ref="F1921" r:id="rId2" display="https://files.afu.se/Downloads/Transcripts/0%20-%20Government/USA%20-%20NASA/"/>
    <hyperlink ref="C1922" r:id="rId1922" display="https://youtu.be/oUhyF5r19ZE"/>
    <hyperlink ref="F1922" r:id="rId2" display="https://files.afu.se/Downloads/Transcripts/0%20-%20Government/USA%20-%20NASA/"/>
    <hyperlink ref="C1923" r:id="rId1923" display="https://youtu.be/hD4WX-X0hBc"/>
    <hyperlink ref="F1923" r:id="rId2" display="https://files.afu.se/Downloads/Transcripts/0%20-%20Government/USA%20-%20NASA/"/>
    <hyperlink ref="C1924" r:id="rId1924" display="https://youtu.be/edUI6xqFTMM"/>
    <hyperlink ref="F1924" r:id="rId2" display="https://files.afu.se/Downloads/Transcripts/0%20-%20Government/USA%20-%20NASA/"/>
    <hyperlink ref="C1925" r:id="rId1925" display="https://youtu.be/HTh8tHpN-po"/>
    <hyperlink ref="F1925" r:id="rId2" display="https://files.afu.se/Downloads/Transcripts/0%20-%20Government/USA%20-%20NASA/"/>
    <hyperlink ref="C1926" r:id="rId1926" display="https://youtu.be/GwfPDuW6G5U"/>
    <hyperlink ref="F1926" r:id="rId2" display="https://files.afu.se/Downloads/Transcripts/0%20-%20Government/USA%20-%20NASA/"/>
    <hyperlink ref="C1927" r:id="rId1927" display="https://youtu.be/nTAhl1Ud5QY"/>
    <hyperlink ref="F1927" r:id="rId2" display="https://files.afu.se/Downloads/Transcripts/0%20-%20Government/USA%20-%20NASA/"/>
    <hyperlink ref="C1928" r:id="rId1928" display="https://youtu.be/hhpBUJ1ft_o"/>
    <hyperlink ref="F1928" r:id="rId2" display="https://files.afu.se/Downloads/Transcripts/0%20-%20Government/USA%20-%20NASA/"/>
    <hyperlink ref="C1929" r:id="rId1929" display="https://youtu.be/AQV6Za0kgfA"/>
    <hyperlink ref="F1929" r:id="rId2" display="https://files.afu.se/Downloads/Transcripts/0%20-%20Government/USA%20-%20NASA/"/>
    <hyperlink ref="C1930" r:id="rId1930" display="https://youtu.be/gymAPmChPMM"/>
    <hyperlink ref="F1930" r:id="rId2" display="https://files.afu.se/Downloads/Transcripts/0%20-%20Government/USA%20-%20NASA/"/>
    <hyperlink ref="C1931" r:id="rId1931" display="https://youtu.be/5dv0gYjVw2k"/>
    <hyperlink ref="F1931" r:id="rId2" display="https://files.afu.se/Downloads/Transcripts/0%20-%20Government/USA%20-%20NASA/"/>
    <hyperlink ref="C1932" r:id="rId1932" display="https://youtu.be/t3Gw9uZc4IE"/>
    <hyperlink ref="F1932" r:id="rId2" display="https://files.afu.se/Downloads/Transcripts/0%20-%20Government/USA%20-%20NASA/"/>
    <hyperlink ref="C1933" r:id="rId1933" display="https://youtu.be/kXY-rvHxcd0"/>
    <hyperlink ref="F1933" r:id="rId2" display="https://files.afu.se/Downloads/Transcripts/0%20-%20Government/USA%20-%20NASA/"/>
    <hyperlink ref="C1934" r:id="rId1934" display="https://youtu.be/DeoQ4il7LQk"/>
    <hyperlink ref="F1934" r:id="rId2" display="https://files.afu.se/Downloads/Transcripts/0%20-%20Government/USA%20-%20NASA/"/>
    <hyperlink ref="C1935" r:id="rId1935" display="https://youtu.be/wSlDQPys4CM"/>
    <hyperlink ref="F1935" r:id="rId2" display="https://files.afu.se/Downloads/Transcripts/0%20-%20Government/USA%20-%20NASA/"/>
    <hyperlink ref="C1936" r:id="rId1936" display="https://youtu.be/o1oKkLiJa4U"/>
    <hyperlink ref="F1936" r:id="rId2" display="https://files.afu.se/Downloads/Transcripts/0%20-%20Government/USA%20-%20NASA/"/>
    <hyperlink ref="C1937" r:id="rId1937" display="https://youtu.be/vzNmGRPVoCo"/>
    <hyperlink ref="F1937" r:id="rId2" display="https://files.afu.se/Downloads/Transcripts/0%20-%20Government/USA%20-%20NASA/"/>
    <hyperlink ref="C1938" r:id="rId1938" display="https://youtu.be/Vy9IzhbHxBY"/>
    <hyperlink ref="F1938" r:id="rId2" display="https://files.afu.se/Downloads/Transcripts/0%20-%20Government/USA%20-%20NASA/"/>
    <hyperlink ref="C1939" r:id="rId1939" display="https://youtu.be/Dt6PRjH0T2A"/>
    <hyperlink ref="F1939" r:id="rId2" display="https://files.afu.se/Downloads/Transcripts/0%20-%20Government/USA%20-%20NASA/"/>
    <hyperlink ref="C1940" r:id="rId1940" display="https://youtu.be/ytHXbXNBTBk"/>
    <hyperlink ref="F1940" r:id="rId2" display="https://files.afu.se/Downloads/Transcripts/0%20-%20Government/USA%20-%20NASA/"/>
    <hyperlink ref="C1941" r:id="rId1941" display="https://youtu.be/oj164sgu72Y"/>
    <hyperlink ref="F1941" r:id="rId2" display="https://files.afu.se/Downloads/Transcripts/0%20-%20Government/USA%20-%20NASA/"/>
    <hyperlink ref="C1942" r:id="rId1942" display="https://youtu.be/m1pno_CKpAw"/>
    <hyperlink ref="F1942" r:id="rId2" display="https://files.afu.se/Downloads/Transcripts/0%20-%20Government/USA%20-%20NASA/"/>
    <hyperlink ref="C1943" r:id="rId1943" display="https://youtu.be/MiSkRYg_3wI"/>
    <hyperlink ref="F1943" r:id="rId2" display="https://files.afu.se/Downloads/Transcripts/0%20-%20Government/USA%20-%20NASA/"/>
    <hyperlink ref="C1944" r:id="rId1944" display="https://youtu.be/ukcZodM9j8E"/>
    <hyperlink ref="F1944" r:id="rId2" display="https://files.afu.se/Downloads/Transcripts/0%20-%20Government/USA%20-%20NASA/"/>
    <hyperlink ref="C1945" r:id="rId1945" display="https://youtu.be/r2s1ZJjeQGI"/>
    <hyperlink ref="F1945" r:id="rId2" display="https://files.afu.se/Downloads/Transcripts/0%20-%20Government/USA%20-%20NASA/"/>
    <hyperlink ref="C1946" r:id="rId1946" display="https://youtu.be/gHHVyXlkE1g"/>
    <hyperlink ref="F1946" r:id="rId2" display="https://files.afu.se/Downloads/Transcripts/0%20-%20Government/USA%20-%20NASA/"/>
    <hyperlink ref="C1947" r:id="rId1947" display="https://youtu.be/cBUxxH-hoKM"/>
    <hyperlink ref="F1947" r:id="rId2" display="https://files.afu.se/Downloads/Transcripts/0%20-%20Government/USA%20-%20NASA/"/>
    <hyperlink ref="C1948" r:id="rId1948" display="https://youtu.be/4RyP8O_NO2c"/>
    <hyperlink ref="F1948" r:id="rId2" display="https://files.afu.se/Downloads/Transcripts/0%20-%20Government/USA%20-%20NASA/"/>
    <hyperlink ref="C1949" r:id="rId1949" display="https://youtu.be/i-VNc1cSSPk"/>
    <hyperlink ref="F1949" r:id="rId2" display="https://files.afu.se/Downloads/Transcripts/0%20-%20Government/USA%20-%20NASA/"/>
    <hyperlink ref="C1950" r:id="rId1950" display="https://youtu.be/ec15AZ1-Q1I"/>
    <hyperlink ref="F1950" r:id="rId2" display="https://files.afu.se/Downloads/Transcripts/0%20-%20Government/USA%20-%20NASA/"/>
    <hyperlink ref="C1951" r:id="rId1951" display="https://youtu.be/dDE5XgVvJxE"/>
    <hyperlink ref="F1951" r:id="rId2" display="https://files.afu.se/Downloads/Transcripts/0%20-%20Government/USA%20-%20NASA/"/>
    <hyperlink ref="C1952" r:id="rId1952" display="https://youtu.be/CmohPIrfITw"/>
    <hyperlink ref="F1952" r:id="rId2" display="https://files.afu.se/Downloads/Transcripts/0%20-%20Government/USA%20-%20NASA/"/>
    <hyperlink ref="C1953" r:id="rId1953" display="https://youtu.be/Na1pwRW4ZYc"/>
    <hyperlink ref="F1953" r:id="rId2" display="https://files.afu.se/Downloads/Transcripts/0%20-%20Government/USA%20-%20NASA/"/>
    <hyperlink ref="C1954" r:id="rId1954" display="https://youtu.be/nBsYpLMeP1E"/>
    <hyperlink ref="F1954" r:id="rId2" display="https://files.afu.se/Downloads/Transcripts/0%20-%20Government/USA%20-%20NASA/"/>
    <hyperlink ref="C1955" r:id="rId1955" display="https://youtu.be/hwQtcJjaB3o"/>
    <hyperlink ref="F1955" r:id="rId2" display="https://files.afu.se/Downloads/Transcripts/0%20-%20Government/USA%20-%20NASA/"/>
    <hyperlink ref="C1956" r:id="rId1956" display="https://youtu.be/a6LnPFtKeoE"/>
    <hyperlink ref="F1956" r:id="rId2" display="https://files.afu.se/Downloads/Transcripts/0%20-%20Government/USA%20-%20NASA/"/>
    <hyperlink ref="C1957" r:id="rId1957" display="https://youtu.be/9wuPx1O6HQk"/>
    <hyperlink ref="F1957" r:id="rId2" display="https://files.afu.se/Downloads/Transcripts/0%20-%20Government/USA%20-%20NASA/"/>
    <hyperlink ref="C1958" r:id="rId1958" display="https://youtu.be/yEh4INCjeGQ"/>
    <hyperlink ref="F1958" r:id="rId2" display="https://files.afu.se/Downloads/Transcripts/0%20-%20Government/USA%20-%20NASA/"/>
    <hyperlink ref="C1959" r:id="rId1959" display="https://youtu.be/m2bkJQah_dE"/>
    <hyperlink ref="F1959" r:id="rId2" display="https://files.afu.se/Downloads/Transcripts/0%20-%20Government/USA%20-%20NASA/"/>
    <hyperlink ref="C1960" r:id="rId1960" display="https://youtu.be/CRpUzeNWtIA"/>
    <hyperlink ref="F1960" r:id="rId2" display="https://files.afu.se/Downloads/Transcripts/0%20-%20Government/USA%20-%20NASA/"/>
    <hyperlink ref="C1961" r:id="rId1961" display="https://youtu.be/dLDU0Ow9M_U"/>
    <hyperlink ref="F1961" r:id="rId2" display="https://files.afu.se/Downloads/Transcripts/0%20-%20Government/USA%20-%20NASA/"/>
    <hyperlink ref="C1962" r:id="rId1962" display="https://youtu.be/7PoaG0yjIJM"/>
    <hyperlink ref="F1962" r:id="rId2" display="https://files.afu.se/Downloads/Transcripts/0%20-%20Government/USA%20-%20NASA/"/>
    <hyperlink ref="C1963" r:id="rId1963" display="https://youtu.be/nDQQUnyMtFM"/>
    <hyperlink ref="F1963" r:id="rId2" display="https://files.afu.se/Downloads/Transcripts/0%20-%20Government/USA%20-%20NASA/"/>
    <hyperlink ref="C1964" r:id="rId1964" display="https://youtu.be/zU8kz5fqrHA"/>
    <hyperlink ref="F1964" r:id="rId2" display="https://files.afu.se/Downloads/Transcripts/0%20-%20Government/USA%20-%20NASA/"/>
    <hyperlink ref="C1965" r:id="rId1965" display="https://youtu.be/2oxlEUf0uD4"/>
    <hyperlink ref="F1965" r:id="rId2" display="https://files.afu.se/Downloads/Transcripts/0%20-%20Government/USA%20-%20NASA/"/>
    <hyperlink ref="C1966" r:id="rId1966" display="https://youtu.be/i2LsMaEub2M"/>
    <hyperlink ref="F1966" r:id="rId2" display="https://files.afu.se/Downloads/Transcripts/0%20-%20Government/USA%20-%20NASA/"/>
    <hyperlink ref="C1967" r:id="rId1967" display="https://youtu.be/30jRZe9Ss6M"/>
    <hyperlink ref="F1967" r:id="rId2" display="https://files.afu.se/Downloads/Transcripts/0%20-%20Government/USA%20-%20NASA/"/>
    <hyperlink ref="C1968" r:id="rId1968" display="https://youtu.be/TJ5e9O6yKlU"/>
    <hyperlink ref="F1968" r:id="rId2" display="https://files.afu.se/Downloads/Transcripts/0%20-%20Government/USA%20-%20NASA/"/>
    <hyperlink ref="C1969" r:id="rId1969" display="https://youtu.be/KsItO5AwOK8"/>
    <hyperlink ref="F1969" r:id="rId2" display="https://files.afu.se/Downloads/Transcripts/0%20-%20Government/USA%20-%20NASA/"/>
    <hyperlink ref="C1970" r:id="rId1970" display="https://youtu.be/fKCI7K2-NEE"/>
    <hyperlink ref="F1970" r:id="rId2" display="https://files.afu.se/Downloads/Transcripts/0%20-%20Government/USA%20-%20NASA/"/>
    <hyperlink ref="C1971" r:id="rId1971" display="https://youtu.be/pDWIu0YpHI0"/>
    <hyperlink ref="F1971" r:id="rId2" display="https://files.afu.se/Downloads/Transcripts/0%20-%20Government/USA%20-%20NASA/"/>
    <hyperlink ref="C1972" r:id="rId1972" display="https://youtu.be/-GTYaancYC8"/>
    <hyperlink ref="F1972" r:id="rId2" display="https://files.afu.se/Downloads/Transcripts/0%20-%20Government/USA%20-%20NASA/"/>
    <hyperlink ref="C1973" r:id="rId1973" display="https://youtu.be/DIvVLyltJe8"/>
    <hyperlink ref="F1973" r:id="rId2" display="https://files.afu.se/Downloads/Transcripts/0%20-%20Government/USA%20-%20NASA/"/>
    <hyperlink ref="C1974" r:id="rId1974" display="https://youtu.be/zHxRPEaARBI"/>
    <hyperlink ref="F1974" r:id="rId2" display="https://files.afu.se/Downloads/Transcripts/0%20-%20Government/USA%20-%20NASA/"/>
    <hyperlink ref="C1975" r:id="rId1975" display="https://youtu.be/bcWJG54KCUI"/>
    <hyperlink ref="F1975" r:id="rId2" display="https://files.afu.se/Downloads/Transcripts/0%20-%20Government/USA%20-%20NASA/"/>
    <hyperlink ref="C1976" r:id="rId1976" display="https://youtu.be/yCBzeIiYnmY"/>
    <hyperlink ref="F1976" r:id="rId2" display="https://files.afu.se/Downloads/Transcripts/0%20-%20Government/USA%20-%20NASA/"/>
    <hyperlink ref="C1977" r:id="rId1977" display="https://youtu.be/eFDVn2R3Edk"/>
    <hyperlink ref="F1977" r:id="rId2" display="https://files.afu.se/Downloads/Transcripts/0%20-%20Government/USA%20-%20NASA/"/>
    <hyperlink ref="C1978" r:id="rId1978" display="https://youtu.be/uWfBj8VhnQQ"/>
    <hyperlink ref="F1978" r:id="rId2" display="https://files.afu.se/Downloads/Transcripts/0%20-%20Government/USA%20-%20NASA/"/>
    <hyperlink ref="C1979" r:id="rId1979" display="https://youtu.be/cFrTVYMHM44"/>
    <hyperlink ref="F1979" r:id="rId2" display="https://files.afu.se/Downloads/Transcripts/0%20-%20Government/USA%20-%20NASA/"/>
    <hyperlink ref="C1980" r:id="rId1980" display="https://youtu.be/aPtFpKQaLSU"/>
    <hyperlink ref="F1980" r:id="rId2" display="https://files.afu.se/Downloads/Transcripts/0%20-%20Government/USA%20-%20NASA/"/>
    <hyperlink ref="C1981" r:id="rId1981" display="https://youtu.be/8cA0tiWPO_c"/>
    <hyperlink ref="F1981" r:id="rId2" display="https://files.afu.se/Downloads/Transcripts/0%20-%20Government/USA%20-%20NASA/"/>
    <hyperlink ref="C1982" r:id="rId1982" display="https://youtu.be/D5w74zXnbTU"/>
    <hyperlink ref="F1982" r:id="rId2" display="https://files.afu.se/Downloads/Transcripts/0%20-%20Government/USA%20-%20NASA/"/>
    <hyperlink ref="C1983" r:id="rId1983" display="https://youtu.be/g4JXRH-2OIQ"/>
    <hyperlink ref="F1983" r:id="rId2" display="https://files.afu.se/Downloads/Transcripts/0%20-%20Government/USA%20-%20NASA/"/>
    <hyperlink ref="C1984" r:id="rId1984" display="https://youtu.be/8kz4_00l6m0"/>
    <hyperlink ref="F1984" r:id="rId2" display="https://files.afu.se/Downloads/Transcripts/0%20-%20Government/USA%20-%20NASA/"/>
    <hyperlink ref="C1985" r:id="rId1985" display="https://youtu.be/dWr29KIs2Ns"/>
    <hyperlink ref="F1985" r:id="rId2" display="https://files.afu.se/Downloads/Transcripts/0%20-%20Government/USA%20-%20NASA/"/>
    <hyperlink ref="C1986" r:id="rId1986" display="https://youtu.be/Emaa0gbyJWo"/>
    <hyperlink ref="F1986" r:id="rId2" display="https://files.afu.se/Downloads/Transcripts/0%20-%20Government/USA%20-%20NASA/"/>
    <hyperlink ref="C1987" r:id="rId1987" display="https://youtu.be/-8kGByu_EZk"/>
    <hyperlink ref="F1987" r:id="rId2" display="https://files.afu.se/Downloads/Transcripts/0%20-%20Government/USA%20-%20NASA/"/>
    <hyperlink ref="C1988" r:id="rId1988" display="https://youtu.be/PvOF5anPAwo"/>
    <hyperlink ref="F1988" r:id="rId2" display="https://files.afu.se/Downloads/Transcripts/0%20-%20Government/USA%20-%20NASA/"/>
    <hyperlink ref="C1989" r:id="rId1989" display="https://youtu.be/lJJExh5U77c"/>
    <hyperlink ref="F1989" r:id="rId2" display="https://files.afu.se/Downloads/Transcripts/0%20-%20Government/USA%20-%20NASA/"/>
    <hyperlink ref="C1990" r:id="rId1990" display="https://youtu.be/1N7ybMx_F-4"/>
    <hyperlink ref="F1990" r:id="rId2" display="https://files.afu.se/Downloads/Transcripts/0%20-%20Government/USA%20-%20NASA/"/>
    <hyperlink ref="C1991" r:id="rId1991" display="https://youtu.be/IeYmvOx8x38"/>
    <hyperlink ref="F1991" r:id="rId2" display="https://files.afu.se/Downloads/Transcripts/0%20-%20Government/USA%20-%20NASA/"/>
    <hyperlink ref="C1992" r:id="rId1992" display="https://youtu.be/_IdKkLO-W_Q"/>
    <hyperlink ref="F1992" r:id="rId2" display="https://files.afu.se/Downloads/Transcripts/0%20-%20Government/USA%20-%20NASA/"/>
    <hyperlink ref="C1993" r:id="rId1993" display="https://youtu.be/NRGjVDsrkA0"/>
    <hyperlink ref="F1993" r:id="rId2" display="https://files.afu.se/Downloads/Transcripts/0%20-%20Government/USA%20-%20NASA/"/>
    <hyperlink ref="C1994" r:id="rId1994" display="https://youtu.be/TgqwjUGJ9eE"/>
    <hyperlink ref="F1994" r:id="rId2" display="https://files.afu.se/Downloads/Transcripts/0%20-%20Government/USA%20-%20NASA/"/>
    <hyperlink ref="C1995" r:id="rId1995" display="https://youtu.be/qWPZTjd7Kk8"/>
    <hyperlink ref="F1995" r:id="rId2" display="https://files.afu.se/Downloads/Transcripts/0%20-%20Government/USA%20-%20NASA/"/>
    <hyperlink ref="C1996" r:id="rId1996" display="https://youtu.be/xAGwxl7FZWw"/>
    <hyperlink ref="F1996" r:id="rId2" display="https://files.afu.se/Downloads/Transcripts/0%20-%20Government/USA%20-%20NASA/"/>
    <hyperlink ref="C1997" r:id="rId1997" display="https://youtu.be/v64H35RDtR8"/>
    <hyperlink ref="F1997" r:id="rId2" display="https://files.afu.se/Downloads/Transcripts/0%20-%20Government/USA%20-%20NASA/"/>
    <hyperlink ref="C1998" r:id="rId1998" display="https://youtu.be/0jTdaOhG9wE"/>
    <hyperlink ref="F1998" r:id="rId2" display="https://files.afu.se/Downloads/Transcripts/0%20-%20Government/USA%20-%20NASA/"/>
    <hyperlink ref="C1999" r:id="rId1999" display="https://youtu.be/vSvPFrBjuHc"/>
    <hyperlink ref="F1999" r:id="rId2" display="https://files.afu.se/Downloads/Transcripts/0%20-%20Government/USA%20-%20NASA/"/>
    <hyperlink ref="C2000" r:id="rId2000" display="https://youtu.be/Z3pvlI0WFi0"/>
    <hyperlink ref="F2000" r:id="rId2" display="https://files.afu.se/Downloads/Transcripts/0%20-%20Government/USA%20-%20NASA/"/>
    <hyperlink ref="C2001" r:id="rId2001" display="https://youtu.be/Qgs7c8NJVIg"/>
    <hyperlink ref="F2001" r:id="rId2" display="https://files.afu.se/Downloads/Transcripts/0%20-%20Government/USA%20-%20NASA/"/>
    <hyperlink ref="C2002" r:id="rId2002" display="https://youtu.be/pwgPTin9pnM"/>
    <hyperlink ref="F2002" r:id="rId2" display="https://files.afu.se/Downloads/Transcripts/0%20-%20Government/USA%20-%20NASA/"/>
    <hyperlink ref="C2003" r:id="rId2003" display="https://youtu.be/8s0XVv6jffk"/>
    <hyperlink ref="F2003" r:id="rId2" display="https://files.afu.se/Downloads/Transcripts/0%20-%20Government/USA%20-%20NASA/"/>
    <hyperlink ref="C2004" r:id="rId2004" display="https://youtu.be/9jlYzc_Ketg"/>
    <hyperlink ref="F2004" r:id="rId2" display="https://files.afu.se/Downloads/Transcripts/0%20-%20Government/USA%20-%20NASA/"/>
    <hyperlink ref="C2005" r:id="rId2005" display="https://youtu.be/-PCXw6zxXnk"/>
    <hyperlink ref="F2005" r:id="rId2" display="https://files.afu.se/Downloads/Transcripts/0%20-%20Government/USA%20-%20NASA/"/>
    <hyperlink ref="C2006" r:id="rId2006" display="https://youtu.be/4BmybiFW6_8"/>
    <hyperlink ref="F2006" r:id="rId2" display="https://files.afu.se/Downloads/Transcripts/0%20-%20Government/USA%20-%20NASA/"/>
    <hyperlink ref="C2007" r:id="rId2007" display="https://youtu.be/wSfU2uxoFUw"/>
    <hyperlink ref="F2007" r:id="rId2" display="https://files.afu.se/Downloads/Transcripts/0%20-%20Government/USA%20-%20NASA/"/>
    <hyperlink ref="C2008" r:id="rId2008" display="https://youtu.be/aNSGTbS3xuQ"/>
    <hyperlink ref="F2008" r:id="rId2" display="https://files.afu.se/Downloads/Transcripts/0%20-%20Government/USA%20-%20NASA/"/>
    <hyperlink ref="C2009" r:id="rId2009" display="https://youtu.be/hM25uYAQWeo"/>
    <hyperlink ref="F2009" r:id="rId2" display="https://files.afu.se/Downloads/Transcripts/0%20-%20Government/USA%20-%20NASA/"/>
    <hyperlink ref="C2010" r:id="rId2010" display="https://youtu.be/DaElspuqbUA"/>
    <hyperlink ref="F2010" r:id="rId2" display="https://files.afu.se/Downloads/Transcripts/0%20-%20Government/USA%20-%20NASA/"/>
    <hyperlink ref="C2011" r:id="rId2011" display="https://youtu.be/oywH-z6nTTQ"/>
    <hyperlink ref="F2011" r:id="rId2" display="https://files.afu.se/Downloads/Transcripts/0%20-%20Government/USA%20-%20NASA/"/>
    <hyperlink ref="C2012" r:id="rId2012" display="https://youtu.be/wjkzIKpthqk"/>
    <hyperlink ref="F2012" r:id="rId2" display="https://files.afu.se/Downloads/Transcripts/0%20-%20Government/USA%20-%20NASA/"/>
    <hyperlink ref="C2013" r:id="rId2013" display="https://youtu.be/IztSuNo7z0s"/>
    <hyperlink ref="F2013" r:id="rId2" display="https://files.afu.se/Downloads/Transcripts/0%20-%20Government/USA%20-%20NASA/"/>
    <hyperlink ref="C2014" r:id="rId2014" display="https://youtu.be/i_IWCj_Htko"/>
    <hyperlink ref="F2014" r:id="rId2" display="https://files.afu.se/Downloads/Transcripts/0%20-%20Government/USA%20-%20NASA/"/>
    <hyperlink ref="C2015" r:id="rId2015" display="https://youtu.be/MUsHccM00eU"/>
    <hyperlink ref="F2015" r:id="rId2" display="https://files.afu.se/Downloads/Transcripts/0%20-%20Government/USA%20-%20NASA/"/>
    <hyperlink ref="C2016" r:id="rId2016" display="https://youtu.be/seQapSJupaM"/>
    <hyperlink ref="F2016" r:id="rId2" display="https://files.afu.se/Downloads/Transcripts/0%20-%20Government/USA%20-%20NASA/"/>
    <hyperlink ref="C2017" r:id="rId2017" display="https://youtu.be/mj9aPD4wvxE"/>
    <hyperlink ref="F2017" r:id="rId2" display="https://files.afu.se/Downloads/Transcripts/0%20-%20Government/USA%20-%20NASA/"/>
    <hyperlink ref="C2018" r:id="rId2018" display="https://youtu.be/Epe1nRh7jWE"/>
    <hyperlink ref="F2018" r:id="rId2" display="https://files.afu.se/Downloads/Transcripts/0%20-%20Government/USA%20-%20NASA/"/>
    <hyperlink ref="C2019" r:id="rId2019" display="https://youtu.be/qalaQrZRm2M"/>
    <hyperlink ref="F2019" r:id="rId2" display="https://files.afu.se/Downloads/Transcripts/0%20-%20Government/USA%20-%20NASA/"/>
    <hyperlink ref="C2020" r:id="rId2020" display="https://youtu.be/wNwLmrxoXDU"/>
    <hyperlink ref="F2020" r:id="rId2" display="https://files.afu.se/Downloads/Transcripts/0%20-%20Government/USA%20-%20NASA/"/>
    <hyperlink ref="C2021" r:id="rId2021" display="https://youtu.be/H3zbyzuFA6I"/>
    <hyperlink ref="F2021" r:id="rId2" display="https://files.afu.se/Downloads/Transcripts/0%20-%20Government/USA%20-%20NASA/"/>
    <hyperlink ref="C2022" r:id="rId2022" display="https://youtu.be/yAySSOI_QLo"/>
    <hyperlink ref="F2022" r:id="rId2" display="https://files.afu.se/Downloads/Transcripts/0%20-%20Government/USA%20-%20NASA/"/>
    <hyperlink ref="C2023" r:id="rId2023" display="https://youtu.be/UFzz5fp2fCg"/>
    <hyperlink ref="F2023" r:id="rId2" display="https://files.afu.se/Downloads/Transcripts/0%20-%20Government/USA%20-%20NASA/"/>
    <hyperlink ref="C2024" r:id="rId2024" display="https://youtu.be/xaWSAEZ6Pkw"/>
    <hyperlink ref="F2024" r:id="rId2" display="https://files.afu.se/Downloads/Transcripts/0%20-%20Government/USA%20-%20NASA/"/>
    <hyperlink ref="C2025" r:id="rId2025" display="https://youtu.be/vdQ5rFSH7c4"/>
    <hyperlink ref="F2025" r:id="rId2" display="https://files.afu.se/Downloads/Transcripts/0%20-%20Government/USA%20-%20NASA/"/>
    <hyperlink ref="C2026" r:id="rId2026" display="https://youtu.be/h8SRnSTXe_k"/>
    <hyperlink ref="F2026" r:id="rId2" display="https://files.afu.se/Downloads/Transcripts/0%20-%20Government/USA%20-%20NASA/"/>
    <hyperlink ref="C2027" r:id="rId2027" display="https://youtu.be/HdE2xs4ccF0"/>
    <hyperlink ref="F2027" r:id="rId2" display="https://files.afu.se/Downloads/Transcripts/0%20-%20Government/USA%20-%20NASA/"/>
    <hyperlink ref="C2028" r:id="rId2028" display="https://youtu.be/t5OxLeajz6I"/>
    <hyperlink ref="F2028" r:id="rId2" display="https://files.afu.se/Downloads/Transcripts/0%20-%20Government/USA%20-%20NASA/"/>
    <hyperlink ref="C2029" r:id="rId2029" display="https://youtu.be/K5ZBdhCLb-I"/>
    <hyperlink ref="F2029" r:id="rId2" display="https://files.afu.se/Downloads/Transcripts/0%20-%20Government/USA%20-%20NASA/"/>
    <hyperlink ref="C2030" r:id="rId2030" display="https://youtu.be/ijig1A2ViRo"/>
    <hyperlink ref="F2030" r:id="rId2" display="https://files.afu.se/Downloads/Transcripts/0%20-%20Government/USA%20-%20NASA/"/>
    <hyperlink ref="C2031" r:id="rId2031" display="https://youtu.be/hCWqNy6tVOM"/>
    <hyperlink ref="F2031" r:id="rId2" display="https://files.afu.se/Downloads/Transcripts/0%20-%20Government/USA%20-%20NASA/"/>
    <hyperlink ref="C2032" r:id="rId2032" display="https://youtu.be/2uP-0oqmyiA"/>
    <hyperlink ref="F2032" r:id="rId2" display="https://files.afu.se/Downloads/Transcripts/0%20-%20Government/USA%20-%20NASA/"/>
    <hyperlink ref="C2033" r:id="rId2033" display="https://youtu.be/EHjWfarVyZc"/>
    <hyperlink ref="F2033" r:id="rId2" display="https://files.afu.se/Downloads/Transcripts/0%20-%20Government/USA%20-%20NASA/"/>
    <hyperlink ref="C2034" r:id="rId2034" display="https://youtu.be/LxqZOb68mrA"/>
    <hyperlink ref="F2034" r:id="rId2" display="https://files.afu.se/Downloads/Transcripts/0%20-%20Government/USA%20-%20NASA/"/>
    <hyperlink ref="C2035" r:id="rId2035" display="https://youtu.be/l6GmuRY5bHA"/>
    <hyperlink ref="F2035" r:id="rId2" display="https://files.afu.se/Downloads/Transcripts/0%20-%20Government/USA%20-%20NASA/"/>
    <hyperlink ref="C2036" r:id="rId2036" display="https://youtu.be/ZJt6AA2lFRs"/>
    <hyperlink ref="F2036" r:id="rId2" display="https://files.afu.se/Downloads/Transcripts/0%20-%20Government/USA%20-%20NASA/"/>
    <hyperlink ref="C2037" r:id="rId2037" display="https://youtu.be/DQX1kajzy0M"/>
    <hyperlink ref="F2037" r:id="rId2" display="https://files.afu.se/Downloads/Transcripts/0%20-%20Government/USA%20-%20NASA/"/>
    <hyperlink ref="C2038" r:id="rId2038" display="https://youtu.be/kqq-4QqZPi0"/>
    <hyperlink ref="F2038" r:id="rId2" display="https://files.afu.se/Downloads/Transcripts/0%20-%20Government/USA%20-%20NASA/"/>
    <hyperlink ref="C2039" r:id="rId2039" display="https://youtu.be/LaMVihIWJps"/>
    <hyperlink ref="F2039" r:id="rId2" display="https://files.afu.se/Downloads/Transcripts/0%20-%20Government/USA%20-%20NASA/"/>
    <hyperlink ref="C2040" r:id="rId2040" display="https://youtu.be/f8b_BhUHlNw"/>
    <hyperlink ref="F2040" r:id="rId2" display="https://files.afu.se/Downloads/Transcripts/0%20-%20Government/USA%20-%20NASA/"/>
    <hyperlink ref="C2041" r:id="rId2041" display="https://youtu.be/2NWldRsZvUw"/>
    <hyperlink ref="F2041" r:id="rId2" display="https://files.afu.se/Downloads/Transcripts/0%20-%20Government/USA%20-%20NASA/"/>
    <hyperlink ref="C2042" r:id="rId2042" display="https://youtu.be/hGO1F6Qdwfk"/>
    <hyperlink ref="F2042" r:id="rId2" display="https://files.afu.se/Downloads/Transcripts/0%20-%20Government/USA%20-%20NASA/"/>
    <hyperlink ref="C2043" r:id="rId2043" display="https://youtu.be/hMZw19F0lek"/>
    <hyperlink ref="F2043" r:id="rId2" display="https://files.afu.se/Downloads/Transcripts/0%20-%20Government/USA%20-%20NASA/"/>
    <hyperlink ref="C2044" r:id="rId2044" display="https://youtu.be/wVtO-8XKhVE"/>
    <hyperlink ref="F2044" r:id="rId2" display="https://files.afu.se/Downloads/Transcripts/0%20-%20Government/USA%20-%20NASA/"/>
    <hyperlink ref="C2045" r:id="rId2045" display="https://youtu.be/d4hPWdRIgHQ"/>
    <hyperlink ref="F2045" r:id="rId2" display="https://files.afu.se/Downloads/Transcripts/0%20-%20Government/USA%20-%20NASA/"/>
    <hyperlink ref="C2046" r:id="rId2046" display="https://youtu.be/yXuUJgkKd_Y"/>
    <hyperlink ref="F2046" r:id="rId2" display="https://files.afu.se/Downloads/Transcripts/0%20-%20Government/USA%20-%20NASA/"/>
    <hyperlink ref="C2047" r:id="rId2047" display="https://youtu.be/ecq8QwKqLuY"/>
    <hyperlink ref="F2047" r:id="rId2" display="https://files.afu.se/Downloads/Transcripts/0%20-%20Government/USA%20-%20NASA/"/>
    <hyperlink ref="C2048" r:id="rId2048" display="https://youtu.be/Bb1a0dbcni8"/>
    <hyperlink ref="F2048" r:id="rId2" display="https://files.afu.se/Downloads/Transcripts/0%20-%20Government/USA%20-%20NASA/"/>
    <hyperlink ref="C2049" r:id="rId2049" display="https://youtu.be/xv4ON7nvFO8"/>
    <hyperlink ref="F2049" r:id="rId2" display="https://files.afu.se/Downloads/Transcripts/0%20-%20Government/USA%20-%20NASA/"/>
    <hyperlink ref="C2050" r:id="rId2050" display="https://youtu.be/PtyDxLMvozs"/>
    <hyperlink ref="F2050" r:id="rId2" display="https://files.afu.se/Downloads/Transcripts/0%20-%20Government/USA%20-%20NASA/"/>
    <hyperlink ref="C2051" r:id="rId2051" display="https://youtu.be/EJxwWpaGoJs"/>
    <hyperlink ref="F2051" r:id="rId2" display="https://files.afu.se/Downloads/Transcripts/0%20-%20Government/USA%20-%20NASA/"/>
    <hyperlink ref="C2052" r:id="rId2052" display="https://youtu.be/XyMzPnoUmBk"/>
    <hyperlink ref="F2052" r:id="rId2" display="https://files.afu.se/Downloads/Transcripts/0%20-%20Government/USA%20-%20NASA/"/>
    <hyperlink ref="C2053" r:id="rId2053" display="https://youtu.be/DFmi3itKRT0"/>
    <hyperlink ref="F2053" r:id="rId2" display="https://files.afu.se/Downloads/Transcripts/0%20-%20Government/USA%20-%20NASA/"/>
    <hyperlink ref="C2054" r:id="rId2054" display="https://youtu.be/cAb4BHFYotY"/>
    <hyperlink ref="F2054" r:id="rId2" display="https://files.afu.se/Downloads/Transcripts/0%20-%20Government/USA%20-%20NASA/"/>
    <hyperlink ref="C2055" r:id="rId2055" display="https://youtu.be/QA8-RLLO9EI"/>
    <hyperlink ref="F2055" r:id="rId2" display="https://files.afu.se/Downloads/Transcripts/0%20-%20Government/USA%20-%20NASA/"/>
    <hyperlink ref="C2056" r:id="rId2056" display="https://youtu.be/yrRE7rKEc_4"/>
    <hyperlink ref="F2056" r:id="rId2" display="https://files.afu.se/Downloads/Transcripts/0%20-%20Government/USA%20-%20NASA/"/>
    <hyperlink ref="C2057" r:id="rId2057" display="https://youtu.be/zdXjwiopT9Y"/>
    <hyperlink ref="F2057" r:id="rId2" display="https://files.afu.se/Downloads/Transcripts/0%20-%20Government/USA%20-%20NASA/"/>
    <hyperlink ref="C2058" r:id="rId2058" display="https://youtu.be/zpHhxAg8pog"/>
    <hyperlink ref="F2058" r:id="rId2" display="https://files.afu.se/Downloads/Transcripts/0%20-%20Government/USA%20-%20NASA/"/>
    <hyperlink ref="C2059" r:id="rId2059" display="https://youtu.be/5P_SYRk30k0"/>
    <hyperlink ref="F2059" r:id="rId2" display="https://files.afu.se/Downloads/Transcripts/0%20-%20Government/USA%20-%20NASA/"/>
    <hyperlink ref="C2060" r:id="rId2060" display="https://youtu.be/7ksgMkDeLoM"/>
    <hyperlink ref="F2060" r:id="rId2" display="https://files.afu.se/Downloads/Transcripts/0%20-%20Government/USA%20-%20NASA/"/>
    <hyperlink ref="C2061" r:id="rId2061" display="https://youtu.be/tlNjniFCXMg"/>
    <hyperlink ref="F2061" r:id="rId2" display="https://files.afu.se/Downloads/Transcripts/0%20-%20Government/USA%20-%20NASA/"/>
    <hyperlink ref="C2062" r:id="rId2062" display="https://youtu.be/RMbSPnC-RIM"/>
    <hyperlink ref="F2062" r:id="rId2" display="https://files.afu.se/Downloads/Transcripts/0%20-%20Government/USA%20-%20NASA/"/>
    <hyperlink ref="C2063" r:id="rId2063" display="https://youtu.be/WbuProXpilE"/>
    <hyperlink ref="F2063" r:id="rId2" display="https://files.afu.se/Downloads/Transcripts/0%20-%20Government/USA%20-%20NASA/"/>
    <hyperlink ref="C2064" r:id="rId2064" display="https://youtu.be/pKwLR93tf4k"/>
    <hyperlink ref="F2064" r:id="rId2" display="https://files.afu.se/Downloads/Transcripts/0%20-%20Government/USA%20-%20NASA/"/>
    <hyperlink ref="C2065" r:id="rId2065" display="https://youtu.be/pMMwLi6UGrs"/>
    <hyperlink ref="F2065" r:id="rId2" display="https://files.afu.se/Downloads/Transcripts/0%20-%20Government/USA%20-%20NASA/"/>
    <hyperlink ref="C2066" r:id="rId2066" display="https://youtu.be/L0AiXuPy9Dg"/>
    <hyperlink ref="F2066" r:id="rId2" display="https://files.afu.se/Downloads/Transcripts/0%20-%20Government/USA%20-%20NASA/"/>
    <hyperlink ref="C2067" r:id="rId2067" display="https://youtu.be/3c0hfqHRwro"/>
    <hyperlink ref="F2067" r:id="rId2" display="https://files.afu.se/Downloads/Transcripts/0%20-%20Government/USA%20-%20NASA/"/>
    <hyperlink ref="C2068" r:id="rId2068" display="https://youtu.be/_D0DxtKj0mc"/>
    <hyperlink ref="F2068" r:id="rId2" display="https://files.afu.se/Downloads/Transcripts/0%20-%20Government/USA%20-%20NASA/"/>
    <hyperlink ref="C2069" r:id="rId2069" display="https://youtu.be/Z62z64-AyH0"/>
    <hyperlink ref="F2069" r:id="rId2" display="https://files.afu.se/Downloads/Transcripts/0%20-%20Government/USA%20-%20NASA/"/>
    <hyperlink ref="C2070" r:id="rId2070" display="https://youtu.be/tbIt8m9cnFA"/>
    <hyperlink ref="F2070" r:id="rId2" display="https://files.afu.se/Downloads/Transcripts/0%20-%20Government/USA%20-%20NASA/"/>
    <hyperlink ref="C2071" r:id="rId2071" display="https://youtu.be/Rxhv5lzXUgc"/>
    <hyperlink ref="F2071" r:id="rId2" display="https://files.afu.se/Downloads/Transcripts/0%20-%20Government/USA%20-%20NASA/"/>
    <hyperlink ref="C2072" r:id="rId2072" display="https://youtu.be/F9hrKGOpW_I"/>
    <hyperlink ref="F2072" r:id="rId2" display="https://files.afu.se/Downloads/Transcripts/0%20-%20Government/USA%20-%20NASA/"/>
    <hyperlink ref="C2073" r:id="rId2073" display="https://youtu.be/lIOgeONyOos"/>
    <hyperlink ref="F2073" r:id="rId2" display="https://files.afu.se/Downloads/Transcripts/0%20-%20Government/USA%20-%20NASA/"/>
    <hyperlink ref="C2074" r:id="rId2074" display="https://youtu.be/J1QuGKpFnlg"/>
    <hyperlink ref="F2074" r:id="rId2" display="https://files.afu.se/Downloads/Transcripts/0%20-%20Government/USA%20-%20NASA/"/>
    <hyperlink ref="C2075" r:id="rId2075" display="https://youtu.be/g5GFPEEsJGQ"/>
    <hyperlink ref="F2075" r:id="rId2" display="https://files.afu.se/Downloads/Transcripts/0%20-%20Government/USA%20-%20NASA/"/>
    <hyperlink ref="C2076" r:id="rId2076" display="https://youtu.be/q08YgivkPdI"/>
    <hyperlink ref="F2076" r:id="rId2" display="https://files.afu.se/Downloads/Transcripts/0%20-%20Government/USA%20-%20NASA/"/>
    <hyperlink ref="C2077" r:id="rId2077" display="https://youtu.be/k6Seub90tGQ"/>
    <hyperlink ref="F2077" r:id="rId2" display="https://files.afu.se/Downloads/Transcripts/0%20-%20Government/USA%20-%20NASA/"/>
    <hyperlink ref="C2078" r:id="rId2078" display="https://youtu.be/2ti1LBk119E"/>
    <hyperlink ref="F2078" r:id="rId2" display="https://files.afu.se/Downloads/Transcripts/0%20-%20Government/USA%20-%20NASA/"/>
    <hyperlink ref="C2079" r:id="rId2079" display="https://youtu.be/sd4LrHfqa-Y"/>
    <hyperlink ref="F2079" r:id="rId2" display="https://files.afu.se/Downloads/Transcripts/0%20-%20Government/USA%20-%20NASA/"/>
    <hyperlink ref="C2080" r:id="rId2080" display="https://youtu.be/bGJXj6tei2k"/>
    <hyperlink ref="F2080" r:id="rId2" display="https://files.afu.se/Downloads/Transcripts/0%20-%20Government/USA%20-%20NASA/"/>
    <hyperlink ref="C2081" r:id="rId2081" display="https://youtu.be/6ZzxU8qAnn8"/>
    <hyperlink ref="F2081" r:id="rId2" display="https://files.afu.se/Downloads/Transcripts/0%20-%20Government/USA%20-%20NASA/"/>
    <hyperlink ref="C2082" r:id="rId2082" display="https://youtu.be/PDVkBV-dnkU"/>
    <hyperlink ref="F2082" r:id="rId2" display="https://files.afu.se/Downloads/Transcripts/0%20-%20Government/USA%20-%20NASA/"/>
    <hyperlink ref="C2083" r:id="rId2083" display="https://youtu.be/ULU7ha1GTjs"/>
    <hyperlink ref="F2083" r:id="rId2" display="https://files.afu.se/Downloads/Transcripts/0%20-%20Government/USA%20-%20NASA/"/>
    <hyperlink ref="C2084" r:id="rId2084" display="https://youtu.be/P1M6gxvuPrM"/>
    <hyperlink ref="F2084" r:id="rId2" display="https://files.afu.se/Downloads/Transcripts/0%20-%20Government/USA%20-%20NASA/"/>
    <hyperlink ref="C2085" r:id="rId2085" display="https://youtu.be/_7ZHzjXZ_nw"/>
    <hyperlink ref="F2085" r:id="rId2" display="https://files.afu.se/Downloads/Transcripts/0%20-%20Government/USA%20-%20NASA/"/>
    <hyperlink ref="C2086" r:id="rId2086" display="https://youtu.be/t0j4vW0UJYU"/>
    <hyperlink ref="F2086" r:id="rId2" display="https://files.afu.se/Downloads/Transcripts/0%20-%20Government/USA%20-%20NASA/"/>
    <hyperlink ref="C2087" r:id="rId2087" display="https://youtu.be/Zb5uU1DcT_c"/>
    <hyperlink ref="F2087" r:id="rId2" display="https://files.afu.se/Downloads/Transcripts/0%20-%20Government/USA%20-%20NASA/"/>
    <hyperlink ref="C2088" r:id="rId2088" display="https://youtu.be/DA_b1XPYxkc"/>
    <hyperlink ref="F2088" r:id="rId2" display="https://files.afu.se/Downloads/Transcripts/0%20-%20Government/USA%20-%20NASA/"/>
    <hyperlink ref="C2089" r:id="rId2089" display="https://youtu.be/urY1AEVGyIY"/>
    <hyperlink ref="F2089" r:id="rId2" display="https://files.afu.se/Downloads/Transcripts/0%20-%20Government/USA%20-%20NASA/"/>
    <hyperlink ref="C2090" r:id="rId2090" display="https://youtu.be/5bhW2h08zhY"/>
    <hyperlink ref="F2090" r:id="rId2" display="https://files.afu.se/Downloads/Transcripts/0%20-%20Government/USA%20-%20NASA/"/>
    <hyperlink ref="C2091" r:id="rId2091" display="https://youtu.be/XbIf7FrfKHA"/>
    <hyperlink ref="F2091" r:id="rId2" display="https://files.afu.se/Downloads/Transcripts/0%20-%20Government/USA%20-%20NASA/"/>
    <hyperlink ref="C2092" r:id="rId2092" display="https://youtu.be/cY6BWalV39o"/>
    <hyperlink ref="F2092" r:id="rId2" display="https://files.afu.se/Downloads/Transcripts/0%20-%20Government/USA%20-%20NASA/"/>
    <hyperlink ref="C2093" r:id="rId2093" display="https://youtu.be/e2yvyHhvkwM"/>
    <hyperlink ref="F2093" r:id="rId2" display="https://files.afu.se/Downloads/Transcripts/0%20-%20Government/USA%20-%20NASA/"/>
    <hyperlink ref="C2094" r:id="rId2094" display="https://youtu.be/TSiGW70kusI"/>
    <hyperlink ref="F2094" r:id="rId2" display="https://files.afu.se/Downloads/Transcripts/0%20-%20Government/USA%20-%20NASA/"/>
    <hyperlink ref="C2095" r:id="rId2095" display="https://youtu.be/4uoeGtM_AVA"/>
    <hyperlink ref="F2095" r:id="rId2" display="https://files.afu.se/Downloads/Transcripts/0%20-%20Government/USA%20-%20NASA/"/>
    <hyperlink ref="C2096" r:id="rId2096" display="https://youtu.be/BD1q7ILnIMw"/>
    <hyperlink ref="F2096" r:id="rId2" display="https://files.afu.se/Downloads/Transcripts/0%20-%20Government/USA%20-%20NASA/"/>
    <hyperlink ref="C2097" r:id="rId2097" display="https://youtu.be/McjiEjec0E8"/>
    <hyperlink ref="F2097" r:id="rId2" display="https://files.afu.se/Downloads/Transcripts/0%20-%20Government/USA%20-%20NASA/"/>
    <hyperlink ref="C2098" r:id="rId2098" display="https://youtu.be/FbfEUwfRalc"/>
    <hyperlink ref="F2098" r:id="rId2" display="https://files.afu.se/Downloads/Transcripts/0%20-%20Government/USA%20-%20NASA/"/>
    <hyperlink ref="C2099" r:id="rId2099" display="https://youtu.be/zs8ayL6EDzM"/>
    <hyperlink ref="F2099" r:id="rId2" display="https://files.afu.se/Downloads/Transcripts/0%20-%20Government/USA%20-%20NASA/"/>
    <hyperlink ref="C2100" r:id="rId2100" display="https://youtu.be/4CAfk0n9D0k"/>
    <hyperlink ref="F2100" r:id="rId2" display="https://files.afu.se/Downloads/Transcripts/0%20-%20Government/USA%20-%20NASA/"/>
    <hyperlink ref="C2101" r:id="rId2101" display="https://youtu.be/veMnIIrUTBI"/>
    <hyperlink ref="F2101" r:id="rId2" display="https://files.afu.se/Downloads/Transcripts/0%20-%20Government/USA%20-%20NASA/"/>
    <hyperlink ref="C2102" r:id="rId2102" display="https://youtu.be/7r9zq6pMP00"/>
    <hyperlink ref="F2102" r:id="rId2" display="https://files.afu.se/Downloads/Transcripts/0%20-%20Government/USA%20-%20NASA/"/>
    <hyperlink ref="C2103" r:id="rId2103" display="https://youtu.be/X63aofXj9ZM"/>
    <hyperlink ref="F2103" r:id="rId2" display="https://files.afu.se/Downloads/Transcripts/0%20-%20Government/USA%20-%20NASA/"/>
    <hyperlink ref="C2104" r:id="rId2104" display="https://youtu.be/1aHZ_KP4SSI"/>
    <hyperlink ref="F2104" r:id="rId2" display="https://files.afu.se/Downloads/Transcripts/0%20-%20Government/USA%20-%20NASA/"/>
    <hyperlink ref="C2105" r:id="rId2105" display="https://youtu.be/UZI23PBOv5o"/>
    <hyperlink ref="F2105" r:id="rId2" display="https://files.afu.se/Downloads/Transcripts/0%20-%20Government/USA%20-%20NASA/"/>
    <hyperlink ref="C2106" r:id="rId2106" display="https://youtu.be/n7kslRWlwzU"/>
    <hyperlink ref="F2106" r:id="rId2" display="https://files.afu.se/Downloads/Transcripts/0%20-%20Government/USA%20-%20NASA/"/>
    <hyperlink ref="C2107" r:id="rId2107" display="https://youtu.be/2FPB7dsgfJ0"/>
    <hyperlink ref="F2107" r:id="rId2" display="https://files.afu.se/Downloads/Transcripts/0%20-%20Government/USA%20-%20NASA/"/>
    <hyperlink ref="C2108" r:id="rId2108" display="https://youtu.be/uOVXCdZHApI"/>
    <hyperlink ref="F2108" r:id="rId2" display="https://files.afu.se/Downloads/Transcripts/0%20-%20Government/USA%20-%20NASA/"/>
    <hyperlink ref="C2109" r:id="rId2109" display="https://youtu.be/4Gifym6jXLw"/>
    <hyperlink ref="F2109" r:id="rId2" display="https://files.afu.se/Downloads/Transcripts/0%20-%20Government/USA%20-%20NASA/"/>
    <hyperlink ref="C2110" r:id="rId2110" display="https://youtu.be/64jzZ7AY5W8"/>
    <hyperlink ref="F2110" r:id="rId2" display="https://files.afu.se/Downloads/Transcripts/0%20-%20Government/USA%20-%20NASA/"/>
    <hyperlink ref="C2111" r:id="rId2111" display="https://youtu.be/O89oUoaj0zo"/>
    <hyperlink ref="F2111" r:id="rId2" display="https://files.afu.se/Downloads/Transcripts/0%20-%20Government/USA%20-%20NASA/"/>
    <hyperlink ref="C2112" r:id="rId2112" display="https://youtu.be/VbB1p9wm0XA"/>
    <hyperlink ref="F2112" r:id="rId2" display="https://files.afu.se/Downloads/Transcripts/0%20-%20Government/USA%20-%20NASA/"/>
    <hyperlink ref="C2113" r:id="rId2113" display="https://youtu.be/bTaKUdtD0E0"/>
    <hyperlink ref="F2113" r:id="rId2" display="https://files.afu.se/Downloads/Transcripts/0%20-%20Government/USA%20-%20NASA/"/>
    <hyperlink ref="C2114" r:id="rId2114" display="https://youtu.be/FLKCMdSCQyA"/>
    <hyperlink ref="F2114" r:id="rId2" display="https://files.afu.se/Downloads/Transcripts/0%20-%20Government/USA%20-%20NASA/"/>
    <hyperlink ref="C2115" r:id="rId2115" display="https://youtu.be/t2oiaa1tdRE"/>
    <hyperlink ref="F2115" r:id="rId2" display="https://files.afu.se/Downloads/Transcripts/0%20-%20Government/USA%20-%20NASA/"/>
    <hyperlink ref="C2116" r:id="rId2116" display="https://youtu.be/ULfPxf9Osg0"/>
    <hyperlink ref="F2116" r:id="rId2" display="https://files.afu.se/Downloads/Transcripts/0%20-%20Government/USA%20-%20NASA/"/>
    <hyperlink ref="C2117" r:id="rId2117" display="https://youtu.be/n9XPbAYgkh8"/>
    <hyperlink ref="F2117" r:id="rId2" display="https://files.afu.se/Downloads/Transcripts/0%20-%20Government/USA%20-%20NASA/"/>
    <hyperlink ref="C2118" r:id="rId2118" display="https://youtu.be/j7b8AV_wg7E"/>
    <hyperlink ref="F2118" r:id="rId2" display="https://files.afu.se/Downloads/Transcripts/0%20-%20Government/USA%20-%20NASA/"/>
    <hyperlink ref="C2119" r:id="rId2119" display="https://youtu.be/em2seQyBSjE"/>
    <hyperlink ref="F2119" r:id="rId2" display="https://files.afu.se/Downloads/Transcripts/0%20-%20Government/USA%20-%20NASA/"/>
    <hyperlink ref="C2120" r:id="rId2120" display="https://youtu.be/ZCclu4c9Yk4"/>
    <hyperlink ref="F2120" r:id="rId2" display="https://files.afu.se/Downloads/Transcripts/0%20-%20Government/USA%20-%20NASA/"/>
    <hyperlink ref="C2121" r:id="rId2121" display="https://youtu.be/DrSm-qMnhBg"/>
    <hyperlink ref="F2121" r:id="rId2" display="https://files.afu.se/Downloads/Transcripts/0%20-%20Government/USA%20-%20NASA/"/>
    <hyperlink ref="C2122" r:id="rId2122" display="https://youtu.be/L30v3D4DZCg"/>
    <hyperlink ref="F2122" r:id="rId2" display="https://files.afu.se/Downloads/Transcripts/0%20-%20Government/USA%20-%20NASA/"/>
    <hyperlink ref="C2123" r:id="rId2123" display="https://youtu.be/E_s_ZxVsCvQ"/>
    <hyperlink ref="F2123" r:id="rId2" display="https://files.afu.se/Downloads/Transcripts/0%20-%20Government/USA%20-%20NASA/"/>
    <hyperlink ref="C2124" r:id="rId2124" display="https://youtu.be/OOx7Oi7go3E"/>
    <hyperlink ref="F2124" r:id="rId2" display="https://files.afu.se/Downloads/Transcripts/0%20-%20Government/USA%20-%20NASA/"/>
    <hyperlink ref="C2125" r:id="rId2125" display="https://youtu.be/Ej3HUvLw_sA"/>
    <hyperlink ref="F2125" r:id="rId2" display="https://files.afu.se/Downloads/Transcripts/0%20-%20Government/USA%20-%20NASA/"/>
    <hyperlink ref="C2126" r:id="rId2126" display="https://youtu.be/wbb_2uhQuUs"/>
    <hyperlink ref="F2126" r:id="rId2" display="https://files.afu.se/Downloads/Transcripts/0%20-%20Government/USA%20-%20NASA/"/>
    <hyperlink ref="C2127" r:id="rId2127" display="https://youtu.be/MuTWWuBytv0"/>
    <hyperlink ref="F2127" r:id="rId2" display="https://files.afu.se/Downloads/Transcripts/0%20-%20Government/USA%20-%20NASA/"/>
    <hyperlink ref="C2128" r:id="rId2128" display="https://youtu.be/h9h0k02OsXw"/>
    <hyperlink ref="F2128" r:id="rId2" display="https://files.afu.se/Downloads/Transcripts/0%20-%20Government/USA%20-%20NASA/"/>
    <hyperlink ref="C2129" r:id="rId2129" display="https://youtu.be/LoEcLekZ-fw"/>
    <hyperlink ref="F2129" r:id="rId2" display="https://files.afu.se/Downloads/Transcripts/0%20-%20Government/USA%20-%20NASA/"/>
    <hyperlink ref="C2130" r:id="rId2130" display="https://youtu.be/KiJg-GDzcNw"/>
    <hyperlink ref="F2130" r:id="rId2" display="https://files.afu.se/Downloads/Transcripts/0%20-%20Government/USA%20-%20NASA/"/>
    <hyperlink ref="C2131" r:id="rId2131" display="https://youtu.be/eiAT41aHaH4"/>
    <hyperlink ref="F2131" r:id="rId2" display="https://files.afu.se/Downloads/Transcripts/0%20-%20Government/USA%20-%20NASA/"/>
    <hyperlink ref="C2132" r:id="rId2132" display="https://youtu.be/IeVxBM8Avo4"/>
    <hyperlink ref="F2132" r:id="rId2" display="https://files.afu.se/Downloads/Transcripts/0%20-%20Government/USA%20-%20NASA/"/>
    <hyperlink ref="C2133" r:id="rId2133" display="https://youtu.be/-fFDZyjMiTA"/>
    <hyperlink ref="F2133" r:id="rId2" display="https://files.afu.se/Downloads/Transcripts/0%20-%20Government/USA%20-%20NASA/"/>
    <hyperlink ref="C2134" r:id="rId2134" display="https://youtu.be/KCOR2FFXf4I"/>
    <hyperlink ref="F2134" r:id="rId2" display="https://files.afu.se/Downloads/Transcripts/0%20-%20Government/USA%20-%20NASA/"/>
    <hyperlink ref="C2135" r:id="rId2135" display="https://youtu.be/UqjkbJR3kEc"/>
    <hyperlink ref="F2135" r:id="rId2" display="https://files.afu.se/Downloads/Transcripts/0%20-%20Government/USA%20-%20NASA/"/>
    <hyperlink ref="C2136" r:id="rId2136" display="https://youtu.be/tEqLHFpfkRY"/>
    <hyperlink ref="F2136" r:id="rId2" display="https://files.afu.se/Downloads/Transcripts/0%20-%20Government/USA%20-%20NASA/"/>
    <hyperlink ref="C2137" r:id="rId2137" display="https://youtu.be/xH7ZDQFGbus"/>
    <hyperlink ref="F2137" r:id="rId2" display="https://files.afu.se/Downloads/Transcripts/0%20-%20Government/USA%20-%20NASA/"/>
    <hyperlink ref="C2138" r:id="rId2138" display="https://youtu.be/QV7MO29BnME"/>
    <hyperlink ref="F2138" r:id="rId2" display="https://files.afu.se/Downloads/Transcripts/0%20-%20Government/USA%20-%20NASA/"/>
    <hyperlink ref="C2139" r:id="rId2139" display="https://youtu.be/Je4CfrNNJ1A"/>
    <hyperlink ref="F2139" r:id="rId2" display="https://files.afu.se/Downloads/Transcripts/0%20-%20Government/USA%20-%20NASA/"/>
    <hyperlink ref="C2140" r:id="rId2140" display="https://youtu.be/VESUEB0VzxQ"/>
    <hyperlink ref="F2140" r:id="rId2" display="https://files.afu.se/Downloads/Transcripts/0%20-%20Government/USA%20-%20NASA/"/>
    <hyperlink ref="C2141" r:id="rId2141" display="https://youtu.be/jnzoK-QE_P4"/>
    <hyperlink ref="F2141" r:id="rId2" display="https://files.afu.se/Downloads/Transcripts/0%20-%20Government/USA%20-%20NASA/"/>
    <hyperlink ref="C2142" r:id="rId2142" display="https://youtu.be/3H6WPNLeVPQ"/>
    <hyperlink ref="F2142" r:id="rId2" display="https://files.afu.se/Downloads/Transcripts/0%20-%20Government/USA%20-%20NASA/"/>
    <hyperlink ref="C2143" r:id="rId2143" display="https://youtu.be/f3gAaG7zH_8"/>
    <hyperlink ref="F2143" r:id="rId2" display="https://files.afu.se/Downloads/Transcripts/0%20-%20Government/USA%20-%20NASA/"/>
    <hyperlink ref="C2144" r:id="rId2144" display="https://youtu.be/dsQf4ySBwM4"/>
    <hyperlink ref="F2144" r:id="rId2" display="https://files.afu.se/Downloads/Transcripts/0%20-%20Government/USA%20-%20NASA/"/>
    <hyperlink ref="C2145" r:id="rId2145" display="https://youtu.be/m34WYszUt7g"/>
    <hyperlink ref="F2145" r:id="rId2" display="https://files.afu.se/Downloads/Transcripts/0%20-%20Government/USA%20-%20NASA/"/>
    <hyperlink ref="C2146" r:id="rId2146" display="https://youtu.be/6kt2mPchQWU"/>
    <hyperlink ref="F2146" r:id="rId2" display="https://files.afu.se/Downloads/Transcripts/0%20-%20Government/USA%20-%20NASA/"/>
    <hyperlink ref="C2147" r:id="rId2147" display="https://youtu.be/YwR1SnpcYCo"/>
    <hyperlink ref="F2147" r:id="rId2" display="https://files.afu.se/Downloads/Transcripts/0%20-%20Government/USA%20-%20NASA/"/>
    <hyperlink ref="C2148" r:id="rId2148" display="https://youtu.be/X-HdGYjFHr0"/>
    <hyperlink ref="F2148" r:id="rId2" display="https://files.afu.se/Downloads/Transcripts/0%20-%20Government/USA%20-%20NASA/"/>
    <hyperlink ref="C2149" r:id="rId2149" display="https://youtu.be/ULuKc7fVWtY"/>
    <hyperlink ref="F2149" r:id="rId2" display="https://files.afu.se/Downloads/Transcripts/0%20-%20Government/USA%20-%20NASA/"/>
    <hyperlink ref="C2150" r:id="rId2150" display="https://youtu.be/LvhesKohxg4"/>
    <hyperlink ref="F2150" r:id="rId2" display="https://files.afu.se/Downloads/Transcripts/0%20-%20Government/USA%20-%20NASA/"/>
    <hyperlink ref="C2151" r:id="rId2151" display="https://youtu.be/O5UJZx8s9i4"/>
    <hyperlink ref="F2151" r:id="rId2" display="https://files.afu.se/Downloads/Transcripts/0%20-%20Government/USA%20-%20NASA/"/>
    <hyperlink ref="C2152" r:id="rId2152" display="https://youtu.be/I4UOra7yG8c"/>
    <hyperlink ref="F2152" r:id="rId2" display="https://files.afu.se/Downloads/Transcripts/0%20-%20Government/USA%20-%20NASA/"/>
    <hyperlink ref="C2153" r:id="rId2153" display="https://youtu.be/BRHegGqeXME"/>
    <hyperlink ref="F2153" r:id="rId2" display="https://files.afu.se/Downloads/Transcripts/0%20-%20Government/USA%20-%20NASA/"/>
    <hyperlink ref="C2154" r:id="rId2154" display="https://youtu.be/CD7N07Y7ckA"/>
    <hyperlink ref="F2154" r:id="rId2" display="https://files.afu.se/Downloads/Transcripts/0%20-%20Government/USA%20-%20NASA/"/>
    <hyperlink ref="C2155" r:id="rId2155" display="https://youtu.be/pAGnc8LUuR4"/>
    <hyperlink ref="F2155" r:id="rId2" display="https://files.afu.se/Downloads/Transcripts/0%20-%20Government/USA%20-%20NASA/"/>
    <hyperlink ref="C2156" r:id="rId2156" display="https://youtu.be/faTvQ68BRN4"/>
    <hyperlink ref="F2156" r:id="rId2" display="https://files.afu.se/Downloads/Transcripts/0%20-%20Government/USA%20-%20NASA/"/>
    <hyperlink ref="C2157" r:id="rId2157" display="https://youtu.be/hk-_7EFywpc"/>
    <hyperlink ref="F2157" r:id="rId2" display="https://files.afu.se/Downloads/Transcripts/0%20-%20Government/USA%20-%20NASA/"/>
    <hyperlink ref="C2158" r:id="rId2158" display="https://youtu.be/BqBgDsa9yUk"/>
    <hyperlink ref="F2158" r:id="rId2" display="https://files.afu.se/Downloads/Transcripts/0%20-%20Government/USA%20-%20NASA/"/>
    <hyperlink ref="C2159" r:id="rId2159" display="https://youtu.be/hH48UO4_5tc"/>
    <hyperlink ref="F2159" r:id="rId2" display="https://files.afu.se/Downloads/Transcripts/0%20-%20Government/USA%20-%20NASA/"/>
    <hyperlink ref="C2160" r:id="rId2160" display="https://youtu.be/H16W7mJ4KZ4"/>
    <hyperlink ref="F2160" r:id="rId2" display="https://files.afu.se/Downloads/Transcripts/0%20-%20Government/USA%20-%20NASA/"/>
    <hyperlink ref="C2161" r:id="rId2161" display="https://youtu.be/HnREkhEOKBE"/>
    <hyperlink ref="F2161" r:id="rId2" display="https://files.afu.se/Downloads/Transcripts/0%20-%20Government/USA%20-%20NASA/"/>
    <hyperlink ref="C2162" r:id="rId2162" display="https://youtu.be/YgX8Kx_yE3Y"/>
    <hyperlink ref="F2162" r:id="rId2" display="https://files.afu.se/Downloads/Transcripts/0%20-%20Government/USA%20-%20NASA/"/>
    <hyperlink ref="C2163" r:id="rId2163" display="https://youtu.be/3ezHnT-_F_E"/>
    <hyperlink ref="F2163" r:id="rId2" display="https://files.afu.se/Downloads/Transcripts/0%20-%20Government/USA%20-%20NASA/"/>
    <hyperlink ref="C2164" r:id="rId2164" display="https://youtu.be/gK8peG1P508"/>
    <hyperlink ref="F2164" r:id="rId2" display="https://files.afu.se/Downloads/Transcripts/0%20-%20Government/USA%20-%20NASA/"/>
    <hyperlink ref="C2165" r:id="rId2165" display="https://youtu.be/3gJ0DfULLGU"/>
    <hyperlink ref="F2165" r:id="rId2" display="https://files.afu.se/Downloads/Transcripts/0%20-%20Government/USA%20-%20NASA/"/>
    <hyperlink ref="C2166" r:id="rId2166" display="https://youtu.be/Z4P_JNLAmLQ"/>
    <hyperlink ref="F2166" r:id="rId2" display="https://files.afu.se/Downloads/Transcripts/0%20-%20Government/USA%20-%20NASA/"/>
    <hyperlink ref="C2167" r:id="rId2167" display="https://youtu.be/0nxqSu6FVu4"/>
    <hyperlink ref="F2167" r:id="rId2" display="https://files.afu.se/Downloads/Transcripts/0%20-%20Government/USA%20-%20NASA/"/>
    <hyperlink ref="C2168" r:id="rId2168" display="https://youtu.be/KCVpLtq8tjY"/>
    <hyperlink ref="F2168" r:id="rId2" display="https://files.afu.se/Downloads/Transcripts/0%20-%20Government/USA%20-%20NASA/"/>
    <hyperlink ref="C2169" r:id="rId2169" display="https://youtu.be/EVMBJ0Ft28A"/>
    <hyperlink ref="F2169" r:id="rId2" display="https://files.afu.se/Downloads/Transcripts/0%20-%20Government/USA%20-%20NASA/"/>
    <hyperlink ref="C2170" r:id="rId2170" display="https://youtu.be/ki4AU2rsGFg"/>
    <hyperlink ref="F2170" r:id="rId2" display="https://files.afu.se/Downloads/Transcripts/0%20-%20Government/USA%20-%20NASA/"/>
    <hyperlink ref="C2171" r:id="rId2171" display="https://youtu.be/fBZIhkvTyFg"/>
    <hyperlink ref="F2171" r:id="rId2" display="https://files.afu.se/Downloads/Transcripts/0%20-%20Government/USA%20-%20NASA/"/>
    <hyperlink ref="C2172" r:id="rId2172" display="https://youtu.be/5XhG4dRWI14"/>
    <hyperlink ref="F2172" r:id="rId2" display="https://files.afu.se/Downloads/Transcripts/0%20-%20Government/USA%20-%20NASA/"/>
    <hyperlink ref="C2173" r:id="rId2173" display="https://youtu.be/jATkV8HE2sQ"/>
    <hyperlink ref="F2173" r:id="rId2" display="https://files.afu.se/Downloads/Transcripts/0%20-%20Government/USA%20-%20NASA/"/>
    <hyperlink ref="C2174" r:id="rId2174" display="https://youtu.be/Ts9sFtUSeQE"/>
    <hyperlink ref="F2174" r:id="rId2" display="https://files.afu.se/Downloads/Transcripts/0%20-%20Government/USA%20-%20NASA/"/>
    <hyperlink ref="C2175" r:id="rId2175" display="https://youtu.be/_Cwb6lqxItE"/>
    <hyperlink ref="F2175" r:id="rId2" display="https://files.afu.se/Downloads/Transcripts/0%20-%20Government/USA%20-%20NASA/"/>
    <hyperlink ref="C2176" r:id="rId2176" display="https://youtu.be/Cca82UEW2oE"/>
    <hyperlink ref="F2176" r:id="rId2" display="https://files.afu.se/Downloads/Transcripts/0%20-%20Government/USA%20-%20NASA/"/>
    <hyperlink ref="C2177" r:id="rId2177" display="https://youtu.be/JNTtZ7adgX8"/>
    <hyperlink ref="F2177" r:id="rId2" display="https://files.afu.se/Downloads/Transcripts/0%20-%20Government/USA%20-%20NASA/"/>
    <hyperlink ref="C2178" r:id="rId2178" display="https://youtu.be/bsd3oOKIBLM"/>
    <hyperlink ref="F2178" r:id="rId2" display="https://files.afu.se/Downloads/Transcripts/0%20-%20Government/USA%20-%20NASA/"/>
    <hyperlink ref="C2179" r:id="rId2179" display="https://youtu.be/LKdIX1LmQ_E"/>
    <hyperlink ref="F2179" r:id="rId2" display="https://files.afu.se/Downloads/Transcripts/0%20-%20Government/USA%20-%20NASA/"/>
    <hyperlink ref="C2180" r:id="rId2180" display="https://youtu.be/Lqei3f4z9N4"/>
    <hyperlink ref="F2180" r:id="rId2" display="https://files.afu.se/Downloads/Transcripts/0%20-%20Government/USA%20-%20NASA/"/>
    <hyperlink ref="C2181" r:id="rId2181" display="https://youtu.be/8-4lcqXi1go"/>
    <hyperlink ref="F2181" r:id="rId2" display="https://files.afu.se/Downloads/Transcripts/0%20-%20Government/USA%20-%20NASA/"/>
    <hyperlink ref="C2182" r:id="rId2182" display="https://youtu.be/RM8wu3v78ZY"/>
    <hyperlink ref="F2182" r:id="rId2" display="https://files.afu.se/Downloads/Transcripts/0%20-%20Government/USA%20-%20NASA/"/>
    <hyperlink ref="C2183" r:id="rId2183" display="https://youtu.be/t5OWyJdDrGA"/>
    <hyperlink ref="F2183" r:id="rId2" display="https://files.afu.se/Downloads/Transcripts/0%20-%20Government/USA%20-%20NASA/"/>
    <hyperlink ref="C2184" r:id="rId2184" display="https://youtu.be/7-29DCljgZ0"/>
    <hyperlink ref="F2184" r:id="rId2" display="https://files.afu.se/Downloads/Transcripts/0%20-%20Government/USA%20-%20NASA/"/>
    <hyperlink ref="C2185" r:id="rId2185" display="https://youtu.be/E7EyUoFhunY"/>
    <hyperlink ref="F2185" r:id="rId2" display="https://files.afu.se/Downloads/Transcripts/0%20-%20Government/USA%20-%20NASA/"/>
    <hyperlink ref="C2186" r:id="rId2186" display="https://youtu.be/RDcXcswjf3w"/>
    <hyperlink ref="F2186" r:id="rId2" display="https://files.afu.se/Downloads/Transcripts/0%20-%20Government/USA%20-%20NASA/"/>
    <hyperlink ref="C2187" r:id="rId2187" display="https://youtu.be/IIRc_aIGEWc"/>
    <hyperlink ref="F2187" r:id="rId2" display="https://files.afu.se/Downloads/Transcripts/0%20-%20Government/USA%20-%20NASA/"/>
    <hyperlink ref="C2188" r:id="rId2188" display="https://youtu.be/qv7jQxzO-ZU"/>
    <hyperlink ref="F2188" r:id="rId2" display="https://files.afu.se/Downloads/Transcripts/0%20-%20Government/USA%20-%20NASA/"/>
    <hyperlink ref="C2189" r:id="rId2189" display="https://youtu.be/LlXyhmBZtMs"/>
    <hyperlink ref="F2189" r:id="rId2" display="https://files.afu.se/Downloads/Transcripts/0%20-%20Government/USA%20-%20NASA/"/>
    <hyperlink ref="C2190" r:id="rId2190" display="https://youtu.be/npohVRqCYsU"/>
    <hyperlink ref="F2190" r:id="rId2" display="https://files.afu.se/Downloads/Transcripts/0%20-%20Government/USA%20-%20NASA/"/>
    <hyperlink ref="C2191" r:id="rId2191" display="https://youtu.be/xziYRjfqFMw"/>
    <hyperlink ref="F2191" r:id="rId2" display="https://files.afu.se/Downloads/Transcripts/0%20-%20Government/USA%20-%20NASA/"/>
    <hyperlink ref="C2192" r:id="rId2192" display="https://youtu.be/2n0WETnaPaY"/>
    <hyperlink ref="F2192" r:id="rId2" display="https://files.afu.se/Downloads/Transcripts/0%20-%20Government/USA%20-%20NASA/"/>
    <hyperlink ref="C2193" r:id="rId2193" display="https://youtu.be/zczwVH4jcDQ"/>
    <hyperlink ref="F2193" r:id="rId2" display="https://files.afu.se/Downloads/Transcripts/0%20-%20Government/USA%20-%20NASA/"/>
    <hyperlink ref="C2194" r:id="rId2194" display="https://youtu.be/7UcYOAp_Bxw"/>
    <hyperlink ref="F2194" r:id="rId2" display="https://files.afu.se/Downloads/Transcripts/0%20-%20Government/USA%20-%20NASA/"/>
    <hyperlink ref="C2195" r:id="rId2195" display="https://youtu.be/qgvg6TUEJJk"/>
    <hyperlink ref="F2195" r:id="rId2" display="https://files.afu.se/Downloads/Transcripts/0%20-%20Government/USA%20-%20NASA/"/>
    <hyperlink ref="C2196" r:id="rId2196" display="https://youtu.be/CINnHXIfkDk"/>
    <hyperlink ref="F2196" r:id="rId2" display="https://files.afu.se/Downloads/Transcripts/0%20-%20Government/USA%20-%20NASA/"/>
    <hyperlink ref="C2197" r:id="rId2197" display="https://youtu.be/52bNS_RixgU"/>
    <hyperlink ref="F2197" r:id="rId2" display="https://files.afu.se/Downloads/Transcripts/0%20-%20Government/USA%20-%20NASA/"/>
    <hyperlink ref="C2198" r:id="rId2198" display="https://youtu.be/-zHmrklu0p4"/>
    <hyperlink ref="F2198" r:id="rId2" display="https://files.afu.se/Downloads/Transcripts/0%20-%20Government/USA%20-%20NASA/"/>
    <hyperlink ref="C2199" r:id="rId2199" display="https://youtu.be/5Mj0PhVU2-s"/>
    <hyperlink ref="F2199" r:id="rId2" display="https://files.afu.se/Downloads/Transcripts/0%20-%20Government/USA%20-%20NASA/"/>
    <hyperlink ref="C2200" r:id="rId2200" display="https://youtu.be/7rWkZk5SSR4"/>
    <hyperlink ref="F2200" r:id="rId2" display="https://files.afu.se/Downloads/Transcripts/0%20-%20Government/USA%20-%20NASA/"/>
    <hyperlink ref="C2201" r:id="rId2201" display="https://youtu.be/MiIZOn8npT0"/>
    <hyperlink ref="F2201" r:id="rId2" display="https://files.afu.se/Downloads/Transcripts/0%20-%20Government/USA%20-%20NASA/"/>
    <hyperlink ref="C2202" r:id="rId2202" display="https://youtu.be/aznqRz54DiY"/>
    <hyperlink ref="F2202" r:id="rId2" display="https://files.afu.se/Downloads/Transcripts/0%20-%20Government/USA%20-%20NASA/"/>
    <hyperlink ref="C2203" r:id="rId2203" display="https://youtu.be/swYbsuchLeo"/>
    <hyperlink ref="F2203" r:id="rId2" display="https://files.afu.se/Downloads/Transcripts/0%20-%20Government/USA%20-%20NASA/"/>
    <hyperlink ref="C2204" r:id="rId2204" display="https://youtu.be/QsHL_kkmPtU"/>
    <hyperlink ref="F2204" r:id="rId2" display="https://files.afu.se/Downloads/Transcripts/0%20-%20Government/USA%20-%20NASA/"/>
    <hyperlink ref="C2205" r:id="rId2205" display="https://youtu.be/8LfQfbxuZv4"/>
    <hyperlink ref="F2205" r:id="rId2" display="https://files.afu.se/Downloads/Transcripts/0%20-%20Government/USA%20-%20NASA/"/>
    <hyperlink ref="C2206" r:id="rId2206" display="https://youtu.be/u4cimKKa_vg"/>
    <hyperlink ref="F2206" r:id="rId2" display="https://files.afu.se/Downloads/Transcripts/0%20-%20Government/USA%20-%20NASA/"/>
    <hyperlink ref="C2207" r:id="rId2207" display="https://youtu.be/EQjVa8wR8xE"/>
    <hyperlink ref="F2207" r:id="rId2" display="https://files.afu.se/Downloads/Transcripts/0%20-%20Government/USA%20-%20NASA/"/>
    <hyperlink ref="C2208" r:id="rId2208" display="https://youtu.be/BqakNPlbsvA"/>
    <hyperlink ref="F2208" r:id="rId2" display="https://files.afu.se/Downloads/Transcripts/0%20-%20Government/USA%20-%20NASA/"/>
    <hyperlink ref="C2209" r:id="rId2209" display="https://youtu.be/GuzDsPgVrPs"/>
    <hyperlink ref="F2209" r:id="rId2" display="https://files.afu.se/Downloads/Transcripts/0%20-%20Government/USA%20-%20NASA/"/>
    <hyperlink ref="C2210" r:id="rId2210" display="https://youtu.be/U3d1OgMkqyw"/>
    <hyperlink ref="F2210" r:id="rId2" display="https://files.afu.se/Downloads/Transcripts/0%20-%20Government/USA%20-%20NASA/"/>
    <hyperlink ref="C2211" r:id="rId2211" display="https://youtu.be/CtvHTh-cABg"/>
    <hyperlink ref="F2211" r:id="rId2" display="https://files.afu.se/Downloads/Transcripts/0%20-%20Government/USA%20-%20NASA/"/>
    <hyperlink ref="C2212" r:id="rId2212" display="https://youtu.be/38bzKH4jfpA"/>
    <hyperlink ref="F2212" r:id="rId2" display="https://files.afu.se/Downloads/Transcripts/0%20-%20Government/USA%20-%20NASA/"/>
    <hyperlink ref="C2213" r:id="rId2213" display="https://youtu.be/wTFras1r2uc"/>
    <hyperlink ref="F2213" r:id="rId2" display="https://files.afu.se/Downloads/Transcripts/0%20-%20Government/USA%20-%20NASA/"/>
    <hyperlink ref="C2214" r:id="rId2214" display="https://youtu.be/TOSLdVOGAIc"/>
    <hyperlink ref="F2214" r:id="rId2" display="https://files.afu.se/Downloads/Transcripts/0%20-%20Government/USA%20-%20NASA/"/>
    <hyperlink ref="C2215" r:id="rId2215" display="https://youtu.be/QgQrTRNZbaQ"/>
    <hyperlink ref="F2215" r:id="rId2" display="https://files.afu.se/Downloads/Transcripts/0%20-%20Government/USA%20-%20NASA/"/>
    <hyperlink ref="C2216" r:id="rId2216" display="https://youtu.be/axUGLKFodxY"/>
    <hyperlink ref="F2216" r:id="rId2" display="https://files.afu.se/Downloads/Transcripts/0%20-%20Government/USA%20-%20NASA/"/>
    <hyperlink ref="C2217" r:id="rId2217" display="https://youtu.be/F2qkdSvV_Ng"/>
    <hyperlink ref="F2217" r:id="rId2" display="https://files.afu.se/Downloads/Transcripts/0%20-%20Government/USA%20-%20NASA/"/>
    <hyperlink ref="C2218" r:id="rId2218" display="https://youtu.be/d5j_gqd7Uq8"/>
    <hyperlink ref="F2218" r:id="rId2" display="https://files.afu.se/Downloads/Transcripts/0%20-%20Government/USA%20-%20NASA/"/>
    <hyperlink ref="C2219" r:id="rId2219" display="https://youtu.be/ZPb4B_srj_Y"/>
    <hyperlink ref="F2219" r:id="rId2" display="https://files.afu.se/Downloads/Transcripts/0%20-%20Government/USA%20-%20NASA/"/>
    <hyperlink ref="C2220" r:id="rId2220" display="https://youtu.be/bp_G-AMT0Rw"/>
    <hyperlink ref="F2220" r:id="rId2" display="https://files.afu.se/Downloads/Transcripts/0%20-%20Government/USA%20-%20NASA/"/>
    <hyperlink ref="C2221" r:id="rId2221" display="https://youtu.be/snghE_hWMhY"/>
    <hyperlink ref="F2221" r:id="rId2" display="https://files.afu.se/Downloads/Transcripts/0%20-%20Government/USA%20-%20NASA/"/>
    <hyperlink ref="C2222" r:id="rId2222" display="https://youtu.be/fp40jVjYNsI"/>
    <hyperlink ref="F2222" r:id="rId2" display="https://files.afu.se/Downloads/Transcripts/0%20-%20Government/USA%20-%20NASA/"/>
    <hyperlink ref="C2223" r:id="rId2223" display="https://youtu.be/yD-qmnidyH0"/>
    <hyperlink ref="F2223" r:id="rId2" display="https://files.afu.se/Downloads/Transcripts/0%20-%20Government/USA%20-%20NASA/"/>
    <hyperlink ref="C2224" r:id="rId2224" display="https://youtu.be/N-tQNXgwGaU"/>
    <hyperlink ref="F2224" r:id="rId2" display="https://files.afu.se/Downloads/Transcripts/0%20-%20Government/USA%20-%20NASA/"/>
    <hyperlink ref="C2225" r:id="rId2225" display="https://youtu.be/xiIKYo58_O0"/>
    <hyperlink ref="F2225" r:id="rId2" display="https://files.afu.se/Downloads/Transcripts/0%20-%20Government/USA%20-%20NASA/"/>
    <hyperlink ref="C2226" r:id="rId2226" display="https://youtu.be/aemhBiIqlwA"/>
    <hyperlink ref="F2226" r:id="rId2" display="https://files.afu.se/Downloads/Transcripts/0%20-%20Government/USA%20-%20NASA/"/>
    <hyperlink ref="C2227" r:id="rId2227" display="https://youtu.be/owgZeGVup-Q"/>
    <hyperlink ref="F2227" r:id="rId2" display="https://files.afu.se/Downloads/Transcripts/0%20-%20Government/USA%20-%20NASA/"/>
    <hyperlink ref="C2228" r:id="rId2228" display="https://youtu.be/ihAlsdZgtZE"/>
    <hyperlink ref="F2228" r:id="rId2" display="https://files.afu.se/Downloads/Transcripts/0%20-%20Government/USA%20-%20NASA/"/>
    <hyperlink ref="C2229" r:id="rId2229" display="https://youtu.be/TtQGyBGJpTA"/>
    <hyperlink ref="F2229" r:id="rId2" display="https://files.afu.se/Downloads/Transcripts/0%20-%20Government/USA%20-%20NASA/"/>
    <hyperlink ref="C2230" r:id="rId2230" display="https://youtu.be/l561tAwY3xo"/>
    <hyperlink ref="F2230" r:id="rId2" display="https://files.afu.se/Downloads/Transcripts/0%20-%20Government/USA%20-%20NASA/"/>
    <hyperlink ref="C2231" r:id="rId2231" display="https://youtu.be/zRNIHGTsK8c"/>
    <hyperlink ref="F2231" r:id="rId2" display="https://files.afu.se/Downloads/Transcripts/0%20-%20Government/USA%20-%20NASA/"/>
    <hyperlink ref="C2232" r:id="rId2232" display="https://youtu.be/i7HahmSgrjI"/>
    <hyperlink ref="F2232" r:id="rId2" display="https://files.afu.se/Downloads/Transcripts/0%20-%20Government/USA%20-%20NASA/"/>
    <hyperlink ref="C2233" r:id="rId2233" display="https://youtu.be/oWCWwEv_LcI"/>
    <hyperlink ref="F2233" r:id="rId2" display="https://files.afu.se/Downloads/Transcripts/0%20-%20Government/USA%20-%20NASA/"/>
    <hyperlink ref="C2234" r:id="rId2234" display="https://youtu.be/JlYt-widyIc"/>
    <hyperlink ref="F2234" r:id="rId2" display="https://files.afu.se/Downloads/Transcripts/0%20-%20Government/USA%20-%20NASA/"/>
    <hyperlink ref="C2235" r:id="rId2235" display="https://youtu.be/xhyVEbZls54"/>
    <hyperlink ref="F2235" r:id="rId2" display="https://files.afu.se/Downloads/Transcripts/0%20-%20Government/USA%20-%20NASA/"/>
    <hyperlink ref="C2236" r:id="rId2236" display="https://youtu.be/fVfToIq4IEc"/>
    <hyperlink ref="F2236" r:id="rId2" display="https://files.afu.se/Downloads/Transcripts/0%20-%20Government/USA%20-%20NASA/"/>
    <hyperlink ref="C2237" r:id="rId2237" display="https://youtu.be/x-ZgybF-UZ4"/>
    <hyperlink ref="F2237" r:id="rId2" display="https://files.afu.se/Downloads/Transcripts/0%20-%20Government/USA%20-%20NASA/"/>
    <hyperlink ref="C2238" r:id="rId2238" display="https://youtu.be/C7LDBvPTC20"/>
    <hyperlink ref="F2238" r:id="rId2" display="https://files.afu.se/Downloads/Transcripts/0%20-%20Government/USA%20-%20NASA/"/>
    <hyperlink ref="C2239" r:id="rId2239" display="https://youtu.be/cehHygZhh-Q"/>
    <hyperlink ref="F2239" r:id="rId2" display="https://files.afu.se/Downloads/Transcripts/0%20-%20Government/USA%20-%20NASA/"/>
    <hyperlink ref="C2240" r:id="rId2240" display="https://youtu.be/GPG2IjLxSqM"/>
    <hyperlink ref="F2240" r:id="rId2" display="https://files.afu.se/Downloads/Transcripts/0%20-%20Government/USA%20-%20NASA/"/>
    <hyperlink ref="C2241" r:id="rId2241" display="https://youtu.be/6PWHWZ8l1hQ"/>
    <hyperlink ref="F2241" r:id="rId2" display="https://files.afu.se/Downloads/Transcripts/0%20-%20Government/USA%20-%20NASA/"/>
    <hyperlink ref="C2242" r:id="rId2242" display="https://youtu.be/IPFKXtTi1cg"/>
    <hyperlink ref="F2242" r:id="rId2" display="https://files.afu.se/Downloads/Transcripts/0%20-%20Government/USA%20-%20NASA/"/>
    <hyperlink ref="C2243" r:id="rId2243" display="https://youtu.be/lYNBxr_GvYc"/>
    <hyperlink ref="F2243" r:id="rId2" display="https://files.afu.se/Downloads/Transcripts/0%20-%20Government/USA%20-%20NASA/"/>
    <hyperlink ref="C2244" r:id="rId2244" display="https://youtu.be/3lx7AOzzBdw"/>
    <hyperlink ref="F2244" r:id="rId2" display="https://files.afu.se/Downloads/Transcripts/0%20-%20Government/USA%20-%20NASA/"/>
    <hyperlink ref="C2245" r:id="rId2245" display="https://youtu.be/Xe5MX-PFc0U"/>
    <hyperlink ref="F2245" r:id="rId2" display="https://files.afu.se/Downloads/Transcripts/0%20-%20Government/USA%20-%20NASA/"/>
    <hyperlink ref="C2246" r:id="rId2246" display="https://youtu.be/We7UG63heo4"/>
    <hyperlink ref="F2246" r:id="rId2" display="https://files.afu.se/Downloads/Transcripts/0%20-%20Government/USA%20-%20NASA/"/>
    <hyperlink ref="C2247" r:id="rId2247" display="https://youtu.be/VLKLC58nTJY"/>
    <hyperlink ref="F2247" r:id="rId2" display="https://files.afu.se/Downloads/Transcripts/0%20-%20Government/USA%20-%20NASA/"/>
    <hyperlink ref="C2248" r:id="rId2248" display="https://youtu.be/_odLfGD8WVY"/>
    <hyperlink ref="F2248" r:id="rId2" display="https://files.afu.se/Downloads/Transcripts/0%20-%20Government/USA%20-%20NASA/"/>
    <hyperlink ref="C2249" r:id="rId2249" display="https://youtu.be/VXvYcIbFVzs"/>
    <hyperlink ref="F2249" r:id="rId2" display="https://files.afu.se/Downloads/Transcripts/0%20-%20Government/USA%20-%20NASA/"/>
    <hyperlink ref="C2250" r:id="rId2250" display="https://youtu.be/UStYetO2icA"/>
    <hyperlink ref="F2250" r:id="rId2" display="https://files.afu.se/Downloads/Transcripts/0%20-%20Government/USA%20-%20NASA/"/>
    <hyperlink ref="C2251" r:id="rId2251" display="https://youtu.be/V22b4Bk7Yd4"/>
    <hyperlink ref="F2251" r:id="rId2" display="https://files.afu.se/Downloads/Transcripts/0%20-%20Government/USA%20-%20NASA/"/>
    <hyperlink ref="C2252" r:id="rId2252" display="https://youtu.be/JCxjGNECtOw"/>
    <hyperlink ref="F2252" r:id="rId2" display="https://files.afu.se/Downloads/Transcripts/0%20-%20Government/USA%20-%20NASA/"/>
    <hyperlink ref="C2253" r:id="rId2253" display="https://youtu.be/rxS5PW1faVA"/>
    <hyperlink ref="F2253" r:id="rId2" display="https://files.afu.se/Downloads/Transcripts/0%20-%20Government/USA%20-%20NASA/"/>
    <hyperlink ref="C2254" r:id="rId2254" display="https://youtu.be/WRIVMXdTVA0"/>
    <hyperlink ref="F2254" r:id="rId2" display="https://files.afu.se/Downloads/Transcripts/0%20-%20Government/USA%20-%20NASA/"/>
    <hyperlink ref="C2255" r:id="rId2255" display="https://youtu.be/HrUtJHYWPkY"/>
    <hyperlink ref="F2255" r:id="rId2" display="https://files.afu.se/Downloads/Transcripts/0%20-%20Government/USA%20-%20NASA/"/>
    <hyperlink ref="C2256" r:id="rId2256" display="https://youtu.be/LveV4vtThOE"/>
    <hyperlink ref="F2256" r:id="rId2" display="https://files.afu.se/Downloads/Transcripts/0%20-%20Government/USA%20-%20NASA/"/>
    <hyperlink ref="C2257" r:id="rId2257" display="https://youtu.be/un7MKRoPQ6o"/>
    <hyperlink ref="F2257" r:id="rId2" display="https://files.afu.se/Downloads/Transcripts/0%20-%20Government/USA%20-%20NASA/"/>
    <hyperlink ref="C2258" r:id="rId2258" display="https://youtu.be/ibtsgAig3Yk"/>
    <hyperlink ref="F2258" r:id="rId2" display="https://files.afu.se/Downloads/Transcripts/0%20-%20Government/USA%20-%20NASA/"/>
    <hyperlink ref="C2259" r:id="rId2259" display="https://youtu.be/-qDtz55LezY"/>
    <hyperlink ref="F2259" r:id="rId2" display="https://files.afu.se/Downloads/Transcripts/0%20-%20Government/USA%20-%20NASA/"/>
    <hyperlink ref="C2260" r:id="rId2260" display="https://youtu.be/8NwZhQ_S3qM"/>
    <hyperlink ref="F2260" r:id="rId2" display="https://files.afu.se/Downloads/Transcripts/0%20-%20Government/USA%20-%20NASA/"/>
    <hyperlink ref="C2261" r:id="rId2261" display="https://youtu.be/C8ZWjdP74aA"/>
    <hyperlink ref="F2261" r:id="rId2" display="https://files.afu.se/Downloads/Transcripts/0%20-%20Government/USA%20-%20NASA/"/>
    <hyperlink ref="C2262" r:id="rId2262" display="https://youtu.be/jQmRxStVXkk"/>
    <hyperlink ref="F2262" r:id="rId2" display="https://files.afu.se/Downloads/Transcripts/0%20-%20Government/USA%20-%20NASA/"/>
    <hyperlink ref="C2263" r:id="rId2263" display="https://youtu.be/bm3r3Q2lULo"/>
    <hyperlink ref="F2263" r:id="rId2" display="https://files.afu.se/Downloads/Transcripts/0%20-%20Government/USA%20-%20NASA/"/>
    <hyperlink ref="C2264" r:id="rId2264" display="https://youtu.be/omnWO_t_zyM"/>
    <hyperlink ref="F2264" r:id="rId2" display="https://files.afu.se/Downloads/Transcripts/0%20-%20Government/USA%20-%20NASA/"/>
    <hyperlink ref="C2265" r:id="rId2265" display="https://youtu.be/tuAN3I2KSEk"/>
    <hyperlink ref="F2265" r:id="rId2" display="https://files.afu.se/Downloads/Transcripts/0%20-%20Government/USA%20-%20NASA/"/>
    <hyperlink ref="C2266" r:id="rId2266" display="https://youtu.be/MuSnkk2SEN0"/>
    <hyperlink ref="F2266" r:id="rId2" display="https://files.afu.se/Downloads/Transcripts/0%20-%20Government/USA%20-%20NASA/"/>
    <hyperlink ref="C2267" r:id="rId2267" display="https://youtu.be/wXU0dseMe0s"/>
    <hyperlink ref="F2267" r:id="rId2" display="https://files.afu.se/Downloads/Transcripts/0%20-%20Government/USA%20-%20NASA/"/>
    <hyperlink ref="C2268" r:id="rId2268" display="https://youtu.be/tocdRA-_lLs"/>
    <hyperlink ref="F2268" r:id="rId2" display="https://files.afu.se/Downloads/Transcripts/0%20-%20Government/USA%20-%20NASA/"/>
    <hyperlink ref="C2269" r:id="rId2269" display="https://youtu.be/6RbgegMSQL0"/>
    <hyperlink ref="F2269" r:id="rId2" display="https://files.afu.se/Downloads/Transcripts/0%20-%20Government/USA%20-%20NASA/"/>
    <hyperlink ref="C2270" r:id="rId2270" display="https://youtu.be/Qa5fQ0dkOW0"/>
    <hyperlink ref="F2270" r:id="rId2" display="https://files.afu.se/Downloads/Transcripts/0%20-%20Government/USA%20-%20NASA/"/>
    <hyperlink ref="C2271" r:id="rId2271" display="https://youtu.be/DiFBOyTdX9I"/>
    <hyperlink ref="F2271" r:id="rId2" display="https://files.afu.se/Downloads/Transcripts/0%20-%20Government/USA%20-%20NASA/"/>
    <hyperlink ref="C2272" r:id="rId2272" display="https://youtu.be/ZWEa_uil9bM"/>
    <hyperlink ref="F2272" r:id="rId2" display="https://files.afu.se/Downloads/Transcripts/0%20-%20Government/USA%20-%20NASA/"/>
    <hyperlink ref="C2273" r:id="rId2273" display="https://youtu.be/ThVdnyokBME"/>
    <hyperlink ref="F2273" r:id="rId2" display="https://files.afu.se/Downloads/Transcripts/0%20-%20Government/USA%20-%20NASA/"/>
    <hyperlink ref="C2274" r:id="rId2274" display="https://youtu.be/UEuOpxOrA_0"/>
    <hyperlink ref="F2274" r:id="rId2" display="https://files.afu.se/Downloads/Transcripts/0%20-%20Government/USA%20-%20NASA/"/>
    <hyperlink ref="C2275" r:id="rId2275" display="https://youtu.be/GXm2uZii-_c"/>
    <hyperlink ref="F2275" r:id="rId2" display="https://files.afu.se/Downloads/Transcripts/0%20-%20Government/USA%20-%20NASA/"/>
    <hyperlink ref="C2276" r:id="rId2276" display="https://youtu.be/hWzSZkWN9H4"/>
    <hyperlink ref="F2276" r:id="rId2" display="https://files.afu.se/Downloads/Transcripts/0%20-%20Government/USA%20-%20NASA/"/>
    <hyperlink ref="C2277" r:id="rId2277" display="https://youtu.be/k0qgrEtoGeY"/>
    <hyperlink ref="F2277" r:id="rId2" display="https://files.afu.se/Downloads/Transcripts/0%20-%20Government/USA%20-%20NASA/"/>
    <hyperlink ref="C2278" r:id="rId2278" display="https://youtu.be/SaoMxjldSDQ"/>
    <hyperlink ref="F2278" r:id="rId2" display="https://files.afu.se/Downloads/Transcripts/0%20-%20Government/USA%20-%20NASA/"/>
    <hyperlink ref="C2279" r:id="rId2279" display="https://youtu.be/Ca1gp-rjbe4"/>
    <hyperlink ref="F2279" r:id="rId2" display="https://files.afu.se/Downloads/Transcripts/0%20-%20Government/USA%20-%20NASA/"/>
    <hyperlink ref="C2280" r:id="rId2280" display="https://youtu.be/ib4djfbik40"/>
    <hyperlink ref="F2280" r:id="rId2" display="https://files.afu.se/Downloads/Transcripts/0%20-%20Government/USA%20-%20NASA/"/>
    <hyperlink ref="C2281" r:id="rId2281" display="https://youtu.be/gjglwMPvzVo"/>
    <hyperlink ref="F2281" r:id="rId2" display="https://files.afu.se/Downloads/Transcripts/0%20-%20Government/USA%20-%20NASA/"/>
    <hyperlink ref="C2282" r:id="rId2282" display="https://youtu.be/eunS46Yfb2Q"/>
    <hyperlink ref="F2282" r:id="rId2" display="https://files.afu.se/Downloads/Transcripts/0%20-%20Government/USA%20-%20NASA/"/>
    <hyperlink ref="C2283" r:id="rId2283" display="https://youtu.be/SXHcRy73dS0"/>
    <hyperlink ref="F2283" r:id="rId2" display="https://files.afu.se/Downloads/Transcripts/0%20-%20Government/USA%20-%20NASA/"/>
    <hyperlink ref="C2284" r:id="rId2284" display="https://youtu.be/LlnSgHdF9WE"/>
    <hyperlink ref="F2284" r:id="rId2" display="https://files.afu.se/Downloads/Transcripts/0%20-%20Government/USA%20-%20NASA/"/>
    <hyperlink ref="C2285" r:id="rId2285" display="https://youtu.be/O9Tm4N5S4s4"/>
    <hyperlink ref="F2285" r:id="rId2" display="https://files.afu.se/Downloads/Transcripts/0%20-%20Government/USA%20-%20NASA/"/>
    <hyperlink ref="C2286" r:id="rId2286" display="https://youtu.be/nopcLTKMVU8"/>
    <hyperlink ref="F2286" r:id="rId2" display="https://files.afu.se/Downloads/Transcripts/0%20-%20Government/USA%20-%20NASA/"/>
    <hyperlink ref="C2287" r:id="rId2287" display="https://youtu.be/u71bRf54xDw"/>
    <hyperlink ref="F2287" r:id="rId2" display="https://files.afu.se/Downloads/Transcripts/0%20-%20Government/USA%20-%20NASA/"/>
    <hyperlink ref="C2288" r:id="rId2288" display="https://youtu.be/-jNzvLOHLJw"/>
    <hyperlink ref="F2288" r:id="rId2" display="https://files.afu.se/Downloads/Transcripts/0%20-%20Government/USA%20-%20NASA/"/>
    <hyperlink ref="C2289" r:id="rId2289" display="https://youtu.be/zBoj-1m-qLU"/>
    <hyperlink ref="F2289" r:id="rId2" display="https://files.afu.se/Downloads/Transcripts/0%20-%20Government/USA%20-%20NASA/"/>
    <hyperlink ref="C2290" r:id="rId2290" display="https://youtu.be/cKGc3iFighE"/>
    <hyperlink ref="F2290" r:id="rId2" display="https://files.afu.se/Downloads/Transcripts/0%20-%20Government/USA%20-%20NASA/"/>
    <hyperlink ref="C2291" r:id="rId2291" display="https://youtu.be/5lTSXDufSPk"/>
    <hyperlink ref="F2291" r:id="rId2" display="https://files.afu.se/Downloads/Transcripts/0%20-%20Government/USA%20-%20NASA/"/>
    <hyperlink ref="C2292" r:id="rId2292" display="https://youtu.be/-Qx6cbXWD0Y"/>
    <hyperlink ref="F2292" r:id="rId2" display="https://files.afu.se/Downloads/Transcripts/0%20-%20Government/USA%20-%20NASA/"/>
    <hyperlink ref="C2293" r:id="rId2293" display="https://youtu.be/tLmQW-4yO1k"/>
    <hyperlink ref="F2293" r:id="rId2" display="https://files.afu.se/Downloads/Transcripts/0%20-%20Government/USA%20-%20NASA/"/>
    <hyperlink ref="C2294" r:id="rId2294" display="https://youtu.be/VcI9tTUDFTQ"/>
    <hyperlink ref="F2294" r:id="rId2" display="https://files.afu.se/Downloads/Transcripts/0%20-%20Government/USA%20-%20NASA/"/>
    <hyperlink ref="C2295" r:id="rId2295" display="https://youtu.be/GyJGuZnUKoc"/>
    <hyperlink ref="F2295" r:id="rId2" display="https://files.afu.se/Downloads/Transcripts/0%20-%20Government/USA%20-%20NASA/"/>
    <hyperlink ref="C2296" r:id="rId2296" display="https://youtu.be/h3V_vR5IJ_I"/>
    <hyperlink ref="F2296" r:id="rId2" display="https://files.afu.se/Downloads/Transcripts/0%20-%20Government/USA%20-%20NASA/"/>
    <hyperlink ref="C2297" r:id="rId2297" display="https://youtu.be/un1QjgeVWk8"/>
    <hyperlink ref="F2297" r:id="rId2" display="https://files.afu.se/Downloads/Transcripts/0%20-%20Government/USA%20-%20NASA/"/>
    <hyperlink ref="C2298" r:id="rId2298" display="https://youtu.be/3PNRy8XymFo"/>
    <hyperlink ref="F2298" r:id="rId2" display="https://files.afu.se/Downloads/Transcripts/0%20-%20Government/USA%20-%20NASA/"/>
    <hyperlink ref="C2299" r:id="rId2299" display="https://youtu.be/yG8EdmkLXdk"/>
    <hyperlink ref="F2299" r:id="rId2" display="https://files.afu.se/Downloads/Transcripts/0%20-%20Government/USA%20-%20NASA/"/>
    <hyperlink ref="C2300" r:id="rId2300" display="https://youtu.be/vNR1pWZ42oI"/>
    <hyperlink ref="F2300" r:id="rId2" display="https://files.afu.se/Downloads/Transcripts/0%20-%20Government/USA%20-%20NASA/"/>
    <hyperlink ref="C2301" r:id="rId2301" display="https://youtu.be/GaI88NgH9dw"/>
    <hyperlink ref="F2301" r:id="rId2" display="https://files.afu.se/Downloads/Transcripts/0%20-%20Government/USA%20-%20NASA/"/>
    <hyperlink ref="C2302" r:id="rId2302" display="https://youtu.be/fBhQRD_eA3s"/>
    <hyperlink ref="F2302" r:id="rId2" display="https://files.afu.se/Downloads/Transcripts/0%20-%20Government/USA%20-%20NASA/"/>
    <hyperlink ref="C2303" r:id="rId2303" display="https://youtu.be/OJsBU1jYpoo"/>
    <hyperlink ref="F2303" r:id="rId2" display="https://files.afu.se/Downloads/Transcripts/0%20-%20Government/USA%20-%20NASA/"/>
    <hyperlink ref="C2304" r:id="rId2304" display="https://youtu.be/BrP3vKO3oP8"/>
    <hyperlink ref="F2304" r:id="rId2" display="https://files.afu.se/Downloads/Transcripts/0%20-%20Government/USA%20-%20NASA/"/>
    <hyperlink ref="C2305" r:id="rId2305" display="https://youtu.be/lZ310kCDVJg"/>
    <hyperlink ref="F2305" r:id="rId2" display="https://files.afu.se/Downloads/Transcripts/0%20-%20Government/USA%20-%20NASA/"/>
    <hyperlink ref="C2306" r:id="rId2306" display="https://youtu.be/oZ5ydKUzkds"/>
    <hyperlink ref="F2306" r:id="rId2" display="https://files.afu.se/Downloads/Transcripts/0%20-%20Government/USA%20-%20NASA/"/>
    <hyperlink ref="C2307" r:id="rId2307" display="https://youtu.be/8jsRs6HYlLo"/>
    <hyperlink ref="F2307" r:id="rId2" display="https://files.afu.se/Downloads/Transcripts/0%20-%20Government/USA%20-%20NASA/"/>
    <hyperlink ref="C2308" r:id="rId2308" display="https://youtu.be/v8PVrn6lyx0"/>
    <hyperlink ref="F2308" r:id="rId2" display="https://files.afu.se/Downloads/Transcripts/0%20-%20Government/USA%20-%20NASA/"/>
    <hyperlink ref="C2309" r:id="rId2309" display="https://youtu.be/aHRuyNXuLxg"/>
    <hyperlink ref="F2309" r:id="rId2" display="https://files.afu.se/Downloads/Transcripts/0%20-%20Government/USA%20-%20NASA/"/>
    <hyperlink ref="C2310" r:id="rId2310" display="https://youtu.be/zbUNeyGRErQ"/>
    <hyperlink ref="F2310" r:id="rId2" display="https://files.afu.se/Downloads/Transcripts/0%20-%20Government/USA%20-%20NASA/"/>
    <hyperlink ref="C2311" r:id="rId2311" display="https://youtu.be/uhsb7EWLzuo"/>
    <hyperlink ref="F2311" r:id="rId2" display="https://files.afu.se/Downloads/Transcripts/0%20-%20Government/USA%20-%20NASA/"/>
    <hyperlink ref="C2312" r:id="rId2312" display="https://youtu.be/RPkMWIzvgJA"/>
    <hyperlink ref="F2312" r:id="rId2" display="https://files.afu.se/Downloads/Transcripts/0%20-%20Government/USA%20-%20NASA/"/>
    <hyperlink ref="C2313" r:id="rId2313" display="https://youtu.be/Hne7jqoF0Sk"/>
    <hyperlink ref="F2313" r:id="rId2" display="https://files.afu.se/Downloads/Transcripts/0%20-%20Government/USA%20-%20NASA/"/>
    <hyperlink ref="C2314" r:id="rId2314" display="https://youtu.be/o9vsHSE8i4E"/>
    <hyperlink ref="F2314" r:id="rId2" display="https://files.afu.se/Downloads/Transcripts/0%20-%20Government/USA%20-%20NASA/"/>
    <hyperlink ref="C2315" r:id="rId2315" display="https://youtu.be/gI8Dk9CeeZA"/>
    <hyperlink ref="F2315" r:id="rId2" display="https://files.afu.se/Downloads/Transcripts/0%20-%20Government/USA%20-%20NASA/"/>
    <hyperlink ref="C2316" r:id="rId2316" display="https://youtu.be/PIbGuKQS_F8"/>
    <hyperlink ref="F2316" r:id="rId2" display="https://files.afu.se/Downloads/Transcripts/0%20-%20Government/USA%20-%20NASA/"/>
    <hyperlink ref="C2317" r:id="rId2317" display="https://youtu.be/X7Akd7rCKmI"/>
    <hyperlink ref="F2317" r:id="rId2" display="https://files.afu.se/Downloads/Transcripts/0%20-%20Government/USA%20-%20NASA/"/>
    <hyperlink ref="C2318" r:id="rId2318" display="https://youtu.be/mu98Eq-goT4"/>
    <hyperlink ref="F2318" r:id="rId2" display="https://files.afu.se/Downloads/Transcripts/0%20-%20Government/USA%20-%20NASA/"/>
    <hyperlink ref="C2319" r:id="rId2319" display="https://youtu.be/bvqfkNoQunE"/>
    <hyperlink ref="F2319" r:id="rId2" display="https://files.afu.se/Downloads/Transcripts/0%20-%20Government/USA%20-%20NASA/"/>
    <hyperlink ref="C2320" r:id="rId2320" display="https://youtu.be/msnQUTLIJB4"/>
    <hyperlink ref="F2320" r:id="rId2" display="https://files.afu.se/Downloads/Transcripts/0%20-%20Government/USA%20-%20NASA/"/>
    <hyperlink ref="C2321" r:id="rId2321" display="https://youtu.be/maSAdw4tPQo"/>
    <hyperlink ref="F2321" r:id="rId2" display="https://files.afu.se/Downloads/Transcripts/0%20-%20Government/USA%20-%20NASA/"/>
    <hyperlink ref="C2322" r:id="rId2322" display="https://youtu.be/Yu_wwVEqR-E"/>
    <hyperlink ref="F2322" r:id="rId2" display="https://files.afu.se/Downloads/Transcripts/0%20-%20Government/USA%20-%20NASA/"/>
    <hyperlink ref="C2323" r:id="rId2323" display="https://youtu.be/AE98uJB-_zU"/>
    <hyperlink ref="F2323" r:id="rId2" display="https://files.afu.se/Downloads/Transcripts/0%20-%20Government/USA%20-%20NASA/"/>
    <hyperlink ref="C2324" r:id="rId2324" display="https://youtu.be/LqwgLz6N83s"/>
    <hyperlink ref="F2324" r:id="rId2" display="https://files.afu.se/Downloads/Transcripts/0%20-%20Government/USA%20-%20NASA/"/>
    <hyperlink ref="C2325" r:id="rId2325" display="https://youtu.be/CGgp4DsRyCM"/>
    <hyperlink ref="F2325" r:id="rId2" display="https://files.afu.se/Downloads/Transcripts/0%20-%20Government/USA%20-%20NASA/"/>
    <hyperlink ref="C2326" r:id="rId2326" display="https://youtu.be/y5HaD5zZjeE"/>
    <hyperlink ref="F2326" r:id="rId2" display="https://files.afu.se/Downloads/Transcripts/0%20-%20Government/USA%20-%20NASA/"/>
    <hyperlink ref="C2327" r:id="rId2327" display="https://youtu.be/nM9x7TYcxBU"/>
    <hyperlink ref="F2327" r:id="rId2" display="https://files.afu.se/Downloads/Transcripts/0%20-%20Government/USA%20-%20NASA/"/>
    <hyperlink ref="C2328" r:id="rId2328" display="https://youtu.be/6mqhqojL26c"/>
    <hyperlink ref="F2328" r:id="rId2" display="https://files.afu.se/Downloads/Transcripts/0%20-%20Government/USA%20-%20NASA/"/>
    <hyperlink ref="C2329" r:id="rId2329" display="https://youtu.be/nSUWvG2OA3I"/>
    <hyperlink ref="F2329" r:id="rId2" display="https://files.afu.se/Downloads/Transcripts/0%20-%20Government/USA%20-%20NASA/"/>
    <hyperlink ref="C2330" r:id="rId2330" display="https://youtu.be/38UaR2zNM9w"/>
    <hyperlink ref="F2330" r:id="rId2" display="https://files.afu.se/Downloads/Transcripts/0%20-%20Government/USA%20-%20NASA/"/>
    <hyperlink ref="C2331" r:id="rId2331" display="https://youtu.be/3frrRHEOEVU"/>
    <hyperlink ref="F2331" r:id="rId2" display="https://files.afu.se/Downloads/Transcripts/0%20-%20Government/USA%20-%20NASA/"/>
    <hyperlink ref="C2332" r:id="rId2332" display="https://youtu.be/aqtWOk7Y0NE"/>
    <hyperlink ref="F2332" r:id="rId2" display="https://files.afu.se/Downloads/Transcripts/0%20-%20Government/USA%20-%20NASA/"/>
    <hyperlink ref="C2333" r:id="rId2333" display="https://youtu.be/3cO_tzZ2nNI"/>
    <hyperlink ref="F2333" r:id="rId2" display="https://files.afu.se/Downloads/Transcripts/0%20-%20Government/USA%20-%20NASA/"/>
    <hyperlink ref="C2334" r:id="rId2334" display="https://youtu.be/VH09j8CqfKc"/>
    <hyperlink ref="F2334" r:id="rId2" display="https://files.afu.se/Downloads/Transcripts/0%20-%20Government/USA%20-%20NASA/"/>
    <hyperlink ref="C2335" r:id="rId2335" display="https://youtu.be/r-A52OhSvw8"/>
    <hyperlink ref="F2335" r:id="rId2" display="https://files.afu.se/Downloads/Transcripts/0%20-%20Government/USA%20-%20NASA/"/>
    <hyperlink ref="C2336" r:id="rId2336" display="https://youtu.be/gVd0F5WnNf0"/>
    <hyperlink ref="F2336" r:id="rId2" display="https://files.afu.se/Downloads/Transcripts/0%20-%20Government/USA%20-%20NASA/"/>
    <hyperlink ref="C2337" r:id="rId2337" display="https://youtu.be/8Vcrq6PX8Pk"/>
    <hyperlink ref="F2337" r:id="rId2" display="https://files.afu.se/Downloads/Transcripts/0%20-%20Government/USA%20-%20NASA/"/>
    <hyperlink ref="C2338" r:id="rId2338" display="https://youtu.be/sMaUUwci1YA"/>
    <hyperlink ref="F2338" r:id="rId2" display="https://files.afu.se/Downloads/Transcripts/0%20-%20Government/USA%20-%20NASA/"/>
    <hyperlink ref="C2339" r:id="rId2339" display="https://youtu.be/L-nELgBjsaY"/>
    <hyperlink ref="F2339" r:id="rId2" display="https://files.afu.se/Downloads/Transcripts/0%20-%20Government/USA%20-%20NASA/"/>
    <hyperlink ref="C2340" r:id="rId2340" display="https://youtu.be/STUyjTO8gQw"/>
    <hyperlink ref="F2340" r:id="rId2" display="https://files.afu.se/Downloads/Transcripts/0%20-%20Government/USA%20-%20NASA/"/>
    <hyperlink ref="C2341" r:id="rId2341" display="https://youtu.be/cOGNsTd4cb4"/>
    <hyperlink ref="F2341" r:id="rId2" display="https://files.afu.se/Downloads/Transcripts/0%20-%20Government/USA%20-%20NASA/"/>
    <hyperlink ref="C2342" r:id="rId2342" display="https://youtu.be/oGwYFO0csdM"/>
    <hyperlink ref="F2342" r:id="rId2" display="https://files.afu.se/Downloads/Transcripts/0%20-%20Government/USA%20-%20NASA/"/>
    <hyperlink ref="C2343" r:id="rId2343" display="https://youtu.be/cOhkcXf416g"/>
    <hyperlink ref="F2343" r:id="rId2" display="https://files.afu.se/Downloads/Transcripts/0%20-%20Government/USA%20-%20NASA/"/>
    <hyperlink ref="C2344" r:id="rId2344" display="https://youtu.be/DcouM-KGoR4"/>
    <hyperlink ref="F2344" r:id="rId2" display="https://files.afu.se/Downloads/Transcripts/0%20-%20Government/USA%20-%20NASA/"/>
    <hyperlink ref="C2345" r:id="rId2345" display="https://youtu.be/EyJHo50UNsk"/>
    <hyperlink ref="F2345" r:id="rId2" display="https://files.afu.se/Downloads/Transcripts/0%20-%20Government/USA%20-%20NASA/"/>
    <hyperlink ref="C2346" r:id="rId2346" display="https://youtu.be/urXuyEpkiTw"/>
    <hyperlink ref="F2346" r:id="rId2" display="https://files.afu.se/Downloads/Transcripts/0%20-%20Government/USA%20-%20NASA/"/>
    <hyperlink ref="C2347" r:id="rId2347" display="https://youtu.be/yICO-Fy3RQ0"/>
    <hyperlink ref="F2347" r:id="rId2" display="https://files.afu.se/Downloads/Transcripts/0%20-%20Government/USA%20-%20NASA/"/>
    <hyperlink ref="C2348" r:id="rId2348" display="https://youtu.be/w2kSeINalHg"/>
    <hyperlink ref="F2348" r:id="rId2" display="https://files.afu.se/Downloads/Transcripts/0%20-%20Government/USA%20-%20NASA/"/>
    <hyperlink ref="C2349" r:id="rId2349" display="https://youtu.be/dkfW1Q1T72c"/>
    <hyperlink ref="F2349" r:id="rId2" display="https://files.afu.se/Downloads/Transcripts/0%20-%20Government/USA%20-%20NASA/"/>
    <hyperlink ref="C2350" r:id="rId2350" display="https://youtu.be/nymxP4q0yTo"/>
    <hyperlink ref="F2350" r:id="rId2" display="https://files.afu.se/Downloads/Transcripts/0%20-%20Government/USA%20-%20NASA/"/>
    <hyperlink ref="C2351" r:id="rId2351" display="https://youtu.be/mZtORUPr9jQ"/>
    <hyperlink ref="F2351" r:id="rId2" display="https://files.afu.se/Downloads/Transcripts/0%20-%20Government/USA%20-%20NASA/"/>
    <hyperlink ref="C2352" r:id="rId2352" display="https://youtu.be/NWwRALI55kY"/>
    <hyperlink ref="F2352" r:id="rId2" display="https://files.afu.se/Downloads/Transcripts/0%20-%20Government/USA%20-%20NASA/"/>
    <hyperlink ref="C2353" r:id="rId2353" display="https://youtu.be/BZnykzJXIbo"/>
    <hyperlink ref="F2353" r:id="rId2" display="https://files.afu.se/Downloads/Transcripts/0%20-%20Government/USA%20-%20NASA/"/>
    <hyperlink ref="C2354" r:id="rId2354" display="https://youtu.be/RkO4orNOcmY"/>
    <hyperlink ref="F2354" r:id="rId2" display="https://files.afu.se/Downloads/Transcripts/0%20-%20Government/USA%20-%20NASA/"/>
    <hyperlink ref="C2355" r:id="rId2355" display="https://youtu.be/BEtPwTzQGk8"/>
    <hyperlink ref="F2355" r:id="rId2" display="https://files.afu.se/Downloads/Transcripts/0%20-%20Government/USA%20-%20NASA/"/>
    <hyperlink ref="C2356" r:id="rId2356" display="https://youtu.be/k8Uihe3ggfI"/>
    <hyperlink ref="F2356" r:id="rId2" display="https://files.afu.se/Downloads/Transcripts/0%20-%20Government/USA%20-%20NASA/"/>
    <hyperlink ref="C2357" r:id="rId2357" display="https://youtu.be/O99lOZOfCK4"/>
    <hyperlink ref="F2357" r:id="rId2" display="https://files.afu.se/Downloads/Transcripts/0%20-%20Government/USA%20-%20NASA/"/>
    <hyperlink ref="C2358" r:id="rId2358" display="https://youtu.be/-I6JPWJKTbg"/>
    <hyperlink ref="F2358" r:id="rId2" display="https://files.afu.se/Downloads/Transcripts/0%20-%20Government/USA%20-%20NASA/"/>
    <hyperlink ref="C2359" r:id="rId2359" display="https://youtu.be/-riwCepog-o"/>
    <hyperlink ref="F2359" r:id="rId2" display="https://files.afu.se/Downloads/Transcripts/0%20-%20Government/USA%20-%20NASA/"/>
    <hyperlink ref="C2360" r:id="rId2360" display="https://youtu.be/qPD647b3HXg"/>
    <hyperlink ref="F2360" r:id="rId2" display="https://files.afu.se/Downloads/Transcripts/0%20-%20Government/USA%20-%20NASA/"/>
    <hyperlink ref="C2361" r:id="rId2361" display="https://youtu.be/HROoSDMd4Ag"/>
    <hyperlink ref="F2361" r:id="rId2" display="https://files.afu.se/Downloads/Transcripts/0%20-%20Government/USA%20-%20NASA/"/>
    <hyperlink ref="C2362" r:id="rId2362" display="https://youtu.be/ENDpURNxDr4"/>
    <hyperlink ref="F2362" r:id="rId2" display="https://files.afu.se/Downloads/Transcripts/0%20-%20Government/USA%20-%20NASA/"/>
    <hyperlink ref="C2363" r:id="rId2363" display="https://youtu.be/DxeGTQX5mRg"/>
    <hyperlink ref="F2363" r:id="rId2" display="https://files.afu.se/Downloads/Transcripts/0%20-%20Government/USA%20-%20NASA/"/>
    <hyperlink ref="C2364" r:id="rId2364" display="https://youtu.be/RajMklyfGpQ"/>
    <hyperlink ref="F2364" r:id="rId2" display="https://files.afu.se/Downloads/Transcripts/0%20-%20Government/USA%20-%20NASA/"/>
    <hyperlink ref="C2365" r:id="rId2365" display="https://youtu.be/FJPl70WZtJ0"/>
    <hyperlink ref="F2365" r:id="rId2" display="https://files.afu.se/Downloads/Transcripts/0%20-%20Government/USA%20-%20NASA/"/>
    <hyperlink ref="C2366" r:id="rId2366" display="https://youtu.be/tILvsZ0j4Ac"/>
    <hyperlink ref="F2366" r:id="rId2" display="https://files.afu.se/Downloads/Transcripts/0%20-%20Government/USA%20-%20NASA/"/>
    <hyperlink ref="C2367" r:id="rId2367" display="https://youtu.be/GmMOM2uJdKk"/>
    <hyperlink ref="F2367" r:id="rId2" display="https://files.afu.se/Downloads/Transcripts/0%20-%20Government/USA%20-%20NASA/"/>
    <hyperlink ref="C2368" r:id="rId2368" display="https://youtu.be/kbivNwbD9to"/>
    <hyperlink ref="F2368" r:id="rId2" display="https://files.afu.se/Downloads/Transcripts/0%20-%20Government/USA%20-%20NASA/"/>
    <hyperlink ref="C2369" r:id="rId2369" display="https://youtu.be/9TUQ52907ew"/>
    <hyperlink ref="F2369" r:id="rId2" display="https://files.afu.se/Downloads/Transcripts/0%20-%20Government/USA%20-%20NASA/"/>
    <hyperlink ref="C2370" r:id="rId2370" display="https://youtu.be/I8Xou0VU4LA"/>
    <hyperlink ref="F2370" r:id="rId2" display="https://files.afu.se/Downloads/Transcripts/0%20-%20Government/USA%20-%20NASA/"/>
    <hyperlink ref="C2371" r:id="rId2371" display="https://youtu.be/mb29WucJwoA"/>
    <hyperlink ref="F2371" r:id="rId2" display="https://files.afu.se/Downloads/Transcripts/0%20-%20Government/USA%20-%20NASA/"/>
    <hyperlink ref="C2372" r:id="rId2372" display="https://youtu.be/laPX7h9W9To"/>
    <hyperlink ref="F2372" r:id="rId2" display="https://files.afu.se/Downloads/Transcripts/0%20-%20Government/USA%20-%20NASA/"/>
    <hyperlink ref="C2373" r:id="rId2373" display="https://youtu.be/nuyVedH-I0o"/>
    <hyperlink ref="F2373" r:id="rId2" display="https://files.afu.se/Downloads/Transcripts/0%20-%20Government/USA%20-%20NASA/"/>
    <hyperlink ref="C2374" r:id="rId2374" display="https://youtu.be/4x_yvE_M11w"/>
    <hyperlink ref="F2374" r:id="rId2" display="https://files.afu.se/Downloads/Transcripts/0%20-%20Government/USA%20-%20NASA/"/>
    <hyperlink ref="C2375" r:id="rId2375" display="https://youtu.be/5Y7ufkhlHKI"/>
    <hyperlink ref="F2375" r:id="rId2" display="https://files.afu.se/Downloads/Transcripts/0%20-%20Government/USA%20-%20NASA/"/>
    <hyperlink ref="C2376" r:id="rId2376" display="https://youtu.be/R2pRE1TX4Y0"/>
    <hyperlink ref="F2376" r:id="rId2" display="https://files.afu.se/Downloads/Transcripts/0%20-%20Government/USA%20-%20NASA/"/>
    <hyperlink ref="C2377" r:id="rId2377" display="https://youtu.be/MJQBTWKhSgo"/>
    <hyperlink ref="F2377" r:id="rId2" display="https://files.afu.se/Downloads/Transcripts/0%20-%20Government/USA%20-%20NASA/"/>
    <hyperlink ref="C2378" r:id="rId2378" display="https://youtu.be/Oq0DqAyh_NA"/>
    <hyperlink ref="F2378" r:id="rId2" display="https://files.afu.se/Downloads/Transcripts/0%20-%20Government/USA%20-%20NASA/"/>
    <hyperlink ref="C2379" r:id="rId2379" display="https://youtu.be/kECY85DM2I8"/>
    <hyperlink ref="F2379" r:id="rId2" display="https://files.afu.se/Downloads/Transcripts/0%20-%20Government/USA%20-%20NASA/"/>
    <hyperlink ref="C2380" r:id="rId2380" display="https://youtu.be/7W1HpkqSysM"/>
    <hyperlink ref="F2380" r:id="rId2" display="https://files.afu.se/Downloads/Transcripts/0%20-%20Government/USA%20-%20NASA/"/>
    <hyperlink ref="C2381" r:id="rId2381" display="https://youtu.be/ab3WDxn1_0o"/>
    <hyperlink ref="F2381" r:id="rId2" display="https://files.afu.se/Downloads/Transcripts/0%20-%20Government/USA%20-%20NASA/"/>
    <hyperlink ref="C2382" r:id="rId2382" display="https://youtu.be/rsshvou0zok"/>
    <hyperlink ref="F2382" r:id="rId2" display="https://files.afu.se/Downloads/Transcripts/0%20-%20Government/USA%20-%20NASA/"/>
    <hyperlink ref="C2383" r:id="rId2383" display="https://youtu.be/YrdQuXSUG60"/>
    <hyperlink ref="F2383" r:id="rId2" display="https://files.afu.se/Downloads/Transcripts/0%20-%20Government/USA%20-%20NASA/"/>
    <hyperlink ref="C2384" r:id="rId2384" display="https://youtu.be/bkePmysM-AI"/>
    <hyperlink ref="F2384" r:id="rId2" display="https://files.afu.se/Downloads/Transcripts/0%20-%20Government/USA%20-%20NASA/"/>
    <hyperlink ref="C2385" r:id="rId2385" display="https://youtu.be/PZil9FxJE98"/>
    <hyperlink ref="F2385" r:id="rId2" display="https://files.afu.se/Downloads/Transcripts/0%20-%20Government/USA%20-%20NASA/"/>
    <hyperlink ref="C2386" r:id="rId2386" display="https://youtu.be/AOFmungRM4s"/>
    <hyperlink ref="F2386" r:id="rId2" display="https://files.afu.se/Downloads/Transcripts/0%20-%20Government/USA%20-%20NASA/"/>
    <hyperlink ref="C2387" r:id="rId2387" display="https://youtu.be/-WgKSmKiLyI"/>
    <hyperlink ref="F2387" r:id="rId2" display="https://files.afu.se/Downloads/Transcripts/0%20-%20Government/USA%20-%20NASA/"/>
    <hyperlink ref="C2388" r:id="rId2388" display="https://youtu.be/na-jdsUWAGE"/>
    <hyperlink ref="F2388" r:id="rId2" display="https://files.afu.se/Downloads/Transcripts/0%20-%20Government/USA%20-%20NASA/"/>
    <hyperlink ref="C2389" r:id="rId2389" display="https://youtu.be/eOzbd1DO5pw"/>
    <hyperlink ref="F2389" r:id="rId2" display="https://files.afu.se/Downloads/Transcripts/0%20-%20Government/USA%20-%20NASA/"/>
    <hyperlink ref="C2390" r:id="rId2390" display="https://youtu.be/Ys9ciDf2WXU"/>
    <hyperlink ref="F2390" r:id="rId2" display="https://files.afu.se/Downloads/Transcripts/0%20-%20Government/USA%20-%20NASA/"/>
    <hyperlink ref="C2391" r:id="rId2391" display="https://youtu.be/4AV6ju3IyEQ"/>
    <hyperlink ref="F2391" r:id="rId2" display="https://files.afu.se/Downloads/Transcripts/0%20-%20Government/USA%20-%20NASA/"/>
    <hyperlink ref="C2392" r:id="rId2392" display="https://youtu.be/7fubA64JzlM"/>
    <hyperlink ref="F2392" r:id="rId2" display="https://files.afu.se/Downloads/Transcripts/0%20-%20Government/USA%20-%20NASA/"/>
    <hyperlink ref="C2393" r:id="rId2393" display="https://youtu.be/V4J822SfkSI"/>
    <hyperlink ref="F2393" r:id="rId2" display="https://files.afu.se/Downloads/Transcripts/0%20-%20Government/USA%20-%20NASA/"/>
    <hyperlink ref="C2394" r:id="rId2394" display="https://youtu.be/0o37HWuVJvM"/>
    <hyperlink ref="F2394" r:id="rId2" display="https://files.afu.se/Downloads/Transcripts/0%20-%20Government/USA%20-%20NASA/"/>
    <hyperlink ref="C2395" r:id="rId2395" display="https://youtu.be/pCXstv8R1rc"/>
    <hyperlink ref="F2395" r:id="rId2" display="https://files.afu.se/Downloads/Transcripts/0%20-%20Government/USA%20-%20NASA/"/>
    <hyperlink ref="C2396" r:id="rId2396" display="https://youtu.be/DaUhaVUN3Yc"/>
    <hyperlink ref="F2396" r:id="rId2" display="https://files.afu.se/Downloads/Transcripts/0%20-%20Government/USA%20-%20NASA/"/>
    <hyperlink ref="C2397" r:id="rId2397" display="https://youtu.be/z3ekr2CXlK0"/>
    <hyperlink ref="F2397" r:id="rId2" display="https://files.afu.se/Downloads/Transcripts/0%20-%20Government/USA%20-%20NASA/"/>
    <hyperlink ref="C2398" r:id="rId2398" display="https://youtu.be/KuZpBHT-nxo"/>
    <hyperlink ref="F2398" r:id="rId2" display="https://files.afu.se/Downloads/Transcripts/0%20-%20Government/USA%20-%20NASA/"/>
    <hyperlink ref="C2399" r:id="rId2399" display="https://youtu.be/GmcPePyFUsc"/>
    <hyperlink ref="F2399" r:id="rId2" display="https://files.afu.se/Downloads/Transcripts/0%20-%20Government/USA%20-%20NASA/"/>
    <hyperlink ref="C2400" r:id="rId2400" display="https://youtu.be/ohEouaSMm5g"/>
    <hyperlink ref="F2400" r:id="rId2" display="https://files.afu.se/Downloads/Transcripts/0%20-%20Government/USA%20-%20NASA/"/>
    <hyperlink ref="C2401" r:id="rId2401" display="https://youtu.be/jwvj9SUUVlo"/>
    <hyperlink ref="F2401" r:id="rId2" display="https://files.afu.se/Downloads/Transcripts/0%20-%20Government/USA%20-%20NASA/"/>
    <hyperlink ref="C2402" r:id="rId2402" display="https://youtu.be/ntZgIBLkGWA"/>
    <hyperlink ref="F2402" r:id="rId2" display="https://files.afu.se/Downloads/Transcripts/0%20-%20Government/USA%20-%20NASA/"/>
    <hyperlink ref="C2403" r:id="rId2403" display="https://youtu.be/JZRrvEJqSM8"/>
    <hyperlink ref="F2403" r:id="rId2" display="https://files.afu.se/Downloads/Transcripts/0%20-%20Government/USA%20-%20NASA/"/>
    <hyperlink ref="C2404" r:id="rId2404" display="https://youtu.be/zvafM0N-zXE"/>
    <hyperlink ref="F2404" r:id="rId2" display="https://files.afu.se/Downloads/Transcripts/0%20-%20Government/USA%20-%20NASA/"/>
    <hyperlink ref="C2405" r:id="rId2405" display="https://youtu.be/aYy_I3gNm6c"/>
    <hyperlink ref="F2405" r:id="rId2" display="https://files.afu.se/Downloads/Transcripts/0%20-%20Government/USA%20-%20NASA/"/>
    <hyperlink ref="C2406" r:id="rId2406" display="https://youtu.be/D0pjgbjTJ8o"/>
    <hyperlink ref="F2406" r:id="rId2" display="https://files.afu.se/Downloads/Transcripts/0%20-%20Government/USA%20-%20NASA/"/>
    <hyperlink ref="C2407" r:id="rId2407" display="https://youtu.be/dZ95-pE5XvY"/>
    <hyperlink ref="F2407" r:id="rId2" display="https://files.afu.se/Downloads/Transcripts/0%20-%20Government/USA%20-%20NASA/"/>
    <hyperlink ref="C2408" r:id="rId2408" display="https://youtu.be/d3TxllHkNWk"/>
    <hyperlink ref="F2408" r:id="rId2" display="https://files.afu.se/Downloads/Transcripts/0%20-%20Government/USA%20-%20NASA/"/>
    <hyperlink ref="C2409" r:id="rId2409" display="https://youtu.be/bLzYYbB64Vc"/>
    <hyperlink ref="F2409" r:id="rId2" display="https://files.afu.se/Downloads/Transcripts/0%20-%20Government/USA%20-%20NASA/"/>
    <hyperlink ref="C2410" r:id="rId2410" display="https://youtu.be/iNonPahJlK8"/>
    <hyperlink ref="F2410" r:id="rId2" display="https://files.afu.se/Downloads/Transcripts/0%20-%20Government/USA%20-%20NASA/"/>
    <hyperlink ref="C2411" r:id="rId2411" display="https://youtu.be/zXjj32yknWg"/>
    <hyperlink ref="F2411" r:id="rId2" display="https://files.afu.se/Downloads/Transcripts/0%20-%20Government/USA%20-%20NASA/"/>
    <hyperlink ref="C2412" r:id="rId2412" display="https://youtu.be/znjNu8Ui7Ls"/>
    <hyperlink ref="F2412" r:id="rId2" display="https://files.afu.se/Downloads/Transcripts/0%20-%20Government/USA%20-%20NASA/"/>
    <hyperlink ref="C2413" r:id="rId2413" display="https://youtu.be/aKwjcS37Wvw"/>
    <hyperlink ref="F2413" r:id="rId2" display="https://files.afu.se/Downloads/Transcripts/0%20-%20Government/USA%20-%20NASA/"/>
    <hyperlink ref="C2414" r:id="rId2414" display="https://youtu.be/1cRhU6bMLis"/>
    <hyperlink ref="F2414" r:id="rId2" display="https://files.afu.se/Downloads/Transcripts/0%20-%20Government/USA%20-%20NASA/"/>
    <hyperlink ref="C2415" r:id="rId2415" display="https://youtu.be/WD7GVvkDjy0"/>
    <hyperlink ref="F2415" r:id="rId2" display="https://files.afu.se/Downloads/Transcripts/0%20-%20Government/USA%20-%20NASA/"/>
    <hyperlink ref="C2416" r:id="rId2416" display="https://youtu.be/iZDoZnyPwNs"/>
    <hyperlink ref="F2416" r:id="rId2" display="https://files.afu.se/Downloads/Transcripts/0%20-%20Government/USA%20-%20NASA/"/>
    <hyperlink ref="C2417" r:id="rId2417" display="https://youtu.be/KtbLnLsNeTU"/>
    <hyperlink ref="F2417" r:id="rId2" display="https://files.afu.se/Downloads/Transcripts/0%20-%20Government/USA%20-%20NASA/"/>
    <hyperlink ref="C2418" r:id="rId2418" display="https://youtu.be/esPBHUIw91Q"/>
    <hyperlink ref="F2418" r:id="rId2" display="https://files.afu.se/Downloads/Transcripts/0%20-%20Government/USA%20-%20NASA/"/>
    <hyperlink ref="C2419" r:id="rId2419" display="https://youtu.be/SVYGhsBter8"/>
    <hyperlink ref="F2419" r:id="rId2" display="https://files.afu.se/Downloads/Transcripts/0%20-%20Government/USA%20-%20NASA/"/>
    <hyperlink ref="C2420" r:id="rId2420" display="https://youtu.be/xwhnXJdJEk8"/>
    <hyperlink ref="F2420" r:id="rId2" display="https://files.afu.se/Downloads/Transcripts/0%20-%20Government/USA%20-%20NASA/"/>
    <hyperlink ref="C2421" r:id="rId2421" display="https://youtu.be/mS0Ykvj4P1I"/>
    <hyperlink ref="F2421" r:id="rId2" display="https://files.afu.se/Downloads/Transcripts/0%20-%20Government/USA%20-%20NASA/"/>
    <hyperlink ref="C2422" r:id="rId2422" display="https://youtu.be/UMFolzWdnWw"/>
    <hyperlink ref="F2422" r:id="rId2" display="https://files.afu.se/Downloads/Transcripts/0%20-%20Government/USA%20-%20NASA/"/>
    <hyperlink ref="C2423" r:id="rId2423" display="https://youtu.be/6MAVU9EkMWE"/>
    <hyperlink ref="F2423" r:id="rId2" display="https://files.afu.se/Downloads/Transcripts/0%20-%20Government/USA%20-%20NASA/"/>
    <hyperlink ref="C2424" r:id="rId2424" display="https://youtu.be/TZuOBSgTJGs"/>
    <hyperlink ref="F2424" r:id="rId2" display="https://files.afu.se/Downloads/Transcripts/0%20-%20Government/USA%20-%20NASA/"/>
    <hyperlink ref="C2425" r:id="rId2425" display="https://youtu.be/fktWJ0M80QE"/>
    <hyperlink ref="F2425" r:id="rId2" display="https://files.afu.se/Downloads/Transcripts/0%20-%20Government/USA%20-%20NASA/"/>
    <hyperlink ref="C2426" r:id="rId2426" display="https://youtu.be/fCp0SDEJsp8"/>
    <hyperlink ref="F2426" r:id="rId2" display="https://files.afu.se/Downloads/Transcripts/0%20-%20Government/USA%20-%20NASA/"/>
    <hyperlink ref="C2427" r:id="rId2427" display="https://youtu.be/ywNx2-u1HMM"/>
    <hyperlink ref="F2427" r:id="rId2" display="https://files.afu.se/Downloads/Transcripts/0%20-%20Government/USA%20-%20NASA/"/>
    <hyperlink ref="C2428" r:id="rId2428" display="https://youtu.be/p7oOPjwnDow"/>
    <hyperlink ref="F2428" r:id="rId2" display="https://files.afu.se/Downloads/Transcripts/0%20-%20Government/USA%20-%20NASA/"/>
    <hyperlink ref="C2429" r:id="rId2429" display="https://youtu.be/_WXyZLVXcKg"/>
    <hyperlink ref="F2429" r:id="rId2" display="https://files.afu.se/Downloads/Transcripts/0%20-%20Government/USA%20-%20NASA/"/>
    <hyperlink ref="C2430" r:id="rId2430" display="https://youtu.be/keZZ5444sK0"/>
    <hyperlink ref="F2430" r:id="rId2" display="https://files.afu.se/Downloads/Transcripts/0%20-%20Government/USA%20-%20NASA/"/>
    <hyperlink ref="C2431" r:id="rId2431" display="https://youtu.be/DejhGSEu8wk"/>
    <hyperlink ref="F2431" r:id="rId2" display="https://files.afu.se/Downloads/Transcripts/0%20-%20Government/USA%20-%20NASA/"/>
    <hyperlink ref="C2432" r:id="rId2432" display="https://youtu.be/evSZKd037BM"/>
    <hyperlink ref="F2432" r:id="rId2" display="https://files.afu.se/Downloads/Transcripts/0%20-%20Government/USA%20-%20NASA/"/>
    <hyperlink ref="C2433" r:id="rId2433" display="https://youtu.be/foJGr-Re1RM"/>
    <hyperlink ref="F2433" r:id="rId2" display="https://files.afu.se/Downloads/Transcripts/0%20-%20Government/USA%20-%20NASA/"/>
    <hyperlink ref="C2434" r:id="rId2434" display="https://youtu.be/lXYYuz2oFvQ"/>
    <hyperlink ref="F2434" r:id="rId2" display="https://files.afu.se/Downloads/Transcripts/0%20-%20Government/USA%20-%20NASA/"/>
    <hyperlink ref="C2435" r:id="rId2435" display="https://youtu.be/QjmjfM7LV0Q"/>
    <hyperlink ref="F2435" r:id="rId2" display="https://files.afu.se/Downloads/Transcripts/0%20-%20Government/USA%20-%20NASA/"/>
    <hyperlink ref="C2436" r:id="rId2436" display="https://youtu.be/3kH3WfpDKW0"/>
    <hyperlink ref="F2436" r:id="rId2" display="https://files.afu.se/Downloads/Transcripts/0%20-%20Government/USA%20-%20NASA/"/>
    <hyperlink ref="C2437" r:id="rId2437" display="https://youtu.be/hbgxzA2VQC0"/>
    <hyperlink ref="F2437" r:id="rId2" display="https://files.afu.se/Downloads/Transcripts/0%20-%20Government/USA%20-%20NASA/"/>
    <hyperlink ref="C2438" r:id="rId2438" display="https://youtu.be/Z5YQ8azP_Zs"/>
    <hyperlink ref="F2438" r:id="rId2" display="https://files.afu.se/Downloads/Transcripts/0%20-%20Government/USA%20-%20NASA/"/>
    <hyperlink ref="C2439" r:id="rId2439" display="https://youtu.be/S9HdPi9Ikhk"/>
    <hyperlink ref="F2439" r:id="rId2" display="https://files.afu.se/Downloads/Transcripts/0%20-%20Government/USA%20-%20NASA/"/>
    <hyperlink ref="C2440" r:id="rId2440" display="https://youtu.be/DwybgxL0Yag"/>
    <hyperlink ref="F2440" r:id="rId2" display="https://files.afu.se/Downloads/Transcripts/0%20-%20Government/USA%20-%20NASA/"/>
    <hyperlink ref="C2441" r:id="rId2441" display="https://youtu.be/KXfxH4FRObY"/>
    <hyperlink ref="F2441" r:id="rId2" display="https://files.afu.se/Downloads/Transcripts/0%20-%20Government/USA%20-%20NASA/"/>
    <hyperlink ref="C2442" r:id="rId2442" display="https://youtu.be/GNJpoP642wc"/>
    <hyperlink ref="F2442" r:id="rId2" display="https://files.afu.se/Downloads/Transcripts/0%20-%20Government/USA%20-%20NASA/"/>
    <hyperlink ref="C2443" r:id="rId2443" display="https://youtu.be/HxgoV9IMgCg"/>
    <hyperlink ref="F2443" r:id="rId2" display="https://files.afu.se/Downloads/Transcripts/0%20-%20Government/USA%20-%20NASA/"/>
    <hyperlink ref="C2444" r:id="rId2444" display="https://youtu.be/qUe5IpDBcsM"/>
    <hyperlink ref="F2444" r:id="rId2" display="https://files.afu.se/Downloads/Transcripts/0%20-%20Government/USA%20-%20NASA/"/>
    <hyperlink ref="C2445" r:id="rId2445" display="https://youtu.be/SMA0zbFK5jE"/>
    <hyperlink ref="F2445" r:id="rId2" display="https://files.afu.se/Downloads/Transcripts/0%20-%20Government/USA%20-%20NASA/"/>
    <hyperlink ref="C2446" r:id="rId2446" display="https://youtu.be/fFRBJ13Zx6I"/>
    <hyperlink ref="F2446" r:id="rId2" display="https://files.afu.se/Downloads/Transcripts/0%20-%20Government/USA%20-%20NASA/"/>
    <hyperlink ref="C2447" r:id="rId2447" display="https://youtu.be/oCh5HLyOufw"/>
    <hyperlink ref="F2447" r:id="rId2" display="https://files.afu.se/Downloads/Transcripts/0%20-%20Government/USA%20-%20NASA/"/>
    <hyperlink ref="C2448" r:id="rId2448" display="https://youtu.be/GNjuz6MO0eU"/>
    <hyperlink ref="F2448" r:id="rId2" display="https://files.afu.se/Downloads/Transcripts/0%20-%20Government/USA%20-%20NASA/"/>
    <hyperlink ref="C2449" r:id="rId2449" display="https://youtu.be/102ZxBw2-4M"/>
    <hyperlink ref="F2449" r:id="rId2" display="https://files.afu.se/Downloads/Transcripts/0%20-%20Government/USA%20-%20NASA/"/>
    <hyperlink ref="C2450" r:id="rId2450" display="https://youtu.be/HKz757B7yY8"/>
    <hyperlink ref="F2450" r:id="rId2" display="https://files.afu.se/Downloads/Transcripts/0%20-%20Government/USA%20-%20NASA/"/>
    <hyperlink ref="C2451" r:id="rId2451" display="https://youtu.be/zg4DWPGjxTc"/>
    <hyperlink ref="F2451" r:id="rId2" display="https://files.afu.se/Downloads/Transcripts/0%20-%20Government/USA%20-%20NASA/"/>
    <hyperlink ref="C2452" r:id="rId2452" display="https://youtu.be/KA3RhUsbf20"/>
    <hyperlink ref="F2452" r:id="rId2" display="https://files.afu.se/Downloads/Transcripts/0%20-%20Government/USA%20-%20NASA/"/>
    <hyperlink ref="C2453" r:id="rId2453" display="https://youtu.be/oBDhn0aPuqk"/>
    <hyperlink ref="F2453" r:id="rId2" display="https://files.afu.se/Downloads/Transcripts/0%20-%20Government/USA%20-%20NASA/"/>
    <hyperlink ref="C2454" r:id="rId2454" display="https://youtu.be/p4WJEOnxnXM"/>
    <hyperlink ref="F2454" r:id="rId2" display="https://files.afu.se/Downloads/Transcripts/0%20-%20Government/USA%20-%20NASA/"/>
    <hyperlink ref="C2455" r:id="rId2455" display="https://youtu.be/BlVQs_wcYzA"/>
    <hyperlink ref="F2455" r:id="rId2" display="https://files.afu.se/Downloads/Transcripts/0%20-%20Government/USA%20-%20NASA/"/>
    <hyperlink ref="C2456" r:id="rId2456" display="https://youtu.be/qAbni7TDJ_U"/>
    <hyperlink ref="F2456" r:id="rId2" display="https://files.afu.se/Downloads/Transcripts/0%20-%20Government/USA%20-%20NASA/"/>
    <hyperlink ref="C2457" r:id="rId2457" display="https://youtu.be/2G7_AWAc0AE"/>
    <hyperlink ref="F2457" r:id="rId2" display="https://files.afu.se/Downloads/Transcripts/0%20-%20Government/USA%20-%20NASA/"/>
    <hyperlink ref="C2458" r:id="rId2458" display="https://youtu.be/UPl6hAMokZM"/>
    <hyperlink ref="F2458" r:id="rId2" display="https://files.afu.se/Downloads/Transcripts/0%20-%20Government/USA%20-%20NASA/"/>
    <hyperlink ref="C2459" r:id="rId2459" display="https://youtu.be/XeIzRqtjYOQ"/>
    <hyperlink ref="F2459" r:id="rId2" display="https://files.afu.se/Downloads/Transcripts/0%20-%20Government/USA%20-%20NASA/"/>
    <hyperlink ref="C2460" r:id="rId2460" display="https://youtu.be/Qxu0PXUelM0"/>
    <hyperlink ref="F2460" r:id="rId2" display="https://files.afu.se/Downloads/Transcripts/0%20-%20Government/USA%20-%20NASA/"/>
    <hyperlink ref="C2461" r:id="rId2461" display="https://youtu.be/gLyj8s6CQC0"/>
    <hyperlink ref="F2461" r:id="rId2" display="https://files.afu.se/Downloads/Transcripts/0%20-%20Government/USA%20-%20NASA/"/>
    <hyperlink ref="C2462" r:id="rId2462" display="https://youtu.be/xpWvo2X55n4"/>
    <hyperlink ref="F2462" r:id="rId2" display="https://files.afu.se/Downloads/Transcripts/0%20-%20Government/USA%20-%20NASA/"/>
    <hyperlink ref="C2463" r:id="rId2463" display="https://youtu.be/8QoIKhK1VQI"/>
    <hyperlink ref="F2463" r:id="rId2" display="https://files.afu.se/Downloads/Transcripts/0%20-%20Government/USA%20-%20NASA/"/>
    <hyperlink ref="C2464" r:id="rId2464" display="https://youtu.be/x8Tt7qlLfIM"/>
    <hyperlink ref="F2464" r:id="rId2" display="https://files.afu.se/Downloads/Transcripts/0%20-%20Government/USA%20-%20NASA/"/>
    <hyperlink ref="C2465" r:id="rId2465" display="https://youtu.be/RqQ3yFyrIM0"/>
    <hyperlink ref="F2465" r:id="rId2" display="https://files.afu.se/Downloads/Transcripts/0%20-%20Government/USA%20-%20NASA/"/>
    <hyperlink ref="C2466" r:id="rId2466" display="https://youtu.be/o3s_uhEr1Cs"/>
    <hyperlink ref="F2466" r:id="rId2" display="https://files.afu.se/Downloads/Transcripts/0%20-%20Government/USA%20-%20NASA/"/>
    <hyperlink ref="C2467" r:id="rId2467" display="https://youtu.be/8zrP96LQFZI"/>
    <hyperlink ref="F2467" r:id="rId2" display="https://files.afu.se/Downloads/Transcripts/0%20-%20Government/USA%20-%20NASA/"/>
    <hyperlink ref="C2468" r:id="rId2468" display="https://youtu.be/8VH2Z6dLRu8"/>
    <hyperlink ref="F2468" r:id="rId2" display="https://files.afu.se/Downloads/Transcripts/0%20-%20Government/USA%20-%20NASA/"/>
    <hyperlink ref="C2469" r:id="rId2469" display="https://youtu.be/3lntugxjOe0"/>
    <hyperlink ref="F2469" r:id="rId2" display="https://files.afu.se/Downloads/Transcripts/0%20-%20Government/USA%20-%20NASA/"/>
    <hyperlink ref="C2470" r:id="rId2470" display="https://youtu.be/kPxEMT-sSX0"/>
    <hyperlink ref="F2470" r:id="rId2" display="https://files.afu.se/Downloads/Transcripts/0%20-%20Government/USA%20-%20NASA/"/>
    <hyperlink ref="C2471" r:id="rId2471" display="https://youtu.be/pzX-ZhCDbrw"/>
    <hyperlink ref="F2471" r:id="rId2" display="https://files.afu.se/Downloads/Transcripts/0%20-%20Government/USA%20-%20NASA/"/>
    <hyperlink ref="C2472" r:id="rId2472" display="https://youtu.be/uZ20sOS4sNQ"/>
    <hyperlink ref="F2472" r:id="rId2" display="https://files.afu.se/Downloads/Transcripts/0%20-%20Government/USA%20-%20NASA/"/>
    <hyperlink ref="C2473" r:id="rId2473" display="https://youtu.be/p2zUpaIff8M"/>
    <hyperlink ref="F2473" r:id="rId2" display="https://files.afu.se/Downloads/Transcripts/0%20-%20Government/USA%20-%20NASA/"/>
    <hyperlink ref="C2474" r:id="rId2474" display="https://youtu.be/55QJoKHkRmY"/>
    <hyperlink ref="F2474" r:id="rId2" display="https://files.afu.se/Downloads/Transcripts/0%20-%20Government/USA%20-%20NASA/"/>
    <hyperlink ref="C2475" r:id="rId2475" display="https://youtu.be/Bcqvt8SzPUc"/>
    <hyperlink ref="F2475" r:id="rId2" display="https://files.afu.se/Downloads/Transcripts/0%20-%20Government/USA%20-%20NASA/"/>
    <hyperlink ref="C2476" r:id="rId2476" display="https://youtu.be/TQLPwbcc6XY"/>
    <hyperlink ref="F2476" r:id="rId2" display="https://files.afu.se/Downloads/Transcripts/0%20-%20Government/USA%20-%20NASA/"/>
    <hyperlink ref="C2477" r:id="rId2477" display="https://youtu.be/HziXy66W344"/>
    <hyperlink ref="F2477" r:id="rId2" display="https://files.afu.se/Downloads/Transcripts/0%20-%20Government/USA%20-%20NASA/"/>
    <hyperlink ref="C2478" r:id="rId2478" display="https://youtu.be/O1e--Iuo_dM"/>
    <hyperlink ref="F2478" r:id="rId2" display="https://files.afu.se/Downloads/Transcripts/0%20-%20Government/USA%20-%20NASA/"/>
    <hyperlink ref="C2479" r:id="rId2479" display="https://youtu.be/6jLXXzH1rIk"/>
    <hyperlink ref="F2479" r:id="rId2" display="https://files.afu.se/Downloads/Transcripts/0%20-%20Government/USA%20-%20NASA/"/>
    <hyperlink ref="C2480" r:id="rId2480" display="https://youtu.be/YIZNmxXRUlg"/>
    <hyperlink ref="F2480" r:id="rId2" display="https://files.afu.se/Downloads/Transcripts/0%20-%20Government/USA%20-%20NASA/"/>
    <hyperlink ref="C2481" r:id="rId2481" display="https://youtu.be/2k-N3CD31H8"/>
    <hyperlink ref="F2481" r:id="rId2" display="https://files.afu.se/Downloads/Transcripts/0%20-%20Government/USA%20-%20NASA/"/>
    <hyperlink ref="C2482" r:id="rId2482" display="https://youtu.be/moCatlSZxGM"/>
    <hyperlink ref="F2482" r:id="rId2" display="https://files.afu.se/Downloads/Transcripts/0%20-%20Government/USA%20-%20NASA/"/>
    <hyperlink ref="C2483" r:id="rId2483" display="https://youtu.be/AyIgmfYoNDE"/>
    <hyperlink ref="F2483" r:id="rId2" display="https://files.afu.se/Downloads/Transcripts/0%20-%20Government/USA%20-%20NASA/"/>
    <hyperlink ref="C2484" r:id="rId2484" display="https://youtu.be/PYVV7fr4ZdQ"/>
    <hyperlink ref="F2484" r:id="rId2" display="https://files.afu.se/Downloads/Transcripts/0%20-%20Government/USA%20-%20NASA/"/>
    <hyperlink ref="C2485" r:id="rId2485" display="https://youtu.be/ScorM78_4UA"/>
    <hyperlink ref="F2485" r:id="rId2" display="https://files.afu.se/Downloads/Transcripts/0%20-%20Government/USA%20-%20NASA/"/>
    <hyperlink ref="C2486" r:id="rId2486" display="https://youtu.be/X1m68NSaTYs"/>
    <hyperlink ref="F2486" r:id="rId2" display="https://files.afu.se/Downloads/Transcripts/0%20-%20Government/USA%20-%20NASA/"/>
    <hyperlink ref="C2487" r:id="rId2487" display="https://youtu.be/XV4wGW0vzps"/>
    <hyperlink ref="F2487" r:id="rId2" display="https://files.afu.se/Downloads/Transcripts/0%20-%20Government/USA%20-%20NASA/"/>
    <hyperlink ref="C2488" r:id="rId2488" display="https://youtu.be/-bj9jo-En6I"/>
    <hyperlink ref="F2488" r:id="rId2" display="https://files.afu.se/Downloads/Transcripts/0%20-%20Government/USA%20-%20NASA/"/>
    <hyperlink ref="C2489" r:id="rId2489" display="https://youtu.be/j18M3eizNWg"/>
    <hyperlink ref="F2489" r:id="rId2" display="https://files.afu.se/Downloads/Transcripts/0%20-%20Government/USA%20-%20NASA/"/>
    <hyperlink ref="C2490" r:id="rId2490" display="https://youtu.be/tbk7UG21rEg"/>
    <hyperlink ref="F2490" r:id="rId2" display="https://files.afu.se/Downloads/Transcripts/0%20-%20Government/USA%20-%20NASA/"/>
    <hyperlink ref="C2491" r:id="rId2491" display="https://youtu.be/fPPP22j4Hm4"/>
    <hyperlink ref="F2491" r:id="rId2" display="https://files.afu.se/Downloads/Transcripts/0%20-%20Government/USA%20-%20NASA/"/>
    <hyperlink ref="C2492" r:id="rId2492" display="https://youtu.be/U1Hrq3L0DxY"/>
    <hyperlink ref="F2492" r:id="rId2" display="https://files.afu.se/Downloads/Transcripts/0%20-%20Government/USA%20-%20NASA/"/>
    <hyperlink ref="C2493" r:id="rId2493" display="https://youtu.be/9heXliD4qcs"/>
    <hyperlink ref="F2493" r:id="rId2" display="https://files.afu.se/Downloads/Transcripts/0%20-%20Government/USA%20-%20NASA/"/>
    <hyperlink ref="C2494" r:id="rId2494" display="https://youtu.be/9MKBgBJZeag"/>
    <hyperlink ref="F2494" r:id="rId2" display="https://files.afu.se/Downloads/Transcripts/0%20-%20Government/USA%20-%20NASA/"/>
    <hyperlink ref="C2495" r:id="rId2495" display="https://youtu.be/gKpr8tQAscg"/>
    <hyperlink ref="F2495" r:id="rId2" display="https://files.afu.se/Downloads/Transcripts/0%20-%20Government/USA%20-%20NASA/"/>
    <hyperlink ref="C2496" r:id="rId2496" display="https://youtu.be/G8zE7jnv8R4"/>
    <hyperlink ref="F2496" r:id="rId2" display="https://files.afu.se/Downloads/Transcripts/0%20-%20Government/USA%20-%20NASA/"/>
    <hyperlink ref="C2497" r:id="rId2497" display="https://youtu.be/wAUwcLug5ws"/>
    <hyperlink ref="F2497" r:id="rId2" display="https://files.afu.se/Downloads/Transcripts/0%20-%20Government/USA%20-%20NASA/"/>
    <hyperlink ref="C2498" r:id="rId2498" display="https://youtu.be/nckw-Mh7ZuQ"/>
    <hyperlink ref="F2498" r:id="rId2" display="https://files.afu.se/Downloads/Transcripts/0%20-%20Government/USA%20-%20NASA/"/>
    <hyperlink ref="C2499" r:id="rId2499" display="https://youtu.be/qASh_0OlXkA"/>
    <hyperlink ref="F2499" r:id="rId2" display="https://files.afu.se/Downloads/Transcripts/0%20-%20Government/USA%20-%20NASA/"/>
    <hyperlink ref="C2500" r:id="rId2500" display="https://youtu.be/PPEQhB_EvLs"/>
    <hyperlink ref="F2500" r:id="rId2" display="https://files.afu.se/Downloads/Transcripts/0%20-%20Government/USA%20-%20NASA/"/>
    <hyperlink ref="C2501" r:id="rId2501" display="https://youtu.be/XLVP8Zi8faw"/>
    <hyperlink ref="F2501" r:id="rId2" display="https://files.afu.se/Downloads/Transcripts/0%20-%20Government/USA%20-%20NASA/"/>
    <hyperlink ref="C2502" r:id="rId2502" display="https://youtu.be/n1_TVGT5H7k"/>
    <hyperlink ref="F2502" r:id="rId2" display="https://files.afu.se/Downloads/Transcripts/0%20-%20Government/USA%20-%20NASA/"/>
    <hyperlink ref="C2503" r:id="rId2503" display="https://youtu.be/Q-BNa_0hbYM"/>
    <hyperlink ref="F2503" r:id="rId2" display="https://files.afu.se/Downloads/Transcripts/0%20-%20Government/USA%20-%20NASA/"/>
    <hyperlink ref="C2504" r:id="rId2504" display="https://youtu.be/plOUjapKUxI"/>
    <hyperlink ref="F2504" r:id="rId2" display="https://files.afu.se/Downloads/Transcripts/0%20-%20Government/USA%20-%20NASA/"/>
    <hyperlink ref="C2505" r:id="rId2505" display="https://youtu.be/XbjPcofbLnY"/>
    <hyperlink ref="F2505" r:id="rId2" display="https://files.afu.se/Downloads/Transcripts/0%20-%20Government/USA%20-%20NASA/"/>
    <hyperlink ref="C2506" r:id="rId2506" display="https://youtu.be/gFXDSw58udU"/>
    <hyperlink ref="F2506" r:id="rId2" display="https://files.afu.se/Downloads/Transcripts/0%20-%20Government/USA%20-%20NASA/"/>
    <hyperlink ref="C2507" r:id="rId2507" display="https://youtu.be/QLzRqhlmJ-g"/>
    <hyperlink ref="F2507" r:id="rId2" display="https://files.afu.se/Downloads/Transcripts/0%20-%20Government/USA%20-%20NASA/"/>
    <hyperlink ref="C2508" r:id="rId2508" display="https://youtu.be/Uc4cKiGahu0"/>
    <hyperlink ref="F2508" r:id="rId2" display="https://files.afu.se/Downloads/Transcripts/0%20-%20Government/USA%20-%20NASA/"/>
    <hyperlink ref="C2509" r:id="rId2509" display="https://youtu.be/T8xnts7v3o8"/>
    <hyperlink ref="F2509" r:id="rId2" display="https://files.afu.se/Downloads/Transcripts/0%20-%20Government/USA%20-%20NASA/"/>
    <hyperlink ref="C2510" r:id="rId2510" display="https://youtu.be/Ep9j4NgcMD0"/>
    <hyperlink ref="F2510" r:id="rId2" display="https://files.afu.se/Downloads/Transcripts/0%20-%20Government/USA%20-%20NASA/"/>
    <hyperlink ref="C2511" r:id="rId2511" display="https://youtu.be/qo6zeE4TJSw"/>
    <hyperlink ref="F2511" r:id="rId2" display="https://files.afu.se/Downloads/Transcripts/0%20-%20Government/USA%20-%20NASA/"/>
    <hyperlink ref="C2512" r:id="rId2512" display="https://youtu.be/TlxS4vFTRYI"/>
    <hyperlink ref="F2512" r:id="rId2" display="https://files.afu.se/Downloads/Transcripts/0%20-%20Government/USA%20-%20NASA/"/>
    <hyperlink ref="C2513" r:id="rId2513" display="https://youtu.be/XjrgGblM_bk"/>
    <hyperlink ref="F2513" r:id="rId2" display="https://files.afu.se/Downloads/Transcripts/0%20-%20Government/USA%20-%20NASA/"/>
    <hyperlink ref="C2514" r:id="rId2514" display="https://youtu.be/ldyLReHn8PY"/>
    <hyperlink ref="F2514" r:id="rId2" display="https://files.afu.se/Downloads/Transcripts/0%20-%20Government/USA%20-%20NASA/"/>
    <hyperlink ref="C2515" r:id="rId2515" display="https://youtu.be/IeYt3wJN4cY"/>
    <hyperlink ref="F2515" r:id="rId2" display="https://files.afu.se/Downloads/Transcripts/0%20-%20Government/USA%20-%20NASA/"/>
    <hyperlink ref="C2516" r:id="rId2516" display="https://youtu.be/yywJHU4gwZg"/>
    <hyperlink ref="F2516" r:id="rId2" display="https://files.afu.se/Downloads/Transcripts/0%20-%20Government/USA%20-%20NASA/"/>
    <hyperlink ref="C2517" r:id="rId2517" display="https://youtu.be/WdJA1F2ScuQ"/>
    <hyperlink ref="F2517" r:id="rId2" display="https://files.afu.se/Downloads/Transcripts/0%20-%20Government/USA%20-%20NASA/"/>
    <hyperlink ref="C2518" r:id="rId2518" display="https://youtu.be/ZoGoZRc-YNY"/>
    <hyperlink ref="F2518" r:id="rId2" display="https://files.afu.se/Downloads/Transcripts/0%20-%20Government/USA%20-%20NASA/"/>
    <hyperlink ref="C2519" r:id="rId2519" display="https://youtu.be/h7SEl0zt0bM"/>
    <hyperlink ref="F2519" r:id="rId2" display="https://files.afu.se/Downloads/Transcripts/0%20-%20Government/USA%20-%20NASA/"/>
    <hyperlink ref="C2520" r:id="rId2520" display="https://youtu.be/5vuTfRkiRJU"/>
    <hyperlink ref="F2520" r:id="rId2" display="https://files.afu.se/Downloads/Transcripts/0%20-%20Government/USA%20-%20NASA/"/>
    <hyperlink ref="C2521" r:id="rId2521" display="https://youtu.be/rBZMxtxcBWw"/>
    <hyperlink ref="F2521" r:id="rId2" display="https://files.afu.se/Downloads/Transcripts/0%20-%20Government/USA%20-%20NASA/"/>
    <hyperlink ref="C2522" r:id="rId2522" display="https://youtu.be/55flHFC6BKQ"/>
    <hyperlink ref="F2522" r:id="rId2" display="https://files.afu.se/Downloads/Transcripts/0%20-%20Government/USA%20-%20NASA/"/>
    <hyperlink ref="C2523" r:id="rId2523" display="https://youtu.be/BnAvALcLwMg"/>
    <hyperlink ref="F2523" r:id="rId2" display="https://files.afu.se/Downloads/Transcripts/0%20-%20Government/USA%20-%20NASA/"/>
    <hyperlink ref="C2524" r:id="rId2524" display="https://youtu.be/OV3iyBwWEls"/>
    <hyperlink ref="F2524" r:id="rId2" display="https://files.afu.se/Downloads/Transcripts/0%20-%20Government/USA%20-%20NASA/"/>
    <hyperlink ref="C2525" r:id="rId2525" display="https://youtu.be/xRvsHLkn_10"/>
    <hyperlink ref="F2525" r:id="rId2" display="https://files.afu.se/Downloads/Transcripts/0%20-%20Government/USA%20-%20NASA/"/>
    <hyperlink ref="C2526" r:id="rId2526" display="https://youtu.be/nael3k1LWSc"/>
    <hyperlink ref="F2526" r:id="rId2" display="https://files.afu.se/Downloads/Transcripts/0%20-%20Government/USA%20-%20NASA/"/>
    <hyperlink ref="C2527" r:id="rId2527" display="https://youtu.be/yWPkRRjlsyo"/>
    <hyperlink ref="F2527" r:id="rId2" display="https://files.afu.se/Downloads/Transcripts/0%20-%20Government/USA%20-%20NASA/"/>
    <hyperlink ref="C2528" r:id="rId2528" display="https://youtu.be/ZoWS1Km8arg"/>
    <hyperlink ref="F2528" r:id="rId2" display="https://files.afu.se/Downloads/Transcripts/0%20-%20Government/USA%20-%20NASA/"/>
    <hyperlink ref="C2529" r:id="rId2529" display="https://youtu.be/dq9Jwk99VHs"/>
    <hyperlink ref="F2529" r:id="rId2" display="https://files.afu.se/Downloads/Transcripts/0%20-%20Government/USA%20-%20NASA/"/>
    <hyperlink ref="C2530" r:id="rId2530" display="https://youtu.be/NYIBya7JnpM"/>
    <hyperlink ref="F2530" r:id="rId2" display="https://files.afu.se/Downloads/Transcripts/0%20-%20Government/USA%20-%20NASA/"/>
    <hyperlink ref="C2531" r:id="rId2531" display="https://youtu.be/jvESKWJYCJg"/>
    <hyperlink ref="F2531" r:id="rId2" display="https://files.afu.se/Downloads/Transcripts/0%20-%20Government/USA%20-%20NASA/"/>
    <hyperlink ref="C2532" r:id="rId2532" display="https://youtu.be/inQswWJJ9us"/>
    <hyperlink ref="F2532" r:id="rId2" display="https://files.afu.se/Downloads/Transcripts/0%20-%20Government/USA%20-%20NASA/"/>
    <hyperlink ref="C2533" r:id="rId2533" display="https://youtu.be/rMkN8j7pv8s"/>
    <hyperlink ref="F2533" r:id="rId2" display="https://files.afu.se/Downloads/Transcripts/0%20-%20Government/USA%20-%20NASA/"/>
    <hyperlink ref="C2534" r:id="rId2534" display="https://youtu.be/14t5I5wvvQc"/>
    <hyperlink ref="F2534" r:id="rId2" display="https://files.afu.se/Downloads/Transcripts/0%20-%20Government/USA%20-%20NASA/"/>
    <hyperlink ref="C2535" r:id="rId2535" display="https://youtu.be/yHe4R-kcBMQ"/>
    <hyperlink ref="F2535" r:id="rId2" display="https://files.afu.se/Downloads/Transcripts/0%20-%20Government/USA%20-%20NASA/"/>
    <hyperlink ref="C2536" r:id="rId2536" display="https://youtu.be/noEod29Tr6c"/>
    <hyperlink ref="F2536" r:id="rId2" display="https://files.afu.se/Downloads/Transcripts/0%20-%20Government/USA%20-%20NASA/"/>
    <hyperlink ref="C2537" r:id="rId2537" display="https://youtu.be/xs7dPj9AIXU"/>
    <hyperlink ref="F2537" r:id="rId2" display="https://files.afu.se/Downloads/Transcripts/0%20-%20Government/USA%20-%20NASA/"/>
    <hyperlink ref="C2538" r:id="rId2538" display="https://youtu.be/sVrwp4sMK_c"/>
    <hyperlink ref="F2538" r:id="rId2" display="https://files.afu.se/Downloads/Transcripts/0%20-%20Government/USA%20-%20NASA/"/>
    <hyperlink ref="C2539" r:id="rId2539" display="https://youtu.be/LgXgL7re2B8"/>
    <hyperlink ref="F2539" r:id="rId2" display="https://files.afu.se/Downloads/Transcripts/0%20-%20Government/USA%20-%20NASA/"/>
    <hyperlink ref="C2540" r:id="rId2540" display="https://youtu.be/YppP_KdFXus"/>
    <hyperlink ref="F2540" r:id="rId2" display="https://files.afu.se/Downloads/Transcripts/0%20-%20Government/USA%20-%20NASA/"/>
    <hyperlink ref="C2541" r:id="rId2541" display="https://youtu.be/iMBsiRzwpIc"/>
    <hyperlink ref="F2541" r:id="rId2" display="https://files.afu.se/Downloads/Transcripts/0%20-%20Government/USA%20-%20NASA/"/>
    <hyperlink ref="C2542" r:id="rId2542" display="https://youtu.be/Q3wW_2D9by8"/>
    <hyperlink ref="F2542" r:id="rId2" display="https://files.afu.se/Downloads/Transcripts/0%20-%20Government/USA%20-%20NASA/"/>
    <hyperlink ref="C2543" r:id="rId2543" display="https://youtu.be/U-Rt0ohhXsI"/>
    <hyperlink ref="F2543" r:id="rId2" display="https://files.afu.se/Downloads/Transcripts/0%20-%20Government/USA%20-%20NASA/"/>
    <hyperlink ref="C2544" r:id="rId2544" display="https://youtu.be/7zZitiBxAD8"/>
    <hyperlink ref="F2544" r:id="rId2" display="https://files.afu.se/Downloads/Transcripts/0%20-%20Government/USA%20-%20NASA/"/>
    <hyperlink ref="C2545" r:id="rId2545" display="https://youtu.be/onD4n1-jIYc"/>
    <hyperlink ref="F2545" r:id="rId2" display="https://files.afu.se/Downloads/Transcripts/0%20-%20Government/USA%20-%20NASA/"/>
    <hyperlink ref="C2546" r:id="rId2546" display="https://youtu.be/Lnf0GArEDsI"/>
    <hyperlink ref="F2546" r:id="rId2" display="https://files.afu.se/Downloads/Transcripts/0%20-%20Government/USA%20-%20NASA/"/>
    <hyperlink ref="C2547" r:id="rId2547" display="https://youtu.be/8G2pRVQ1JhA"/>
    <hyperlink ref="F2547" r:id="rId2" display="https://files.afu.se/Downloads/Transcripts/0%20-%20Government/USA%20-%20NASA/"/>
    <hyperlink ref="C2548" r:id="rId2548" display="https://youtu.be/NAsYbYRPan8"/>
    <hyperlink ref="F2548" r:id="rId2" display="https://files.afu.se/Downloads/Transcripts/0%20-%20Government/USA%20-%20NASA/"/>
    <hyperlink ref="C2549" r:id="rId2549" display="https://youtu.be/RjSQ_Ynhgtk"/>
    <hyperlink ref="F2549" r:id="rId2" display="https://files.afu.se/Downloads/Transcripts/0%20-%20Government/USA%20-%20NASA/"/>
    <hyperlink ref="C2550" r:id="rId2550" display="https://youtu.be/1Vf5P317x0c"/>
    <hyperlink ref="F2550" r:id="rId2" display="https://files.afu.se/Downloads/Transcripts/0%20-%20Government/USA%20-%20NASA/"/>
    <hyperlink ref="C2551" r:id="rId2551" display="https://youtu.be/GJMt3Y2224Y"/>
    <hyperlink ref="F2551" r:id="rId2" display="https://files.afu.se/Downloads/Transcripts/0%20-%20Government/USA%20-%20NASA/"/>
    <hyperlink ref="C2552" r:id="rId2552" display="https://youtu.be/-iBJF4Ayss4"/>
    <hyperlink ref="F2552" r:id="rId2" display="https://files.afu.se/Downloads/Transcripts/0%20-%20Government/USA%20-%20NASA/"/>
    <hyperlink ref="C2553" r:id="rId2553" display="https://youtu.be/Enm-14rQTwY"/>
    <hyperlink ref="F2553" r:id="rId2" display="https://files.afu.se/Downloads/Transcripts/0%20-%20Government/USA%20-%20NASA/"/>
    <hyperlink ref="C2554" r:id="rId2554" display="https://youtu.be/1nXS4TgYHxU"/>
    <hyperlink ref="F2554" r:id="rId2" display="https://files.afu.se/Downloads/Transcripts/0%20-%20Government/USA%20-%20NASA/"/>
    <hyperlink ref="C2555" r:id="rId2555" display="https://youtu.be/Kar-f74bGko"/>
    <hyperlink ref="F2555" r:id="rId2" display="https://files.afu.se/Downloads/Transcripts/0%20-%20Government/USA%20-%20NASA/"/>
    <hyperlink ref="C2556" r:id="rId2556" display="https://youtu.be/uCZMkoK_jCQ"/>
    <hyperlink ref="F2556" r:id="rId2" display="https://files.afu.se/Downloads/Transcripts/0%20-%20Government/USA%20-%20NASA/"/>
    <hyperlink ref="C2557" r:id="rId2557" display="https://youtu.be/uV6cgw9ZT7A"/>
    <hyperlink ref="F2557" r:id="rId2" display="https://files.afu.se/Downloads/Transcripts/0%20-%20Government/USA%20-%20NASA/"/>
    <hyperlink ref="C2558" r:id="rId2558" display="https://youtu.be/nY4cXYabvRA"/>
    <hyperlink ref="F2558" r:id="rId2" display="https://files.afu.se/Downloads/Transcripts/0%20-%20Government/USA%20-%20NASA/"/>
    <hyperlink ref="C2559" r:id="rId2559" display="https://youtu.be/ndy5cS-aoHU"/>
    <hyperlink ref="F2559" r:id="rId2" display="https://files.afu.se/Downloads/Transcripts/0%20-%20Government/USA%20-%20NASA/"/>
    <hyperlink ref="C2560" r:id="rId2560" display="https://youtu.be/gGojMYgLukQ"/>
    <hyperlink ref="F2560" r:id="rId2" display="https://files.afu.se/Downloads/Transcripts/0%20-%20Government/USA%20-%20NASA/"/>
    <hyperlink ref="C2561" r:id="rId2561" display="https://youtu.be/1hpIinRaUNc"/>
    <hyperlink ref="F2561" r:id="rId2" display="https://files.afu.se/Downloads/Transcripts/0%20-%20Government/USA%20-%20NASA/"/>
    <hyperlink ref="C2562" r:id="rId2562" display="https://youtu.be/g5e0T3iM21U"/>
    <hyperlink ref="F2562" r:id="rId2" display="https://files.afu.se/Downloads/Transcripts/0%20-%20Government/USA%20-%20NASA/"/>
    <hyperlink ref="C2563" r:id="rId2563" display="https://youtu.be/kKTfE03Z49Q"/>
    <hyperlink ref="F2563" r:id="rId2" display="https://files.afu.se/Downloads/Transcripts/0%20-%20Government/USA%20-%20NASA/"/>
    <hyperlink ref="C2564" r:id="rId2564" display="https://youtu.be/8Vf8PVtbCpg"/>
    <hyperlink ref="F2564" r:id="rId2" display="https://files.afu.se/Downloads/Transcripts/0%20-%20Government/USA%20-%20NASA/"/>
    <hyperlink ref="C2565" r:id="rId2565" display="https://youtu.be/-g7dw2xUG0k"/>
    <hyperlink ref="F2565" r:id="rId2" display="https://files.afu.se/Downloads/Transcripts/0%20-%20Government/USA%20-%20NASA/"/>
    <hyperlink ref="C2566" r:id="rId2566" display="https://youtu.be/rZvpZBC3n_8"/>
    <hyperlink ref="F2566" r:id="rId2" display="https://files.afu.se/Downloads/Transcripts/0%20-%20Government/USA%20-%20NASA/"/>
    <hyperlink ref="C2567" r:id="rId2567" display="https://youtu.be/BMNLsQCy-Nc"/>
    <hyperlink ref="F2567" r:id="rId2" display="https://files.afu.se/Downloads/Transcripts/0%20-%20Government/USA%20-%20NASA/"/>
    <hyperlink ref="C2568" r:id="rId2568" display="https://youtu.be/dOGL9H1ELN4"/>
    <hyperlink ref="F2568" r:id="rId2" display="https://files.afu.se/Downloads/Transcripts/0%20-%20Government/USA%20-%20NASA/"/>
    <hyperlink ref="C2569" r:id="rId2569" display="https://youtu.be/EsWepKXJsNc"/>
    <hyperlink ref="F2569" r:id="rId2" display="https://files.afu.se/Downloads/Transcripts/0%20-%20Government/USA%20-%20NASA/"/>
    <hyperlink ref="C2570" r:id="rId2570" display="https://youtu.be/6Nsi3H3bHK0"/>
    <hyperlink ref="F2570" r:id="rId2" display="https://files.afu.se/Downloads/Transcripts/0%20-%20Government/USA%20-%20NASA/"/>
    <hyperlink ref="C2571" r:id="rId2571" display="https://youtu.be/j2901CMGOhg"/>
    <hyperlink ref="F2571" r:id="rId2" display="https://files.afu.se/Downloads/Transcripts/0%20-%20Government/USA%20-%20NASA/"/>
    <hyperlink ref="C2572" r:id="rId2572" display="https://youtu.be/amD4qm8ndRI"/>
    <hyperlink ref="F2572" r:id="rId2" display="https://files.afu.se/Downloads/Transcripts/0%20-%20Government/USA%20-%20NASA/"/>
    <hyperlink ref="C2573" r:id="rId2573" display="https://youtu.be/zSNRqQ4IDWA"/>
    <hyperlink ref="F2573" r:id="rId2" display="https://files.afu.se/Downloads/Transcripts/0%20-%20Government/USA%20-%20NASA/"/>
    <hyperlink ref="C2574" r:id="rId2574" display="https://youtu.be/z9u_qafj3UQ"/>
    <hyperlink ref="F2574" r:id="rId2" display="https://files.afu.se/Downloads/Transcripts/0%20-%20Government/USA%20-%20NASA/"/>
    <hyperlink ref="C2575" r:id="rId2575" display="https://youtu.be/pNwgKReXTWo"/>
    <hyperlink ref="F2575" r:id="rId2" display="https://files.afu.se/Downloads/Transcripts/0%20-%20Government/USA%20-%20NASA/"/>
    <hyperlink ref="C2576" r:id="rId2576" display="https://youtu.be/yYWBWSTkV6I"/>
    <hyperlink ref="F2576" r:id="rId2" display="https://files.afu.se/Downloads/Transcripts/0%20-%20Government/USA%20-%20NASA/"/>
    <hyperlink ref="C2577" r:id="rId2577" display="https://youtu.be/nLgdMtutuec"/>
    <hyperlink ref="F2577" r:id="rId2" display="https://files.afu.se/Downloads/Transcripts/0%20-%20Government/USA%20-%20NASA/"/>
    <hyperlink ref="C2578" r:id="rId2578" display="https://youtu.be/g6CEykcz3FE"/>
    <hyperlink ref="F2578" r:id="rId2" display="https://files.afu.se/Downloads/Transcripts/0%20-%20Government/USA%20-%20NASA/"/>
    <hyperlink ref="C2579" r:id="rId2579" display="https://youtu.be/sg5l-L3n0lg"/>
    <hyperlink ref="F2579" r:id="rId2" display="https://files.afu.se/Downloads/Transcripts/0%20-%20Government/USA%20-%20NASA/"/>
    <hyperlink ref="C2580" r:id="rId2580" display="https://youtu.be/xHJ1uO2bJEY"/>
    <hyperlink ref="F2580" r:id="rId2" display="https://files.afu.se/Downloads/Transcripts/0%20-%20Government/USA%20-%20NASA/"/>
    <hyperlink ref="C2581" r:id="rId2581" display="https://youtu.be/uqSQPoaw3mk"/>
    <hyperlink ref="F2581" r:id="rId2" display="https://files.afu.se/Downloads/Transcripts/0%20-%20Government/USA%20-%20NASA/"/>
    <hyperlink ref="C2582" r:id="rId2582" display="https://youtu.be/24qcEdhHYd0"/>
    <hyperlink ref="F2582" r:id="rId2" display="https://files.afu.se/Downloads/Transcripts/0%20-%20Government/USA%20-%20NASA/"/>
    <hyperlink ref="C2583" r:id="rId2583" display="https://youtu.be/C_DNw2OWOBI"/>
    <hyperlink ref="F2583" r:id="rId2" display="https://files.afu.se/Downloads/Transcripts/0%20-%20Government/USA%20-%20NASA/"/>
    <hyperlink ref="C2584" r:id="rId2584" display="https://youtu.be/llpvsJXeXZo"/>
    <hyperlink ref="F2584" r:id="rId2" display="https://files.afu.se/Downloads/Transcripts/0%20-%20Government/USA%20-%20NASA/"/>
    <hyperlink ref="C2585" r:id="rId2585" display="https://youtu.be/u-ceOd3mwuc"/>
    <hyperlink ref="F2585" r:id="rId2" display="https://files.afu.se/Downloads/Transcripts/0%20-%20Government/USA%20-%20NASA/"/>
    <hyperlink ref="C2586" r:id="rId2586" display="https://youtu.be/M6XcbnITouM"/>
    <hyperlink ref="F2586" r:id="rId2" display="https://files.afu.se/Downloads/Transcripts/0%20-%20Government/USA%20-%20NASA/"/>
    <hyperlink ref="C2587" r:id="rId2587" display="https://youtu.be/nP8skIEd8M8"/>
    <hyperlink ref="F2587" r:id="rId2" display="https://files.afu.se/Downloads/Transcripts/0%20-%20Government/USA%20-%20NASA/"/>
    <hyperlink ref="C2588" r:id="rId2588" display="https://youtu.be/yAD0TEzQ5Hk"/>
    <hyperlink ref="F2588" r:id="rId2" display="https://files.afu.se/Downloads/Transcripts/0%20-%20Government/USA%20-%20NASA/"/>
    <hyperlink ref="C2589" r:id="rId2589" display="https://youtu.be/8TTGTQZzk_s"/>
    <hyperlink ref="F2589" r:id="rId2" display="https://files.afu.se/Downloads/Transcripts/0%20-%20Government/USA%20-%20NASA/"/>
    <hyperlink ref="C2590" r:id="rId2590" display="https://youtu.be/qNENSsfKvMo"/>
    <hyperlink ref="F2590" r:id="rId2" display="https://files.afu.se/Downloads/Transcripts/0%20-%20Government/USA%20-%20NASA/"/>
    <hyperlink ref="C2591" r:id="rId2591" display="https://youtu.be/oIZH-HVJnUg"/>
    <hyperlink ref="F2591" r:id="rId2" display="https://files.afu.se/Downloads/Transcripts/0%20-%20Government/USA%20-%20NASA/"/>
    <hyperlink ref="C2592" r:id="rId2592" display="https://youtu.be/tJBY2OBqIWM"/>
    <hyperlink ref="F2592" r:id="rId2" display="https://files.afu.se/Downloads/Transcripts/0%20-%20Government/USA%20-%20NASA/"/>
    <hyperlink ref="C2593" r:id="rId2593" display="https://youtu.be/ZtxIWh-N9mM"/>
    <hyperlink ref="F2593" r:id="rId2" display="https://files.afu.se/Downloads/Transcripts/0%20-%20Government/USA%20-%20NASA/"/>
    <hyperlink ref="C2594" r:id="rId2594" display="https://youtu.be/tAVw16kfS5Y"/>
    <hyperlink ref="F2594" r:id="rId2" display="https://files.afu.se/Downloads/Transcripts/0%20-%20Government/USA%20-%20NASA/"/>
    <hyperlink ref="C2595" r:id="rId2595" display="https://youtu.be/kumP_g_zfyI"/>
    <hyperlink ref="F2595" r:id="rId2" display="https://files.afu.se/Downloads/Transcripts/0%20-%20Government/USA%20-%20NASA/"/>
    <hyperlink ref="C2596" r:id="rId2596" display="https://youtu.be/AI0FDcsK5Qs"/>
    <hyperlink ref="F2596" r:id="rId2" display="https://files.afu.se/Downloads/Transcripts/0%20-%20Government/USA%20-%20NASA/"/>
    <hyperlink ref="C2597" r:id="rId2597" display="https://youtu.be/F9Z8sPmduI4"/>
    <hyperlink ref="F2597" r:id="rId2" display="https://files.afu.se/Downloads/Transcripts/0%20-%20Government/USA%20-%20NASA/"/>
    <hyperlink ref="C2598" r:id="rId2598" display="https://youtu.be/M0dZysIsEsA"/>
    <hyperlink ref="F2598" r:id="rId2" display="https://files.afu.se/Downloads/Transcripts/0%20-%20Government/USA%20-%20NASA/"/>
    <hyperlink ref="C2599" r:id="rId2599" display="https://youtu.be/kqdV0Td6M8A"/>
    <hyperlink ref="F2599" r:id="rId2" display="https://files.afu.se/Downloads/Transcripts/0%20-%20Government/USA%20-%20NASA/"/>
    <hyperlink ref="C2600" r:id="rId2600" display="https://youtu.be/gJhGUHli3BE"/>
    <hyperlink ref="F2600" r:id="rId2" display="https://files.afu.se/Downloads/Transcripts/0%20-%20Government/USA%20-%20NASA/"/>
    <hyperlink ref="C2601" r:id="rId2601" display="https://youtu.be/_3ZhJP8q-Ts"/>
    <hyperlink ref="F2601" r:id="rId2" display="https://files.afu.se/Downloads/Transcripts/0%20-%20Government/USA%20-%20NASA/"/>
    <hyperlink ref="C2602" r:id="rId2602" display="https://youtu.be/rxOZUBDBo3I"/>
    <hyperlink ref="F2602" r:id="rId2" display="https://files.afu.se/Downloads/Transcripts/0%20-%20Government/USA%20-%20NASA/"/>
    <hyperlink ref="C2603" r:id="rId2603" display="https://youtu.be/i9LIV5vHRqM"/>
    <hyperlink ref="F2603" r:id="rId2" display="https://files.afu.se/Downloads/Transcripts/0%20-%20Government/USA%20-%20NASA/"/>
    <hyperlink ref="C2604" r:id="rId2604" display="https://youtu.be/wIHmBqNgLWE"/>
    <hyperlink ref="F2604" r:id="rId2" display="https://files.afu.se/Downloads/Transcripts/0%20-%20Government/USA%20-%20NASA/"/>
    <hyperlink ref="C2605" r:id="rId2605" display="https://youtu.be/ZG17eAAUwDQ"/>
    <hyperlink ref="F2605" r:id="rId2" display="https://files.afu.se/Downloads/Transcripts/0%20-%20Government/USA%20-%20NASA/"/>
    <hyperlink ref="C2606" r:id="rId2606" display="https://youtu.be/0owqQm_LqXQ"/>
    <hyperlink ref="F2606" r:id="rId2" display="https://files.afu.se/Downloads/Transcripts/0%20-%20Government/USA%20-%20NASA/"/>
    <hyperlink ref="C2607" r:id="rId2607" display="https://youtu.be/VxcCDaJV_Bw"/>
    <hyperlink ref="F2607" r:id="rId2" display="https://files.afu.se/Downloads/Transcripts/0%20-%20Government/USA%20-%20NASA/"/>
    <hyperlink ref="C2608" r:id="rId2608" display="https://youtu.be/T59o2XbNr0A"/>
    <hyperlink ref="F2608" r:id="rId2" display="https://files.afu.se/Downloads/Transcripts/0%20-%20Government/USA%20-%20NASA/"/>
    <hyperlink ref="C2609" r:id="rId2609" display="https://youtu.be/520rGlmh2X4"/>
    <hyperlink ref="F2609" r:id="rId2" display="https://files.afu.se/Downloads/Transcripts/0%20-%20Government/USA%20-%20NASA/"/>
    <hyperlink ref="C2610" r:id="rId2610" display="https://youtu.be/WtoReFMPAfU"/>
    <hyperlink ref="F2610" r:id="rId2" display="https://files.afu.se/Downloads/Transcripts/0%20-%20Government/USA%20-%20NASA/"/>
    <hyperlink ref="C2611" r:id="rId2611" display="https://youtu.be/d2KP767-Reo"/>
    <hyperlink ref="F2611" r:id="rId2" display="https://files.afu.se/Downloads/Transcripts/0%20-%20Government/USA%20-%20NASA/"/>
    <hyperlink ref="C2612" r:id="rId2612" display="https://youtu.be/20Ic-f4ab6k"/>
    <hyperlink ref="F2612" r:id="rId2" display="https://files.afu.se/Downloads/Transcripts/0%20-%20Government/USA%20-%20NASA/"/>
    <hyperlink ref="C2613" r:id="rId2613" display="https://youtu.be/wqTTjOw2Ba0"/>
    <hyperlink ref="F2613" r:id="rId2" display="https://files.afu.se/Downloads/Transcripts/0%20-%20Government/USA%20-%20NASA/"/>
    <hyperlink ref="C2614" r:id="rId2614" display="https://youtu.be/4z1waG80X8E"/>
    <hyperlink ref="F2614" r:id="rId2" display="https://files.afu.se/Downloads/Transcripts/0%20-%20Government/USA%20-%20NASA/"/>
    <hyperlink ref="C2615" r:id="rId2615" display="https://youtu.be/bm5OrnXQk4U"/>
    <hyperlink ref="F2615" r:id="rId2" display="https://files.afu.se/Downloads/Transcripts/0%20-%20Government/USA%20-%20NASA/"/>
    <hyperlink ref="C2616" r:id="rId2616" display="https://youtu.be/JFWKe-7XNL4"/>
    <hyperlink ref="F2616" r:id="rId2" display="https://files.afu.se/Downloads/Transcripts/0%20-%20Government/USA%20-%20NASA/"/>
    <hyperlink ref="C2617" r:id="rId2617" display="https://youtu.be/ju1JWM0O2sY"/>
    <hyperlink ref="F2617" r:id="rId2" display="https://files.afu.se/Downloads/Transcripts/0%20-%20Government/USA%20-%20NASA/"/>
    <hyperlink ref="C2618" r:id="rId2618" display="https://youtu.be/eiTgn5f7-CY"/>
    <hyperlink ref="F2618" r:id="rId2" display="https://files.afu.se/Downloads/Transcripts/0%20-%20Government/USA%20-%20NASA/"/>
    <hyperlink ref="C2619" r:id="rId2619" display="https://youtu.be/YqTDc_aNfII"/>
    <hyperlink ref="F2619" r:id="rId2" display="https://files.afu.se/Downloads/Transcripts/0%20-%20Government/USA%20-%20NASA/"/>
    <hyperlink ref="C2620" r:id="rId2620" display="https://youtu.be/vSa_zRCxfnA"/>
    <hyperlink ref="F2620" r:id="rId2" display="https://files.afu.se/Downloads/Transcripts/0%20-%20Government/USA%20-%20NASA/"/>
    <hyperlink ref="C2621" r:id="rId2621" display="https://youtu.be/Y-Z0iqR-yQQ"/>
    <hyperlink ref="F2621" r:id="rId2" display="https://files.afu.se/Downloads/Transcripts/0%20-%20Government/USA%20-%20NASA/"/>
    <hyperlink ref="C2622" r:id="rId2622" display="https://youtu.be/bGjfvtVQFSs"/>
    <hyperlink ref="F2622" r:id="rId2" display="https://files.afu.se/Downloads/Transcripts/0%20-%20Government/USA%20-%20NASA/"/>
    <hyperlink ref="C2623" r:id="rId2623" display="https://youtu.be/tSe_OmdCGLI"/>
    <hyperlink ref="F2623" r:id="rId2" display="https://files.afu.se/Downloads/Transcripts/0%20-%20Government/USA%20-%20NASA/"/>
    <hyperlink ref="C2624" r:id="rId2624" display="https://youtu.be/JCRv34_hNUs"/>
    <hyperlink ref="F2624" r:id="rId2" display="https://files.afu.se/Downloads/Transcripts/0%20-%20Government/USA%20-%20NASA/"/>
    <hyperlink ref="C2625" r:id="rId2625" display="https://youtu.be/lvjFxU0ncgo"/>
    <hyperlink ref="F2625" r:id="rId2" display="https://files.afu.se/Downloads/Transcripts/0%20-%20Government/USA%20-%20NASA/"/>
    <hyperlink ref="C2626" r:id="rId2626" display="https://youtu.be/o1ict2T43Kw"/>
    <hyperlink ref="F2626" r:id="rId2" display="https://files.afu.se/Downloads/Transcripts/0%20-%20Government/USA%20-%20NASA/"/>
    <hyperlink ref="C2627" r:id="rId2627" display="https://youtu.be/I7yLavo8vWk"/>
    <hyperlink ref="F2627" r:id="rId2" display="https://files.afu.se/Downloads/Transcripts/0%20-%20Government/USA%20-%20NASA/"/>
    <hyperlink ref="C2628" r:id="rId2628" display="https://youtu.be/bDpeOnxstyI"/>
    <hyperlink ref="F2628" r:id="rId2" display="https://files.afu.se/Downloads/Transcripts/0%20-%20Government/USA%20-%20NASA/"/>
    <hyperlink ref="C2629" r:id="rId2629" display="https://youtu.be/7ZYKsNs8KvY"/>
    <hyperlink ref="F2629" r:id="rId2" display="https://files.afu.se/Downloads/Transcripts/0%20-%20Government/USA%20-%20NASA/"/>
    <hyperlink ref="C2630" r:id="rId2630" display="https://youtu.be/k6ve3E7O1Dk"/>
    <hyperlink ref="F2630" r:id="rId2" display="https://files.afu.se/Downloads/Transcripts/0%20-%20Government/USA%20-%20NASA/"/>
    <hyperlink ref="C2631" r:id="rId2631" display="https://youtu.be/3qxIg88qx_Y"/>
    <hyperlink ref="F2631" r:id="rId2" display="https://files.afu.se/Downloads/Transcripts/0%20-%20Government/USA%20-%20NASA/"/>
    <hyperlink ref="C2632" r:id="rId2632" display="https://youtu.be/7ZeHTkNjIxk"/>
    <hyperlink ref="F2632" r:id="rId2" display="https://files.afu.se/Downloads/Transcripts/0%20-%20Government/USA%20-%20NASA/"/>
    <hyperlink ref="C2633" r:id="rId2633" display="https://youtu.be/GXv91UY4qJc"/>
    <hyperlink ref="F2633" r:id="rId2" display="https://files.afu.se/Downloads/Transcripts/0%20-%20Government/USA%20-%20NASA/"/>
    <hyperlink ref="C2634" r:id="rId2634" display="https://youtu.be/VcIl_XZxPPk"/>
    <hyperlink ref="F2634" r:id="rId2" display="https://files.afu.se/Downloads/Transcripts/0%20-%20Government/USA%20-%20NASA/"/>
    <hyperlink ref="C2635" r:id="rId2635" display="https://youtu.be/7-iCm9S53Jo"/>
    <hyperlink ref="F2635" r:id="rId2" display="https://files.afu.se/Downloads/Transcripts/0%20-%20Government/USA%20-%20NASA/"/>
    <hyperlink ref="C2636" r:id="rId2636" display="https://youtu.be/txveqTAtmN8"/>
    <hyperlink ref="F2636" r:id="rId2" display="https://files.afu.se/Downloads/Transcripts/0%20-%20Government/USA%20-%20NASA/"/>
    <hyperlink ref="C2637" r:id="rId2637" display="https://youtu.be/zcT3rhGOjU0"/>
    <hyperlink ref="F2637" r:id="rId2" display="https://files.afu.se/Downloads/Transcripts/0%20-%20Government/USA%20-%20NASA/"/>
    <hyperlink ref="C2638" r:id="rId2638" display="https://youtu.be/hiTyKTHt4GY"/>
    <hyperlink ref="F2638" r:id="rId2" display="https://files.afu.se/Downloads/Transcripts/0%20-%20Government/USA%20-%20NASA/"/>
    <hyperlink ref="C2639" r:id="rId2639" display="https://youtu.be/MvjloNdraDc"/>
    <hyperlink ref="F2639" r:id="rId2" display="https://files.afu.se/Downloads/Transcripts/0%20-%20Government/USA%20-%20NASA/"/>
    <hyperlink ref="C2640" r:id="rId2640" display="https://youtu.be/r8T00NbNqTs"/>
    <hyperlink ref="F2640" r:id="rId2" display="https://files.afu.se/Downloads/Transcripts/0%20-%20Government/USA%20-%20NASA/"/>
    <hyperlink ref="C2641" r:id="rId2641" display="https://youtu.be/KQNe6NoFYp4"/>
    <hyperlink ref="F2641" r:id="rId2" display="https://files.afu.se/Downloads/Transcripts/0%20-%20Government/USA%20-%20NASA/"/>
    <hyperlink ref="C2642" r:id="rId2642" display="https://youtu.be/KJ0uE5ozt0U"/>
    <hyperlink ref="F2642" r:id="rId2" display="https://files.afu.se/Downloads/Transcripts/0%20-%20Government/USA%20-%20NASA/"/>
    <hyperlink ref="C2643" r:id="rId2643" display="https://youtu.be/8JpxTZrog64"/>
    <hyperlink ref="F2643" r:id="rId2" display="https://files.afu.se/Downloads/Transcripts/0%20-%20Government/USA%20-%20NASA/"/>
    <hyperlink ref="C2644" r:id="rId2644" display="https://youtu.be/mHeL2Ng1WYM"/>
    <hyperlink ref="F2644" r:id="rId2" display="https://files.afu.se/Downloads/Transcripts/0%20-%20Government/USA%20-%20NASA/"/>
    <hyperlink ref="C2645" r:id="rId2645" display="https://youtu.be/CpS919WF--8"/>
    <hyperlink ref="F2645" r:id="rId2" display="https://files.afu.se/Downloads/Transcripts/0%20-%20Government/USA%20-%20NASA/"/>
    <hyperlink ref="C2646" r:id="rId2646" display="https://youtu.be/DeazFK2ayzA"/>
    <hyperlink ref="F2646" r:id="rId2" display="https://files.afu.se/Downloads/Transcripts/0%20-%20Government/USA%20-%20NASA/"/>
    <hyperlink ref="C2647" r:id="rId2647" display="https://youtu.be/DBjU8ZiuqCc"/>
    <hyperlink ref="F2647" r:id="rId2" display="https://files.afu.se/Downloads/Transcripts/0%20-%20Government/USA%20-%20NASA/"/>
    <hyperlink ref="C2648" r:id="rId2648" display="https://youtu.be/qzN7cyKRNDc"/>
    <hyperlink ref="F2648" r:id="rId2" display="https://files.afu.se/Downloads/Transcripts/0%20-%20Government/USA%20-%20NASA/"/>
    <hyperlink ref="C2649" r:id="rId2649" display="https://youtu.be/zzNleViGirY"/>
    <hyperlink ref="F2649" r:id="rId2" display="https://files.afu.se/Downloads/Transcripts/0%20-%20Government/USA%20-%20NASA/"/>
    <hyperlink ref="C2650" r:id="rId2650" display="https://youtu.be/Ki72_p17EnA"/>
    <hyperlink ref="F2650" r:id="rId2" display="https://files.afu.se/Downloads/Transcripts/0%20-%20Government/USA%20-%20NASA/"/>
    <hyperlink ref="C2651" r:id="rId2651" display="https://youtu.be/YdNYQfc6A28"/>
    <hyperlink ref="F2651" r:id="rId2" display="https://files.afu.se/Downloads/Transcripts/0%20-%20Government/USA%20-%20NASA/"/>
    <hyperlink ref="C2652" r:id="rId2652" display="https://youtu.be/PumF6V7GesY"/>
    <hyperlink ref="F2652" r:id="rId2" display="https://files.afu.se/Downloads/Transcripts/0%20-%20Government/USA%20-%20NASA/"/>
    <hyperlink ref="C2653" r:id="rId2653" display="https://youtu.be/4zSxDgu9Uv0"/>
    <hyperlink ref="F2653" r:id="rId2" display="https://files.afu.se/Downloads/Transcripts/0%20-%20Government/USA%20-%20NASA/"/>
    <hyperlink ref="C2654" r:id="rId2654" display="https://youtu.be/jMCvyN_hSv4"/>
    <hyperlink ref="F2654" r:id="rId2" display="https://files.afu.se/Downloads/Transcripts/0%20-%20Government/USA%20-%20NASA/"/>
    <hyperlink ref="C2655" r:id="rId2655" display="https://youtu.be/pbbUwqX0Aus"/>
    <hyperlink ref="F2655" r:id="rId2" display="https://files.afu.se/Downloads/Transcripts/0%20-%20Government/USA%20-%20NASA/"/>
    <hyperlink ref="C2656" r:id="rId2656" display="https://youtu.be/m7yjUYy8pws"/>
    <hyperlink ref="F2656" r:id="rId2" display="https://files.afu.se/Downloads/Transcripts/0%20-%20Government/USA%20-%20NASA/"/>
    <hyperlink ref="C2657" r:id="rId2657" display="https://youtu.be/_ksLbFhO-jc"/>
    <hyperlink ref="F2657" r:id="rId2" display="https://files.afu.se/Downloads/Transcripts/0%20-%20Government/USA%20-%20NASA/"/>
    <hyperlink ref="C2658" r:id="rId2658" display="https://youtu.be/GVkJWSHGlAg"/>
    <hyperlink ref="F2658" r:id="rId2" display="https://files.afu.se/Downloads/Transcripts/0%20-%20Government/USA%20-%20NASA/"/>
    <hyperlink ref="C2659" r:id="rId2659" display="https://youtu.be/yrjhGxU8W5Y"/>
    <hyperlink ref="F2659" r:id="rId2" display="https://files.afu.se/Downloads/Transcripts/0%20-%20Government/USA%20-%20NASA/"/>
    <hyperlink ref="C2660" r:id="rId2660" display="https://youtu.be/js-AfIbeuW4"/>
    <hyperlink ref="F2660" r:id="rId2" display="https://files.afu.se/Downloads/Transcripts/0%20-%20Government/USA%20-%20NASA/"/>
    <hyperlink ref="C2661" r:id="rId2661" display="https://youtu.be/IMl7Q0KHcQ4"/>
    <hyperlink ref="F2661" r:id="rId2" display="https://files.afu.se/Downloads/Transcripts/0%20-%20Government/USA%20-%20NASA/"/>
    <hyperlink ref="C2662" r:id="rId2662" display="https://youtu.be/BQTKORP84MM"/>
    <hyperlink ref="F2662" r:id="rId2" display="https://files.afu.se/Downloads/Transcripts/0%20-%20Government/USA%20-%20NASA/"/>
    <hyperlink ref="C2663" r:id="rId2663" display="https://youtu.be/bjCo9fAVVCE"/>
    <hyperlink ref="F2663" r:id="rId2" display="https://files.afu.se/Downloads/Transcripts/0%20-%20Government/USA%20-%20NASA/"/>
    <hyperlink ref="C2664" r:id="rId2664" display="https://youtu.be/Ir8HLCGc2X8"/>
    <hyperlink ref="F2664" r:id="rId2" display="https://files.afu.se/Downloads/Transcripts/0%20-%20Government/USA%20-%20NASA/"/>
    <hyperlink ref="C2665" r:id="rId2665" display="https://youtu.be/x4s4X15qIUQ"/>
    <hyperlink ref="F2665" r:id="rId2" display="https://files.afu.se/Downloads/Transcripts/0%20-%20Government/USA%20-%20NASA/"/>
    <hyperlink ref="C2666" r:id="rId2666" display="https://youtu.be/JkbT6hBhWKE"/>
    <hyperlink ref="F2666" r:id="rId2" display="https://files.afu.se/Downloads/Transcripts/0%20-%20Government/USA%20-%20NASA/"/>
    <hyperlink ref="C2667" r:id="rId2667" display="https://youtu.be/ieb_i7WjH9A"/>
    <hyperlink ref="F2667" r:id="rId2" display="https://files.afu.se/Downloads/Transcripts/0%20-%20Government/USA%20-%20NASA/"/>
    <hyperlink ref="C2668" r:id="rId2668" display="https://youtu.be/lRGSG6qaLqk"/>
    <hyperlink ref="F2668" r:id="rId2" display="https://files.afu.se/Downloads/Transcripts/0%20-%20Government/USA%20-%20NASA/"/>
    <hyperlink ref="C2669" r:id="rId2669" display="https://youtu.be/rOrzKtEW0xg"/>
    <hyperlink ref="F2669" r:id="rId2" display="https://files.afu.se/Downloads/Transcripts/0%20-%20Government/USA%20-%20NASA/"/>
    <hyperlink ref="C2670" r:id="rId2670" display="https://youtu.be/BiRJBLT44-o"/>
    <hyperlink ref="F2670" r:id="rId2" display="https://files.afu.se/Downloads/Transcripts/0%20-%20Government/USA%20-%20NASA/"/>
    <hyperlink ref="C2671" r:id="rId2671" display="https://youtu.be/GYfwY1HzQF8"/>
    <hyperlink ref="F2671" r:id="rId2" display="https://files.afu.se/Downloads/Transcripts/0%20-%20Government/USA%20-%20NASA/"/>
    <hyperlink ref="C2672" r:id="rId2672" display="https://youtu.be/Qx2WDr-lmJc"/>
    <hyperlink ref="F2672" r:id="rId2" display="https://files.afu.se/Downloads/Transcripts/0%20-%20Government/USA%20-%20NASA/"/>
    <hyperlink ref="C2673" r:id="rId2673" display="https://youtu.be/NdpuSuJZ4eg"/>
    <hyperlink ref="F2673" r:id="rId2" display="https://files.afu.se/Downloads/Transcripts/0%20-%20Government/USA%20-%20NASA/"/>
    <hyperlink ref="C2674" r:id="rId2674" display="https://youtu.be/8nmJ-yuUfco"/>
    <hyperlink ref="F2674" r:id="rId2" display="https://files.afu.se/Downloads/Transcripts/0%20-%20Government/USA%20-%20NASA/"/>
    <hyperlink ref="C2675" r:id="rId2675" display="https://youtu.be/Asurzyiz3GY"/>
    <hyperlink ref="F2675" r:id="rId2" display="https://files.afu.se/Downloads/Transcripts/0%20-%20Government/USA%20-%20NASA/"/>
    <hyperlink ref="C2676" r:id="rId2676" display="https://youtu.be/auiQTn9qZwo"/>
    <hyperlink ref="F2676" r:id="rId2" display="https://files.afu.se/Downloads/Transcripts/0%20-%20Government/USA%20-%20NASA/"/>
    <hyperlink ref="C2677" r:id="rId2677" display="https://youtu.be/s76r-LwIqgY"/>
    <hyperlink ref="F2677" r:id="rId2" display="https://files.afu.se/Downloads/Transcripts/0%20-%20Government/USA%20-%20NASA/"/>
    <hyperlink ref="C2678" r:id="rId2678" display="https://youtu.be/hOCEHhGHcvo"/>
    <hyperlink ref="F2678" r:id="rId2" display="https://files.afu.se/Downloads/Transcripts/0%20-%20Government/USA%20-%20NASA/"/>
    <hyperlink ref="C2679" r:id="rId2679" display="https://youtu.be/CB0ylKvVnNw"/>
    <hyperlink ref="F2679" r:id="rId2" display="https://files.afu.se/Downloads/Transcripts/0%20-%20Government/USA%20-%20NASA/"/>
    <hyperlink ref="C2680" r:id="rId2680" display="https://youtu.be/nl6laW4FqQQ"/>
    <hyperlink ref="F2680" r:id="rId2" display="https://files.afu.se/Downloads/Transcripts/0%20-%20Government/USA%20-%20NASA/"/>
    <hyperlink ref="C2681" r:id="rId2681" display="https://youtu.be/U7laeQu99Uo"/>
    <hyperlink ref="F2681" r:id="rId2" display="https://files.afu.se/Downloads/Transcripts/0%20-%20Government/USA%20-%20NASA/"/>
    <hyperlink ref="C2682" r:id="rId2682" display="https://youtu.be/Fzxcx_kB_nI"/>
    <hyperlink ref="F2682" r:id="rId2" display="https://files.afu.se/Downloads/Transcripts/0%20-%20Government/USA%20-%20NASA/"/>
    <hyperlink ref="C2683" r:id="rId2683" display="https://youtu.be/uKPfcHhvAzI"/>
    <hyperlink ref="F2683" r:id="rId2" display="https://files.afu.se/Downloads/Transcripts/0%20-%20Government/USA%20-%20NASA/"/>
    <hyperlink ref="C2684" r:id="rId2684" display="https://youtu.be/vF8dIH2Jg_0"/>
    <hyperlink ref="F2684" r:id="rId2" display="https://files.afu.se/Downloads/Transcripts/0%20-%20Government/USA%20-%20NASA/"/>
    <hyperlink ref="C2685" r:id="rId2685" display="https://youtu.be/-o-8hReJGV8"/>
    <hyperlink ref="F2685" r:id="rId2" display="https://files.afu.se/Downloads/Transcripts/0%20-%20Government/USA%20-%20NASA/"/>
    <hyperlink ref="C2686" r:id="rId2686" display="https://youtu.be/a0CWMpysAgM"/>
    <hyperlink ref="F2686" r:id="rId2" display="https://files.afu.se/Downloads/Transcripts/0%20-%20Government/USA%20-%20NASA/"/>
    <hyperlink ref="C2687" r:id="rId2687" display="https://youtu.be/gaQs08VhF1Q"/>
    <hyperlink ref="F2687" r:id="rId2" display="https://files.afu.se/Downloads/Transcripts/0%20-%20Government/USA%20-%20NASA/"/>
    <hyperlink ref="C2688" r:id="rId2688" display="https://youtu.be/u9VR0iZBkaU"/>
    <hyperlink ref="F2688" r:id="rId2" display="https://files.afu.se/Downloads/Transcripts/0%20-%20Government/USA%20-%20NASA/"/>
    <hyperlink ref="C2689" r:id="rId2689" display="https://youtu.be/I1H3ZYq6v3s"/>
    <hyperlink ref="F2689" r:id="rId2" display="https://files.afu.se/Downloads/Transcripts/0%20-%20Government/USA%20-%20NASA/"/>
    <hyperlink ref="C2690" r:id="rId2690" display="https://youtu.be/y-GswRJV1Bg"/>
    <hyperlink ref="F2690" r:id="rId2" display="https://files.afu.se/Downloads/Transcripts/0%20-%20Government/USA%20-%20NASA/"/>
    <hyperlink ref="C2691" r:id="rId2691" display="https://youtu.be/0JK_PJxcTiM"/>
    <hyperlink ref="F2691" r:id="rId2" display="https://files.afu.se/Downloads/Transcripts/0%20-%20Government/USA%20-%20NASA/"/>
    <hyperlink ref="C2692" r:id="rId2692" display="https://youtu.be/3NB3j1SqG-I"/>
    <hyperlink ref="F2692" r:id="rId2" display="https://files.afu.se/Downloads/Transcripts/0%20-%20Government/USA%20-%20NASA/"/>
    <hyperlink ref="C2693" r:id="rId2693" display="https://youtu.be/3Vojbd4Lhc4"/>
    <hyperlink ref="F2693" r:id="rId2" display="https://files.afu.se/Downloads/Transcripts/0%20-%20Government/USA%20-%20NASA/"/>
    <hyperlink ref="C2694" r:id="rId2694" display="https://youtu.be/LMlPcuI0Uaw"/>
    <hyperlink ref="F2694" r:id="rId2" display="https://files.afu.se/Downloads/Transcripts/0%20-%20Government/USA%20-%20NASA/"/>
    <hyperlink ref="C2695" r:id="rId2695" display="https://youtu.be/h4j8b_ru8pg"/>
    <hyperlink ref="F2695" r:id="rId2" display="https://files.afu.se/Downloads/Transcripts/0%20-%20Government/USA%20-%20NASA/"/>
    <hyperlink ref="C2696" r:id="rId2696" display="https://youtu.be/kBNnoJbR98I"/>
    <hyperlink ref="F2696" r:id="rId2" display="https://files.afu.se/Downloads/Transcripts/0%20-%20Government/USA%20-%20NASA/"/>
    <hyperlink ref="C2697" r:id="rId2697" display="https://youtu.be/oVu316zwyUs"/>
    <hyperlink ref="F2697" r:id="rId2" display="https://files.afu.se/Downloads/Transcripts/0%20-%20Government/USA%20-%20NASA/"/>
    <hyperlink ref="C2698" r:id="rId2698" display="https://youtu.be/6np0bwQyWog"/>
    <hyperlink ref="F2698" r:id="rId2" display="https://files.afu.se/Downloads/Transcripts/0%20-%20Government/USA%20-%20NASA/"/>
    <hyperlink ref="C2699" r:id="rId2699" display="https://youtu.be/J_oY7yqr0s0"/>
    <hyperlink ref="F2699" r:id="rId2" display="https://files.afu.se/Downloads/Transcripts/0%20-%20Government/USA%20-%20NASA/"/>
    <hyperlink ref="C2700" r:id="rId2700" display="https://youtu.be/hSrAB9a3TTA"/>
    <hyperlink ref="F2700" r:id="rId2" display="https://files.afu.se/Downloads/Transcripts/0%20-%20Government/USA%20-%20NASA/"/>
    <hyperlink ref="C2701" r:id="rId2701" display="https://youtu.be/fbrE_vBTeXo"/>
    <hyperlink ref="F2701" r:id="rId2" display="https://files.afu.se/Downloads/Transcripts/0%20-%20Government/USA%20-%20NASA/"/>
    <hyperlink ref="C2702" r:id="rId2702" display="https://youtu.be/dgN7lTw6blw"/>
    <hyperlink ref="F2702" r:id="rId2" display="https://files.afu.se/Downloads/Transcripts/0%20-%20Government/USA%20-%20NASA/"/>
    <hyperlink ref="C2703" r:id="rId2703" display="https://youtu.be/BNkS1uHUbq8"/>
    <hyperlink ref="F2703" r:id="rId2" display="https://files.afu.se/Downloads/Transcripts/0%20-%20Government/USA%20-%20NASA/"/>
    <hyperlink ref="C2704" r:id="rId2704" display="https://youtu.be/GV2ehDT_Tgg"/>
    <hyperlink ref="F2704" r:id="rId2" display="https://files.afu.se/Downloads/Transcripts/0%20-%20Government/USA%20-%20NASA/"/>
    <hyperlink ref="C2705" r:id="rId2705" display="https://youtu.be/ZSIcnXVzowE"/>
    <hyperlink ref="F2705" r:id="rId2" display="https://files.afu.se/Downloads/Transcripts/0%20-%20Government/USA%20-%20NASA/"/>
    <hyperlink ref="C2706" r:id="rId2706" display="https://youtu.be/AoyPwadQXqw"/>
    <hyperlink ref="F2706" r:id="rId2" display="https://files.afu.se/Downloads/Transcripts/0%20-%20Government/USA%20-%20NASA/"/>
    <hyperlink ref="C2707" r:id="rId2707" display="https://youtu.be/X3I5f5ibBUU"/>
    <hyperlink ref="F2707" r:id="rId2" display="https://files.afu.se/Downloads/Transcripts/0%20-%20Government/USA%20-%20NASA/"/>
    <hyperlink ref="C2708" r:id="rId2708" display="https://youtu.be/aWq_nPuLZig"/>
    <hyperlink ref="F2708" r:id="rId2" display="https://files.afu.se/Downloads/Transcripts/0%20-%20Government/USA%20-%20NASA/"/>
    <hyperlink ref="C2709" r:id="rId2709" display="https://youtu.be/bYETLtk5BrM"/>
    <hyperlink ref="F2709" r:id="rId2" display="https://files.afu.se/Downloads/Transcripts/0%20-%20Government/USA%20-%20NASA/"/>
    <hyperlink ref="C2710" r:id="rId2710" display="https://youtu.be/bYzzY9HbBmo"/>
    <hyperlink ref="F2710" r:id="rId2" display="https://files.afu.se/Downloads/Transcripts/0%20-%20Government/USA%20-%20NASA/"/>
    <hyperlink ref="C2711" r:id="rId2711" display="https://youtu.be/JzmlsAietqA"/>
    <hyperlink ref="F2711" r:id="rId2" display="https://files.afu.se/Downloads/Transcripts/0%20-%20Government/USA%20-%20NASA/"/>
    <hyperlink ref="C2712" r:id="rId2712" display="https://youtu.be/C9j_btv6Mv0"/>
    <hyperlink ref="F2712" r:id="rId2" display="https://files.afu.se/Downloads/Transcripts/0%20-%20Government/USA%20-%20NASA/"/>
    <hyperlink ref="C2713" r:id="rId2713" display="https://youtu.be/fxGGc-mCwYg"/>
    <hyperlink ref="F2713" r:id="rId2" display="https://files.afu.se/Downloads/Transcripts/0%20-%20Government/USA%20-%20NASA/"/>
    <hyperlink ref="C2714" r:id="rId2714" display="https://youtu.be/0F8ndihXCO4"/>
    <hyperlink ref="F2714" r:id="rId2" display="https://files.afu.se/Downloads/Transcripts/0%20-%20Government/USA%20-%20NASA/"/>
    <hyperlink ref="C2715" r:id="rId2715" display="https://youtu.be/bLKaHh0KP3M"/>
    <hyperlink ref="F2715" r:id="rId2" display="https://files.afu.se/Downloads/Transcripts/0%20-%20Government/USA%20-%20NASA/"/>
    <hyperlink ref="C2716" r:id="rId2716" display="https://youtu.be/wxIqYjI1Xhg"/>
    <hyperlink ref="F2716" r:id="rId2" display="https://files.afu.se/Downloads/Transcripts/0%20-%20Government/USA%20-%20NASA/"/>
    <hyperlink ref="C2717" r:id="rId2717" display="https://youtu.be/77QWPT6iRyg"/>
    <hyperlink ref="F2717" r:id="rId2" display="https://files.afu.se/Downloads/Transcripts/0%20-%20Government/USA%20-%20NASA/"/>
    <hyperlink ref="C2718" r:id="rId2718" display="https://youtu.be/R5gCDTBE0IQ"/>
    <hyperlink ref="F2718" r:id="rId2" display="https://files.afu.se/Downloads/Transcripts/0%20-%20Government/USA%20-%20NASA/"/>
    <hyperlink ref="C2719" r:id="rId2719" display="https://youtu.be/FLKmu9gzjZM"/>
    <hyperlink ref="F2719" r:id="rId2" display="https://files.afu.se/Downloads/Transcripts/0%20-%20Government/USA%20-%20NASA/"/>
    <hyperlink ref="C2720" r:id="rId2720" display="https://youtu.be/ijAO0FFExx0"/>
    <hyperlink ref="F2720" r:id="rId2" display="https://files.afu.se/Downloads/Transcripts/0%20-%20Government/USA%20-%20NASA/"/>
    <hyperlink ref="C2721" r:id="rId2721" display="https://youtu.be/0g3UEfen4ew"/>
    <hyperlink ref="F2721" r:id="rId2" display="https://files.afu.se/Downloads/Transcripts/0%20-%20Government/USA%20-%20NASA/"/>
    <hyperlink ref="C2722" r:id="rId2722" display="https://youtu.be/OjpIv4B1W-g"/>
    <hyperlink ref="F2722" r:id="rId2" display="https://files.afu.se/Downloads/Transcripts/0%20-%20Government/USA%20-%20NASA/"/>
    <hyperlink ref="C2723" r:id="rId2723" display="https://youtu.be/yafvBBH44nU"/>
    <hyperlink ref="F2723" r:id="rId2" display="https://files.afu.se/Downloads/Transcripts/0%20-%20Government/USA%20-%20NASA/"/>
    <hyperlink ref="C2724" r:id="rId2724" display="https://youtu.be/w6p9KbVK97w"/>
    <hyperlink ref="F2724" r:id="rId2" display="https://files.afu.se/Downloads/Transcripts/0%20-%20Government/USA%20-%20NASA/"/>
    <hyperlink ref="C2725" r:id="rId2725" display="https://youtu.be/Un1AbTvUbQs"/>
    <hyperlink ref="F2725" r:id="rId2" display="https://files.afu.se/Downloads/Transcripts/0%20-%20Government/USA%20-%20NASA/"/>
    <hyperlink ref="C2726" r:id="rId2726" display="https://youtu.be/WkkC8X29vBE"/>
    <hyperlink ref="F2726" r:id="rId2" display="https://files.afu.se/Downloads/Transcripts/0%20-%20Government/USA%20-%20NASA/"/>
    <hyperlink ref="C2727" r:id="rId2727" display="https://youtu.be/14d1HxNMyCQ"/>
    <hyperlink ref="F2727" r:id="rId2" display="https://files.afu.se/Downloads/Transcripts/0%20-%20Government/USA%20-%20NASA/"/>
    <hyperlink ref="C2728" r:id="rId2728" display="https://youtu.be/7kNKjUtwpYI"/>
    <hyperlink ref="F2728" r:id="rId2" display="https://files.afu.se/Downloads/Transcripts/0%20-%20Government/USA%20-%20NASA/"/>
    <hyperlink ref="C2729" r:id="rId2729" display="https://youtu.be/0nKwj_B5Qb4"/>
    <hyperlink ref="F2729" r:id="rId2" display="https://files.afu.se/Downloads/Transcripts/0%20-%20Government/USA%20-%20NASA/"/>
    <hyperlink ref="C2730" r:id="rId2730" display="https://youtu.be/UZonoIlKQKg"/>
    <hyperlink ref="F2730" r:id="rId2" display="https://files.afu.se/Downloads/Transcripts/0%20-%20Government/USA%20-%20NASA/"/>
    <hyperlink ref="C2731" r:id="rId2731" display="https://youtu.be/tQmRlXyV3Fw"/>
    <hyperlink ref="F2731" r:id="rId2" display="https://files.afu.se/Downloads/Transcripts/0%20-%20Government/USA%20-%20NASA/"/>
    <hyperlink ref="C2732" r:id="rId2732" display="https://youtu.be/4MrnqEf3i-U"/>
    <hyperlink ref="F2732" r:id="rId2" display="https://files.afu.se/Downloads/Transcripts/0%20-%20Government/USA%20-%20NASA/"/>
    <hyperlink ref="C2733" r:id="rId2733" display="https://youtu.be/Qy_1DfQpB4A"/>
    <hyperlink ref="F2733" r:id="rId2" display="https://files.afu.se/Downloads/Transcripts/0%20-%20Government/USA%20-%20NASA/"/>
    <hyperlink ref="C2734" r:id="rId2734" display="https://youtu.be/BbiGqW07ER8"/>
    <hyperlink ref="F2734" r:id="rId2" display="https://files.afu.se/Downloads/Transcripts/0%20-%20Government/USA%20-%20NASA/"/>
    <hyperlink ref="C2735" r:id="rId2735" display="https://youtu.be/9_frC79kTC0"/>
    <hyperlink ref="F2735" r:id="rId2" display="https://files.afu.se/Downloads/Transcripts/0%20-%20Government/USA%20-%20NASA/"/>
    <hyperlink ref="C2736" r:id="rId2736" display="https://youtu.be/lFPblwNe11M"/>
    <hyperlink ref="F2736" r:id="rId2" display="https://files.afu.se/Downloads/Transcripts/0%20-%20Government/USA%20-%20NASA/"/>
    <hyperlink ref="C2737" r:id="rId2737" display="https://youtu.be/WMC6UPNyDp0"/>
    <hyperlink ref="F2737" r:id="rId2" display="https://files.afu.se/Downloads/Transcripts/0%20-%20Government/USA%20-%20NASA/"/>
    <hyperlink ref="C2738" r:id="rId2738" display="https://youtu.be/EFeoYHZcUpw"/>
    <hyperlink ref="F2738" r:id="rId2" display="https://files.afu.se/Downloads/Transcripts/0%20-%20Government/USA%20-%20NASA/"/>
    <hyperlink ref="C2739" r:id="rId2739" display="https://youtu.be/r2iRGBSMvsg"/>
    <hyperlink ref="F2739" r:id="rId2" display="https://files.afu.se/Downloads/Transcripts/0%20-%20Government/USA%20-%20NASA/"/>
    <hyperlink ref="C2740" r:id="rId2740" display="https://youtu.be/dkdj7T3Cxvk"/>
    <hyperlink ref="F2740" r:id="rId2" display="https://files.afu.se/Downloads/Transcripts/0%20-%20Government/USA%20-%20NASA/"/>
    <hyperlink ref="C2741" r:id="rId2741" display="https://youtu.be/MGGHwTQ-c9U"/>
    <hyperlink ref="F2741" r:id="rId2" display="https://files.afu.se/Downloads/Transcripts/0%20-%20Government/USA%20-%20NASA/"/>
    <hyperlink ref="C2742" r:id="rId2742" display="https://youtu.be/EYuvXxOVB1s"/>
    <hyperlink ref="F2742" r:id="rId2" display="https://files.afu.se/Downloads/Transcripts/0%20-%20Government/USA%20-%20NASA/"/>
    <hyperlink ref="C2743" r:id="rId2743" display="https://youtu.be/8Hgw084eUHc"/>
    <hyperlink ref="F2743" r:id="rId2" display="https://files.afu.se/Downloads/Transcripts/0%20-%20Government/USA%20-%20NASA/"/>
    <hyperlink ref="C2744" r:id="rId2744" display="https://youtu.be/DmgIBhvDcrg"/>
    <hyperlink ref="F2744" r:id="rId2" display="https://files.afu.se/Downloads/Transcripts/0%20-%20Government/USA%20-%20NASA/"/>
    <hyperlink ref="C2745" r:id="rId2745" display="https://youtu.be/LTflOstC1Ec"/>
    <hyperlink ref="F2745" r:id="rId2" display="https://files.afu.se/Downloads/Transcripts/0%20-%20Government/USA%20-%20NASA/"/>
    <hyperlink ref="C2746" r:id="rId2746" display="https://youtu.be/FuUBDtN3v_0"/>
    <hyperlink ref="F2746" r:id="rId2" display="https://files.afu.se/Downloads/Transcripts/0%20-%20Government/USA%20-%20NASA/"/>
    <hyperlink ref="C2747" r:id="rId2747" display="https://youtu.be/ZNiC-cpXd-8"/>
    <hyperlink ref="F2747" r:id="rId2" display="https://files.afu.se/Downloads/Transcripts/0%20-%20Government/USA%20-%20NASA/"/>
    <hyperlink ref="C2748" r:id="rId2748" display="https://youtu.be/o5bi32hZ7bw"/>
    <hyperlink ref="F2748" r:id="rId2" display="https://files.afu.se/Downloads/Transcripts/0%20-%20Government/USA%20-%20NASA/"/>
    <hyperlink ref="C2749" r:id="rId2749" display="https://youtu.be/cBWLWL5-x9E"/>
    <hyperlink ref="F2749" r:id="rId2" display="https://files.afu.se/Downloads/Transcripts/0%20-%20Government/USA%20-%20NASA/"/>
    <hyperlink ref="C2750" r:id="rId2750" display="https://youtu.be/GnYJhz0GigU"/>
    <hyperlink ref="F2750" r:id="rId2" display="https://files.afu.se/Downloads/Transcripts/0%20-%20Government/USA%20-%20NASA/"/>
    <hyperlink ref="C2751" r:id="rId2751" display="https://youtu.be/NP8wP-QwbrI"/>
    <hyperlink ref="F2751" r:id="rId2" display="https://files.afu.se/Downloads/Transcripts/0%20-%20Government/USA%20-%20NASA/"/>
    <hyperlink ref="C2752" r:id="rId2752" display="https://youtu.be/eCUXk9WsUAY"/>
    <hyperlink ref="F2752" r:id="rId2" display="https://files.afu.se/Downloads/Transcripts/0%20-%20Government/USA%20-%20NASA/"/>
    <hyperlink ref="C2753" r:id="rId2753" display="https://youtu.be/4uuju628wyw"/>
    <hyperlink ref="F2753" r:id="rId2" display="https://files.afu.se/Downloads/Transcripts/0%20-%20Government/USA%20-%20NASA/"/>
    <hyperlink ref="C2754" r:id="rId2754" display="https://youtu.be/mr08NzICcwU"/>
    <hyperlink ref="F2754" r:id="rId2" display="https://files.afu.se/Downloads/Transcripts/0%20-%20Government/USA%20-%20NASA/"/>
    <hyperlink ref="C2755" r:id="rId2755" display="https://youtu.be/ZANWCwAWY_0"/>
    <hyperlink ref="F2755" r:id="rId2" display="https://files.afu.se/Downloads/Transcripts/0%20-%20Government/USA%20-%20NASA/"/>
    <hyperlink ref="C2756" r:id="rId2756" display="https://youtu.be/eCNevvKevd8"/>
    <hyperlink ref="F2756" r:id="rId2" display="https://files.afu.se/Downloads/Transcripts/0%20-%20Government/USA%20-%20NASA/"/>
    <hyperlink ref="C2757" r:id="rId2757" display="https://youtu.be/6ZSQIFMQTKY"/>
    <hyperlink ref="F2757" r:id="rId2" display="https://files.afu.se/Downloads/Transcripts/0%20-%20Government/USA%20-%20NASA/"/>
    <hyperlink ref="C2758" r:id="rId2758" display="https://youtu.be/zeyakanQGYA"/>
    <hyperlink ref="F2758" r:id="rId2" display="https://files.afu.se/Downloads/Transcripts/0%20-%20Government/USA%20-%20NASA/"/>
    <hyperlink ref="C2759" r:id="rId2759" display="https://youtu.be/Qy1Ru9bJHI8"/>
    <hyperlink ref="F2759" r:id="rId2" display="https://files.afu.se/Downloads/Transcripts/0%20-%20Government/USA%20-%20NASA/"/>
    <hyperlink ref="C2760" r:id="rId2760" display="https://youtu.be/dNhzcMM6j3E"/>
    <hyperlink ref="F2760" r:id="rId2" display="https://files.afu.se/Downloads/Transcripts/0%20-%20Government/USA%20-%20NASA/"/>
    <hyperlink ref="C2761" r:id="rId2761" display="https://youtu.be/_40duqRlVko"/>
    <hyperlink ref="F2761" r:id="rId2" display="https://files.afu.se/Downloads/Transcripts/0%20-%20Government/USA%20-%20NASA/"/>
    <hyperlink ref="C2762" r:id="rId2762" display="https://youtu.be/Xoqesv4Cm68"/>
    <hyperlink ref="F2762" r:id="rId2" display="https://files.afu.se/Downloads/Transcripts/0%20-%20Government/USA%20-%20NASA/"/>
    <hyperlink ref="C2763" r:id="rId2763" display="https://youtu.be/tGhXcGztpI8"/>
    <hyperlink ref="F2763" r:id="rId2" display="https://files.afu.se/Downloads/Transcripts/0%20-%20Government/USA%20-%20NASA/"/>
    <hyperlink ref="C2764" r:id="rId2764" display="https://youtu.be/INBt1iLJk_Q"/>
    <hyperlink ref="F2764" r:id="rId2" display="https://files.afu.se/Downloads/Transcripts/0%20-%20Government/USA%20-%20NASA/"/>
    <hyperlink ref="C2765" r:id="rId2765" display="https://youtu.be/UJRJyljzwTA"/>
    <hyperlink ref="F2765" r:id="rId2" display="https://files.afu.se/Downloads/Transcripts/0%20-%20Government/USA%20-%20NASA/"/>
    <hyperlink ref="C2766" r:id="rId2766" display="https://youtu.be/Hslr5jkR568"/>
    <hyperlink ref="F2766" r:id="rId2" display="https://files.afu.se/Downloads/Transcripts/0%20-%20Government/USA%20-%20NASA/"/>
    <hyperlink ref="C2767" r:id="rId2767" display="https://youtu.be/bn3z0MBEUd4"/>
    <hyperlink ref="F2767" r:id="rId2" display="https://files.afu.se/Downloads/Transcripts/0%20-%20Government/USA%20-%20NASA/"/>
    <hyperlink ref="C2768" r:id="rId2768" display="https://youtu.be/rZSlwW4eKaA"/>
    <hyperlink ref="F2768" r:id="rId2" display="https://files.afu.se/Downloads/Transcripts/0%20-%20Government/USA%20-%20NASA/"/>
    <hyperlink ref="C2769" r:id="rId2769" display="https://youtu.be/E8RMkEmRNlg"/>
    <hyperlink ref="F2769" r:id="rId2" display="https://files.afu.se/Downloads/Transcripts/0%20-%20Government/USA%20-%20NASA/"/>
    <hyperlink ref="C2770" r:id="rId2770" display="https://youtu.be/-DWVgJA7DHs"/>
    <hyperlink ref="F2770" r:id="rId2" display="https://files.afu.se/Downloads/Transcripts/0%20-%20Government/USA%20-%20NASA/"/>
    <hyperlink ref="C2771" r:id="rId2771" display="https://youtu.be/89tYp7O38zs"/>
    <hyperlink ref="F2771" r:id="rId2" display="https://files.afu.se/Downloads/Transcripts/0%20-%20Government/USA%20-%20NASA/"/>
    <hyperlink ref="C2772" r:id="rId2772" display="https://youtu.be/5Bj8EedBEXQ"/>
    <hyperlink ref="F2772" r:id="rId2" display="https://files.afu.se/Downloads/Transcripts/0%20-%20Government/USA%20-%20NASA/"/>
    <hyperlink ref="C2773" r:id="rId2773" display="https://youtu.be/1Bi8-lrg0j4"/>
    <hyperlink ref="F2773" r:id="rId2" display="https://files.afu.se/Downloads/Transcripts/0%20-%20Government/USA%20-%20NASA/"/>
    <hyperlink ref="C2774" r:id="rId2774" display="https://youtu.be/83hBchXALZo"/>
    <hyperlink ref="F2774" r:id="rId2" display="https://files.afu.se/Downloads/Transcripts/0%20-%20Government/USA%20-%20NASA/"/>
    <hyperlink ref="C2775" r:id="rId2775" display="https://youtu.be/AyQMOm1uBVQ"/>
    <hyperlink ref="F2775" r:id="rId2" display="https://files.afu.se/Downloads/Transcripts/0%20-%20Government/USA%20-%20NASA/"/>
    <hyperlink ref="C2776" r:id="rId2776" display="https://youtu.be/lCwuqloOpgM"/>
    <hyperlink ref="F2776" r:id="rId2" display="https://files.afu.se/Downloads/Transcripts/0%20-%20Government/USA%20-%20NASA/"/>
    <hyperlink ref="C2777" r:id="rId2777" display="https://youtu.be/_Co-YKi5PdY"/>
    <hyperlink ref="F2777" r:id="rId2" display="https://files.afu.se/Downloads/Transcripts/0%20-%20Government/USA%20-%20NASA/"/>
    <hyperlink ref="C2778" r:id="rId2778" display="https://youtu.be/o3tOFSHmjVo"/>
    <hyperlink ref="F2778" r:id="rId2" display="https://files.afu.se/Downloads/Transcripts/0%20-%20Government/USA%20-%20NASA/"/>
    <hyperlink ref="C2779" r:id="rId2779" display="https://youtu.be/lrU_za2T1UI"/>
    <hyperlink ref="F2779" r:id="rId2" display="https://files.afu.se/Downloads/Transcripts/0%20-%20Government/USA%20-%20NASA/"/>
    <hyperlink ref="C2780" r:id="rId2780" display="https://youtu.be/B85Zmo5ql-Q"/>
    <hyperlink ref="F2780" r:id="rId2" display="https://files.afu.se/Downloads/Transcripts/0%20-%20Government/USA%20-%20NASA/"/>
    <hyperlink ref="C2781" r:id="rId2781" display="https://youtu.be/-A9lNVCgb3w"/>
    <hyperlink ref="F2781" r:id="rId2" display="https://files.afu.se/Downloads/Transcripts/0%20-%20Government/USA%20-%20NASA/"/>
    <hyperlink ref="C2782" r:id="rId2782" display="https://youtu.be/uLM-SrSu2jI"/>
    <hyperlink ref="F2782" r:id="rId2" display="https://files.afu.se/Downloads/Transcripts/0%20-%20Government/USA%20-%20NASA/"/>
    <hyperlink ref="C2783" r:id="rId2783" display="https://youtu.be/8BkaVdSWbHI"/>
    <hyperlink ref="F2783" r:id="rId2" display="https://files.afu.se/Downloads/Transcripts/0%20-%20Government/USA%20-%20NASA/"/>
    <hyperlink ref="C2784" r:id="rId2784" display="https://youtu.be/KbGa9nuE0-0"/>
    <hyperlink ref="F2784" r:id="rId2" display="https://files.afu.se/Downloads/Transcripts/0%20-%20Government/USA%20-%20NASA/"/>
    <hyperlink ref="C2785" r:id="rId2785" display="https://youtu.be/ZFhL1T5noDc"/>
    <hyperlink ref="F2785" r:id="rId2" display="https://files.afu.se/Downloads/Transcripts/0%20-%20Government/USA%20-%20NASA/"/>
    <hyperlink ref="C2786" r:id="rId2786" display="https://youtu.be/-s9jXCnL1ig"/>
    <hyperlink ref="F2786" r:id="rId2" display="https://files.afu.se/Downloads/Transcripts/0%20-%20Government/USA%20-%20NASA/"/>
    <hyperlink ref="C2787" r:id="rId2787" display="https://youtu.be/vtJ9PYkAbII"/>
    <hyperlink ref="F2787" r:id="rId2" display="https://files.afu.se/Downloads/Transcripts/0%20-%20Government/USA%20-%20NASA/"/>
    <hyperlink ref="C2788" r:id="rId2788" display="https://youtu.be/prYDgWDXmlQ"/>
    <hyperlink ref="F2788" r:id="rId2" display="https://files.afu.se/Downloads/Transcripts/0%20-%20Government/USA%20-%20NASA/"/>
    <hyperlink ref="C2789" r:id="rId2789" display="https://youtu.be/Lbfjb49skQA"/>
    <hyperlink ref="F2789" r:id="rId2" display="https://files.afu.se/Downloads/Transcripts/0%20-%20Government/USA%20-%20NASA/"/>
    <hyperlink ref="C2790" r:id="rId2790" display="https://youtu.be/8Ddt8xnnGGA"/>
    <hyperlink ref="F2790" r:id="rId2" display="https://files.afu.se/Downloads/Transcripts/0%20-%20Government/USA%20-%20NASA/"/>
    <hyperlink ref="C2791" r:id="rId2791" display="https://youtu.be/OqXOUycHQ08"/>
    <hyperlink ref="F2791" r:id="rId2" display="https://files.afu.se/Downloads/Transcripts/0%20-%20Government/USA%20-%20NASA/"/>
    <hyperlink ref="C2792" r:id="rId2792" display="https://youtu.be/5yRb0XS3BU4"/>
    <hyperlink ref="F2792" r:id="rId2" display="https://files.afu.se/Downloads/Transcripts/0%20-%20Government/USA%20-%20NASA/"/>
    <hyperlink ref="C2793" r:id="rId2793" display="https://youtu.be/4we7eUdxoUs"/>
    <hyperlink ref="F2793" r:id="rId2" display="https://files.afu.se/Downloads/Transcripts/0%20-%20Government/USA%20-%20NASA/"/>
    <hyperlink ref="C2794" r:id="rId2794" display="https://youtu.be/m-MXhNJN9pw"/>
    <hyperlink ref="F2794" r:id="rId2" display="https://files.afu.se/Downloads/Transcripts/0%20-%20Government/USA%20-%20NASA/"/>
    <hyperlink ref="C2795" r:id="rId2795" display="https://youtu.be/iZE_YzBj2a4"/>
    <hyperlink ref="F2795" r:id="rId2" display="https://files.afu.se/Downloads/Transcripts/0%20-%20Government/USA%20-%20NASA/"/>
    <hyperlink ref="C2796" r:id="rId2796" display="https://youtu.be/jhdf5XNfYGs"/>
    <hyperlink ref="F2796" r:id="rId2" display="https://files.afu.se/Downloads/Transcripts/0%20-%20Government/USA%20-%20NASA/"/>
    <hyperlink ref="C2797" r:id="rId2797" display="https://youtu.be/WpLLVxfmpOQ"/>
    <hyperlink ref="F2797" r:id="rId2" display="https://files.afu.se/Downloads/Transcripts/0%20-%20Government/USA%20-%20NASA/"/>
    <hyperlink ref="C2798" r:id="rId2798" display="https://youtu.be/hf0SIRxXvRo"/>
    <hyperlink ref="F2798" r:id="rId2" display="https://files.afu.se/Downloads/Transcripts/0%20-%20Government/USA%20-%20NASA/"/>
    <hyperlink ref="C2799" r:id="rId2799" display="https://youtu.be/vrM9rdQyKfw"/>
    <hyperlink ref="F2799" r:id="rId2" display="https://files.afu.se/Downloads/Transcripts/0%20-%20Government/USA%20-%20NASA/"/>
    <hyperlink ref="C2800" r:id="rId2800" display="https://youtu.be/AEOFoZibesM"/>
    <hyperlink ref="F2800" r:id="rId2" display="https://files.afu.se/Downloads/Transcripts/0%20-%20Government/USA%20-%20NASA/"/>
    <hyperlink ref="C2801" r:id="rId2801" display="https://youtu.be/j0b9DxMSQxw"/>
    <hyperlink ref="F2801" r:id="rId2" display="https://files.afu.se/Downloads/Transcripts/0%20-%20Government/USA%20-%20NASA/"/>
    <hyperlink ref="C2802" r:id="rId2802" display="https://youtu.be/wpTCa85V22U"/>
    <hyperlink ref="F2802" r:id="rId2" display="https://files.afu.se/Downloads/Transcripts/0%20-%20Government/USA%20-%20NASA/"/>
    <hyperlink ref="C2803" r:id="rId2803" display="https://youtu.be/9dXheNicK4s"/>
    <hyperlink ref="F2803" r:id="rId2" display="https://files.afu.se/Downloads/Transcripts/0%20-%20Government/USA%20-%20NASA/"/>
    <hyperlink ref="C2804" r:id="rId2804" display="https://youtu.be/7TwyPoa18Do"/>
    <hyperlink ref="F2804" r:id="rId2" display="https://files.afu.se/Downloads/Transcripts/0%20-%20Government/USA%20-%20NASA/"/>
    <hyperlink ref="C2805" r:id="rId2805" display="https://youtu.be/UKXZlcnUY7A"/>
    <hyperlink ref="F2805" r:id="rId2" display="https://files.afu.se/Downloads/Transcripts/0%20-%20Government/USA%20-%20NASA/"/>
    <hyperlink ref="C2806" r:id="rId2806" display="https://youtu.be/hIbIKDWQjjw"/>
    <hyperlink ref="F2806" r:id="rId2" display="https://files.afu.se/Downloads/Transcripts/0%20-%20Government/USA%20-%20NASA/"/>
    <hyperlink ref="C2807" r:id="rId2807" display="https://youtu.be/lYflPJbrys8"/>
    <hyperlink ref="F2807" r:id="rId2" display="https://files.afu.se/Downloads/Transcripts/0%20-%20Government/USA%20-%20NASA/"/>
    <hyperlink ref="C2808" r:id="rId2808" display="https://youtu.be/png7yuYjBRQ"/>
    <hyperlink ref="F2808" r:id="rId2" display="https://files.afu.se/Downloads/Transcripts/0%20-%20Government/USA%20-%20NASA/"/>
    <hyperlink ref="C2809" r:id="rId2809" display="https://youtu.be/pQO7CscbpyI"/>
    <hyperlink ref="F2809" r:id="rId2" display="https://files.afu.se/Downloads/Transcripts/0%20-%20Government/USA%20-%20NASA/"/>
    <hyperlink ref="C2810" r:id="rId2810" display="https://youtu.be/gl8xj_CosKA"/>
    <hyperlink ref="F2810" r:id="rId2" display="https://files.afu.se/Downloads/Transcripts/0%20-%20Government/USA%20-%20NASA/"/>
    <hyperlink ref="C2811" r:id="rId2811" display="https://youtu.be/0bjmVGiPlls"/>
    <hyperlink ref="F2811" r:id="rId2" display="https://files.afu.se/Downloads/Transcripts/0%20-%20Government/USA%20-%20NASA/"/>
    <hyperlink ref="C2812" r:id="rId2812" display="https://youtu.be/RKAxPD9cuQA"/>
    <hyperlink ref="F2812" r:id="rId2" display="https://files.afu.se/Downloads/Transcripts/0%20-%20Government/USA%20-%20NASA/"/>
    <hyperlink ref="C2813" r:id="rId2813" display="https://youtu.be/GS32pRTURdI"/>
    <hyperlink ref="F2813" r:id="rId2" display="https://files.afu.se/Downloads/Transcripts/0%20-%20Government/USA%20-%20NASA/"/>
    <hyperlink ref="C2814" r:id="rId2814" display="https://youtu.be/hTzo0Lq1-T4"/>
    <hyperlink ref="F2814" r:id="rId2" display="https://files.afu.se/Downloads/Transcripts/0%20-%20Government/USA%20-%20NASA/"/>
    <hyperlink ref="C2815" r:id="rId2815" display="https://youtu.be/-geMqibg1bI"/>
    <hyperlink ref="F2815" r:id="rId2" display="https://files.afu.se/Downloads/Transcripts/0%20-%20Government/USA%20-%20NASA/"/>
    <hyperlink ref="C2816" r:id="rId2816" display="https://youtu.be/K9o888As61E"/>
    <hyperlink ref="F2816" r:id="rId2" display="https://files.afu.se/Downloads/Transcripts/0%20-%20Government/USA%20-%20NASA/"/>
    <hyperlink ref="C2817" r:id="rId2817" display="https://youtu.be/yuJJbx-KcQg"/>
    <hyperlink ref="F2817" r:id="rId2" display="https://files.afu.se/Downloads/Transcripts/0%20-%20Government/USA%20-%20NASA/"/>
    <hyperlink ref="C2818" r:id="rId2818" display="https://youtu.be/i2mqGBDQPSQ"/>
    <hyperlink ref="F2818" r:id="rId2" display="https://files.afu.se/Downloads/Transcripts/0%20-%20Government/USA%20-%20NASA/"/>
    <hyperlink ref="C2819" r:id="rId2819" display="https://youtu.be/eIp0zNAXJOY"/>
    <hyperlink ref="F2819" r:id="rId2" display="https://files.afu.se/Downloads/Transcripts/0%20-%20Government/USA%20-%20NASA/"/>
    <hyperlink ref="C2820" r:id="rId2820" display="https://youtu.be/4NGyP5j2AJs"/>
    <hyperlink ref="F2820" r:id="rId2" display="https://files.afu.se/Downloads/Transcripts/0%20-%20Government/USA%20-%20NASA/"/>
    <hyperlink ref="C2821" r:id="rId2821" display="https://youtu.be/hyImXg9iqZU"/>
    <hyperlink ref="F2821" r:id="rId2" display="https://files.afu.se/Downloads/Transcripts/0%20-%20Government/USA%20-%20NASA/"/>
    <hyperlink ref="C2822" r:id="rId2822" display="https://youtu.be/VrCeKTPQqts"/>
    <hyperlink ref="F2822" r:id="rId2" display="https://files.afu.se/Downloads/Transcripts/0%20-%20Government/USA%20-%20NASA/"/>
    <hyperlink ref="C2823" r:id="rId2823" display="https://youtu.be/b02_UAo6nGw"/>
    <hyperlink ref="F2823" r:id="rId2" display="https://files.afu.se/Downloads/Transcripts/0%20-%20Government/USA%20-%20NASA/"/>
    <hyperlink ref="C2824" r:id="rId2824" display="https://youtu.be/bAWo0HjUyOc"/>
    <hyperlink ref="F2824" r:id="rId2" display="https://files.afu.se/Downloads/Transcripts/0%20-%20Government/USA%20-%20NASA/"/>
    <hyperlink ref="C2825" r:id="rId2825" display="https://youtu.be/yLapSXvNbI8"/>
    <hyperlink ref="F2825" r:id="rId2" display="https://files.afu.se/Downloads/Transcripts/0%20-%20Government/USA%20-%20NASA/"/>
    <hyperlink ref="C2826" r:id="rId2826" display="https://youtu.be/dOG1O-XqA9A"/>
    <hyperlink ref="F2826" r:id="rId2" display="https://files.afu.se/Downloads/Transcripts/0%20-%20Government/USA%20-%20NASA/"/>
    <hyperlink ref="C2827" r:id="rId2827" display="https://youtu.be/CP3cud3QIaM"/>
    <hyperlink ref="F2827" r:id="rId2" display="https://files.afu.se/Downloads/Transcripts/0%20-%20Government/USA%20-%20NASA/"/>
    <hyperlink ref="C2828" r:id="rId2828" display="https://youtu.be/3_MjqizDNec"/>
    <hyperlink ref="F2828" r:id="rId2" display="https://files.afu.se/Downloads/Transcripts/0%20-%20Government/USA%20-%20NASA/"/>
    <hyperlink ref="C2829" r:id="rId2829" display="https://youtu.be/QqwtV9k3zOc"/>
    <hyperlink ref="F2829" r:id="rId2" display="https://files.afu.se/Downloads/Transcripts/0%20-%20Government/USA%20-%20NASA/"/>
    <hyperlink ref="C2830" r:id="rId2830" display="https://youtu.be/VP7izZhhE9A"/>
    <hyperlink ref="F2830" r:id="rId2" display="https://files.afu.se/Downloads/Transcripts/0%20-%20Government/USA%20-%20NASA/"/>
    <hyperlink ref="C2831" r:id="rId2831" display="https://youtu.be/IXZccFhshZs"/>
    <hyperlink ref="F2831" r:id="rId2" display="https://files.afu.se/Downloads/Transcripts/0%20-%20Government/USA%20-%20NASA/"/>
    <hyperlink ref="C2832" r:id="rId2832" display="https://youtu.be/Z85H-vnvh0o"/>
    <hyperlink ref="F2832" r:id="rId2" display="https://files.afu.se/Downloads/Transcripts/0%20-%20Government/USA%20-%20NASA/"/>
    <hyperlink ref="C2833" r:id="rId2833" display="https://youtu.be/vyeL_Yx-zcM"/>
    <hyperlink ref="F2833" r:id="rId2" display="https://files.afu.se/Downloads/Transcripts/0%20-%20Government/USA%20-%20NASA/"/>
    <hyperlink ref="C2834" r:id="rId2834" display="https://youtu.be/yxpfBqp0fKw"/>
    <hyperlink ref="F2834" r:id="rId2" display="https://files.afu.se/Downloads/Transcripts/0%20-%20Government/USA%20-%20NASA/"/>
    <hyperlink ref="C2835" r:id="rId2835" display="https://youtu.be/LX9mspttL-c"/>
    <hyperlink ref="F2835" r:id="rId2" display="https://files.afu.se/Downloads/Transcripts/0%20-%20Government/USA%20-%20NASA/"/>
    <hyperlink ref="C2836" r:id="rId2836" display="https://youtu.be/eC9gfgB6Ft4"/>
    <hyperlink ref="F2836" r:id="rId2" display="https://files.afu.se/Downloads/Transcripts/0%20-%20Government/USA%20-%20NASA/"/>
    <hyperlink ref="C2837" r:id="rId2837" display="https://youtu.be/lOtuK7qTGrg"/>
    <hyperlink ref="F2837" r:id="rId2" display="https://files.afu.se/Downloads/Transcripts/0%20-%20Government/USA%20-%20NASA/"/>
    <hyperlink ref="C2838" r:id="rId2838" display="https://youtu.be/RaBeeZJI6c8"/>
    <hyperlink ref="F2838" r:id="rId2" display="https://files.afu.se/Downloads/Transcripts/0%20-%20Government/USA%20-%20NASA/"/>
    <hyperlink ref="C2839" r:id="rId2839" display="https://youtu.be/dT26heNtCL8"/>
    <hyperlink ref="F2839" r:id="rId2" display="https://files.afu.se/Downloads/Transcripts/0%20-%20Government/USA%20-%20NASA/"/>
    <hyperlink ref="C2840" r:id="rId2840" display="https://youtu.be/BQ2E_cUvoIo"/>
    <hyperlink ref="F2840" r:id="rId2" display="https://files.afu.se/Downloads/Transcripts/0%20-%20Government/USA%20-%20NASA/"/>
    <hyperlink ref="C2841" r:id="rId2841" display="https://youtu.be/JPM0hAxlR5s"/>
    <hyperlink ref="F2841" r:id="rId2" display="https://files.afu.se/Downloads/Transcripts/0%20-%20Government/USA%20-%20NASA/"/>
    <hyperlink ref="C2842" r:id="rId2842" display="https://youtu.be/0aAvVZKSGr8"/>
    <hyperlink ref="F2842" r:id="rId2" display="https://files.afu.se/Downloads/Transcripts/0%20-%20Government/USA%20-%20NASA/"/>
    <hyperlink ref="C2843" r:id="rId2843" display="https://youtu.be/NY6gn-RCtA0"/>
    <hyperlink ref="F2843" r:id="rId2" display="https://files.afu.se/Downloads/Transcripts/0%20-%20Government/USA%20-%20NASA/"/>
    <hyperlink ref="C2844" r:id="rId2844" display="https://youtu.be/MJwzpfbS5OU"/>
    <hyperlink ref="F2844" r:id="rId2" display="https://files.afu.se/Downloads/Transcripts/0%20-%20Government/USA%20-%20NASA/"/>
    <hyperlink ref="C2845" r:id="rId2845" display="https://youtu.be/o9nVJqD0rHM"/>
    <hyperlink ref="F2845" r:id="rId2" display="https://files.afu.se/Downloads/Transcripts/0%20-%20Government/USA%20-%20NASA/"/>
    <hyperlink ref="C2846" r:id="rId2846" display="https://youtu.be/wMEGXAvO4kw"/>
    <hyperlink ref="F2846" r:id="rId2" display="https://files.afu.se/Downloads/Transcripts/0%20-%20Government/USA%20-%20NASA/"/>
    <hyperlink ref="C2847" r:id="rId2847" display="https://youtu.be/K735zeXfd2U"/>
    <hyperlink ref="F2847" r:id="rId2" display="https://files.afu.se/Downloads/Transcripts/0%20-%20Government/USA%20-%20NASA/"/>
    <hyperlink ref="C2848" r:id="rId2848" display="https://youtu.be/cl1l76SSK90"/>
    <hyperlink ref="F2848" r:id="rId2" display="https://files.afu.se/Downloads/Transcripts/0%20-%20Government/USA%20-%20NASA/"/>
    <hyperlink ref="C2849" r:id="rId2849" display="https://youtu.be/7YpCXpkn4Vo"/>
    <hyperlink ref="F2849" r:id="rId2" display="https://files.afu.se/Downloads/Transcripts/0%20-%20Government/USA%20-%20NASA/"/>
    <hyperlink ref="C2850" r:id="rId2850" display="https://youtu.be/QJfTjoR_22g"/>
    <hyperlink ref="F2850" r:id="rId2" display="https://files.afu.se/Downloads/Transcripts/0%20-%20Government/USA%20-%20NASA/"/>
    <hyperlink ref="C2851" r:id="rId2851" display="https://youtu.be/_LbX8wRTWvc"/>
    <hyperlink ref="F2851" r:id="rId2" display="https://files.afu.se/Downloads/Transcripts/0%20-%20Government/USA%20-%20NASA/"/>
    <hyperlink ref="C2852" r:id="rId2852" display="https://youtu.be/ataNExfunPw"/>
    <hyperlink ref="F2852" r:id="rId2" display="https://files.afu.se/Downloads/Transcripts/0%20-%20Government/USA%20-%20NASA/"/>
    <hyperlink ref="C2853" r:id="rId2853" display="https://youtu.be/LWMoaT0nRXM"/>
    <hyperlink ref="F2853" r:id="rId2" display="https://files.afu.se/Downloads/Transcripts/0%20-%20Government/USA%20-%20NASA/"/>
    <hyperlink ref="C2854" r:id="rId2854" display="https://youtu.be/spKVThL6pRg"/>
    <hyperlink ref="F2854" r:id="rId2" display="https://files.afu.se/Downloads/Transcripts/0%20-%20Government/USA%20-%20NASA/"/>
    <hyperlink ref="C2855" r:id="rId2855" display="https://youtu.be/lozXsrvgfTY"/>
    <hyperlink ref="F2855" r:id="rId2" display="https://files.afu.se/Downloads/Transcripts/0%20-%20Government/USA%20-%20NASA/"/>
    <hyperlink ref="C2856" r:id="rId2856" display="https://youtu.be/t9Q4E1oILqs"/>
    <hyperlink ref="F2856" r:id="rId2" display="https://files.afu.se/Downloads/Transcripts/0%20-%20Government/USA%20-%20NASA/"/>
    <hyperlink ref="C2857" r:id="rId2857" display="https://youtu.be/MMwe7P05_DE"/>
    <hyperlink ref="F2857" r:id="rId2" display="https://files.afu.se/Downloads/Transcripts/0%20-%20Government/USA%20-%20NASA/"/>
    <hyperlink ref="C2858" r:id="rId2858" display="https://youtu.be/k6XjtPs1SX8"/>
    <hyperlink ref="F2858" r:id="rId2" display="https://files.afu.se/Downloads/Transcripts/0%20-%20Government/USA%20-%20NASA/"/>
    <hyperlink ref="C2859" r:id="rId2859" display="https://youtu.be/S2xIo9CVzg4"/>
    <hyperlink ref="F2859" r:id="rId2" display="https://files.afu.se/Downloads/Transcripts/0%20-%20Government/USA%20-%20NASA/"/>
    <hyperlink ref="C2860" r:id="rId2860" display="https://youtu.be/R74jUezvfAI"/>
    <hyperlink ref="F2860" r:id="rId2" display="https://files.afu.se/Downloads/Transcripts/0%20-%20Government/USA%20-%20NASA/"/>
    <hyperlink ref="C2861" r:id="rId2861" display="https://youtu.be/FdKWe9_OPTs"/>
    <hyperlink ref="F2861" r:id="rId2" display="https://files.afu.se/Downloads/Transcripts/0%20-%20Government/USA%20-%20NASA/"/>
    <hyperlink ref="C2862" r:id="rId2862" display="https://youtu.be/xhP6AeBm2rg"/>
    <hyperlink ref="F2862" r:id="rId2" display="https://files.afu.se/Downloads/Transcripts/0%20-%20Government/USA%20-%20NASA/"/>
    <hyperlink ref="C2863" r:id="rId2863" display="https://youtu.be/G5MmTI3Qr8o"/>
    <hyperlink ref="F2863" r:id="rId2" display="https://files.afu.se/Downloads/Transcripts/0%20-%20Government/USA%20-%20NASA/"/>
    <hyperlink ref="C2864" r:id="rId2864" display="https://youtu.be/wRn_8bGvvMM"/>
    <hyperlink ref="F2864" r:id="rId2" display="https://files.afu.se/Downloads/Transcripts/0%20-%20Government/USA%20-%20NASA/"/>
    <hyperlink ref="C2865" r:id="rId2865" display="https://youtu.be/x2Yxwg15gz8"/>
    <hyperlink ref="F2865" r:id="rId2" display="https://files.afu.se/Downloads/Transcripts/0%20-%20Government/USA%20-%20NASA/"/>
    <hyperlink ref="C2866" r:id="rId2866" display="https://youtu.be/G3kQbvDD9jY"/>
    <hyperlink ref="F2866" r:id="rId2" display="https://files.afu.se/Downloads/Transcripts/0%20-%20Government/USA%20-%20NASA/"/>
    <hyperlink ref="C2867" r:id="rId2867" display="https://youtu.be/e4C08j5FP-E"/>
    <hyperlink ref="F2867" r:id="rId2" display="https://files.afu.se/Downloads/Transcripts/0%20-%20Government/USA%20-%20NASA/"/>
    <hyperlink ref="C2868" r:id="rId2868" display="https://youtu.be/NsPxjFDqHOQ"/>
    <hyperlink ref="F2868" r:id="rId2" display="https://files.afu.se/Downloads/Transcripts/0%20-%20Government/USA%20-%20NASA/"/>
    <hyperlink ref="C2869" r:id="rId2869" display="https://youtu.be/37CNj6zy7w4"/>
    <hyperlink ref="F2869" r:id="rId2" display="https://files.afu.se/Downloads/Transcripts/0%20-%20Government/USA%20-%20NASA/"/>
    <hyperlink ref="C2870" r:id="rId2870" display="https://youtu.be/ABougk7p6gI"/>
    <hyperlink ref="F2870" r:id="rId2" display="https://files.afu.se/Downloads/Transcripts/0%20-%20Government/USA%20-%20NASA/"/>
    <hyperlink ref="C2871" r:id="rId2871" display="https://youtu.be/Ke9Ms7Ob6vc"/>
    <hyperlink ref="F2871" r:id="rId2" display="https://files.afu.se/Downloads/Transcripts/0%20-%20Government/USA%20-%20NASA/"/>
    <hyperlink ref="C2872" r:id="rId2872" display="https://youtu.be/10dqCcZJ95Q"/>
    <hyperlink ref="F2872" r:id="rId2" display="https://files.afu.se/Downloads/Transcripts/0%20-%20Government/USA%20-%20NASA/"/>
    <hyperlink ref="C2873" r:id="rId2873" display="https://youtu.be/-QYqTe__3TU"/>
    <hyperlink ref="F2873" r:id="rId2" display="https://files.afu.se/Downloads/Transcripts/0%20-%20Government/USA%20-%20NASA/"/>
    <hyperlink ref="C2874" r:id="rId2874" display="https://youtu.be/f5rsJwsyni4"/>
    <hyperlink ref="F2874" r:id="rId2" display="https://files.afu.se/Downloads/Transcripts/0%20-%20Government/USA%20-%20NASA/"/>
    <hyperlink ref="C2875" r:id="rId2875" display="https://youtu.be/SHgfmzhtrE0"/>
    <hyperlink ref="F2875" r:id="rId2" display="https://files.afu.se/Downloads/Transcripts/0%20-%20Government/USA%20-%20NASA/"/>
    <hyperlink ref="C2876" r:id="rId2876" display="https://youtu.be/szMpTiCMh98"/>
    <hyperlink ref="F2876" r:id="rId2" display="https://files.afu.se/Downloads/Transcripts/0%20-%20Government/USA%20-%20NASA/"/>
    <hyperlink ref="C2877" r:id="rId2877" display="https://youtu.be/OXRF95iuLvg"/>
    <hyperlink ref="F2877" r:id="rId2" display="https://files.afu.se/Downloads/Transcripts/0%20-%20Government/USA%20-%20NASA/"/>
    <hyperlink ref="C2878" r:id="rId2878" display="https://youtu.be/OxXi1xfdhr4"/>
    <hyperlink ref="F2878" r:id="rId2" display="https://files.afu.se/Downloads/Transcripts/0%20-%20Government/USA%20-%20NASA/"/>
    <hyperlink ref="C2879" r:id="rId2879" display="https://youtu.be/4xjm0D9mYYE"/>
    <hyperlink ref="F2879" r:id="rId2" display="https://files.afu.se/Downloads/Transcripts/0%20-%20Government/USA%20-%20NASA/"/>
    <hyperlink ref="C2880" r:id="rId2880" display="https://youtu.be/swmajJIZxtc"/>
    <hyperlink ref="F2880" r:id="rId2" display="https://files.afu.se/Downloads/Transcripts/0%20-%20Government/USA%20-%20NASA/"/>
    <hyperlink ref="C2881" r:id="rId2881" display="https://youtu.be/q87Xc7Z-agU"/>
    <hyperlink ref="F2881" r:id="rId2" display="https://files.afu.se/Downloads/Transcripts/0%20-%20Government/USA%20-%20NASA/"/>
    <hyperlink ref="C2882" r:id="rId2882" display="https://youtu.be/MJ5ltPwk5vc"/>
    <hyperlink ref="F2882" r:id="rId2" display="https://files.afu.se/Downloads/Transcripts/0%20-%20Government/USA%20-%20NASA/"/>
    <hyperlink ref="C2883" r:id="rId2883" display="https://youtu.be/68BQxfKc8-Q"/>
    <hyperlink ref="F2883" r:id="rId2" display="https://files.afu.se/Downloads/Transcripts/0%20-%20Government/USA%20-%20NASA/"/>
    <hyperlink ref="C2884" r:id="rId2884" display="https://youtu.be/mTUay3cqIAo"/>
    <hyperlink ref="F2884" r:id="rId2" display="https://files.afu.se/Downloads/Transcripts/0%20-%20Government/USA%20-%20NASA/"/>
    <hyperlink ref="C2885" r:id="rId2885" display="https://youtu.be/4AdaREcAJxc"/>
    <hyperlink ref="F2885" r:id="rId2" display="https://files.afu.se/Downloads/Transcripts/0%20-%20Government/USA%20-%20NASA/"/>
    <hyperlink ref="C2886" r:id="rId2886" display="https://youtu.be/qm9ZeWjYfu8"/>
    <hyperlink ref="F2886" r:id="rId2" display="https://files.afu.se/Downloads/Transcripts/0%20-%20Government/USA%20-%20NASA/"/>
    <hyperlink ref="C2887" r:id="rId2887" display="https://youtu.be/5EhsIN6BMyk"/>
    <hyperlink ref="F2887" r:id="rId2" display="https://files.afu.se/Downloads/Transcripts/0%20-%20Government/USA%20-%20NASA/"/>
    <hyperlink ref="C2888" r:id="rId2888" display="https://youtu.be/QysRsOuwyAo"/>
    <hyperlink ref="F2888" r:id="rId2" display="https://files.afu.se/Downloads/Transcripts/0%20-%20Government/USA%20-%20NASA/"/>
    <hyperlink ref="C2889" r:id="rId2889" display="https://youtu.be/o7c3dEuKc18"/>
    <hyperlink ref="F2889" r:id="rId2" display="https://files.afu.se/Downloads/Transcripts/0%20-%20Government/USA%20-%20NASA/"/>
    <hyperlink ref="C2890" r:id="rId2890" display="https://youtu.be/XRXD52L_EAE"/>
    <hyperlink ref="F2890" r:id="rId2" display="https://files.afu.se/Downloads/Transcripts/0%20-%20Government/USA%20-%20NASA/"/>
    <hyperlink ref="C2891" r:id="rId2891" display="https://youtu.be/z5_0hfU6b1s"/>
    <hyperlink ref="F2891" r:id="rId2" display="https://files.afu.se/Downloads/Transcripts/0%20-%20Government/USA%20-%20NASA/"/>
    <hyperlink ref="C2892" r:id="rId2892" display="https://youtu.be/ZnN0vJj5Z9U"/>
    <hyperlink ref="F2892" r:id="rId2" display="https://files.afu.se/Downloads/Transcripts/0%20-%20Government/USA%20-%20NASA/"/>
    <hyperlink ref="C2893" r:id="rId2893" display="https://youtu.be/HCg3MkL93rY"/>
    <hyperlink ref="F2893" r:id="rId2" display="https://files.afu.se/Downloads/Transcripts/0%20-%20Government/USA%20-%20NASA/"/>
    <hyperlink ref="C2894" r:id="rId2894" display="https://youtu.be/mgBhgKBxhus"/>
    <hyperlink ref="F2894" r:id="rId2" display="https://files.afu.se/Downloads/Transcripts/0%20-%20Government/USA%20-%20NASA/"/>
    <hyperlink ref="C2895" r:id="rId2895" display="https://youtu.be/SL_1DGv2XxQ"/>
    <hyperlink ref="F2895" r:id="rId2" display="https://files.afu.se/Downloads/Transcripts/0%20-%20Government/USA%20-%20NASA/"/>
    <hyperlink ref="C2896" r:id="rId2896" display="https://youtu.be/MW_NsN0Ilro"/>
    <hyperlink ref="F2896" r:id="rId2" display="https://files.afu.se/Downloads/Transcripts/0%20-%20Government/USA%20-%20NASA/"/>
    <hyperlink ref="C2897" r:id="rId2897" display="https://youtu.be/b_dx5G89DzY"/>
    <hyperlink ref="F2897" r:id="rId2" display="https://files.afu.se/Downloads/Transcripts/0%20-%20Government/USA%20-%20NASA/"/>
    <hyperlink ref="C2898" r:id="rId2898" display="https://youtu.be/o-vPMsArqm0"/>
    <hyperlink ref="F2898" r:id="rId2" display="https://files.afu.se/Downloads/Transcripts/0%20-%20Government/USA%20-%20NASA/"/>
    <hyperlink ref="C2899" r:id="rId2899" display="https://youtu.be/mhVSAvY51Kw"/>
    <hyperlink ref="F2899" r:id="rId2" display="https://files.afu.se/Downloads/Transcripts/0%20-%20Government/USA%20-%20NASA/"/>
    <hyperlink ref="C2900" r:id="rId2900" display="https://youtu.be/fshNptg_BxY"/>
    <hyperlink ref="F2900" r:id="rId2" display="https://files.afu.se/Downloads/Transcripts/0%20-%20Government/USA%20-%20NASA/"/>
    <hyperlink ref="C2901" r:id="rId2901" display="https://youtu.be/9KxN447nKCY"/>
    <hyperlink ref="F2901" r:id="rId2" display="https://files.afu.se/Downloads/Transcripts/0%20-%20Government/USA%20-%20NASA/"/>
    <hyperlink ref="C2902" r:id="rId2902" display="https://youtu.be/ESr9anxT_Bs"/>
    <hyperlink ref="F2902" r:id="rId2" display="https://files.afu.se/Downloads/Transcripts/0%20-%20Government/USA%20-%20NASA/"/>
    <hyperlink ref="C2903" r:id="rId2903" display="https://youtu.be/Kt_bJDaZQrM"/>
    <hyperlink ref="F2903" r:id="rId2" display="https://files.afu.se/Downloads/Transcripts/0%20-%20Government/USA%20-%20NASA/"/>
    <hyperlink ref="C2904" r:id="rId2904" display="https://youtu.be/Dby-85KuB58"/>
    <hyperlink ref="F2904" r:id="rId2" display="https://files.afu.se/Downloads/Transcripts/0%20-%20Government/USA%20-%20NASA/"/>
    <hyperlink ref="C2905" r:id="rId2905" display="https://youtu.be/XhSqeVsbqsI"/>
    <hyperlink ref="F2905" r:id="rId2" display="https://files.afu.se/Downloads/Transcripts/0%20-%20Government/USA%20-%20NASA/"/>
    <hyperlink ref="C2906" r:id="rId2906" display="https://youtu.be/VtVTkvqcA_8"/>
    <hyperlink ref="F2906" r:id="rId2" display="https://files.afu.se/Downloads/Transcripts/0%20-%20Government/USA%20-%20NASA/"/>
    <hyperlink ref="C2907" r:id="rId2907" display="https://youtu.be/XVPg1w5PTEg"/>
    <hyperlink ref="F2907" r:id="rId2" display="https://files.afu.se/Downloads/Transcripts/0%20-%20Government/USA%20-%20NASA/"/>
    <hyperlink ref="C2908" r:id="rId2908" display="https://youtu.be/6JM4q97lIlE"/>
    <hyperlink ref="F2908" r:id="rId2" display="https://files.afu.se/Downloads/Transcripts/0%20-%20Government/USA%20-%20NASA/"/>
    <hyperlink ref="C2909" r:id="rId2909" display="https://youtu.be/uFREb5Us4dg"/>
    <hyperlink ref="F2909" r:id="rId2" display="https://files.afu.se/Downloads/Transcripts/0%20-%20Government/USA%20-%20NASA/"/>
    <hyperlink ref="C2910" r:id="rId2910" display="https://youtu.be/wUNb81RoAuM"/>
    <hyperlink ref="F2910" r:id="rId2" display="https://files.afu.se/Downloads/Transcripts/0%20-%20Government/USA%20-%20NASA/"/>
    <hyperlink ref="C2911" r:id="rId2911" display="https://youtu.be/vzRiFnHS-Fk"/>
    <hyperlink ref="F2911" r:id="rId2" display="https://files.afu.se/Downloads/Transcripts/0%20-%20Government/USA%20-%20NASA/"/>
    <hyperlink ref="C2912" r:id="rId2912" display="https://youtu.be/BXXnU-woHBo"/>
    <hyperlink ref="F2912" r:id="rId2" display="https://files.afu.se/Downloads/Transcripts/0%20-%20Government/USA%20-%20NASA/"/>
    <hyperlink ref="C2913" r:id="rId2913" display="https://youtu.be/GTktRY6J-0k"/>
    <hyperlink ref="F2913" r:id="rId2" display="https://files.afu.se/Downloads/Transcripts/0%20-%20Government/USA%20-%20NASA/"/>
    <hyperlink ref="C2914" r:id="rId2914" display="https://youtu.be/AOE7mLDF-qU"/>
    <hyperlink ref="F2914" r:id="rId2" display="https://files.afu.se/Downloads/Transcripts/0%20-%20Government/USA%20-%20NASA/"/>
    <hyperlink ref="C2915" r:id="rId2915" display="https://youtu.be/ObufI4GKFUA"/>
    <hyperlink ref="F2915" r:id="rId2" display="https://files.afu.se/Downloads/Transcripts/0%20-%20Government/USA%20-%20NASA/"/>
    <hyperlink ref="C2916" r:id="rId2916" display="https://youtu.be/rqUv2xw78Q0"/>
    <hyperlink ref="F2916" r:id="rId2" display="https://files.afu.se/Downloads/Transcripts/0%20-%20Government/USA%20-%20NASA/"/>
    <hyperlink ref="C2917" r:id="rId2917" display="https://youtu.be/fHWJlxPMj7I"/>
    <hyperlink ref="F2917" r:id="rId2" display="https://files.afu.se/Downloads/Transcripts/0%20-%20Government/USA%20-%20NASA/"/>
    <hyperlink ref="C2918" r:id="rId2918" display="https://youtu.be/lVkHhxumqUA"/>
    <hyperlink ref="F2918" r:id="rId2" display="https://files.afu.se/Downloads/Transcripts/0%20-%20Government/USA%20-%20NASA/"/>
    <hyperlink ref="C2919" r:id="rId2919" display="https://youtu.be/j7iOnMBgQDo"/>
    <hyperlink ref="F2919" r:id="rId2" display="https://files.afu.se/Downloads/Transcripts/0%20-%20Government/USA%20-%20NASA/"/>
    <hyperlink ref="C2920" r:id="rId2920" display="https://youtu.be/jMcPrFXP0cQ"/>
    <hyperlink ref="F2920" r:id="rId2" display="https://files.afu.se/Downloads/Transcripts/0%20-%20Government/USA%20-%20NASA/"/>
    <hyperlink ref="C2921" r:id="rId2921" display="https://youtu.be/G-0_zTwT-_o"/>
    <hyperlink ref="F2921" r:id="rId2" display="https://files.afu.se/Downloads/Transcripts/0%20-%20Government/USA%20-%20NASA/"/>
    <hyperlink ref="C2922" r:id="rId2922" display="https://youtu.be/4T8X1GksQaY"/>
    <hyperlink ref="F2922" r:id="rId2" display="https://files.afu.se/Downloads/Transcripts/0%20-%20Government/USA%20-%20NASA/"/>
    <hyperlink ref="C2923" r:id="rId2923" display="https://youtu.be/x-GYo0BbJiI"/>
    <hyperlink ref="F2923" r:id="rId2" display="https://files.afu.se/Downloads/Transcripts/0%20-%20Government/USA%20-%20NASA/"/>
    <hyperlink ref="C2924" r:id="rId2924" display="https://youtu.be/BxewkRwY_uY"/>
    <hyperlink ref="F2924" r:id="rId2" display="https://files.afu.se/Downloads/Transcripts/0%20-%20Government/USA%20-%20NASA/"/>
    <hyperlink ref="C2925" r:id="rId2925" display="https://youtu.be/d-LQprVtKv4"/>
    <hyperlink ref="F2925" r:id="rId2" display="https://files.afu.se/Downloads/Transcripts/0%20-%20Government/USA%20-%20NASA/"/>
    <hyperlink ref="C2926" r:id="rId2926" display="https://youtu.be/VFPg4f8Vn1E"/>
    <hyperlink ref="F2926" r:id="rId2" display="https://files.afu.se/Downloads/Transcripts/0%20-%20Government/USA%20-%20NASA/"/>
    <hyperlink ref="C2927" r:id="rId2927" display="https://youtu.be/1LQMpJJPZJg"/>
    <hyperlink ref="F2927" r:id="rId2" display="https://files.afu.se/Downloads/Transcripts/0%20-%20Government/USA%20-%20NASA/"/>
    <hyperlink ref="C2928" r:id="rId2928" display="https://youtu.be/HnPjBQ4Silw"/>
    <hyperlink ref="F2928" r:id="rId2" display="https://files.afu.se/Downloads/Transcripts/0%20-%20Government/USA%20-%20NASA/"/>
    <hyperlink ref="C2929" r:id="rId2929" display="https://youtu.be/JZNKVnDvQY4"/>
    <hyperlink ref="F2929" r:id="rId2" display="https://files.afu.se/Downloads/Transcripts/0%20-%20Government/USA%20-%20NASA/"/>
    <hyperlink ref="C2930" r:id="rId2930" display="https://youtu.be/WJVfe6do-C0"/>
    <hyperlink ref="F2930" r:id="rId2" display="https://files.afu.se/Downloads/Transcripts/0%20-%20Government/USA%20-%20NASA/"/>
    <hyperlink ref="C2931" r:id="rId2931" display="https://youtu.be/m2WIBkPtFoM"/>
    <hyperlink ref="F2931" r:id="rId2" display="https://files.afu.se/Downloads/Transcripts/0%20-%20Government/USA%20-%20NASA/"/>
    <hyperlink ref="C2932" r:id="rId2932" display="https://youtu.be/BqWtS7Y95ys"/>
    <hyperlink ref="F2932" r:id="rId2" display="https://files.afu.se/Downloads/Transcripts/0%20-%20Government/USA%20-%20NASA/"/>
    <hyperlink ref="C2933" r:id="rId2933" display="https://youtu.be/39BjPoKaSH4"/>
    <hyperlink ref="F2933" r:id="rId2" display="https://files.afu.se/Downloads/Transcripts/0%20-%20Government/USA%20-%20NASA/"/>
    <hyperlink ref="C2934" r:id="rId2934" display="https://youtu.be/kLkBYdnct2c"/>
    <hyperlink ref="F2934" r:id="rId2" display="https://files.afu.se/Downloads/Transcripts/0%20-%20Government/USA%20-%20NASA/"/>
    <hyperlink ref="C2935" r:id="rId2935" display="https://youtu.be/7fQXaLcY5Zc"/>
    <hyperlink ref="F2935" r:id="rId2" display="https://files.afu.se/Downloads/Transcripts/0%20-%20Government/USA%20-%20NASA/"/>
    <hyperlink ref="C2936" r:id="rId2936" display="https://youtu.be/S9B5G_3F37o"/>
    <hyperlink ref="F2936" r:id="rId2" display="https://files.afu.se/Downloads/Transcripts/0%20-%20Government/USA%20-%20NASA/"/>
    <hyperlink ref="C2937" r:id="rId2937" display="https://youtu.be/Y9b-yu8L0rc"/>
    <hyperlink ref="F2937" r:id="rId2" display="https://files.afu.se/Downloads/Transcripts/0%20-%20Government/USA%20-%20NASA/"/>
    <hyperlink ref="C2938" r:id="rId2938" display="https://youtu.be/h35IHz6qdWY"/>
    <hyperlink ref="F2938" r:id="rId2" display="https://files.afu.se/Downloads/Transcripts/0%20-%20Government/USA%20-%20NASA/"/>
    <hyperlink ref="C2939" r:id="rId2939" display="https://youtu.be/YKWvHBbcZYI"/>
    <hyperlink ref="F2939" r:id="rId2" display="https://files.afu.se/Downloads/Transcripts/0%20-%20Government/USA%20-%20NASA/"/>
    <hyperlink ref="C2940" r:id="rId2940" display="https://youtu.be/-DlCeZw9RFw"/>
    <hyperlink ref="F2940" r:id="rId2" display="https://files.afu.se/Downloads/Transcripts/0%20-%20Government/USA%20-%20NASA/"/>
    <hyperlink ref="C2941" r:id="rId2941" display="https://youtu.be/m4uxtqdGoC8"/>
    <hyperlink ref="F2941" r:id="rId2" display="https://files.afu.se/Downloads/Transcripts/0%20-%20Government/USA%20-%20NASA/"/>
    <hyperlink ref="C2942" r:id="rId2942" display="https://youtu.be/rgyngI6Wx7A"/>
    <hyperlink ref="F2942" r:id="rId2" display="https://files.afu.se/Downloads/Transcripts/0%20-%20Government/USA%20-%20NASA/"/>
    <hyperlink ref="C2943" r:id="rId2943" display="https://youtu.be/wM7XerPy2kY"/>
    <hyperlink ref="F2943" r:id="rId2" display="https://files.afu.se/Downloads/Transcripts/0%20-%20Government/USA%20-%20NASA/"/>
    <hyperlink ref="C2944" r:id="rId2944" display="https://youtu.be/uBhnFzSRats"/>
    <hyperlink ref="F2944" r:id="rId2" display="https://files.afu.se/Downloads/Transcripts/0%20-%20Government/USA%20-%20NASA/"/>
    <hyperlink ref="C2945" r:id="rId2945" display="https://youtu.be/aFv4ojLtc1s"/>
    <hyperlink ref="F2945" r:id="rId2" display="https://files.afu.se/Downloads/Transcripts/0%20-%20Government/USA%20-%20NASA/"/>
    <hyperlink ref="C2946" r:id="rId2946" display="https://youtu.be/W5J6qmcnnp0"/>
    <hyperlink ref="F2946" r:id="rId2" display="https://files.afu.se/Downloads/Transcripts/0%20-%20Government/USA%20-%20NASA/"/>
    <hyperlink ref="C2947" r:id="rId2947" display="https://youtu.be/ZHxw8Hk_l4w"/>
    <hyperlink ref="F2947" r:id="rId2" display="https://files.afu.se/Downloads/Transcripts/0%20-%20Government/USA%20-%20NASA/"/>
    <hyperlink ref="C2948" r:id="rId2948" display="https://youtu.be/asRVahOUI6s"/>
    <hyperlink ref="F2948" r:id="rId2" display="https://files.afu.se/Downloads/Transcripts/0%20-%20Government/USA%20-%20NASA/"/>
    <hyperlink ref="C2949" r:id="rId2949" display="https://youtu.be/DHaE6MWP2z8"/>
    <hyperlink ref="F2949" r:id="rId2" display="https://files.afu.se/Downloads/Transcripts/0%20-%20Government/USA%20-%20NASA/"/>
    <hyperlink ref="C2950" r:id="rId2950" display="https://youtu.be/oxbnDFFA0nk"/>
    <hyperlink ref="F2950" r:id="rId2" display="https://files.afu.se/Downloads/Transcripts/0%20-%20Government/USA%20-%20NASA/"/>
    <hyperlink ref="C2951" r:id="rId2951" display="https://youtu.be/GGIGflN3xWQ"/>
    <hyperlink ref="F2951" r:id="rId2" display="https://files.afu.se/Downloads/Transcripts/0%20-%20Government/USA%20-%20NASA/"/>
    <hyperlink ref="C2952" r:id="rId2952" display="https://youtu.be/sk30ZcLrII8"/>
    <hyperlink ref="F2952" r:id="rId2" display="https://files.afu.se/Downloads/Transcripts/0%20-%20Government/USA%20-%20NASA/"/>
    <hyperlink ref="C2953" r:id="rId2953" display="https://youtu.be/PvsmA_c2bxs"/>
    <hyperlink ref="F2953" r:id="rId2" display="https://files.afu.se/Downloads/Transcripts/0%20-%20Government/USA%20-%20NASA/"/>
    <hyperlink ref="C2954" r:id="rId2954" display="https://youtu.be/oVj57Mg7yms"/>
    <hyperlink ref="F2954" r:id="rId2" display="https://files.afu.se/Downloads/Transcripts/0%20-%20Government/USA%20-%20NASA/"/>
    <hyperlink ref="C2955" r:id="rId2955" display="https://youtu.be/Mr0g_xD20mA"/>
    <hyperlink ref="F2955" r:id="rId2" display="https://files.afu.se/Downloads/Transcripts/0%20-%20Government/USA%20-%20NASA/"/>
    <hyperlink ref="C2956" r:id="rId2956" display="https://youtu.be/Jt4BZalMbqs"/>
    <hyperlink ref="F2956" r:id="rId2" display="https://files.afu.se/Downloads/Transcripts/0%20-%20Government/USA%20-%20NASA/"/>
    <hyperlink ref="C2957" r:id="rId2957" display="https://youtu.be/rl8jEj6T9WM"/>
    <hyperlink ref="F2957" r:id="rId2" display="https://files.afu.se/Downloads/Transcripts/0%20-%20Government/USA%20-%20NASA/"/>
    <hyperlink ref="C2958" r:id="rId2958" display="https://youtu.be/YXdQsJuAwGA"/>
    <hyperlink ref="F2958" r:id="rId2" display="https://files.afu.se/Downloads/Transcripts/0%20-%20Government/USA%20-%20NASA/"/>
    <hyperlink ref="C2959" r:id="rId2959" display="https://youtu.be/D4OipNT_joo"/>
    <hyperlink ref="F2959" r:id="rId2" display="https://files.afu.se/Downloads/Transcripts/0%20-%20Government/USA%20-%20NASA/"/>
    <hyperlink ref="C2960" r:id="rId2960" display="https://youtu.be/MV6ErX2mYJo"/>
    <hyperlink ref="F2960" r:id="rId2" display="https://files.afu.se/Downloads/Transcripts/0%20-%20Government/USA%20-%20NASA/"/>
    <hyperlink ref="C2961" r:id="rId2961" display="https://youtu.be/9o_3xvW7si8"/>
    <hyperlink ref="F2961" r:id="rId2" display="https://files.afu.se/Downloads/Transcripts/0%20-%20Government/USA%20-%20NASA/"/>
    <hyperlink ref="C2962" r:id="rId2962" display="https://youtu.be/41xuAow-UJU"/>
    <hyperlink ref="F2962" r:id="rId2" display="https://files.afu.se/Downloads/Transcripts/0%20-%20Government/USA%20-%20NASA/"/>
    <hyperlink ref="C2963" r:id="rId2963" display="https://youtu.be/tdAOJthwehM"/>
    <hyperlink ref="F2963" r:id="rId2" display="https://files.afu.se/Downloads/Transcripts/0%20-%20Government/USA%20-%20NASA/"/>
    <hyperlink ref="C2964" r:id="rId2964" display="https://youtu.be/OEIQ73WfjP8"/>
    <hyperlink ref="F2964" r:id="rId2" display="https://files.afu.se/Downloads/Transcripts/0%20-%20Government/USA%20-%20NASA/"/>
    <hyperlink ref="C2965" r:id="rId2965" display="https://youtu.be/gq5xtekptEo"/>
    <hyperlink ref="F2965" r:id="rId2" display="https://files.afu.se/Downloads/Transcripts/0%20-%20Government/USA%20-%20NASA/"/>
    <hyperlink ref="C2966" r:id="rId2966" display="https://youtu.be/Mx2BG_5cSas"/>
    <hyperlink ref="F2966" r:id="rId2" display="https://files.afu.se/Downloads/Transcripts/0%20-%20Government/USA%20-%20NASA/"/>
    <hyperlink ref="C2967" r:id="rId2967" display="https://youtu.be/V3L7crGudVU"/>
    <hyperlink ref="F2967" r:id="rId2" display="https://files.afu.se/Downloads/Transcripts/0%20-%20Government/USA%20-%20NASA/"/>
    <hyperlink ref="C2968" r:id="rId2968" display="https://youtu.be/DD_hxU3Iq7M"/>
    <hyperlink ref="F2968" r:id="rId2" display="https://files.afu.se/Downloads/Transcripts/0%20-%20Government/USA%20-%20NASA/"/>
    <hyperlink ref="C2969" r:id="rId2969" display="https://youtu.be/fQEbRlFQM48"/>
    <hyperlink ref="F2969" r:id="rId2" display="https://files.afu.se/Downloads/Transcripts/0%20-%20Government/USA%20-%20NASA/"/>
    <hyperlink ref="C2970" r:id="rId2970" display="https://youtu.be/xNZ103i6suQ"/>
    <hyperlink ref="F2970" r:id="rId2" display="https://files.afu.se/Downloads/Transcripts/0%20-%20Government/USA%20-%20NASA/"/>
    <hyperlink ref="C2971" r:id="rId2971" display="https://youtu.be/GQVlDqOchSA"/>
    <hyperlink ref="F2971" r:id="rId2" display="https://files.afu.se/Downloads/Transcripts/0%20-%20Government/USA%20-%20NASA/"/>
    <hyperlink ref="C2972" r:id="rId2972" display="https://youtu.be/HSdsBjDHVeI"/>
    <hyperlink ref="F2972" r:id="rId2" display="https://files.afu.se/Downloads/Transcripts/0%20-%20Government/USA%20-%20NASA/"/>
    <hyperlink ref="C2973" r:id="rId2973" display="https://youtu.be/GxpN0sErp4g"/>
    <hyperlink ref="F2973" r:id="rId2" display="https://files.afu.se/Downloads/Transcripts/0%20-%20Government/USA%20-%20NASA/"/>
    <hyperlink ref="C2974" r:id="rId2974" display="https://youtu.be/LgVDQUnGwrc"/>
    <hyperlink ref="F2974" r:id="rId2" display="https://files.afu.se/Downloads/Transcripts/0%20-%20Government/USA%20-%20NASA/"/>
    <hyperlink ref="C2975" r:id="rId2975" display="https://youtu.be/2RXmxLGS-jA"/>
    <hyperlink ref="F2975" r:id="rId2" display="https://files.afu.se/Downloads/Transcripts/0%20-%20Government/USA%20-%20NASA/"/>
    <hyperlink ref="C2976" r:id="rId2976" display="https://youtu.be/pHQFpYHmbOE"/>
    <hyperlink ref="F2976" r:id="rId2" display="https://files.afu.se/Downloads/Transcripts/0%20-%20Government/USA%20-%20NASA/"/>
    <hyperlink ref="C2977" r:id="rId2977" display="https://youtu.be/zUIa685ETgo"/>
    <hyperlink ref="F2977" r:id="rId2" display="https://files.afu.se/Downloads/Transcripts/0%20-%20Government/USA%20-%20NASA/"/>
    <hyperlink ref="C2978" r:id="rId2978" display="https://youtu.be/0CSDlf_EBeI"/>
    <hyperlink ref="F2978" r:id="rId2" display="https://files.afu.se/Downloads/Transcripts/0%20-%20Government/USA%20-%20NASA/"/>
    <hyperlink ref="C2979" r:id="rId2979" display="https://youtu.be/STzJ4WDk_tY"/>
    <hyperlink ref="F2979" r:id="rId2" display="https://files.afu.se/Downloads/Transcripts/0%20-%20Government/USA%20-%20NASA/"/>
    <hyperlink ref="C2980" r:id="rId2980" display="https://youtu.be/ozE7cGXfiMc"/>
    <hyperlink ref="F2980" r:id="rId2" display="https://files.afu.se/Downloads/Transcripts/0%20-%20Government/USA%20-%20NASA/"/>
    <hyperlink ref="C2981" r:id="rId2981" display="https://youtu.be/A2ufhBlHMt8"/>
    <hyperlink ref="F2981" r:id="rId2" display="https://files.afu.se/Downloads/Transcripts/0%20-%20Government/USA%20-%20NASA/"/>
    <hyperlink ref="C2982" r:id="rId2982" display="https://youtu.be/ntdFUFkis3k"/>
    <hyperlink ref="F2982" r:id="rId2" display="https://files.afu.se/Downloads/Transcripts/0%20-%20Government/USA%20-%20NASA/"/>
    <hyperlink ref="C2983" r:id="rId2983" display="https://youtu.be/iXxfmuX13cw"/>
    <hyperlink ref="F2983" r:id="rId2" display="https://files.afu.se/Downloads/Transcripts/0%20-%20Government/USA%20-%20NASA/"/>
    <hyperlink ref="C2984" r:id="rId2984" display="https://youtu.be/ejIXRFzXgsg"/>
    <hyperlink ref="F2984" r:id="rId2" display="https://files.afu.se/Downloads/Transcripts/0%20-%20Government/USA%20-%20NASA/"/>
    <hyperlink ref="C2985" r:id="rId2985" display="https://youtu.be/RZ01EyQDtfA"/>
    <hyperlink ref="F2985" r:id="rId2" display="https://files.afu.se/Downloads/Transcripts/0%20-%20Government/USA%20-%20NASA/"/>
    <hyperlink ref="C2986" r:id="rId2986" display="https://youtu.be/nQvVYb5MTT0"/>
    <hyperlink ref="F2986" r:id="rId2" display="https://files.afu.se/Downloads/Transcripts/0%20-%20Government/USA%20-%20NASA/"/>
    <hyperlink ref="C2987" r:id="rId2987" display="https://youtu.be/Y0Q0Hene1LY"/>
    <hyperlink ref="F2987" r:id="rId2" display="https://files.afu.se/Downloads/Transcripts/0%20-%20Government/USA%20-%20NASA/"/>
    <hyperlink ref="C2988" r:id="rId2988" display="https://youtu.be/X2c8Ozis-mo"/>
    <hyperlink ref="F2988" r:id="rId2" display="https://files.afu.se/Downloads/Transcripts/0%20-%20Government/USA%20-%20NASA/"/>
    <hyperlink ref="C2989" r:id="rId2989" display="https://youtu.be/RigHK2GAr3I"/>
    <hyperlink ref="F2989" r:id="rId2" display="https://files.afu.se/Downloads/Transcripts/0%20-%20Government/USA%20-%20NASA/"/>
    <hyperlink ref="C2990" r:id="rId2990" display="https://youtu.be/9LgcdcV7jeA"/>
    <hyperlink ref="F2990" r:id="rId2" display="https://files.afu.se/Downloads/Transcripts/0%20-%20Government/USA%20-%20NASA/"/>
    <hyperlink ref="C2991" r:id="rId2991" display="https://youtu.be/lJSn2hxzbnU"/>
    <hyperlink ref="F2991" r:id="rId2" display="https://files.afu.se/Downloads/Transcripts/0%20-%20Government/USA%20-%20NASA/"/>
    <hyperlink ref="C2992" r:id="rId2992" display="https://youtu.be/mD8mxlkYiGI"/>
    <hyperlink ref="F2992" r:id="rId2" display="https://files.afu.se/Downloads/Transcripts/0%20-%20Government/USA%20-%20NASA/"/>
    <hyperlink ref="C2993" r:id="rId2993" display="https://youtu.be/k0j3IDXRaSg"/>
    <hyperlink ref="F2993" r:id="rId2" display="https://files.afu.se/Downloads/Transcripts/0%20-%20Government/USA%20-%20NASA/"/>
    <hyperlink ref="C2994" r:id="rId2994" display="https://youtu.be/8qhJDSw1odE"/>
    <hyperlink ref="F2994" r:id="rId2" display="https://files.afu.se/Downloads/Transcripts/0%20-%20Government/USA%20-%20NASA/"/>
    <hyperlink ref="C2995" r:id="rId2995" display="https://youtu.be/WcfEX-MZH8s"/>
    <hyperlink ref="F2995" r:id="rId2" display="https://files.afu.se/Downloads/Transcripts/0%20-%20Government/USA%20-%20NASA/"/>
    <hyperlink ref="C2996" r:id="rId2996" display="https://youtu.be/1k5DOOR9zTg"/>
    <hyperlink ref="F2996" r:id="rId2" display="https://files.afu.se/Downloads/Transcripts/0%20-%20Government/USA%20-%20NASA/"/>
    <hyperlink ref="C2997" r:id="rId2997" display="https://youtu.be/gUNDmFQohO4"/>
    <hyperlink ref="F2997" r:id="rId2" display="https://files.afu.se/Downloads/Transcripts/0%20-%20Government/USA%20-%20NASA/"/>
    <hyperlink ref="C2998" r:id="rId2998" display="https://youtu.be/bFxzaxf8SZk"/>
    <hyperlink ref="F2998" r:id="rId2" display="https://files.afu.se/Downloads/Transcripts/0%20-%20Government/USA%20-%20NASA/"/>
    <hyperlink ref="C2999" r:id="rId2999" display="https://youtu.be/2H18S3JoMOA"/>
    <hyperlink ref="F2999" r:id="rId2" display="https://files.afu.se/Downloads/Transcripts/0%20-%20Government/USA%20-%20NASA/"/>
    <hyperlink ref="C3000" r:id="rId3000" display="https://youtu.be/r5US4SAViaU"/>
    <hyperlink ref="F3000" r:id="rId2" display="https://files.afu.se/Downloads/Transcripts/0%20-%20Government/USA%20-%20NASA/"/>
    <hyperlink ref="C3001" r:id="rId3001" display="https://youtu.be/8zxoFJPPDvI"/>
    <hyperlink ref="F3001" r:id="rId2" display="https://files.afu.se/Downloads/Transcripts/0%20-%20Government/USA%20-%20NASA/"/>
    <hyperlink ref="C3002" r:id="rId3002" display="https://youtu.be/kAPNk4DQ09o"/>
    <hyperlink ref="F3002" r:id="rId2" display="https://files.afu.se/Downloads/Transcripts/0%20-%20Government/USA%20-%20NASA/"/>
    <hyperlink ref="C3003" r:id="rId3003" display="https://youtu.be/9sGP2XS5r6k"/>
    <hyperlink ref="F3003" r:id="rId2" display="https://files.afu.se/Downloads/Transcripts/0%20-%20Government/USA%20-%20NASA/"/>
    <hyperlink ref="C3004" r:id="rId3004" display="https://youtu.be/CPUmI1WO-R8"/>
    <hyperlink ref="F3004" r:id="rId2" display="https://files.afu.se/Downloads/Transcripts/0%20-%20Government/USA%20-%20NASA/"/>
    <hyperlink ref="C3005" r:id="rId3005" display="https://youtu.be/LC4ZkycbivQ"/>
    <hyperlink ref="F3005" r:id="rId2" display="https://files.afu.se/Downloads/Transcripts/0%20-%20Government/USA%20-%20NASA/"/>
    <hyperlink ref="C3006" r:id="rId3006" display="https://youtu.be/0rO7EF5IOEY"/>
    <hyperlink ref="F3006" r:id="rId2" display="https://files.afu.se/Downloads/Transcripts/0%20-%20Government/USA%20-%20NASA/"/>
    <hyperlink ref="C3007" r:id="rId3007" display="https://youtu.be/E6V7ajkFDfg"/>
    <hyperlink ref="F3007" r:id="rId2" display="https://files.afu.se/Downloads/Transcripts/0%20-%20Government/USA%20-%20NASA/"/>
    <hyperlink ref="C3008" r:id="rId3008" display="https://youtu.be/1RzBsKUXvlY"/>
    <hyperlink ref="F3008" r:id="rId2" display="https://files.afu.se/Downloads/Transcripts/0%20-%20Government/USA%20-%20NASA/"/>
    <hyperlink ref="C3009" r:id="rId3009" display="https://youtu.be/SEwuQUMDSNg"/>
    <hyperlink ref="F3009" r:id="rId2" display="https://files.afu.se/Downloads/Transcripts/0%20-%20Government/USA%20-%20NASA/"/>
    <hyperlink ref="C3010" r:id="rId3010" display="https://youtu.be/N_A9LKXBxPI"/>
    <hyperlink ref="F3010" r:id="rId2" display="https://files.afu.se/Downloads/Transcripts/0%20-%20Government/USA%20-%20NASA/"/>
    <hyperlink ref="C3011" r:id="rId3011" display="https://youtu.be/t84Ih8bJo6s"/>
    <hyperlink ref="F3011" r:id="rId2" display="https://files.afu.se/Downloads/Transcripts/0%20-%20Government/USA%20-%20NASA/"/>
    <hyperlink ref="C3012" r:id="rId3012" display="https://youtu.be/ujBZGoxmsQg"/>
    <hyperlink ref="F3012" r:id="rId2" display="https://files.afu.se/Downloads/Transcripts/0%20-%20Government/USA%20-%20NASA/"/>
    <hyperlink ref="C3013" r:id="rId3013" display="https://youtu.be/A4pG5lI7qKk"/>
    <hyperlink ref="F3013" r:id="rId2" display="https://files.afu.se/Downloads/Transcripts/0%20-%20Government/USA%20-%20NASA/"/>
    <hyperlink ref="C3014" r:id="rId3014" display="https://youtu.be/ZsvSsxe89G8"/>
    <hyperlink ref="F3014" r:id="rId2" display="https://files.afu.se/Downloads/Transcripts/0%20-%20Government/USA%20-%20NASA/"/>
    <hyperlink ref="C3015" r:id="rId3015" display="https://youtu.be/V1_PG32JaNs"/>
    <hyperlink ref="F3015" r:id="rId2" display="https://files.afu.se/Downloads/Transcripts/0%20-%20Government/USA%20-%20NASA/"/>
    <hyperlink ref="C3016" r:id="rId3016" display="https://youtu.be/cE8TX5GQvMI"/>
    <hyperlink ref="F3016" r:id="rId2" display="https://files.afu.se/Downloads/Transcripts/0%20-%20Government/USA%20-%20NASA/"/>
    <hyperlink ref="C3017" r:id="rId3017" display="https://youtu.be/yR9p8rkMTLE"/>
    <hyperlink ref="F3017" r:id="rId2" display="https://files.afu.se/Downloads/Transcripts/0%20-%20Government/USA%20-%20NASA/"/>
    <hyperlink ref="C3018" r:id="rId3018" display="https://youtu.be/NztVmrkr95c"/>
    <hyperlink ref="F3018" r:id="rId2" display="https://files.afu.se/Downloads/Transcripts/0%20-%20Government/USA%20-%20NASA/"/>
    <hyperlink ref="C3019" r:id="rId3019" display="https://youtu.be/84ZOskT5wQQ"/>
    <hyperlink ref="F3019" r:id="rId2" display="https://files.afu.se/Downloads/Transcripts/0%20-%20Government/USA%20-%20NASA/"/>
    <hyperlink ref="C3020" r:id="rId3020" display="https://youtu.be/2K2-iDOd85o"/>
    <hyperlink ref="F3020" r:id="rId2" display="https://files.afu.se/Downloads/Transcripts/0%20-%20Government/USA%20-%20NASA/"/>
    <hyperlink ref="C3021" r:id="rId3021" display="https://youtu.be/WzJLohMCw1g"/>
    <hyperlink ref="F3021" r:id="rId2" display="https://files.afu.se/Downloads/Transcripts/0%20-%20Government/USA%20-%20NASA/"/>
    <hyperlink ref="C3022" r:id="rId3022" display="https://youtu.be/CdCaCnbB7io"/>
    <hyperlink ref="F3022" r:id="rId2" display="https://files.afu.se/Downloads/Transcripts/0%20-%20Government/USA%20-%20NASA/"/>
    <hyperlink ref="C3023" r:id="rId3023" display="https://youtu.be/enthWllmoYI"/>
    <hyperlink ref="F3023" r:id="rId2" display="https://files.afu.se/Downloads/Transcripts/0%20-%20Government/USA%20-%20NASA/"/>
    <hyperlink ref="C3024" r:id="rId3024" display="https://youtu.be/yn7fEAoZx2c"/>
    <hyperlink ref="F3024" r:id="rId2" display="https://files.afu.se/Downloads/Transcripts/0%20-%20Government/USA%20-%20NASA/"/>
    <hyperlink ref="C3025" r:id="rId3025" display="https://youtu.be/xpvQzb-6agg"/>
    <hyperlink ref="F3025" r:id="rId2" display="https://files.afu.se/Downloads/Transcripts/0%20-%20Government/USA%20-%20NASA/"/>
    <hyperlink ref="C3026" r:id="rId3026" display="https://youtu.be/PCCgQARwIxQ"/>
    <hyperlink ref="F3026" r:id="rId2" display="https://files.afu.se/Downloads/Transcripts/0%20-%20Government/USA%20-%20NASA/"/>
    <hyperlink ref="C3027" r:id="rId3027" display="https://youtu.be/K3RZGLV5YJQ"/>
    <hyperlink ref="F3027" r:id="rId2" display="https://files.afu.se/Downloads/Transcripts/0%20-%20Government/USA%20-%20NASA/"/>
    <hyperlink ref="C3028" r:id="rId3028" display="https://youtu.be/qKA4NtqsuOk"/>
    <hyperlink ref="F3028" r:id="rId2" display="https://files.afu.se/Downloads/Transcripts/0%20-%20Government/USA%20-%20NASA/"/>
    <hyperlink ref="C3029" r:id="rId3029" display="https://youtu.be/XHrt3ZxzOyo"/>
    <hyperlink ref="F3029" r:id="rId2" display="https://files.afu.se/Downloads/Transcripts/0%20-%20Government/USA%20-%20NASA/"/>
    <hyperlink ref="C3030" r:id="rId3030" display="https://youtu.be/65Xr4AdAY2A"/>
    <hyperlink ref="F3030" r:id="rId2" display="https://files.afu.se/Downloads/Transcripts/0%20-%20Government/USA%20-%20NASA/"/>
    <hyperlink ref="C3031" r:id="rId3031" display="https://youtu.be/ywsmDCc9UxI"/>
    <hyperlink ref="F3031" r:id="rId2" display="https://files.afu.se/Downloads/Transcripts/0%20-%20Government/USA%20-%20NASA/"/>
    <hyperlink ref="C3032" r:id="rId3032" display="https://youtu.be/_4ZvM0Cd9UE"/>
    <hyperlink ref="F3032" r:id="rId2" display="https://files.afu.se/Downloads/Transcripts/0%20-%20Government/USA%20-%20NASA/"/>
    <hyperlink ref="C3033" r:id="rId3033" display="https://youtu.be/6doDMbpi6zU"/>
    <hyperlink ref="F3033" r:id="rId2" display="https://files.afu.se/Downloads/Transcripts/0%20-%20Government/USA%20-%20NASA/"/>
    <hyperlink ref="C3034" r:id="rId3034" display="https://youtu.be/dWX9awdzYjw"/>
    <hyperlink ref="F3034" r:id="rId2" display="https://files.afu.se/Downloads/Transcripts/0%20-%20Government/USA%20-%20NASA/"/>
    <hyperlink ref="C3035" r:id="rId3035" display="https://youtu.be/fvCfOVGHWCc"/>
    <hyperlink ref="F3035" r:id="rId2" display="https://files.afu.se/Downloads/Transcripts/0%20-%20Government/USA%20-%20NASA/"/>
    <hyperlink ref="C3036" r:id="rId3036" display="https://youtu.be/Hd4_9oK4h8c"/>
    <hyperlink ref="F3036" r:id="rId2" display="https://files.afu.se/Downloads/Transcripts/0%20-%20Government/USA%20-%20NASA/"/>
    <hyperlink ref="C3037" r:id="rId3037" display="https://youtu.be/gPAxf0an-hM"/>
    <hyperlink ref="F3037" r:id="rId2" display="https://files.afu.se/Downloads/Transcripts/0%20-%20Government/USA%20-%20NASA/"/>
    <hyperlink ref="C3038" r:id="rId3038" display="https://youtu.be/5qBDq4baYSo"/>
    <hyperlink ref="F3038" r:id="rId2" display="https://files.afu.se/Downloads/Transcripts/0%20-%20Government/USA%20-%20NASA/"/>
    <hyperlink ref="C3039" r:id="rId3039" display="https://youtu.be/tTi2I3byJ9A"/>
    <hyperlink ref="F3039" r:id="rId2" display="https://files.afu.se/Downloads/Transcripts/0%20-%20Government/USA%20-%20NASA/"/>
    <hyperlink ref="C3040" r:id="rId3040" display="https://youtu.be/ziv-9WkoxBY"/>
    <hyperlink ref="F3040" r:id="rId2" display="https://files.afu.se/Downloads/Transcripts/0%20-%20Government/USA%20-%20NASA/"/>
    <hyperlink ref="C3041" r:id="rId3041" display="https://youtu.be/3T9FOf60krM"/>
    <hyperlink ref="F3041" r:id="rId2" display="https://files.afu.se/Downloads/Transcripts/0%20-%20Government/USA%20-%20NASA/"/>
    <hyperlink ref="C3042" r:id="rId3042" display="https://youtu.be/Gkq7DumRLUs"/>
    <hyperlink ref="F3042" r:id="rId2" display="https://files.afu.se/Downloads/Transcripts/0%20-%20Government/USA%20-%20NASA/"/>
    <hyperlink ref="C3043" r:id="rId3043" display="https://youtu.be/vhQA5SUnyU0"/>
    <hyperlink ref="F3043" r:id="rId2" display="https://files.afu.se/Downloads/Transcripts/0%20-%20Government/USA%20-%20NASA/"/>
    <hyperlink ref="C3044" r:id="rId3044" display="https://youtu.be/ffvH85Lm8dM"/>
    <hyperlink ref="F3044" r:id="rId2" display="https://files.afu.se/Downloads/Transcripts/0%20-%20Government/USA%20-%20NASA/"/>
    <hyperlink ref="C3045" r:id="rId3045" display="https://youtu.be/0Y9E-rVu1eo"/>
    <hyperlink ref="F3045" r:id="rId2" display="https://files.afu.se/Downloads/Transcripts/0%20-%20Government/USA%20-%20NASA/"/>
    <hyperlink ref="C3046" r:id="rId3046" display="https://youtu.be/_A8pdUb07Ns"/>
    <hyperlink ref="F3046" r:id="rId2" display="https://files.afu.se/Downloads/Transcripts/0%20-%20Government/USA%20-%20NASA/"/>
    <hyperlink ref="C3047" r:id="rId3047" display="https://youtu.be/MQUCUU0QHas"/>
    <hyperlink ref="F3047" r:id="rId2" display="https://files.afu.se/Downloads/Transcripts/0%20-%20Government/USA%20-%20NASA/"/>
    <hyperlink ref="C3048" r:id="rId3048" display="https://youtu.be/WMGxUPshOco"/>
    <hyperlink ref="F3048" r:id="rId2" display="https://files.afu.se/Downloads/Transcripts/0%20-%20Government/USA%20-%20NASA/"/>
    <hyperlink ref="C3049" r:id="rId3049" display="https://youtu.be/dw1FMSRN0KA"/>
    <hyperlink ref="F3049" r:id="rId2" display="https://files.afu.se/Downloads/Transcripts/0%20-%20Government/USA%20-%20NASA/"/>
    <hyperlink ref="C3050" r:id="rId3050" display="https://youtu.be/rizSKd0ByTQ"/>
    <hyperlink ref="F3050" r:id="rId2" display="https://files.afu.se/Downloads/Transcripts/0%20-%20Government/USA%20-%20NASA/"/>
    <hyperlink ref="C3051" r:id="rId3051" display="https://youtu.be/XRByKL88elI"/>
    <hyperlink ref="F3051" r:id="rId2" display="https://files.afu.se/Downloads/Transcripts/0%20-%20Government/USA%20-%20NASA/"/>
    <hyperlink ref="C3052" r:id="rId3052" display="https://youtu.be/qffK7NBrXdE"/>
    <hyperlink ref="F3052" r:id="rId2" display="https://files.afu.se/Downloads/Transcripts/0%20-%20Government/USA%20-%20NASA/"/>
    <hyperlink ref="C3053" r:id="rId3053" display="https://youtu.be/dux2ofFHs90"/>
    <hyperlink ref="F3053" r:id="rId2" display="https://files.afu.se/Downloads/Transcripts/0%20-%20Government/USA%20-%20NASA/"/>
    <hyperlink ref="C3054" r:id="rId3054" display="https://youtu.be/boOBNJybczs"/>
    <hyperlink ref="F3054" r:id="rId2" display="https://files.afu.se/Downloads/Transcripts/0%20-%20Government/USA%20-%20NASA/"/>
    <hyperlink ref="C3055" r:id="rId3055" display="https://youtu.be/pkKrBzss9bM"/>
    <hyperlink ref="F3055" r:id="rId2" display="https://files.afu.se/Downloads/Transcripts/0%20-%20Government/USA%20-%20NASA/"/>
    <hyperlink ref="C3056" r:id="rId3056" display="https://youtu.be/o0xpbWJRUs4"/>
    <hyperlink ref="F3056" r:id="rId2" display="https://files.afu.se/Downloads/Transcripts/0%20-%20Government/USA%20-%20NASA/"/>
    <hyperlink ref="C3057" r:id="rId3057" display="https://youtu.be/8-YA77ojW4k"/>
    <hyperlink ref="F3057" r:id="rId2" display="https://files.afu.se/Downloads/Transcripts/0%20-%20Government/USA%20-%20NASA/"/>
    <hyperlink ref="C3058" r:id="rId3058" display="https://youtu.be/usRYa_dpPFU"/>
    <hyperlink ref="F3058" r:id="rId2" display="https://files.afu.se/Downloads/Transcripts/0%20-%20Government/USA%20-%20NASA/"/>
    <hyperlink ref="C3059" r:id="rId3059" display="https://youtu.be/xNkjkDrdSOw"/>
    <hyperlink ref="F3059" r:id="rId2" display="https://files.afu.se/Downloads/Transcripts/0%20-%20Government/USA%20-%20NASA/"/>
    <hyperlink ref="C3060" r:id="rId3060" display="https://youtu.be/aeuNiE8TD8w"/>
    <hyperlink ref="F3060" r:id="rId2" display="https://files.afu.se/Downloads/Transcripts/0%20-%20Government/USA%20-%20NASA/"/>
    <hyperlink ref="C3061" r:id="rId3061" display="https://youtu.be/grEeiWxlCKk"/>
    <hyperlink ref="F3061" r:id="rId2" display="https://files.afu.se/Downloads/Transcripts/0%20-%20Government/USA%20-%20NASA/"/>
    <hyperlink ref="C3062" r:id="rId3062" display="https://youtu.be/r-N35tZOnAE"/>
    <hyperlink ref="F3062" r:id="rId2" display="https://files.afu.se/Downloads/Transcripts/0%20-%20Government/USA%20-%20NASA/"/>
    <hyperlink ref="C3063" r:id="rId3063" display="https://youtu.be/Rc4Xs6ho9JM"/>
    <hyperlink ref="F3063" r:id="rId2" display="https://files.afu.se/Downloads/Transcripts/0%20-%20Government/USA%20-%20NASA/"/>
    <hyperlink ref="C3064" r:id="rId3064" display="https://youtu.be/ciOsFEj7yNI"/>
    <hyperlink ref="F3064" r:id="rId2" display="https://files.afu.se/Downloads/Transcripts/0%20-%20Government/USA%20-%20NASA/"/>
    <hyperlink ref="C3065" r:id="rId3065" display="https://youtu.be/9IbmpGC9cSk"/>
    <hyperlink ref="F3065" r:id="rId2" display="https://files.afu.se/Downloads/Transcripts/0%20-%20Government/USA%20-%20NASA/"/>
    <hyperlink ref="C3066" r:id="rId3066" display="https://youtu.be/axJ1dpjGVbQ"/>
    <hyperlink ref="F3066" r:id="rId2" display="https://files.afu.se/Downloads/Transcripts/0%20-%20Government/USA%20-%20NASA/"/>
    <hyperlink ref="C3067" r:id="rId3067" display="https://youtu.be/fUPNKoCROVQ"/>
    <hyperlink ref="F3067" r:id="rId2" display="https://files.afu.se/Downloads/Transcripts/0%20-%20Government/USA%20-%20NASA/"/>
    <hyperlink ref="C3068" r:id="rId3068" display="https://youtu.be/UGy-2G__ccg"/>
    <hyperlink ref="F3068" r:id="rId2" display="https://files.afu.se/Downloads/Transcripts/0%20-%20Government/USA%20-%20NASA/"/>
    <hyperlink ref="C3069" r:id="rId3069" display="https://youtu.be/pFne0sTeJjk"/>
    <hyperlink ref="F3069" r:id="rId2" display="https://files.afu.se/Downloads/Transcripts/0%20-%20Government/USA%20-%20NASA/"/>
    <hyperlink ref="C3070" r:id="rId3070" display="https://youtu.be/Epdz2ySd3hE"/>
    <hyperlink ref="F3070" r:id="rId2" display="https://files.afu.se/Downloads/Transcripts/0%20-%20Government/USA%20-%20NASA/"/>
    <hyperlink ref="C3071" r:id="rId3071" display="https://youtu.be/stCOdAc1e24"/>
    <hyperlink ref="F3071" r:id="rId2" display="https://files.afu.se/Downloads/Transcripts/0%20-%20Government/USA%20-%20NASA/"/>
    <hyperlink ref="C3072" r:id="rId3072" display="https://youtu.be/5PhlMmPjCco"/>
    <hyperlink ref="F3072" r:id="rId2" display="https://files.afu.se/Downloads/Transcripts/0%20-%20Government/USA%20-%20NASA/"/>
    <hyperlink ref="C3073" r:id="rId3073" display="https://youtu.be/srPs_l8lx-4"/>
    <hyperlink ref="F3073" r:id="rId2" display="https://files.afu.se/Downloads/Transcripts/0%20-%20Government/USA%20-%20NASA/"/>
    <hyperlink ref="C3074" r:id="rId3074" display="https://youtu.be/cT70DZIIvyU"/>
    <hyperlink ref="F3074" r:id="rId2" display="https://files.afu.se/Downloads/Transcripts/0%20-%20Government/USA%20-%20NASA/"/>
    <hyperlink ref="C3075" r:id="rId3075" display="https://youtu.be/LeRKRgUudlY"/>
    <hyperlink ref="F3075" r:id="rId2" display="https://files.afu.se/Downloads/Transcripts/0%20-%20Government/USA%20-%20NASA/"/>
    <hyperlink ref="C3076" r:id="rId3076" display="https://youtu.be/teAraTjKLWs"/>
    <hyperlink ref="F3076" r:id="rId2" display="https://files.afu.se/Downloads/Transcripts/0%20-%20Government/USA%20-%20NASA/"/>
    <hyperlink ref="C3077" r:id="rId3077" display="https://youtu.be/HBWBui3B_MQ"/>
    <hyperlink ref="F3077" r:id="rId2" display="https://files.afu.se/Downloads/Transcripts/0%20-%20Government/USA%20-%20NASA/"/>
    <hyperlink ref="C3078" r:id="rId3078" display="https://youtu.be/eyFAGnhnsM0"/>
    <hyperlink ref="F3078" r:id="rId2" display="https://files.afu.se/Downloads/Transcripts/0%20-%20Government/USA%20-%20NASA/"/>
    <hyperlink ref="C3079" r:id="rId3079" display="https://youtu.be/Jqa-clI1evQ"/>
    <hyperlink ref="F3079" r:id="rId2" display="https://files.afu.se/Downloads/Transcripts/0%20-%20Government/USA%20-%20NASA/"/>
    <hyperlink ref="C3080" r:id="rId3080" display="https://youtu.be/pVspDvwMytM"/>
    <hyperlink ref="F3080" r:id="rId2" display="https://files.afu.se/Downloads/Transcripts/0%20-%20Government/USA%20-%20NASA/"/>
    <hyperlink ref="C3081" r:id="rId3081" display="https://youtu.be/Ap6j9ez3A18"/>
    <hyperlink ref="F3081" r:id="rId2" display="https://files.afu.se/Downloads/Transcripts/0%20-%20Government/USA%20-%20NASA/"/>
    <hyperlink ref="C3082" r:id="rId3082" display="https://youtu.be/uqkESB7w82E"/>
    <hyperlink ref="F3082" r:id="rId2" display="https://files.afu.se/Downloads/Transcripts/0%20-%20Government/USA%20-%20NASA/"/>
    <hyperlink ref="C3083" r:id="rId3083" display="https://youtu.be/HIARFZseD6Y"/>
    <hyperlink ref="F3083" r:id="rId2" display="https://files.afu.se/Downloads/Transcripts/0%20-%20Government/USA%20-%20NASA/"/>
    <hyperlink ref="C3084" r:id="rId3084" display="https://youtu.be/G9tjdkp-vZs"/>
    <hyperlink ref="F3084" r:id="rId2" display="https://files.afu.se/Downloads/Transcripts/0%20-%20Government/USA%20-%20NASA/"/>
    <hyperlink ref="C3085" r:id="rId3085" display="https://youtu.be/bFZ7sKI4XoE"/>
    <hyperlink ref="F3085" r:id="rId2" display="https://files.afu.se/Downloads/Transcripts/0%20-%20Government/USA%20-%20NASA/"/>
    <hyperlink ref="C3086" r:id="rId3086" display="https://youtu.be/tMsefyiCT3g"/>
    <hyperlink ref="F3086" r:id="rId2" display="https://files.afu.se/Downloads/Transcripts/0%20-%20Government/USA%20-%20NASA/"/>
    <hyperlink ref="C3087" r:id="rId3087" display="https://youtu.be/Oo85GbjNjlw"/>
    <hyperlink ref="F3087" r:id="rId2" display="https://files.afu.se/Downloads/Transcripts/0%20-%20Government/USA%20-%20NASA/"/>
    <hyperlink ref="C3088" r:id="rId3088" display="https://youtu.be/637YTNlZskY"/>
    <hyperlink ref="F3088" r:id="rId2" display="https://files.afu.se/Downloads/Transcripts/0%20-%20Government/USA%20-%20NASA/"/>
    <hyperlink ref="C3089" r:id="rId3089" display="https://youtu.be/kWLUmUko5FM"/>
    <hyperlink ref="F3089" r:id="rId2" display="https://files.afu.se/Downloads/Transcripts/0%20-%20Government/USA%20-%20NASA/"/>
    <hyperlink ref="C3090" r:id="rId3090" display="https://youtu.be/CL2sWaRv3no"/>
    <hyperlink ref="F3090" r:id="rId2" display="https://files.afu.se/Downloads/Transcripts/0%20-%20Government/USA%20-%20NASA/"/>
    <hyperlink ref="C3091" r:id="rId3091" display="https://youtu.be/2Ks677VRSWA"/>
    <hyperlink ref="F3091" r:id="rId2" display="https://files.afu.se/Downloads/Transcripts/0%20-%20Government/USA%20-%20NASA/"/>
    <hyperlink ref="C3092" r:id="rId3092" display="https://youtu.be/751UAtAEBeM"/>
    <hyperlink ref="F3092" r:id="rId2" display="https://files.afu.se/Downloads/Transcripts/0%20-%20Government/USA%20-%20NASA/"/>
    <hyperlink ref="C3093" r:id="rId3093" display="https://youtu.be/e0ZyD9iVDDA"/>
    <hyperlink ref="F3093" r:id="rId2" display="https://files.afu.se/Downloads/Transcripts/0%20-%20Government/USA%20-%20NASA/"/>
    <hyperlink ref="C3094" r:id="rId3094" display="https://youtu.be/eFYUTKyzyIc"/>
    <hyperlink ref="F3094" r:id="rId2" display="https://files.afu.se/Downloads/Transcripts/0%20-%20Government/USA%20-%20NASA/"/>
    <hyperlink ref="C3095" r:id="rId3095" display="https://youtu.be/kJabvxnnBd8"/>
    <hyperlink ref="F3095" r:id="rId2" display="https://files.afu.se/Downloads/Transcripts/0%20-%20Government/USA%20-%20NASA/"/>
    <hyperlink ref="C3096" r:id="rId3096" display="https://youtu.be/_hnVq8_DXvE"/>
    <hyperlink ref="F3096" r:id="rId2" display="https://files.afu.se/Downloads/Transcripts/0%20-%20Government/USA%20-%20NASA/"/>
    <hyperlink ref="C3097" r:id="rId3097" display="https://youtu.be/M3DyFchi-cg"/>
    <hyperlink ref="F3097" r:id="rId2" display="https://files.afu.se/Downloads/Transcripts/0%20-%20Government/USA%20-%20NASA/"/>
    <hyperlink ref="C3098" r:id="rId3098" display="https://youtu.be/H8wBOdo2tQc"/>
    <hyperlink ref="F3098" r:id="rId2" display="https://files.afu.se/Downloads/Transcripts/0%20-%20Government/USA%20-%20NASA/"/>
    <hyperlink ref="C3099" r:id="rId3099" display="https://youtu.be/sUgdO29pwHQ"/>
    <hyperlink ref="F3099" r:id="rId2" display="https://files.afu.se/Downloads/Transcripts/0%20-%20Government/USA%20-%20NASA/"/>
    <hyperlink ref="C3100" r:id="rId3100" display="https://youtu.be/f1ro4zkw-LA"/>
    <hyperlink ref="F3100" r:id="rId2" display="https://files.afu.se/Downloads/Transcripts/0%20-%20Government/USA%20-%20NASA/"/>
    <hyperlink ref="C3101" r:id="rId3101" display="https://youtu.be/tiyjGjScWDc"/>
    <hyperlink ref="F3101" r:id="rId2" display="https://files.afu.se/Downloads/Transcripts/0%20-%20Government/USA%20-%20NASA/"/>
    <hyperlink ref="C3102" r:id="rId3102" display="https://youtu.be/t4YvGQfrMKo"/>
    <hyperlink ref="F3102" r:id="rId2" display="https://files.afu.se/Downloads/Transcripts/0%20-%20Government/USA%20-%20NASA/"/>
    <hyperlink ref="C3103" r:id="rId3103" display="https://youtu.be/Pw49znaIiPg"/>
    <hyperlink ref="F3103" r:id="rId2" display="https://files.afu.se/Downloads/Transcripts/0%20-%20Government/USA%20-%20NASA/"/>
    <hyperlink ref="C3104" r:id="rId3104" display="https://youtu.be/cIqSY82HHos"/>
    <hyperlink ref="F3104" r:id="rId2" display="https://files.afu.se/Downloads/Transcripts/0%20-%20Government/USA%20-%20NASA/"/>
    <hyperlink ref="C3105" r:id="rId3105" display="https://youtu.be/O8e1JPphXc0"/>
    <hyperlink ref="F3105" r:id="rId2" display="https://files.afu.se/Downloads/Transcripts/0%20-%20Government/USA%20-%20NASA/"/>
    <hyperlink ref="C3106" r:id="rId3106" display="https://youtu.be/CO-piXii00A"/>
    <hyperlink ref="F3106" r:id="rId2" display="https://files.afu.se/Downloads/Transcripts/0%20-%20Government/USA%20-%20NASA/"/>
    <hyperlink ref="C3107" r:id="rId3107" display="https://youtu.be/mUs3nfsTWAE"/>
    <hyperlink ref="F3107" r:id="rId2" display="https://files.afu.se/Downloads/Transcripts/0%20-%20Government/USA%20-%20NASA/"/>
    <hyperlink ref="C3108" r:id="rId3108" display="https://youtu.be/rwMc_7cFtU8"/>
    <hyperlink ref="F3108" r:id="rId2" display="https://files.afu.se/Downloads/Transcripts/0%20-%20Government/USA%20-%20NASA/"/>
    <hyperlink ref="C3109" r:id="rId3109" display="https://youtu.be/zZUKApJIysM"/>
    <hyperlink ref="F3109" r:id="rId2" display="https://files.afu.se/Downloads/Transcripts/0%20-%20Government/USA%20-%20NASA/"/>
    <hyperlink ref="C3110" r:id="rId3110" display="https://youtu.be/y3cO_eOQCAA"/>
    <hyperlink ref="F3110" r:id="rId2" display="https://files.afu.se/Downloads/Transcripts/0%20-%20Government/USA%20-%20NASA/"/>
    <hyperlink ref="C3111" r:id="rId3111" display="https://youtu.be/MM16W6w_GX8"/>
    <hyperlink ref="F3111" r:id="rId2" display="https://files.afu.se/Downloads/Transcripts/0%20-%20Government/USA%20-%20NASA/"/>
    <hyperlink ref="C3112" r:id="rId3112" display="https://youtu.be/7Qw0ykbOt6I"/>
    <hyperlink ref="F3112" r:id="rId2" display="https://files.afu.se/Downloads/Transcripts/0%20-%20Government/USA%20-%20NASA/"/>
    <hyperlink ref="C3113" r:id="rId3113" display="https://youtu.be/DSeYC90k2eo"/>
    <hyperlink ref="F3113" r:id="rId2" display="https://files.afu.se/Downloads/Transcripts/0%20-%20Government/USA%20-%20NASA/"/>
    <hyperlink ref="C3114" r:id="rId3114" display="https://youtu.be/kzPkRz9Eqow"/>
    <hyperlink ref="F3114" r:id="rId2" display="https://files.afu.se/Downloads/Transcripts/0%20-%20Government/USA%20-%20NASA/"/>
    <hyperlink ref="C3115" r:id="rId3115" display="https://youtu.be/p2DbVFfrah0"/>
    <hyperlink ref="F3115" r:id="rId2" display="https://files.afu.se/Downloads/Transcripts/0%20-%20Government/USA%20-%20NASA/"/>
    <hyperlink ref="C3116" r:id="rId3116" display="https://youtu.be/rtesZxRlqOE"/>
    <hyperlink ref="F3116" r:id="rId2" display="https://files.afu.se/Downloads/Transcripts/0%20-%20Government/USA%20-%20NASA/"/>
    <hyperlink ref="C3117" r:id="rId3117" display="https://youtu.be/QsgXMoxHrkg"/>
    <hyperlink ref="F3117" r:id="rId2" display="https://files.afu.se/Downloads/Transcripts/0%20-%20Government/USA%20-%20NASA/"/>
    <hyperlink ref="C3118" r:id="rId3118" display="https://youtu.be/b7b4m722QEU"/>
    <hyperlink ref="F3118" r:id="rId2" display="https://files.afu.se/Downloads/Transcripts/0%20-%20Government/USA%20-%20NASA/"/>
    <hyperlink ref="C3119" r:id="rId3119" display="https://youtu.be/HsA_BsH0QxM"/>
    <hyperlink ref="F3119" r:id="rId2" display="https://files.afu.se/Downloads/Transcripts/0%20-%20Government/USA%20-%20NASA/"/>
    <hyperlink ref="C3120" r:id="rId3120" display="https://youtu.be/Fuh3voptpek"/>
    <hyperlink ref="F3120" r:id="rId2" display="https://files.afu.se/Downloads/Transcripts/0%20-%20Government/USA%20-%20NASA/"/>
    <hyperlink ref="C3121" r:id="rId3121" display="https://youtu.be/I8tHGlWwAEM"/>
    <hyperlink ref="F3121" r:id="rId2" display="https://files.afu.se/Downloads/Transcripts/0%20-%20Government/USA%20-%20NASA/"/>
    <hyperlink ref="C3122" r:id="rId3122" display="https://youtu.be/QmykVTgyAE0"/>
    <hyperlink ref="F3122" r:id="rId2" display="https://files.afu.se/Downloads/Transcripts/0%20-%20Government/USA%20-%20NASA/"/>
    <hyperlink ref="C3123" r:id="rId3123" display="https://youtu.be/1rSSw7ajlz8"/>
    <hyperlink ref="F3123" r:id="rId2" display="https://files.afu.se/Downloads/Transcripts/0%20-%20Government/USA%20-%20NASA/"/>
    <hyperlink ref="C3124" r:id="rId3124" display="https://youtu.be/6v-XEO6h_LE"/>
    <hyperlink ref="F3124" r:id="rId2" display="https://files.afu.se/Downloads/Transcripts/0%20-%20Government/USA%20-%20NASA/"/>
    <hyperlink ref="C3125" r:id="rId3125" display="https://youtu.be/tbmX3X5Anv0"/>
    <hyperlink ref="F3125" r:id="rId2" display="https://files.afu.se/Downloads/Transcripts/0%20-%20Government/USA%20-%20NASA/"/>
    <hyperlink ref="C3126" r:id="rId3126" display="https://youtu.be/ui6ernRFxOg"/>
    <hyperlink ref="F3126" r:id="rId2" display="https://files.afu.se/Downloads/Transcripts/0%20-%20Government/USA%20-%20NASA/"/>
    <hyperlink ref="C3127" r:id="rId3127" display="https://youtu.be/6o7s-fVykfs"/>
    <hyperlink ref="F3127" r:id="rId2" display="https://files.afu.se/Downloads/Transcripts/0%20-%20Government/USA%20-%20NASA/"/>
    <hyperlink ref="C3128" r:id="rId3128" display="https://youtu.be/7I0pUE0GQn0"/>
    <hyperlink ref="F3128" r:id="rId2" display="https://files.afu.se/Downloads/Transcripts/0%20-%20Government/USA%20-%20NASA/"/>
    <hyperlink ref="C3129" r:id="rId3129" display="https://youtu.be/tPqHSSTyZsU"/>
    <hyperlink ref="F3129" r:id="rId2" display="https://files.afu.se/Downloads/Transcripts/0%20-%20Government/USA%20-%20NASA/"/>
    <hyperlink ref="C3130" r:id="rId3130" display="https://youtu.be/CeAbS4RYOYI"/>
    <hyperlink ref="F3130" r:id="rId2" display="https://files.afu.se/Downloads/Transcripts/0%20-%20Government/USA%20-%20NASA/"/>
    <hyperlink ref="C3131" r:id="rId3131" display="https://youtu.be/QNbQDVdybq4"/>
    <hyperlink ref="F3131" r:id="rId2" display="https://files.afu.se/Downloads/Transcripts/0%20-%20Government/USA%20-%20NASA/"/>
    <hyperlink ref="C3132" r:id="rId3132" display="https://youtu.be/z4vB44Rdq48"/>
    <hyperlink ref="F3132" r:id="rId2" display="https://files.afu.se/Downloads/Transcripts/0%20-%20Government/USA%20-%20NASA/"/>
    <hyperlink ref="C3133" r:id="rId3133" display="https://youtu.be/aKSXNeqxPQE"/>
    <hyperlink ref="F3133" r:id="rId2" display="https://files.afu.se/Downloads/Transcripts/0%20-%20Government/USA%20-%20NASA/"/>
    <hyperlink ref="C3134" r:id="rId3134" display="https://youtu.be/yf3OxLxKyyA"/>
    <hyperlink ref="F3134" r:id="rId2" display="https://files.afu.se/Downloads/Transcripts/0%20-%20Government/USA%20-%20NASA/"/>
    <hyperlink ref="C3135" r:id="rId3135" display="https://youtu.be/0DM750sNj8g"/>
    <hyperlink ref="F3135" r:id="rId2" display="https://files.afu.se/Downloads/Transcripts/0%20-%20Government/USA%20-%20NASA/"/>
    <hyperlink ref="C3136" r:id="rId3136" display="https://youtu.be/F_G7KyJG57Q"/>
    <hyperlink ref="F3136" r:id="rId2" display="https://files.afu.se/Downloads/Transcripts/0%20-%20Government/USA%20-%20NASA/"/>
    <hyperlink ref="C3137" r:id="rId3137" display="https://youtu.be/mU8H9CcziL0"/>
    <hyperlink ref="F3137" r:id="rId2" display="https://files.afu.se/Downloads/Transcripts/0%20-%20Government/USA%20-%20NASA/"/>
    <hyperlink ref="C3138" r:id="rId3138" display="https://youtu.be/XgKovUIQ1Eo"/>
    <hyperlink ref="F3138" r:id="rId2" display="https://files.afu.se/Downloads/Transcripts/0%20-%20Government/USA%20-%20NASA/"/>
    <hyperlink ref="C3139" r:id="rId3139" display="https://youtu.be/canmpG_uSow"/>
    <hyperlink ref="F3139" r:id="rId2" display="https://files.afu.se/Downloads/Transcripts/0%20-%20Government/USA%20-%20NASA/"/>
    <hyperlink ref="C3140" r:id="rId3140" display="https://youtu.be/VD0tU2-D448"/>
    <hyperlink ref="F3140" r:id="rId2" display="https://files.afu.se/Downloads/Transcripts/0%20-%20Government/USA%20-%20NASA/"/>
    <hyperlink ref="C3141" r:id="rId3141" display="https://youtu.be/ErzROQYSf_0"/>
    <hyperlink ref="F3141" r:id="rId2" display="https://files.afu.se/Downloads/Transcripts/0%20-%20Government/USA%20-%20NASA/"/>
    <hyperlink ref="C3142" r:id="rId3142" display="https://youtu.be/6-vwlAmrhp0"/>
    <hyperlink ref="F3142" r:id="rId2" display="https://files.afu.se/Downloads/Transcripts/0%20-%20Government/USA%20-%20NASA/"/>
    <hyperlink ref="C3143" r:id="rId3143" display="https://youtu.be/oDWb6VdC_s8"/>
    <hyperlink ref="F3143" r:id="rId2" display="https://files.afu.se/Downloads/Transcripts/0%20-%20Government/USA%20-%20NASA/"/>
    <hyperlink ref="C3144" r:id="rId3144" display="https://youtu.be/inxyaiIYEnQ"/>
    <hyperlink ref="F3144" r:id="rId2" display="https://files.afu.se/Downloads/Transcripts/0%20-%20Government/USA%20-%20NASA/"/>
    <hyperlink ref="C3145" r:id="rId3145" display="https://youtu.be/absjEiqicw4"/>
    <hyperlink ref="F3145" r:id="rId2" display="https://files.afu.se/Downloads/Transcripts/0%20-%20Government/USA%20-%20NASA/"/>
    <hyperlink ref="C3146" r:id="rId3146" display="https://youtu.be/IvVdD6qqROM"/>
    <hyperlink ref="F3146" r:id="rId2" display="https://files.afu.se/Downloads/Transcripts/0%20-%20Government/USA%20-%20NASA/"/>
    <hyperlink ref="C3147" r:id="rId3147" display="https://youtu.be/MF7JLvoYYmE"/>
    <hyperlink ref="F3147" r:id="rId2" display="https://files.afu.se/Downloads/Transcripts/0%20-%20Government/USA%20-%20NASA/"/>
    <hyperlink ref="C3148" r:id="rId3148" display="https://youtu.be/dvLSYBaSE3c"/>
    <hyperlink ref="F3148" r:id="rId2" display="https://files.afu.se/Downloads/Transcripts/0%20-%20Government/USA%20-%20NASA/"/>
    <hyperlink ref="C3149" r:id="rId3149" display="https://youtu.be/LS2_FKKApRA"/>
    <hyperlink ref="F3149" r:id="rId2" display="https://files.afu.se/Downloads/Transcripts/0%20-%20Government/USA%20-%20NASA/"/>
    <hyperlink ref="C3150" r:id="rId3150" display="https://youtu.be/OBOolkHVG_Q"/>
    <hyperlink ref="F3150" r:id="rId2" display="https://files.afu.se/Downloads/Transcripts/0%20-%20Government/USA%20-%20NASA/"/>
    <hyperlink ref="C3151" r:id="rId3151" display="https://youtu.be/k7_zsTvZjFg"/>
    <hyperlink ref="F3151" r:id="rId2" display="https://files.afu.se/Downloads/Transcripts/0%20-%20Government/USA%20-%20NASA/"/>
    <hyperlink ref="C3152" r:id="rId3152" display="https://youtu.be/qUfkJyU4PaM"/>
    <hyperlink ref="F3152" r:id="rId2" display="https://files.afu.se/Downloads/Transcripts/0%20-%20Government/USA%20-%20NASA/"/>
    <hyperlink ref="C3153" r:id="rId3153" display="https://youtu.be/T_2CS-ov1dU"/>
    <hyperlink ref="F3153" r:id="rId2" display="https://files.afu.se/Downloads/Transcripts/0%20-%20Government/USA%20-%20NASA/"/>
    <hyperlink ref="C3154" r:id="rId3154" display="https://youtu.be/vE55WCIf88o"/>
    <hyperlink ref="F3154" r:id="rId2" display="https://files.afu.se/Downloads/Transcripts/0%20-%20Government/USA%20-%20NASA/"/>
    <hyperlink ref="C3155" r:id="rId3155" display="https://youtu.be/3LVm85hUBRs"/>
    <hyperlink ref="F3155" r:id="rId2" display="https://files.afu.se/Downloads/Transcripts/0%20-%20Government/USA%20-%20NASA/"/>
    <hyperlink ref="C3156" r:id="rId3156" display="https://youtu.be/wdseM-A0YPU"/>
    <hyperlink ref="F3156" r:id="rId2" display="https://files.afu.se/Downloads/Transcripts/0%20-%20Government/USA%20-%20NASA/"/>
    <hyperlink ref="C3157" r:id="rId3157" display="https://youtu.be/CgRLm2srV1E"/>
    <hyperlink ref="F3157" r:id="rId2" display="https://files.afu.se/Downloads/Transcripts/0%20-%20Government/USA%20-%20NASA/"/>
    <hyperlink ref="C3158" r:id="rId3158" display="https://youtu.be/AmS20epgSOY"/>
    <hyperlink ref="F3158" r:id="rId2" display="https://files.afu.se/Downloads/Transcripts/0%20-%20Government/USA%20-%20NASA/"/>
    <hyperlink ref="C3159" r:id="rId3159" display="https://youtu.be/P45vaEgck_w"/>
    <hyperlink ref="F3159" r:id="rId2" display="https://files.afu.se/Downloads/Transcripts/0%20-%20Government/USA%20-%20NASA/"/>
    <hyperlink ref="C3160" r:id="rId3160" display="https://youtu.be/Ffh1LMBLJd4"/>
    <hyperlink ref="F3160" r:id="rId2" display="https://files.afu.se/Downloads/Transcripts/0%20-%20Government/USA%20-%20NASA/"/>
    <hyperlink ref="C3161" r:id="rId3161" display="https://youtu.be/_YkeI9VXta4"/>
    <hyperlink ref="F3161" r:id="rId2" display="https://files.afu.se/Downloads/Transcripts/0%20-%20Government/USA%20-%20NASA/"/>
    <hyperlink ref="C3162" r:id="rId3162" display="https://youtu.be/oSGi7qVDBFI"/>
    <hyperlink ref="F3162" r:id="rId2" display="https://files.afu.se/Downloads/Transcripts/0%20-%20Government/USA%20-%20NASA/"/>
    <hyperlink ref="C3163" r:id="rId3163" display="https://youtu.be/VoIC4POOQMg"/>
    <hyperlink ref="F3163" r:id="rId2" display="https://files.afu.se/Downloads/Transcripts/0%20-%20Government/USA%20-%20NASA/"/>
    <hyperlink ref="C3164" r:id="rId3164" display="https://youtu.be/osLM4BIvSrg"/>
    <hyperlink ref="F3164" r:id="rId2" display="https://files.afu.se/Downloads/Transcripts/0%20-%20Government/USA%20-%20NASA/"/>
    <hyperlink ref="C3165" r:id="rId3165" display="https://youtu.be/zulxSCb4ZVk"/>
    <hyperlink ref="F3165" r:id="rId2" display="https://files.afu.se/Downloads/Transcripts/0%20-%20Government/USA%20-%20NASA/"/>
    <hyperlink ref="C3166" r:id="rId3166" display="https://youtu.be/9cR-KSXUhzo"/>
    <hyperlink ref="F3166" r:id="rId2" display="https://files.afu.se/Downloads/Transcripts/0%20-%20Government/USA%20-%20NASA/"/>
    <hyperlink ref="C3167" r:id="rId3167" display="https://youtu.be/TY_snIUoE5c"/>
    <hyperlink ref="F3167" r:id="rId2" display="https://files.afu.se/Downloads/Transcripts/0%20-%20Government/USA%20-%20NASA/"/>
    <hyperlink ref="C3168" r:id="rId3168" display="https://youtu.be/fm1NINitjVQ"/>
    <hyperlink ref="F3168" r:id="rId2" display="https://files.afu.se/Downloads/Transcripts/0%20-%20Government/USA%20-%20NASA/"/>
    <hyperlink ref="C3169" r:id="rId3169" display="https://youtu.be/O4RFMJJObWw"/>
    <hyperlink ref="F3169" r:id="rId2" display="https://files.afu.se/Downloads/Transcripts/0%20-%20Government/USA%20-%20NASA/"/>
    <hyperlink ref="C3170" r:id="rId3170" display="https://youtu.be/xyg5XhGHwN0"/>
    <hyperlink ref="F3170" r:id="rId2" display="https://files.afu.se/Downloads/Transcripts/0%20-%20Government/USA%20-%20NASA/"/>
    <hyperlink ref="C3171" r:id="rId3171" display="https://youtu.be/04mcodXWZF4"/>
    <hyperlink ref="F3171" r:id="rId2" display="https://files.afu.se/Downloads/Transcripts/0%20-%20Government/USA%20-%20NASA/"/>
    <hyperlink ref="C3172" r:id="rId3172" display="https://youtu.be/2wimiRUHMI4"/>
    <hyperlink ref="F3172" r:id="rId2" display="https://files.afu.se/Downloads/Transcripts/0%20-%20Government/USA%20-%20NASA/"/>
    <hyperlink ref="C3173" r:id="rId3173" display="https://youtu.be/vJXfhdyFpPU"/>
    <hyperlink ref="F3173" r:id="rId2" display="https://files.afu.se/Downloads/Transcripts/0%20-%20Government/USA%20-%20NASA/"/>
    <hyperlink ref="C3174" r:id="rId3174" display="https://youtu.be/ieN2whar2bg"/>
    <hyperlink ref="F3174" r:id="rId2" display="https://files.afu.se/Downloads/Transcripts/0%20-%20Government/USA%20-%20NASA/"/>
    <hyperlink ref="C3175" r:id="rId3175" display="https://youtu.be/ZskM0diLe90"/>
    <hyperlink ref="F3175" r:id="rId2" display="https://files.afu.se/Downloads/Transcripts/0%20-%20Government/USA%20-%20NASA/"/>
    <hyperlink ref="C3176" r:id="rId3176" display="https://youtu.be/bMRlMSPVQT8"/>
    <hyperlink ref="F3176" r:id="rId2" display="https://files.afu.se/Downloads/Transcripts/0%20-%20Government/USA%20-%20NASA/"/>
    <hyperlink ref="C3177" r:id="rId3177" display="https://youtu.be/QF9ezIz2AZ4"/>
    <hyperlink ref="F3177" r:id="rId2" display="https://files.afu.se/Downloads/Transcripts/0%20-%20Government/USA%20-%20NASA/"/>
    <hyperlink ref="C3178" r:id="rId3178" display="https://youtu.be/LAR3MuJLpr4"/>
    <hyperlink ref="F3178" r:id="rId2" display="https://files.afu.se/Downloads/Transcripts/0%20-%20Government/USA%20-%20NASA/"/>
    <hyperlink ref="C3179" r:id="rId3179" display="https://youtu.be/TGKfeHgaMvg"/>
    <hyperlink ref="F3179" r:id="rId2" display="https://files.afu.se/Downloads/Transcripts/0%20-%20Government/USA%20-%20NASA/"/>
    <hyperlink ref="C3180" r:id="rId3180" display="https://youtu.be/j6hrXAxYjVc"/>
    <hyperlink ref="F3180" r:id="rId2" display="https://files.afu.se/Downloads/Transcripts/0%20-%20Government/USA%20-%20NASA/"/>
    <hyperlink ref="C3181" r:id="rId3181" display="https://youtu.be/NZFtaLhPQCE"/>
    <hyperlink ref="F3181" r:id="rId2" display="https://files.afu.se/Downloads/Transcripts/0%20-%20Government/USA%20-%20NASA/"/>
    <hyperlink ref="C3182" r:id="rId3182" display="https://youtu.be/r9NVtKfFp_s"/>
    <hyperlink ref="F3182" r:id="rId2" display="https://files.afu.se/Downloads/Transcripts/0%20-%20Government/USA%20-%20NASA/"/>
    <hyperlink ref="C3183" r:id="rId3183" display="https://youtu.be/BspOIRV_ifg"/>
    <hyperlink ref="F3183" r:id="rId2" display="https://files.afu.se/Downloads/Transcripts/0%20-%20Government/USA%20-%20NASA/"/>
    <hyperlink ref="C3184" r:id="rId3184" display="https://youtu.be/9rFusYGB5FY"/>
    <hyperlink ref="F3184" r:id="rId2" display="https://files.afu.se/Downloads/Transcripts/0%20-%20Government/USA%20-%20NASA/"/>
    <hyperlink ref="C3185" r:id="rId3185" display="https://youtu.be/_MQ-sW8ZL1Q"/>
    <hyperlink ref="F3185" r:id="rId2" display="https://files.afu.se/Downloads/Transcripts/0%20-%20Government/USA%20-%20NASA/"/>
    <hyperlink ref="C3186" r:id="rId3186" display="https://youtu.be/oiXLTOPtL4U"/>
    <hyperlink ref="F3186" r:id="rId2" display="https://files.afu.se/Downloads/Transcripts/0%20-%20Government/USA%20-%20NASA/"/>
    <hyperlink ref="C3187" r:id="rId3187" display="https://youtu.be/hzI6gbDmTGc"/>
    <hyperlink ref="F3187" r:id="rId2" display="https://files.afu.se/Downloads/Transcripts/0%20-%20Government/USA%20-%20NASA/"/>
    <hyperlink ref="C3188" r:id="rId3188" display="https://youtu.be/CCPRyFrHkGk"/>
    <hyperlink ref="F3188" r:id="rId2" display="https://files.afu.se/Downloads/Transcripts/0%20-%20Government/USA%20-%20NASA/"/>
    <hyperlink ref="C3189" r:id="rId3189" display="https://youtu.be/eGylCcEZQXQ"/>
    <hyperlink ref="F3189" r:id="rId2" display="https://files.afu.se/Downloads/Transcripts/0%20-%20Government/USA%20-%20NASA/"/>
    <hyperlink ref="C3190" r:id="rId3190" display="https://youtu.be/c73gjwUW3MQ"/>
    <hyperlink ref="F3190" r:id="rId2" display="https://files.afu.se/Downloads/Transcripts/0%20-%20Government/USA%20-%20NASA/"/>
    <hyperlink ref="C3191" r:id="rId3191" display="https://youtu.be/WeFi3uHc9ns"/>
    <hyperlink ref="F3191" r:id="rId2" display="https://files.afu.se/Downloads/Transcripts/0%20-%20Government/USA%20-%20NASA/"/>
    <hyperlink ref="C3192" r:id="rId3192" display="https://youtu.be/cfVM3fWvnmc"/>
    <hyperlink ref="F3192" r:id="rId2" display="https://files.afu.se/Downloads/Transcripts/0%20-%20Government/USA%20-%20NASA/"/>
    <hyperlink ref="C3193" r:id="rId3193" display="https://youtu.be/lz4bIxeF9lI"/>
    <hyperlink ref="F3193" r:id="rId2" display="https://files.afu.se/Downloads/Transcripts/0%20-%20Government/USA%20-%20NASA/"/>
    <hyperlink ref="C3194" r:id="rId3194" display="https://youtu.be/snCyFGB5hSU"/>
    <hyperlink ref="F3194" r:id="rId2" display="https://files.afu.se/Downloads/Transcripts/0%20-%20Government/USA%20-%20NASA/"/>
    <hyperlink ref="C3195" r:id="rId3195" display="https://youtu.be/viNGOE8fIb0"/>
    <hyperlink ref="F3195" r:id="rId2" display="https://files.afu.se/Downloads/Transcripts/0%20-%20Government/USA%20-%20NASA/"/>
    <hyperlink ref="C3196" r:id="rId3196" display="https://youtu.be/5tIn9-MAL70"/>
    <hyperlink ref="F3196" r:id="rId2" display="https://files.afu.se/Downloads/Transcripts/0%20-%20Government/USA%20-%20NASA/"/>
    <hyperlink ref="C3197" r:id="rId3197" display="https://youtu.be/mFiKo3amY9I"/>
    <hyperlink ref="F3197" r:id="rId2" display="https://files.afu.se/Downloads/Transcripts/0%20-%20Government/USA%20-%20NASA/"/>
    <hyperlink ref="C3198" r:id="rId3198" display="https://youtu.be/3tKJvUfe6yA"/>
    <hyperlink ref="F3198" r:id="rId2" display="https://files.afu.se/Downloads/Transcripts/0%20-%20Government/USA%20-%20NASA/"/>
    <hyperlink ref="C3199" r:id="rId3199" display="https://youtu.be/-rm7CD0OGw4"/>
    <hyperlink ref="F3199" r:id="rId2" display="https://files.afu.se/Downloads/Transcripts/0%20-%20Government/USA%20-%20NASA/"/>
    <hyperlink ref="C3200" r:id="rId3200" display="https://youtu.be/Z3xLSO7yYdc"/>
    <hyperlink ref="F3200" r:id="rId2" display="https://files.afu.se/Downloads/Transcripts/0%20-%20Government/USA%20-%20NASA/"/>
    <hyperlink ref="C3201" r:id="rId3201" display="https://youtu.be/7zj8-UguuAo"/>
    <hyperlink ref="F3201" r:id="rId2" display="https://files.afu.se/Downloads/Transcripts/0%20-%20Government/USA%20-%20NASA/"/>
    <hyperlink ref="C3202" r:id="rId3202" display="https://youtu.be/Uov18Cv2u94"/>
    <hyperlink ref="F3202" r:id="rId2" display="https://files.afu.se/Downloads/Transcripts/0%20-%20Government/USA%20-%20NASA/"/>
    <hyperlink ref="C3203" r:id="rId3203" display="https://youtu.be/enFpdbJj7cA"/>
    <hyperlink ref="F3203" r:id="rId2" display="https://files.afu.se/Downloads/Transcripts/0%20-%20Government/USA%20-%20NASA/"/>
    <hyperlink ref="C3204" r:id="rId3204" display="https://youtu.be/FySvyk8VNOw"/>
    <hyperlink ref="F3204" r:id="rId2" display="https://files.afu.se/Downloads/Transcripts/0%20-%20Government/USA%20-%20NASA/"/>
    <hyperlink ref="C3205" r:id="rId3205" display="https://youtu.be/RmQPPCYmHKY"/>
    <hyperlink ref="F3205" r:id="rId2" display="https://files.afu.se/Downloads/Transcripts/0%20-%20Government/USA%20-%20NASA/"/>
    <hyperlink ref="C3206" r:id="rId3206" display="https://youtu.be/ebkLwOmQyOo"/>
    <hyperlink ref="F3206" r:id="rId2" display="https://files.afu.se/Downloads/Transcripts/0%20-%20Government/USA%20-%20NASA/"/>
    <hyperlink ref="C3207" r:id="rId3207" display="https://youtu.be/UAecap7-3z4"/>
    <hyperlink ref="F3207" r:id="rId2" display="https://files.afu.se/Downloads/Transcripts/0%20-%20Government/USA%20-%20NASA/"/>
    <hyperlink ref="C3208" r:id="rId3208" display="https://youtu.be/SN0y10Nx6rs"/>
    <hyperlink ref="F3208" r:id="rId2" display="https://files.afu.se/Downloads/Transcripts/0%20-%20Government/USA%20-%20NASA/"/>
    <hyperlink ref="C3209" r:id="rId3209" display="https://youtu.be/CTwISyNx9nw"/>
    <hyperlink ref="F3209" r:id="rId2" display="https://files.afu.se/Downloads/Transcripts/0%20-%20Government/USA%20-%20NASA/"/>
    <hyperlink ref="C3210" r:id="rId3210" display="https://youtu.be/G4SHEPizG5A"/>
    <hyperlink ref="F3210" r:id="rId2" display="https://files.afu.se/Downloads/Transcripts/0%20-%20Government/USA%20-%20NASA/"/>
    <hyperlink ref="C3211" r:id="rId3211" display="https://youtu.be/CXOXce_62w0"/>
    <hyperlink ref="F3211" r:id="rId2" display="https://files.afu.se/Downloads/Transcripts/0%20-%20Government/USA%20-%20NASA/"/>
    <hyperlink ref="C3212" r:id="rId3212" display="https://youtu.be/doN4t5NKW-k"/>
    <hyperlink ref="F3212" r:id="rId2" display="https://files.afu.se/Downloads/Transcripts/0%20-%20Government/USA%20-%20NASA/"/>
    <hyperlink ref="C3213" r:id="rId3213" display="https://youtu.be/DrnOXNMwbdk"/>
    <hyperlink ref="F3213" r:id="rId2" display="https://files.afu.se/Downloads/Transcripts/0%20-%20Government/USA%20-%20NASA/"/>
    <hyperlink ref="C3214" r:id="rId3214" display="https://youtu.be/xkf2-UJWMr8"/>
    <hyperlink ref="F3214" r:id="rId2" display="https://files.afu.se/Downloads/Transcripts/0%20-%20Government/USA%20-%20NASA/"/>
    <hyperlink ref="C3215" r:id="rId3215" display="https://youtu.be/Tll8Yw_BMCQ"/>
    <hyperlink ref="F3215" r:id="rId2" display="https://files.afu.se/Downloads/Transcripts/0%20-%20Government/USA%20-%20NASA/"/>
    <hyperlink ref="C3216" r:id="rId3216" display="https://youtu.be/JZts7RVdGkA"/>
    <hyperlink ref="F3216" r:id="rId2" display="https://files.afu.se/Downloads/Transcripts/0%20-%20Government/USA%20-%20NASA/"/>
    <hyperlink ref="C3217" r:id="rId3217" display="https://youtu.be/nBeWajjnDvw"/>
    <hyperlink ref="F3217" r:id="rId2" display="https://files.afu.se/Downloads/Transcripts/0%20-%20Government/USA%20-%20NASA/"/>
    <hyperlink ref="C3218" r:id="rId3218" display="https://youtu.be/2HsoSbUxrlw"/>
    <hyperlink ref="F3218" r:id="rId2" display="https://files.afu.se/Downloads/Transcripts/0%20-%20Government/USA%20-%20NASA/"/>
    <hyperlink ref="C3219" r:id="rId3219" display="https://youtu.be/ef90LYq7GRA"/>
    <hyperlink ref="F3219" r:id="rId2" display="https://files.afu.se/Downloads/Transcripts/0%20-%20Government/USA%20-%20NASA/"/>
    <hyperlink ref="C3220" r:id="rId3220" display="https://youtu.be/0t0LWFHB8Qo"/>
    <hyperlink ref="F3220" r:id="rId2" display="https://files.afu.se/Downloads/Transcripts/0%20-%20Government/USA%20-%20NASA/"/>
    <hyperlink ref="C3221" r:id="rId3221" display="https://youtu.be/mxZi8wKoRL4"/>
    <hyperlink ref="F3221" r:id="rId2" display="https://files.afu.se/Downloads/Transcripts/0%20-%20Government/USA%20-%20NASA/"/>
    <hyperlink ref="C3222" r:id="rId3222" display="https://youtu.be/LL-OvCnn53c"/>
    <hyperlink ref="F3222" r:id="rId2" display="https://files.afu.se/Downloads/Transcripts/0%20-%20Government/USA%20-%20NASA/"/>
    <hyperlink ref="C3223" r:id="rId3223" display="https://youtu.be/_gds6dQV8YM"/>
    <hyperlink ref="F3223" r:id="rId2" display="https://files.afu.se/Downloads/Transcripts/0%20-%20Government/USA%20-%20NASA/"/>
    <hyperlink ref="C3224" r:id="rId3224" display="https://youtu.be/1CvK5WWzkuw"/>
    <hyperlink ref="F3224" r:id="rId2" display="https://files.afu.se/Downloads/Transcripts/0%20-%20Government/USA%20-%20NASA/"/>
    <hyperlink ref="C3225" r:id="rId3225" display="https://youtu.be/iXfWkJK0nfo"/>
    <hyperlink ref="F3225" r:id="rId2" display="https://files.afu.se/Downloads/Transcripts/0%20-%20Government/USA%20-%20NASA/"/>
    <hyperlink ref="C3226" r:id="rId3226" display="https://youtu.be/hPUJ6XJCvfY"/>
    <hyperlink ref="F3226" r:id="rId2" display="https://files.afu.se/Downloads/Transcripts/0%20-%20Government/USA%20-%20NASA/"/>
    <hyperlink ref="C3227" r:id="rId3227" display="https://youtu.be/4UaFBmdD3pA"/>
    <hyperlink ref="F3227" r:id="rId2" display="https://files.afu.se/Downloads/Transcripts/0%20-%20Government/USA%20-%20NASA/"/>
    <hyperlink ref="C3228" r:id="rId3228" display="https://youtu.be/As2o-Ho2MNE"/>
    <hyperlink ref="F3228" r:id="rId2" display="https://files.afu.se/Downloads/Transcripts/0%20-%20Government/USA%20-%20NASA/"/>
    <hyperlink ref="C3229" r:id="rId3229" display="https://youtu.be/qux_Xm4NlKs"/>
    <hyperlink ref="F3229" r:id="rId2" display="https://files.afu.se/Downloads/Transcripts/0%20-%20Government/USA%20-%20NASA/"/>
    <hyperlink ref="C3230" r:id="rId3230" display="https://youtu.be/0HIma_ivY3g"/>
    <hyperlink ref="F3230" r:id="rId2" display="https://files.afu.se/Downloads/Transcripts/0%20-%20Government/USA%20-%20NASA/"/>
    <hyperlink ref="C3231" r:id="rId3231" display="https://youtu.be/DtkiV48HKMA"/>
    <hyperlink ref="F3231" r:id="rId2" display="https://files.afu.se/Downloads/Transcripts/0%20-%20Government/USA%20-%20NASA/"/>
    <hyperlink ref="C3232" r:id="rId3232" display="https://youtu.be/tqbPAZ06xI4"/>
    <hyperlink ref="F3232" r:id="rId2" display="https://files.afu.se/Downloads/Transcripts/0%20-%20Government/USA%20-%20NASA/"/>
    <hyperlink ref="C3233" r:id="rId3233" display="https://youtu.be/fdu6GMGLgYQ"/>
    <hyperlink ref="F3233" r:id="rId2" display="https://files.afu.se/Downloads/Transcripts/0%20-%20Government/USA%20-%20NASA/"/>
    <hyperlink ref="C3234" r:id="rId3234" display="https://youtu.be/OZuYyUgYbdU"/>
    <hyperlink ref="F3234" r:id="rId2" display="https://files.afu.se/Downloads/Transcripts/0%20-%20Government/USA%20-%20NASA/"/>
    <hyperlink ref="C3235" r:id="rId3235" display="https://youtu.be/0sLd-P4L30k"/>
    <hyperlink ref="F3235" r:id="rId2" display="https://files.afu.se/Downloads/Transcripts/0%20-%20Government/USA%20-%20NASA/"/>
    <hyperlink ref="C3236" r:id="rId3236" display="https://youtu.be/YZIABszVvDU"/>
    <hyperlink ref="F3236" r:id="rId2" display="https://files.afu.se/Downloads/Transcripts/0%20-%20Government/USA%20-%20NASA/"/>
    <hyperlink ref="C3237" r:id="rId3237" display="https://youtu.be/OnJZAvUh2yY"/>
    <hyperlink ref="F3237" r:id="rId2" display="https://files.afu.se/Downloads/Transcripts/0%20-%20Government/USA%20-%20NASA/"/>
    <hyperlink ref="C3238" r:id="rId3238" display="https://youtu.be/-dVKJMnyp_Y"/>
    <hyperlink ref="F3238" r:id="rId2" display="https://files.afu.se/Downloads/Transcripts/0%20-%20Government/USA%20-%20NASA/"/>
    <hyperlink ref="C3239" r:id="rId3239" display="https://youtu.be/MugqcMS1M4M"/>
    <hyperlink ref="F3239" r:id="rId2" display="https://files.afu.se/Downloads/Transcripts/0%20-%20Government/USA%20-%20NASA/"/>
    <hyperlink ref="C3240" r:id="rId3240" display="https://youtu.be/ERvUcNMJ3Uc"/>
    <hyperlink ref="F3240" r:id="rId2" display="https://files.afu.se/Downloads/Transcripts/0%20-%20Government/USA%20-%20NASA/"/>
    <hyperlink ref="C3241" r:id="rId3241" display="https://youtu.be/l_c_aBKKTKs"/>
    <hyperlink ref="F3241" r:id="rId2" display="https://files.afu.se/Downloads/Transcripts/0%20-%20Government/USA%20-%20NASA/"/>
    <hyperlink ref="C3242" r:id="rId3242" display="https://youtu.be/2_MzDKO9lak"/>
    <hyperlink ref="F3242" r:id="rId2" display="https://files.afu.se/Downloads/Transcripts/0%20-%20Government/USA%20-%20NASA/"/>
    <hyperlink ref="C3243" r:id="rId3243" display="https://youtu.be/RwhcMVFt3gU"/>
    <hyperlink ref="F3243" r:id="rId2" display="https://files.afu.se/Downloads/Transcripts/0%20-%20Government/USA%20-%20NASA/"/>
    <hyperlink ref="C3244" r:id="rId3244" display="https://youtu.be/wN1buAEAp-k"/>
    <hyperlink ref="F3244" r:id="rId2" display="https://files.afu.se/Downloads/Transcripts/0%20-%20Government/USA%20-%20NASA/"/>
    <hyperlink ref="C3245" r:id="rId3245" display="https://youtu.be/Btvi-Ftq8JU"/>
    <hyperlink ref="F3245" r:id="rId2" display="https://files.afu.se/Downloads/Transcripts/0%20-%20Government/USA%20-%20NASA/"/>
    <hyperlink ref="C3246" r:id="rId3246" display="https://youtu.be/2jy52AUjRHM"/>
    <hyperlink ref="F3246" r:id="rId2" display="https://files.afu.se/Downloads/Transcripts/0%20-%20Government/USA%20-%20NASA/"/>
    <hyperlink ref="C3247" r:id="rId3247" display="https://youtu.be/_qVURcmeqD4"/>
    <hyperlink ref="F3247" r:id="rId2" display="https://files.afu.se/Downloads/Transcripts/0%20-%20Government/USA%20-%20NASA/"/>
    <hyperlink ref="C3248" r:id="rId3248" display="https://youtu.be/CxJQ4pu_0Qc"/>
    <hyperlink ref="F3248" r:id="rId2" display="https://files.afu.se/Downloads/Transcripts/0%20-%20Government/USA%20-%20NASA/"/>
    <hyperlink ref="C3249" r:id="rId3249" display="https://youtu.be/ycF048xwlXc"/>
    <hyperlink ref="F3249" r:id="rId2" display="https://files.afu.se/Downloads/Transcripts/0%20-%20Government/USA%20-%20NASA/"/>
    <hyperlink ref="C3250" r:id="rId3250" display="https://youtu.be/TScEakB0J-s"/>
    <hyperlink ref="F3250" r:id="rId2" display="https://files.afu.se/Downloads/Transcripts/0%20-%20Government/USA%20-%20NASA/"/>
    <hyperlink ref="C3251" r:id="rId3251" display="https://youtu.be/otDdZxX8wIY"/>
    <hyperlink ref="F3251" r:id="rId2" display="https://files.afu.se/Downloads/Transcripts/0%20-%20Government/USA%20-%20NASA/"/>
    <hyperlink ref="C3252" r:id="rId3252" display="https://youtu.be/E6NQu-8Gomc"/>
    <hyperlink ref="F3252" r:id="rId2" display="https://files.afu.se/Downloads/Transcripts/0%20-%20Government/USA%20-%20NASA/"/>
    <hyperlink ref="C3253" r:id="rId3253" display="https://youtu.be/YJHk-nldS-E"/>
    <hyperlink ref="F3253" r:id="rId2" display="https://files.afu.se/Downloads/Transcripts/0%20-%20Government/USA%20-%20NASA/"/>
    <hyperlink ref="C3254" r:id="rId3254" display="https://youtu.be/HItD7pg4htU"/>
    <hyperlink ref="F3254" r:id="rId2" display="https://files.afu.se/Downloads/Transcripts/0%20-%20Government/USA%20-%20NASA/"/>
    <hyperlink ref="C3255" r:id="rId3255" display="https://youtu.be/ZAI3WO2Vv5Q"/>
    <hyperlink ref="F3255" r:id="rId2" display="https://files.afu.se/Downloads/Transcripts/0%20-%20Government/USA%20-%20NASA/"/>
    <hyperlink ref="C3256" r:id="rId3256" display="https://youtu.be/F6-8UKkaZL4"/>
    <hyperlink ref="F3256" r:id="rId2" display="https://files.afu.se/Downloads/Transcripts/0%20-%20Government/USA%20-%20NASA/"/>
    <hyperlink ref="C3257" r:id="rId3257" display="https://youtu.be/Y2ZbudSD9G0"/>
    <hyperlink ref="F3257" r:id="rId2" display="https://files.afu.se/Downloads/Transcripts/0%20-%20Government/USA%20-%20NASA/"/>
    <hyperlink ref="C3258" r:id="rId3258" display="https://youtu.be/ggwAW4nRMYQ"/>
    <hyperlink ref="F3258" r:id="rId2" display="https://files.afu.se/Downloads/Transcripts/0%20-%20Government/USA%20-%20NASA/"/>
    <hyperlink ref="C3259" r:id="rId3259" display="https://youtu.be/eSHN-_VIcrE"/>
    <hyperlink ref="F3259" r:id="rId2" display="https://files.afu.se/Downloads/Transcripts/0%20-%20Government/USA%20-%20NASA/"/>
    <hyperlink ref="C3260" r:id="rId3260" display="https://youtu.be/a0JDs-R4Z2c"/>
    <hyperlink ref="F3260" r:id="rId2" display="https://files.afu.se/Downloads/Transcripts/0%20-%20Government/USA%20-%20NASA/"/>
    <hyperlink ref="C3261" r:id="rId3261" display="https://youtu.be/fBKs6uoyfrA"/>
    <hyperlink ref="F3261" r:id="rId2" display="https://files.afu.se/Downloads/Transcripts/0%20-%20Government/USA%20-%20NASA/"/>
    <hyperlink ref="C3262" r:id="rId3262" display="https://youtu.be/h1V7-ZNPeXc"/>
    <hyperlink ref="F3262" r:id="rId2" display="https://files.afu.se/Downloads/Transcripts/0%20-%20Government/USA%20-%20NASA/"/>
    <hyperlink ref="C3263" r:id="rId3263" display="https://youtu.be/K6CPCByf3Bo"/>
    <hyperlink ref="F3263" r:id="rId2" display="https://files.afu.se/Downloads/Transcripts/0%20-%20Government/USA%20-%20NASA/"/>
    <hyperlink ref="C3264" r:id="rId3264" display="https://youtu.be/LL_usHvz3G0"/>
    <hyperlink ref="F3264" r:id="rId2" display="https://files.afu.se/Downloads/Transcripts/0%20-%20Government/USA%20-%20NASA/"/>
    <hyperlink ref="C3265" r:id="rId3265" display="https://youtu.be/csMEQiM5o3w"/>
    <hyperlink ref="F3265" r:id="rId2" display="https://files.afu.se/Downloads/Transcripts/0%20-%20Government/USA%20-%20NASA/"/>
    <hyperlink ref="C3266" r:id="rId3266" display="https://youtu.be/MCML1V-ojE0"/>
    <hyperlink ref="F3266" r:id="rId2" display="https://files.afu.se/Downloads/Transcripts/0%20-%20Government/USA%20-%20NASA/"/>
    <hyperlink ref="C3267" r:id="rId3267" display="https://youtu.be/8pVHViay3sA"/>
    <hyperlink ref="F3267" r:id="rId2" display="https://files.afu.se/Downloads/Transcripts/0%20-%20Government/USA%20-%20NASA/"/>
    <hyperlink ref="C3268" r:id="rId3268" display="https://youtu.be/g6wB7Cuwux8"/>
    <hyperlink ref="F3268" r:id="rId2" display="https://files.afu.se/Downloads/Transcripts/0%20-%20Government/USA%20-%20NASA/"/>
    <hyperlink ref="C3269" r:id="rId3269" display="https://youtu.be/NhhOc_dRnLE"/>
    <hyperlink ref="F3269" r:id="rId2" display="https://files.afu.se/Downloads/Transcripts/0%20-%20Government/USA%20-%20NASA/"/>
    <hyperlink ref="C3270" r:id="rId3270" display="https://youtu.be/DIK0nMnenx0"/>
    <hyperlink ref="F3270" r:id="rId2" display="https://files.afu.se/Downloads/Transcripts/0%20-%20Government/USA%20-%20NASA/"/>
    <hyperlink ref="C3271" r:id="rId3271" display="https://youtu.be/firW5Gid49o"/>
    <hyperlink ref="F3271" r:id="rId2" display="https://files.afu.se/Downloads/Transcripts/0%20-%20Government/USA%20-%20NASA/"/>
    <hyperlink ref="C3272" r:id="rId3272" display="https://youtu.be/nSIUnSpbfd4"/>
    <hyperlink ref="F3272" r:id="rId2" display="https://files.afu.se/Downloads/Transcripts/0%20-%20Government/USA%20-%20NASA/"/>
    <hyperlink ref="C3273" r:id="rId3273" display="https://youtu.be/nwnmspnNHEA"/>
    <hyperlink ref="F3273" r:id="rId2" display="https://files.afu.se/Downloads/Transcripts/0%20-%20Government/USA%20-%20NASA/"/>
    <hyperlink ref="C3274" r:id="rId3274" display="https://youtu.be/HmhYrsMvenE"/>
    <hyperlink ref="F3274" r:id="rId2" display="https://files.afu.se/Downloads/Transcripts/0%20-%20Government/USA%20-%20NASA/"/>
    <hyperlink ref="C3275" r:id="rId3275" display="https://youtu.be/z22vOjOAQt0"/>
    <hyperlink ref="F3275" r:id="rId2" display="https://files.afu.se/Downloads/Transcripts/0%20-%20Government/USA%20-%20NASA/"/>
    <hyperlink ref="C3276" r:id="rId3276" display="https://youtu.be/Rom6M8udyI8"/>
    <hyperlink ref="F3276" r:id="rId2" display="https://files.afu.se/Downloads/Transcripts/0%20-%20Government/USA%20-%20NASA/"/>
    <hyperlink ref="C3277" r:id="rId3277" display="https://youtu.be/oDdTZkxcv3I"/>
    <hyperlink ref="F3277" r:id="rId2" display="https://files.afu.se/Downloads/Transcripts/0%20-%20Government/USA%20-%20NASA/"/>
    <hyperlink ref="C3278" r:id="rId3278" display="https://youtu.be/Az7GQb-emnk"/>
    <hyperlink ref="F3278" r:id="rId2" display="https://files.afu.se/Downloads/Transcripts/0%20-%20Government/USA%20-%20NASA/"/>
    <hyperlink ref="C3279" r:id="rId3279" display="https://youtu.be/gjO958LuB0E"/>
    <hyperlink ref="F3279" r:id="rId2" display="https://files.afu.se/Downloads/Transcripts/0%20-%20Government/USA%20-%20NASA/"/>
    <hyperlink ref="C3280" r:id="rId3280" display="https://youtu.be/8AaCGVcuDqM"/>
    <hyperlink ref="F3280" r:id="rId2" display="https://files.afu.se/Downloads/Transcripts/0%20-%20Government/USA%20-%20NASA/"/>
    <hyperlink ref="C3281" r:id="rId3281" display="https://youtu.be/oNOZZruBc7w"/>
    <hyperlink ref="F3281" r:id="rId2" display="https://files.afu.se/Downloads/Transcripts/0%20-%20Government/USA%20-%20NASA/"/>
    <hyperlink ref="C3282" r:id="rId3282" display="https://youtu.be/DUwzAxVdaNY"/>
    <hyperlink ref="F3282" r:id="rId2" display="https://files.afu.se/Downloads/Transcripts/0%20-%20Government/USA%20-%20NASA/"/>
    <hyperlink ref="C3283" r:id="rId3283" display="https://youtu.be/SdiIeBT8kA8"/>
    <hyperlink ref="F3283" r:id="rId2" display="https://files.afu.se/Downloads/Transcripts/0%20-%20Government/USA%20-%20NASA/"/>
    <hyperlink ref="C3284" r:id="rId3284" display="https://youtu.be/SaFAH5YL4GU"/>
    <hyperlink ref="F3284" r:id="rId2" display="https://files.afu.se/Downloads/Transcripts/0%20-%20Government/USA%20-%20NASA/"/>
    <hyperlink ref="C3285" r:id="rId3285" display="https://youtu.be/_g7dEXjumEM"/>
    <hyperlink ref="F3285" r:id="rId2" display="https://files.afu.se/Downloads/Transcripts/0%20-%20Government/USA%20-%20NASA/"/>
    <hyperlink ref="C3286" r:id="rId3286" display="https://youtu.be/cua2wqUQrak"/>
    <hyperlink ref="F3286" r:id="rId2" display="https://files.afu.se/Downloads/Transcripts/0%20-%20Government/USA%20-%20NASA/"/>
    <hyperlink ref="C3287" r:id="rId3287" display="https://youtu.be/NAXBdt5gS_c"/>
    <hyperlink ref="F3287" r:id="rId2" display="https://files.afu.se/Downloads/Transcripts/0%20-%20Government/USA%20-%20NASA/"/>
    <hyperlink ref="C3288" r:id="rId3288" display="https://youtu.be/rq99ZuIe40c"/>
    <hyperlink ref="F3288" r:id="rId2" display="https://files.afu.se/Downloads/Transcripts/0%20-%20Government/USA%20-%20NASA/"/>
    <hyperlink ref="C3289" r:id="rId3289" display="https://youtu.be/rHJOLi5OZU8"/>
    <hyperlink ref="F3289" r:id="rId2" display="https://files.afu.se/Downloads/Transcripts/0%20-%20Government/USA%20-%20NASA/"/>
    <hyperlink ref="C3290" r:id="rId3290" display="https://youtu.be/EMhqtGDUQZA"/>
    <hyperlink ref="F3290" r:id="rId2" display="https://files.afu.se/Downloads/Transcripts/0%20-%20Government/USA%20-%20NASA/"/>
    <hyperlink ref="C3291" r:id="rId3291" display="https://youtu.be/Fp-grYu2i38"/>
    <hyperlink ref="F3291" r:id="rId2" display="https://files.afu.se/Downloads/Transcripts/0%20-%20Government/USA%20-%20NASA/"/>
    <hyperlink ref="C3292" r:id="rId3292" display="https://youtu.be/Fi-M3VrCXCc"/>
    <hyperlink ref="F3292" r:id="rId2" display="https://files.afu.se/Downloads/Transcripts/0%20-%20Government/USA%20-%20NASA/"/>
    <hyperlink ref="C3293" r:id="rId3293" display="https://youtu.be/Hgkb6U1McOE"/>
    <hyperlink ref="F3293" r:id="rId2" display="https://files.afu.se/Downloads/Transcripts/0%20-%20Government/USA%20-%20NASA/"/>
    <hyperlink ref="C3294" r:id="rId3294" display="https://youtu.be/2uTJateA0iw"/>
    <hyperlink ref="F3294" r:id="rId2" display="https://files.afu.se/Downloads/Transcripts/0%20-%20Government/USA%20-%20NASA/"/>
    <hyperlink ref="C3295" r:id="rId3295" display="https://youtu.be/TWTjD5H7gYM"/>
    <hyperlink ref="F3295" r:id="rId2" display="https://files.afu.se/Downloads/Transcripts/0%20-%20Government/USA%20-%20NASA/"/>
    <hyperlink ref="C3296" r:id="rId3296" display="https://youtu.be/4JVOQR15fyg"/>
    <hyperlink ref="F3296" r:id="rId2" display="https://files.afu.se/Downloads/Transcripts/0%20-%20Government/USA%20-%20NASA/"/>
    <hyperlink ref="C3297" r:id="rId3297" display="https://youtu.be/8EnoM68d9mc"/>
    <hyperlink ref="F3297" r:id="rId2" display="https://files.afu.se/Downloads/Transcripts/0%20-%20Government/USA%20-%20NASA/"/>
    <hyperlink ref="C3298" r:id="rId3298" display="https://youtu.be/4lRPgo7fqtI"/>
    <hyperlink ref="F3298" r:id="rId2" display="https://files.afu.se/Downloads/Transcripts/0%20-%20Government/USA%20-%20NASA/"/>
    <hyperlink ref="C3299" r:id="rId3299" display="https://youtu.be/l7MOAUAzFBg"/>
    <hyperlink ref="F3299" r:id="rId2" display="https://files.afu.se/Downloads/Transcripts/0%20-%20Government/USA%20-%20NASA/"/>
    <hyperlink ref="C3300" r:id="rId3300" display="https://youtu.be/MVTyRNbsqk8"/>
    <hyperlink ref="F3300" r:id="rId2" display="https://files.afu.se/Downloads/Transcripts/0%20-%20Government/USA%20-%20NASA/"/>
    <hyperlink ref="C3301" r:id="rId3301" display="https://youtu.be/G6RLahJrAj4"/>
    <hyperlink ref="F3301" r:id="rId2" display="https://files.afu.se/Downloads/Transcripts/0%20-%20Government/USA%20-%20NASA/"/>
    <hyperlink ref="C3302" r:id="rId3302" display="https://youtu.be/SJbIRxV6yOA"/>
    <hyperlink ref="F3302" r:id="rId2" display="https://files.afu.se/Downloads/Transcripts/0%20-%20Government/USA%20-%20NASA/"/>
    <hyperlink ref="C3303" r:id="rId3303" display="https://youtu.be/fYo31XjoXOk"/>
    <hyperlink ref="F3303" r:id="rId2" display="https://files.afu.se/Downloads/Transcripts/0%20-%20Government/USA%20-%20NASA/"/>
    <hyperlink ref="C3304" r:id="rId3304" display="https://youtu.be/iSUXZDnp0RU"/>
    <hyperlink ref="F3304" r:id="rId2" display="https://files.afu.se/Downloads/Transcripts/0%20-%20Government/USA%20-%20NASA/"/>
    <hyperlink ref="C3305" r:id="rId3305" display="https://youtu.be/jSR_Co4dtLk"/>
    <hyperlink ref="F3305" r:id="rId2" display="https://files.afu.se/Downloads/Transcripts/0%20-%20Government/USA%20-%20NASA/"/>
    <hyperlink ref="C3306" r:id="rId3306" display="https://youtu.be/HlNcfGcEYOE"/>
    <hyperlink ref="F3306" r:id="rId2" display="https://files.afu.se/Downloads/Transcripts/0%20-%20Government/USA%20-%20NASA/"/>
    <hyperlink ref="C3307" r:id="rId3307" display="https://youtu.be/q0Mw2iJA5Bc"/>
    <hyperlink ref="F3307" r:id="rId2" display="https://files.afu.se/Downloads/Transcripts/0%20-%20Government/USA%20-%20NASA/"/>
    <hyperlink ref="C3308" r:id="rId3308" display="https://youtu.be/yOCoSrJIYAQ"/>
    <hyperlink ref="F3308" r:id="rId2" display="https://files.afu.se/Downloads/Transcripts/0%20-%20Government/USA%20-%20NASA/"/>
    <hyperlink ref="C3309" r:id="rId3309" display="https://youtu.be/TF3LYtLolHA"/>
    <hyperlink ref="F3309" r:id="rId2" display="https://files.afu.se/Downloads/Transcripts/0%20-%20Government/USA%20-%20NASA/"/>
    <hyperlink ref="C3310" r:id="rId3310" display="https://youtu.be/5TnCumH1mL4"/>
    <hyperlink ref="F3310" r:id="rId2" display="https://files.afu.se/Downloads/Transcripts/0%20-%20Government/USA%20-%20NASA/"/>
    <hyperlink ref="C3311" r:id="rId3311" display="https://youtu.be/WkC4YjcIzKI"/>
    <hyperlink ref="F3311" r:id="rId2" display="https://files.afu.se/Downloads/Transcripts/0%20-%20Government/USA%20-%20NASA/"/>
    <hyperlink ref="C3312" r:id="rId3312" display="https://youtu.be/c-qeFNU_-ys"/>
    <hyperlink ref="F3312" r:id="rId2" display="https://files.afu.se/Downloads/Transcripts/0%20-%20Government/USA%20-%20NASA/"/>
    <hyperlink ref="C3313" r:id="rId3313" display="https://youtu.be/QqV0_kvze4Y"/>
    <hyperlink ref="F3313" r:id="rId2" display="https://files.afu.se/Downloads/Transcripts/0%20-%20Government/USA%20-%20NASA/"/>
    <hyperlink ref="C3314" r:id="rId3314" display="https://youtu.be/pdRvFROQjbk"/>
    <hyperlink ref="F3314" r:id="rId2" display="https://files.afu.se/Downloads/Transcripts/0%20-%20Government/USA%20-%20NASA/"/>
    <hyperlink ref="C3315" r:id="rId3315" display="https://youtu.be/xhkuse5ox7U"/>
    <hyperlink ref="F3315" r:id="rId2" display="https://files.afu.se/Downloads/Transcripts/0%20-%20Government/USA%20-%20NASA/"/>
    <hyperlink ref="C3316" r:id="rId3316" display="https://youtu.be/l7N84-QOiGg"/>
    <hyperlink ref="F3316" r:id="rId2" display="https://files.afu.se/Downloads/Transcripts/0%20-%20Government/USA%20-%20NASA/"/>
    <hyperlink ref="C3317" r:id="rId3317" display="https://youtu.be/lsDgQ4UrnCk"/>
    <hyperlink ref="F3317" r:id="rId2" display="https://files.afu.se/Downloads/Transcripts/0%20-%20Government/USA%20-%20NASA/"/>
    <hyperlink ref="C3318" r:id="rId3318" display="https://youtu.be/IpNO465ai_M"/>
    <hyperlink ref="F3318" r:id="rId2" display="https://files.afu.se/Downloads/Transcripts/0%20-%20Government/USA%20-%20NASA/"/>
    <hyperlink ref="C3319" r:id="rId3319" display="https://youtu.be/2RJyI0pBFbI"/>
    <hyperlink ref="F3319" r:id="rId2" display="https://files.afu.se/Downloads/Transcripts/0%20-%20Government/USA%20-%20NASA/"/>
    <hyperlink ref="C3320" r:id="rId3320" display="https://youtu.be/7bIoPuoznsA"/>
    <hyperlink ref="F3320" r:id="rId2" display="https://files.afu.se/Downloads/Transcripts/0%20-%20Government/USA%20-%20NASA/"/>
    <hyperlink ref="C3321" r:id="rId3321" display="https://youtu.be/7fBl_z3Ksgs"/>
    <hyperlink ref="F3321" r:id="rId2" display="https://files.afu.se/Downloads/Transcripts/0%20-%20Government/USA%20-%20NASA/"/>
    <hyperlink ref="C3322" r:id="rId3322" display="https://youtu.be/vws4nLghYZY"/>
    <hyperlink ref="F3322" r:id="rId2" display="https://files.afu.se/Downloads/Transcripts/0%20-%20Government/USA%20-%20NASA/"/>
    <hyperlink ref="C3323" r:id="rId3323" display="https://youtu.be/Kdij2V0vlCg"/>
    <hyperlink ref="F3323" r:id="rId2" display="https://files.afu.se/Downloads/Transcripts/0%20-%20Government/USA%20-%20NASA/"/>
    <hyperlink ref="C3324" r:id="rId3324" display="https://youtu.be/B1h1KXeT7ro"/>
    <hyperlink ref="F3324" r:id="rId2" display="https://files.afu.se/Downloads/Transcripts/0%20-%20Government/USA%20-%20NASA/"/>
    <hyperlink ref="C3325" r:id="rId3325" display="https://youtu.be/gC2VIJGm2TU"/>
    <hyperlink ref="F3325" r:id="rId2" display="https://files.afu.se/Downloads/Transcripts/0%20-%20Government/USA%20-%20NASA/"/>
    <hyperlink ref="C3326" r:id="rId3326" display="https://youtu.be/iCHsDmSLePc"/>
    <hyperlink ref="F3326" r:id="rId2" display="https://files.afu.se/Downloads/Transcripts/0%20-%20Government/USA%20-%20NASA/"/>
    <hyperlink ref="C3327" r:id="rId3327" display="https://youtu.be/REuqI11CwgY"/>
    <hyperlink ref="F3327" r:id="rId2" display="https://files.afu.se/Downloads/Transcripts/0%20-%20Government/USA%20-%20NASA/"/>
    <hyperlink ref="C3328" r:id="rId3328" display="https://youtu.be/67E3kxAA4k4"/>
    <hyperlink ref="F3328" r:id="rId2" display="https://files.afu.se/Downloads/Transcripts/0%20-%20Government/USA%20-%20NASA/"/>
    <hyperlink ref="C3329" r:id="rId3329" display="https://youtu.be/15ltO-24-ys"/>
    <hyperlink ref="F3329" r:id="rId2" display="https://files.afu.se/Downloads/Transcripts/0%20-%20Government/USA%20-%20NASA/"/>
    <hyperlink ref="C3330" r:id="rId3330" display="https://youtu.be/EapkPilhCOc"/>
    <hyperlink ref="F3330" r:id="rId2" display="https://files.afu.se/Downloads/Transcripts/0%20-%20Government/USA%20-%20NASA/"/>
    <hyperlink ref="C3331" r:id="rId3331" display="https://youtu.be/YNDPmQTJni8"/>
    <hyperlink ref="F3331" r:id="rId2" display="https://files.afu.se/Downloads/Transcripts/0%20-%20Government/USA%20-%20NASA/"/>
    <hyperlink ref="C3332" r:id="rId3332" display="https://youtu.be/iFBWsxWeZ80"/>
    <hyperlink ref="F3332" r:id="rId2" display="https://files.afu.se/Downloads/Transcripts/0%20-%20Government/USA%20-%20NASA/"/>
    <hyperlink ref="C3333" r:id="rId3333" display="https://youtu.be/Tb3vqagpFHc"/>
    <hyperlink ref="F3333" r:id="rId2" display="https://files.afu.se/Downloads/Transcripts/0%20-%20Government/USA%20-%20NASA/"/>
    <hyperlink ref="C3334" r:id="rId3334" display="https://youtu.be/wGrWPMo4D14"/>
    <hyperlink ref="F3334" r:id="rId2" display="https://files.afu.se/Downloads/Transcripts/0%20-%20Government/USA%20-%20NASA/"/>
    <hyperlink ref="C3335" r:id="rId3335" display="https://youtu.be/BnRAmUOvGCQ"/>
    <hyperlink ref="F3335" r:id="rId2" display="https://files.afu.se/Downloads/Transcripts/0%20-%20Government/USA%20-%20NASA/"/>
    <hyperlink ref="C3336" r:id="rId3336" display="https://youtu.be/GC9C5DhZuk8"/>
    <hyperlink ref="F3336" r:id="rId2" display="https://files.afu.se/Downloads/Transcripts/0%20-%20Government/USA%20-%20NASA/"/>
    <hyperlink ref="C3337" r:id="rId3337" display="https://youtu.be/Gv1wYZ0dJ3A"/>
    <hyperlink ref="F3337" r:id="rId2" display="https://files.afu.se/Downloads/Transcripts/0%20-%20Government/USA%20-%20NASA/"/>
    <hyperlink ref="C3338" r:id="rId3338" display="https://youtu.be/mv7cHRz0q2A"/>
    <hyperlink ref="F3338" r:id="rId2" display="https://files.afu.se/Downloads/Transcripts/0%20-%20Government/USA%20-%20NASA/"/>
    <hyperlink ref="C3339" r:id="rId3339" display="https://youtu.be/xpa68lJhbOc"/>
    <hyperlink ref="F3339" r:id="rId2" display="https://files.afu.se/Downloads/Transcripts/0%20-%20Government/USA%20-%20NASA/"/>
    <hyperlink ref="C3340" r:id="rId3340" display="https://youtu.be/CfbMZHCh5ZI"/>
    <hyperlink ref="F3340" r:id="rId2" display="https://files.afu.se/Downloads/Transcripts/0%20-%20Government/USA%20-%20NASA/"/>
    <hyperlink ref="C3341" r:id="rId3341" display="https://youtu.be/9q0FJUmencM"/>
    <hyperlink ref="F3341" r:id="rId2" display="https://files.afu.se/Downloads/Transcripts/0%20-%20Government/USA%20-%20NASA/"/>
    <hyperlink ref="C3342" r:id="rId3342" display="https://youtu.be/1HV6wY6rhvA"/>
    <hyperlink ref="F3342" r:id="rId2" display="https://files.afu.se/Downloads/Transcripts/0%20-%20Government/USA%20-%20NASA/"/>
    <hyperlink ref="C3343" r:id="rId3343" display="https://youtu.be/1pQKZc2AXW0"/>
    <hyperlink ref="F3343" r:id="rId2" display="https://files.afu.se/Downloads/Transcripts/0%20-%20Government/USA%20-%20NASA/"/>
    <hyperlink ref="C3344" r:id="rId3344" display="https://youtu.be/1ynkJSVNTnI"/>
    <hyperlink ref="F3344" r:id="rId2" display="https://files.afu.se/Downloads/Transcripts/0%20-%20Government/USA%20-%20NASA/"/>
    <hyperlink ref="C3345" r:id="rId3345" display="https://youtu.be/QCNkWwIDZFg"/>
    <hyperlink ref="F3345" r:id="rId2" display="https://files.afu.se/Downloads/Transcripts/0%20-%20Government/USA%20-%20NASA/"/>
    <hyperlink ref="C3346" r:id="rId3346" display="https://youtu.be/YkDBcmfV6DI"/>
    <hyperlink ref="F3346" r:id="rId2" display="https://files.afu.se/Downloads/Transcripts/0%20-%20Government/USA%20-%20NASA/"/>
    <hyperlink ref="C3347" r:id="rId3347" display="https://youtu.be/Dgv0P86rVVQ"/>
    <hyperlink ref="F3347" r:id="rId2" display="https://files.afu.se/Downloads/Transcripts/0%20-%20Government/USA%20-%20NASA/"/>
    <hyperlink ref="C3348" r:id="rId3348" display="https://youtu.be/xlQtIqUI_1Y"/>
    <hyperlink ref="F3348" r:id="rId2" display="https://files.afu.se/Downloads/Transcripts/0%20-%20Government/USA%20-%20NASA/"/>
    <hyperlink ref="C3349" r:id="rId3349" display="https://youtu.be/3QAf1oRui-Q"/>
    <hyperlink ref="F3349" r:id="rId2" display="https://files.afu.se/Downloads/Transcripts/0%20-%20Government/USA%20-%20NASA/"/>
    <hyperlink ref="C3350" r:id="rId3350" display="https://youtu.be/eyKhqFwSNcs"/>
    <hyperlink ref="F3350" r:id="rId2" display="https://files.afu.se/Downloads/Transcripts/0%20-%20Government/USA%20-%20NASA/"/>
    <hyperlink ref="C3351" r:id="rId3351" display="https://youtu.be/Srcynvld7d8"/>
    <hyperlink ref="F3351" r:id="rId2" display="https://files.afu.se/Downloads/Transcripts/0%20-%20Government/USA%20-%20NASA/"/>
    <hyperlink ref="C3352" r:id="rId3352" display="https://youtu.be/p7r5HB1027E"/>
    <hyperlink ref="F3352" r:id="rId2" display="https://files.afu.se/Downloads/Transcripts/0%20-%20Government/USA%20-%20NASA/"/>
    <hyperlink ref="C3353" r:id="rId3353" display="https://youtu.be/0OFYjz_iw6E"/>
    <hyperlink ref="F3353" r:id="rId2" display="https://files.afu.se/Downloads/Transcripts/0%20-%20Government/USA%20-%20NASA/"/>
    <hyperlink ref="C3354" r:id="rId3354" display="https://youtu.be/yuQLdraazBo"/>
    <hyperlink ref="F3354" r:id="rId2" display="https://files.afu.se/Downloads/Transcripts/0%20-%20Government/USA%20-%20NASA/"/>
    <hyperlink ref="C3355" r:id="rId3355" display="https://youtu.be/Qk8Qp-71Cus"/>
    <hyperlink ref="F3355" r:id="rId2" display="https://files.afu.se/Downloads/Transcripts/0%20-%20Government/USA%20-%20NASA/"/>
    <hyperlink ref="C3356" r:id="rId3356" display="https://youtu.be/lH0ZAZY7IUE"/>
    <hyperlink ref="F3356" r:id="rId2" display="https://files.afu.se/Downloads/Transcripts/0%20-%20Government/USA%20-%20NASA/"/>
    <hyperlink ref="C3357" r:id="rId3357" display="https://youtu.be/Z0aX3n7T0fU"/>
    <hyperlink ref="F3357" r:id="rId2" display="https://files.afu.se/Downloads/Transcripts/0%20-%20Government/USA%20-%20NASA/"/>
    <hyperlink ref="C3358" r:id="rId3358" display="https://youtu.be/w3tG_UW-k7Q"/>
    <hyperlink ref="F3358" r:id="rId2" display="https://files.afu.se/Downloads/Transcripts/0%20-%20Government/USA%20-%20NASA/"/>
    <hyperlink ref="C3359" r:id="rId3359" display="https://youtu.be/sd1vKkgz5gI"/>
    <hyperlink ref="F3359" r:id="rId2" display="https://files.afu.se/Downloads/Transcripts/0%20-%20Government/USA%20-%20NASA/"/>
    <hyperlink ref="C3360" r:id="rId3360" display="https://youtu.be/7qwqyU4pg_E"/>
    <hyperlink ref="F3360" r:id="rId2" display="https://files.afu.se/Downloads/Transcripts/0%20-%20Government/USA%20-%20NASA/"/>
    <hyperlink ref="C3361" r:id="rId3361" display="https://youtu.be/ixaf3td-qxU"/>
    <hyperlink ref="F3361" r:id="rId2" display="https://files.afu.se/Downloads/Transcripts/0%20-%20Government/USA%20-%20NASA/"/>
    <hyperlink ref="C3362" r:id="rId3362" display="https://youtu.be/j12YWoU0X_0"/>
    <hyperlink ref="F3362" r:id="rId2" display="https://files.afu.se/Downloads/Transcripts/0%20-%20Government/USA%20-%20NASA/"/>
    <hyperlink ref="C3363" r:id="rId3363" display="https://youtu.be/7R1VvQH1mEo"/>
    <hyperlink ref="F3363" r:id="rId2" display="https://files.afu.se/Downloads/Transcripts/0%20-%20Government/USA%20-%20NASA/"/>
    <hyperlink ref="C3364" r:id="rId3364" display="https://youtu.be/3TrNN_eTau0"/>
    <hyperlink ref="F3364" r:id="rId2" display="https://files.afu.se/Downloads/Transcripts/0%20-%20Government/USA%20-%20NASA/"/>
    <hyperlink ref="C3365" r:id="rId3365" display="https://youtu.be/vBmxnVm7vUw"/>
    <hyperlink ref="F3365" r:id="rId2" display="https://files.afu.se/Downloads/Transcripts/0%20-%20Government/USA%20-%20NASA/"/>
    <hyperlink ref="C3366" r:id="rId3366" display="https://youtu.be/Bj3n1BIq_5I"/>
    <hyperlink ref="F3366" r:id="rId2" display="https://files.afu.se/Downloads/Transcripts/0%20-%20Government/USA%20-%20NASA/"/>
    <hyperlink ref="C3367" r:id="rId3367" display="https://youtu.be/2D5U7I0yLcU"/>
    <hyperlink ref="F3367" r:id="rId2" display="https://files.afu.se/Downloads/Transcripts/0%20-%20Government/USA%20-%20NASA/"/>
    <hyperlink ref="C3368" r:id="rId3368" display="https://youtu.be/v5O3CfTu1d4"/>
    <hyperlink ref="F3368" r:id="rId2" display="https://files.afu.se/Downloads/Transcripts/0%20-%20Government/USA%20-%20NASA/"/>
    <hyperlink ref="C3369" r:id="rId3369" display="https://youtu.be/w0SaKPuocRA"/>
    <hyperlink ref="F3369" r:id="rId2" display="https://files.afu.se/Downloads/Transcripts/0%20-%20Government/USA%20-%20NASA/"/>
    <hyperlink ref="C3370" r:id="rId3370" display="https://youtu.be/JCYFC1ppXug"/>
    <hyperlink ref="F3370" r:id="rId2" display="https://files.afu.se/Downloads/Transcripts/0%20-%20Government/USA%20-%20NASA/"/>
    <hyperlink ref="C3371" r:id="rId3371" display="https://youtu.be/EfydyUOv9TM"/>
    <hyperlink ref="F3371" r:id="rId2" display="https://files.afu.se/Downloads/Transcripts/0%20-%20Government/USA%20-%20NASA/"/>
    <hyperlink ref="C3372" r:id="rId3372" display="https://youtu.be/92qi9JBhGUI"/>
    <hyperlink ref="F3372" r:id="rId2" display="https://files.afu.se/Downloads/Transcripts/0%20-%20Government/USA%20-%20NASA/"/>
    <hyperlink ref="C3373" r:id="rId3373" display="https://youtu.be/er8lbdGHiro"/>
    <hyperlink ref="F3373" r:id="rId2" display="https://files.afu.se/Downloads/Transcripts/0%20-%20Government/USA%20-%20NASA/"/>
    <hyperlink ref="C3374" r:id="rId3374" display="https://youtu.be/QMMGiBffvII"/>
    <hyperlink ref="F3374" r:id="rId2" display="https://files.afu.se/Downloads/Transcripts/0%20-%20Government/USA%20-%20NASA/"/>
    <hyperlink ref="C3375" r:id="rId3375" display="https://youtu.be/vAS1YUi8Jgc"/>
    <hyperlink ref="F3375" r:id="rId2" display="https://files.afu.se/Downloads/Transcripts/0%20-%20Government/USA%20-%20NASA/"/>
    <hyperlink ref="C3376" r:id="rId3376" display="https://youtu.be/9jfB3KU1UqY"/>
    <hyperlink ref="F3376" r:id="rId2" display="https://files.afu.se/Downloads/Transcripts/0%20-%20Government/USA%20-%20NASA/"/>
    <hyperlink ref="C3377" r:id="rId3377" display="https://youtu.be/hnFNgqyyUi0"/>
    <hyperlink ref="F3377" r:id="rId2" display="https://files.afu.se/Downloads/Transcripts/0%20-%20Government/USA%20-%20NASA/"/>
    <hyperlink ref="C3378" r:id="rId3378" display="https://youtu.be/njp6ffI_rg4"/>
    <hyperlink ref="F3378" r:id="rId2" display="https://files.afu.se/Downloads/Transcripts/0%20-%20Government/USA%20-%20NASA/"/>
    <hyperlink ref="C3379" r:id="rId3379" display="https://youtu.be/2KnTpm9Y77E"/>
    <hyperlink ref="F3379" r:id="rId2" display="https://files.afu.se/Downloads/Transcripts/0%20-%20Government/USA%20-%20NASA/"/>
    <hyperlink ref="C3380" r:id="rId3380" display="https://youtu.be/56xBnFPuDBU"/>
    <hyperlink ref="F3380" r:id="rId2" display="https://files.afu.se/Downloads/Transcripts/0%20-%20Government/USA%20-%20NASA/"/>
    <hyperlink ref="C3381" r:id="rId3381" display="https://youtu.be/YyodK2g6aok"/>
    <hyperlink ref="F3381" r:id="rId2" display="https://files.afu.se/Downloads/Transcripts/0%20-%20Government/USA%20-%20NASA/"/>
    <hyperlink ref="C3382" r:id="rId3382" display="https://youtu.be/BvQ0PUqd7PI"/>
    <hyperlink ref="F3382" r:id="rId2" display="https://files.afu.se/Downloads/Transcripts/0%20-%20Government/USA%20-%20NASA/"/>
    <hyperlink ref="C3383" r:id="rId3383" display="https://youtu.be/aItHV96NJt4"/>
    <hyperlink ref="F3383" r:id="rId2" display="https://files.afu.se/Downloads/Transcripts/0%20-%20Government/USA%20-%20NASA/"/>
    <hyperlink ref="C3384" r:id="rId3384" display="https://youtu.be/PRIlOPJQqsE"/>
    <hyperlink ref="F3384" r:id="rId2" display="https://files.afu.se/Downloads/Transcripts/0%20-%20Government/USA%20-%20NASA/"/>
    <hyperlink ref="C3385" r:id="rId3385" display="https://youtu.be/BArApRIjdTI"/>
    <hyperlink ref="F3385" r:id="rId2" display="https://files.afu.se/Downloads/Transcripts/0%20-%20Government/USA%20-%20NASA/"/>
    <hyperlink ref="C3386" r:id="rId3386" display="https://youtu.be/H5-HyE_PKZ8"/>
    <hyperlink ref="F3386" r:id="rId2" display="https://files.afu.se/Downloads/Transcripts/0%20-%20Government/USA%20-%20NASA/"/>
    <hyperlink ref="C3387" r:id="rId3387" display="https://youtu.be/_NcaHJ0S_LA"/>
    <hyperlink ref="F3387" r:id="rId2" display="https://files.afu.se/Downloads/Transcripts/0%20-%20Government/USA%20-%20NASA/"/>
    <hyperlink ref="C3388" r:id="rId3388" display="https://youtu.be/hBfNkGs47NE"/>
    <hyperlink ref="F3388" r:id="rId2" display="https://files.afu.se/Downloads/Transcripts/0%20-%20Government/USA%20-%20NASA/"/>
    <hyperlink ref="C3389" r:id="rId3389" display="https://youtu.be/y_FH6PByZeY"/>
    <hyperlink ref="F3389" r:id="rId2" display="https://files.afu.se/Downloads/Transcripts/0%20-%20Government/USA%20-%20NASA/"/>
    <hyperlink ref="C3390" r:id="rId3390" display="https://youtu.be/BzKVPnmI-8Q"/>
    <hyperlink ref="F3390" r:id="rId2" display="https://files.afu.se/Downloads/Transcripts/0%20-%20Government/USA%20-%20NASA/"/>
    <hyperlink ref="C3391" r:id="rId3391" display="https://youtu.be/8x9Jp1tSkqo"/>
    <hyperlink ref="F3391" r:id="rId2" display="https://files.afu.se/Downloads/Transcripts/0%20-%20Government/USA%20-%20NASA/"/>
    <hyperlink ref="C3392" r:id="rId3392" display="https://youtu.be/6f8HHQ2U2jg"/>
    <hyperlink ref="F3392" r:id="rId2" display="https://files.afu.se/Downloads/Transcripts/0%20-%20Government/USA%20-%20NASA/"/>
    <hyperlink ref="C3393" r:id="rId3393" display="https://youtu.be/C_d6aneQ7Bg"/>
    <hyperlink ref="F3393" r:id="rId2" display="https://files.afu.se/Downloads/Transcripts/0%20-%20Government/USA%20-%20NASA/"/>
    <hyperlink ref="C3394" r:id="rId3394" display="https://youtu.be/m5YtXtp5WAc"/>
    <hyperlink ref="F3394" r:id="rId2" display="https://files.afu.se/Downloads/Transcripts/0%20-%20Government/USA%20-%20NASA/"/>
    <hyperlink ref="C3395" r:id="rId3395" display="https://youtu.be/j3smd4INzng"/>
    <hyperlink ref="F3395" r:id="rId2" display="https://files.afu.se/Downloads/Transcripts/0%20-%20Government/USA%20-%20NASA/"/>
    <hyperlink ref="C3396" r:id="rId3396" display="https://youtu.be/AAA3ANe8FMs"/>
    <hyperlink ref="F3396" r:id="rId2" display="https://files.afu.se/Downloads/Transcripts/0%20-%20Government/USA%20-%20NASA/"/>
    <hyperlink ref="C3397" r:id="rId3397" display="https://youtu.be/drGX9SVQQRI"/>
    <hyperlink ref="F3397" r:id="rId2" display="https://files.afu.se/Downloads/Transcripts/0%20-%20Government/USA%20-%20NASA/"/>
    <hyperlink ref="C3398" r:id="rId3398" display="https://youtu.be/Ti_yre6dsa4"/>
    <hyperlink ref="F3398" r:id="rId2" display="https://files.afu.se/Downloads/Transcripts/0%20-%20Government/USA%20-%20NASA/"/>
    <hyperlink ref="C3399" r:id="rId3399" display="https://youtu.be/FVzfDZlEwaU"/>
    <hyperlink ref="F3399" r:id="rId2" display="https://files.afu.se/Downloads/Transcripts/0%20-%20Government/USA%20-%20NASA/"/>
    <hyperlink ref="C3400" r:id="rId3400" display="https://youtu.be/wnG-rFFpP8A"/>
    <hyperlink ref="F3400" r:id="rId2" display="https://files.afu.se/Downloads/Transcripts/0%20-%20Government/USA%20-%20NASA/"/>
    <hyperlink ref="C3401" r:id="rId3401" display="https://youtu.be/imOr0y74FxI"/>
    <hyperlink ref="F3401" r:id="rId2" display="https://files.afu.se/Downloads/Transcripts/0%20-%20Government/USA%20-%20NASA/"/>
    <hyperlink ref="C3402" r:id="rId3402" display="https://youtu.be/Ps01BLaO7D8"/>
    <hyperlink ref="F3402" r:id="rId2" display="https://files.afu.se/Downloads/Transcripts/0%20-%20Government/USA%20-%20NASA/"/>
    <hyperlink ref="C3403" r:id="rId3403" display="https://youtu.be/7yB9-oMj2ew"/>
    <hyperlink ref="F3403" r:id="rId2" display="https://files.afu.se/Downloads/Transcripts/0%20-%20Government/USA%20-%20NASA/"/>
    <hyperlink ref="C3404" r:id="rId3404" display="https://youtu.be/DLbSvMk4Pf0"/>
    <hyperlink ref="F3404" r:id="rId2" display="https://files.afu.se/Downloads/Transcripts/0%20-%20Government/USA%20-%20NASA/"/>
    <hyperlink ref="C3405" r:id="rId3405" display="https://youtu.be/dmhSov4m1MI"/>
    <hyperlink ref="F3405" r:id="rId2" display="https://files.afu.se/Downloads/Transcripts/0%20-%20Government/USA%20-%20NASA/"/>
    <hyperlink ref="C3406" r:id="rId3406" display="https://youtu.be/QnodZFD0-RM"/>
    <hyperlink ref="F3406" r:id="rId2" display="https://files.afu.se/Downloads/Transcripts/0%20-%20Government/USA%20-%20NASA/"/>
    <hyperlink ref="C3407" r:id="rId3407" display="https://youtu.be/nA3rOlwOfzY"/>
    <hyperlink ref="F3407" r:id="rId2" display="https://files.afu.se/Downloads/Transcripts/0%20-%20Government/USA%20-%20NASA/"/>
    <hyperlink ref="C3408" r:id="rId3408" display="https://youtu.be/7jZslKRtZNE"/>
    <hyperlink ref="F3408" r:id="rId2" display="https://files.afu.se/Downloads/Transcripts/0%20-%20Government/USA%20-%20NASA/"/>
    <hyperlink ref="C3409" r:id="rId3409" display="https://youtu.be/q6lP8Kg9jnE"/>
    <hyperlink ref="F3409" r:id="rId2" display="https://files.afu.se/Downloads/Transcripts/0%20-%20Government/USA%20-%20NASA/"/>
    <hyperlink ref="C3410" r:id="rId3410" display="https://youtu.be/KP-IR0MkZfs"/>
    <hyperlink ref="F3410" r:id="rId2" display="https://files.afu.se/Downloads/Transcripts/0%20-%20Government/USA%20-%20NASA/"/>
    <hyperlink ref="C3411" r:id="rId3411" display="https://youtu.be/SwXe_X4UKoM"/>
    <hyperlink ref="F3411" r:id="rId2" display="https://files.afu.se/Downloads/Transcripts/0%20-%20Government/USA%20-%20NASA/"/>
    <hyperlink ref="C3412" r:id="rId3412" display="https://youtu.be/zyXOTYlkSVI"/>
    <hyperlink ref="F3412" r:id="rId2" display="https://files.afu.se/Downloads/Transcripts/0%20-%20Government/USA%20-%20NASA/"/>
    <hyperlink ref="C3413" r:id="rId3413" display="https://youtu.be/nzYZlkHkM1M"/>
    <hyperlink ref="F3413" r:id="rId2" display="https://files.afu.se/Downloads/Transcripts/0%20-%20Government/USA%20-%20NASA/"/>
    <hyperlink ref="C3414" r:id="rId3414" display="https://youtu.be/nttnecwEku8"/>
    <hyperlink ref="F3414" r:id="rId2" display="https://files.afu.se/Downloads/Transcripts/0%20-%20Government/USA%20-%20NASA/"/>
    <hyperlink ref="C3415" r:id="rId3415" display="https://youtu.be/7-I1CfgIyNU"/>
    <hyperlink ref="F3415" r:id="rId2" display="https://files.afu.se/Downloads/Transcripts/0%20-%20Government/USA%20-%20NASA/"/>
    <hyperlink ref="C3416" r:id="rId3416" display="https://youtu.be/pAEmnmrLjw8"/>
    <hyperlink ref="F3416" r:id="rId2" display="https://files.afu.se/Downloads/Transcripts/0%20-%20Government/USA%20-%20NASA/"/>
    <hyperlink ref="C3417" r:id="rId3417" display="https://youtu.be/V5RCjNGUUdg"/>
    <hyperlink ref="F3417" r:id="rId2" display="https://files.afu.se/Downloads/Transcripts/0%20-%20Government/USA%20-%20NASA/"/>
    <hyperlink ref="C3418" r:id="rId3418" display="https://youtu.be/GPrXr_HjFiQ"/>
    <hyperlink ref="F3418" r:id="rId2" display="https://files.afu.se/Downloads/Transcripts/0%20-%20Government/USA%20-%20NASA/"/>
    <hyperlink ref="C3419" r:id="rId3419" display="https://youtu.be/_Hy-zGC1knc"/>
    <hyperlink ref="F3419" r:id="rId2" display="https://files.afu.se/Downloads/Transcripts/0%20-%20Government/USA%20-%20NASA/"/>
    <hyperlink ref="C3420" r:id="rId3420" display="https://youtu.be/5tteRAPg2DE"/>
    <hyperlink ref="F3420" r:id="rId2" display="https://files.afu.se/Downloads/Transcripts/0%20-%20Government/USA%20-%20NASA/"/>
    <hyperlink ref="C3421" r:id="rId3421" display="https://youtu.be/rpplvjBK7do"/>
    <hyperlink ref="F3421" r:id="rId2" display="https://files.afu.se/Downloads/Transcripts/0%20-%20Government/USA%20-%20NASA/"/>
    <hyperlink ref="C3422" r:id="rId3422" display="https://youtu.be/Oe34088Bw1E"/>
    <hyperlink ref="F3422" r:id="rId2" display="https://files.afu.se/Downloads/Transcripts/0%20-%20Government/USA%20-%20NASA/"/>
    <hyperlink ref="C3423" r:id="rId3423" display="https://youtu.be/5Y6ElWadXbo"/>
    <hyperlink ref="F3423" r:id="rId2" display="https://files.afu.se/Downloads/Transcripts/0%20-%20Government/USA%20-%20NASA/"/>
    <hyperlink ref="C3424" r:id="rId3424" display="https://youtu.be/Y5SJggiT_yg"/>
    <hyperlink ref="F3424" r:id="rId2" display="https://files.afu.se/Downloads/Transcripts/0%20-%20Government/USA%20-%20NASA/"/>
    <hyperlink ref="C3425" r:id="rId3425" display="https://youtu.be/WAlLKdOImA0"/>
    <hyperlink ref="F3425" r:id="rId2" display="https://files.afu.se/Downloads/Transcripts/0%20-%20Government/USA%20-%20NASA/"/>
    <hyperlink ref="C3426" r:id="rId3426" display="https://youtu.be/uK3ZeYEr4DU"/>
    <hyperlink ref="F3426" r:id="rId2" display="https://files.afu.se/Downloads/Transcripts/0%20-%20Government/USA%20-%20NASA/"/>
    <hyperlink ref="C3427" r:id="rId3427" display="https://youtu.be/EmjnFbTLvZ8"/>
    <hyperlink ref="F3427" r:id="rId2" display="https://files.afu.se/Downloads/Transcripts/0%20-%20Government/USA%20-%20NASA/"/>
    <hyperlink ref="C3428" r:id="rId3428" display="https://youtu.be/Q2hOv6fcL48"/>
    <hyperlink ref="F3428" r:id="rId2" display="https://files.afu.se/Downloads/Transcripts/0%20-%20Government/USA%20-%20NASA/"/>
    <hyperlink ref="C3429" r:id="rId3429" display="https://youtu.be/gG0wj5C9k4I"/>
    <hyperlink ref="F3429" r:id="rId2" display="https://files.afu.se/Downloads/Transcripts/0%20-%20Government/USA%20-%20NASA/"/>
    <hyperlink ref="C3430" r:id="rId3430" display="https://youtu.be/zpY94hwNmlo"/>
    <hyperlink ref="F3430" r:id="rId2" display="https://files.afu.se/Downloads/Transcripts/0%20-%20Government/USA%20-%20NASA/"/>
    <hyperlink ref="C3431" r:id="rId3431" display="https://youtu.be/gyLsqZY1j78"/>
    <hyperlink ref="F3431" r:id="rId2" display="https://files.afu.se/Downloads/Transcripts/0%20-%20Government/USA%20-%20NASA/"/>
    <hyperlink ref="C3432" r:id="rId3432" display="https://youtu.be/5AY-uDGEfpg"/>
    <hyperlink ref="F3432" r:id="rId2" display="https://files.afu.se/Downloads/Transcripts/0%20-%20Government/USA%20-%20NASA/"/>
    <hyperlink ref="C3433" r:id="rId3433" display="https://youtu.be/v2GO7DDAJuw"/>
    <hyperlink ref="F3433" r:id="rId2" display="https://files.afu.se/Downloads/Transcripts/0%20-%20Government/USA%20-%20NASA/"/>
    <hyperlink ref="C3434" r:id="rId3434" display="https://youtu.be/l9BRqeqJ2X0"/>
    <hyperlink ref="F3434" r:id="rId2" display="https://files.afu.se/Downloads/Transcripts/0%20-%20Government/USA%20-%20NASA/"/>
    <hyperlink ref="C3435" r:id="rId3435" display="https://youtu.be/yWm1RgWd7AA"/>
    <hyperlink ref="F3435" r:id="rId2" display="https://files.afu.se/Downloads/Transcripts/0%20-%20Government/USA%20-%20NASA/"/>
    <hyperlink ref="C3436" r:id="rId3436" display="https://youtu.be/rmQD-j9QADE"/>
    <hyperlink ref="F3436" r:id="rId2" display="https://files.afu.se/Downloads/Transcripts/0%20-%20Government/USA%20-%20NASA/"/>
    <hyperlink ref="C3437" r:id="rId3437" display="https://youtu.be/zqDZAYUT34E"/>
    <hyperlink ref="F3437" r:id="rId2" display="https://files.afu.se/Downloads/Transcripts/0%20-%20Government/USA%20-%20NASA/"/>
    <hyperlink ref="C3438" r:id="rId3438" display="https://youtu.be/RAQ0eIz3gP0"/>
    <hyperlink ref="F3438" r:id="rId2" display="https://files.afu.se/Downloads/Transcripts/0%20-%20Government/USA%20-%20NASA/"/>
    <hyperlink ref="C3439" r:id="rId3439" display="https://youtu.be/hNdZafWo_Q8"/>
    <hyperlink ref="F3439" r:id="rId2" display="https://files.afu.se/Downloads/Transcripts/0%20-%20Government/USA%20-%20NASA/"/>
    <hyperlink ref="C3440" r:id="rId3440" display="https://youtu.be/oWQ1dkaMJik"/>
    <hyperlink ref="F3440" r:id="rId2" display="https://files.afu.se/Downloads/Transcripts/0%20-%20Government/USA%20-%20NASA/"/>
    <hyperlink ref="C3441" r:id="rId3441" display="https://youtu.be/18utCxIQydY"/>
    <hyperlink ref="F3441" r:id="rId2" display="https://files.afu.se/Downloads/Transcripts/0%20-%20Government/USA%20-%20NASA/"/>
    <hyperlink ref="C3442" r:id="rId3442" display="https://youtu.be/0N_H3iysqfM"/>
    <hyperlink ref="F3442" r:id="rId2" display="https://files.afu.se/Downloads/Transcripts/0%20-%20Government/USA%20-%20NASA/"/>
    <hyperlink ref="C3443" r:id="rId3443" display="https://youtu.be/lAzxABXvREY"/>
    <hyperlink ref="F3443" r:id="rId2" display="https://files.afu.se/Downloads/Transcripts/0%20-%20Government/USA%20-%20NASA/"/>
    <hyperlink ref="C3444" r:id="rId3444" display="https://youtu.be/5LEEA7QCEgQ"/>
    <hyperlink ref="F3444" r:id="rId2" display="https://files.afu.se/Downloads/Transcripts/0%20-%20Government/USA%20-%20NASA/"/>
    <hyperlink ref="C3445" r:id="rId3445" display="https://youtu.be/3GxBZAQoFms"/>
    <hyperlink ref="F3445" r:id="rId2" display="https://files.afu.se/Downloads/Transcripts/0%20-%20Government/USA%20-%20NASA/"/>
    <hyperlink ref="C3446" r:id="rId3446" display="https://youtu.be/ZtBnRe0B2pQ"/>
    <hyperlink ref="F3446" r:id="rId2" display="https://files.afu.se/Downloads/Transcripts/0%20-%20Government/USA%20-%20NASA/"/>
    <hyperlink ref="C3447" r:id="rId3447" display="https://youtu.be/HbtUXk8kmD0"/>
    <hyperlink ref="F3447" r:id="rId2" display="https://files.afu.se/Downloads/Transcripts/0%20-%20Government/USA%20-%20NASA/"/>
    <hyperlink ref="C3448" r:id="rId3448" display="https://youtu.be/ZCSaFwWYRqo"/>
    <hyperlink ref="F3448" r:id="rId2" display="https://files.afu.se/Downloads/Transcripts/0%20-%20Government/USA%20-%20NASA/"/>
    <hyperlink ref="C3449" r:id="rId3449" display="https://youtu.be/yLdAtQGjxHA"/>
    <hyperlink ref="F3449" r:id="rId2" display="https://files.afu.se/Downloads/Transcripts/0%20-%20Government/USA%20-%20NASA/"/>
    <hyperlink ref="C3450" r:id="rId3450" display="https://youtu.be/uKsEgWfVQrA"/>
    <hyperlink ref="F3450" r:id="rId2" display="https://files.afu.se/Downloads/Transcripts/0%20-%20Government/USA%20-%20NASA/"/>
    <hyperlink ref="C3451" r:id="rId3451" display="https://youtu.be/8Kf30kd5Gow"/>
    <hyperlink ref="F3451" r:id="rId2" display="https://files.afu.se/Downloads/Transcripts/0%20-%20Government/USA%20-%20NASA/"/>
    <hyperlink ref="C3452" r:id="rId3452" display="https://youtu.be/EAairXMp51s"/>
    <hyperlink ref="F3452" r:id="rId2" display="https://files.afu.se/Downloads/Transcripts/0%20-%20Government/USA%20-%20NASA/"/>
    <hyperlink ref="C3453" r:id="rId3453" display="https://youtu.be/j3scLxYeskg"/>
    <hyperlink ref="F3453" r:id="rId2" display="https://files.afu.se/Downloads/Transcripts/0%20-%20Government/USA%20-%20NASA/"/>
    <hyperlink ref="C3454" r:id="rId3454" display="https://youtu.be/N2d9IZKKVnw"/>
    <hyperlink ref="F3454" r:id="rId2" display="https://files.afu.se/Downloads/Transcripts/0%20-%20Government/USA%20-%20NASA/"/>
    <hyperlink ref="C3455" r:id="rId3455" display="https://youtu.be/CfSxv-bX1-Q"/>
    <hyperlink ref="F3455" r:id="rId2" display="https://files.afu.se/Downloads/Transcripts/0%20-%20Government/USA%20-%20NASA/"/>
    <hyperlink ref="C3456" r:id="rId3456" display="https://youtu.be/2UQcK2xG570"/>
    <hyperlink ref="F3456" r:id="rId2" display="https://files.afu.se/Downloads/Transcripts/0%20-%20Government/USA%20-%20NASA/"/>
    <hyperlink ref="C3457" r:id="rId3457" display="https://youtu.be/-ce76c4MKv0"/>
    <hyperlink ref="F3457" r:id="rId2" display="https://files.afu.se/Downloads/Transcripts/0%20-%20Government/USA%20-%20NASA/"/>
    <hyperlink ref="C3458" r:id="rId3458" display="https://youtu.be/ztHfT4if35c"/>
    <hyperlink ref="F3458" r:id="rId2" display="https://files.afu.se/Downloads/Transcripts/0%20-%20Government/USA%20-%20NASA/"/>
    <hyperlink ref="C3459" r:id="rId3459" display="https://youtu.be/xr_NGtq34c0"/>
    <hyperlink ref="F3459" r:id="rId2" display="https://files.afu.se/Downloads/Transcripts/0%20-%20Government/USA%20-%20NASA/"/>
    <hyperlink ref="C3460" r:id="rId3460" display="https://youtu.be/EuH3U2_YQqA"/>
    <hyperlink ref="F3460" r:id="rId2" display="https://files.afu.se/Downloads/Transcripts/0%20-%20Government/USA%20-%20NASA/"/>
    <hyperlink ref="C3461" r:id="rId3461" display="https://youtu.be/Xj8vaLhR0s0"/>
    <hyperlink ref="F3461" r:id="rId2" display="https://files.afu.se/Downloads/Transcripts/0%20-%20Government/USA%20-%20NASA/"/>
    <hyperlink ref="C3462" r:id="rId3462" display="https://youtu.be/9DchwNOmxbw"/>
    <hyperlink ref="F3462" r:id="rId2" display="https://files.afu.se/Downloads/Transcripts/0%20-%20Government/USA%20-%20NASA/"/>
    <hyperlink ref="C3463" r:id="rId3463" display="https://youtu.be/YeXkZZ55dKM"/>
    <hyperlink ref="F3463" r:id="rId2" display="https://files.afu.se/Downloads/Transcripts/0%20-%20Government/USA%20-%20NASA/"/>
    <hyperlink ref="C3464" r:id="rId3464" display="https://youtu.be/TaJgR26EhEc"/>
    <hyperlink ref="F3464" r:id="rId2" display="https://files.afu.se/Downloads/Transcripts/0%20-%20Government/USA%20-%20NASA/"/>
    <hyperlink ref="C3465" r:id="rId3465" display="https://youtu.be/GHu6KVvpfP8"/>
    <hyperlink ref="F3465" r:id="rId2" display="https://files.afu.se/Downloads/Transcripts/0%20-%20Government/USA%20-%20NASA/"/>
    <hyperlink ref="C3466" r:id="rId3466" display="https://youtu.be/bVGXe9SllJ8"/>
    <hyperlink ref="F3466" r:id="rId2" display="https://files.afu.se/Downloads/Transcripts/0%20-%20Government/USA%20-%20NASA/"/>
    <hyperlink ref="C3467" r:id="rId3467" display="https://youtu.be/jmpKqZLLNfw"/>
    <hyperlink ref="F3467" r:id="rId2" display="https://files.afu.se/Downloads/Transcripts/0%20-%20Government/USA%20-%20NASA/"/>
    <hyperlink ref="C3468" r:id="rId3468" display="https://youtu.be/OHwUrxzrvtg"/>
    <hyperlink ref="F3468" r:id="rId2" display="https://files.afu.se/Downloads/Transcripts/0%20-%20Government/USA%20-%20NASA/"/>
    <hyperlink ref="C3469" r:id="rId3469" display="https://youtu.be/2_MIwbPo7T8"/>
    <hyperlink ref="F3469" r:id="rId2" display="https://files.afu.se/Downloads/Transcripts/0%20-%20Government/USA%20-%20NASA/"/>
    <hyperlink ref="C3470" r:id="rId3470" display="https://youtu.be/G-aRfB4yh9E"/>
    <hyperlink ref="F3470" r:id="rId2" display="https://files.afu.se/Downloads/Transcripts/0%20-%20Government/USA%20-%20NASA/"/>
    <hyperlink ref="C3471" r:id="rId3471" display="https://youtu.be/K_UAs12NnLo"/>
    <hyperlink ref="F3471" r:id="rId2" display="https://files.afu.se/Downloads/Transcripts/0%20-%20Government/USA%20-%20NASA/"/>
    <hyperlink ref="C3472" r:id="rId3472" display="https://youtu.be/tbTzBiz3gUI"/>
    <hyperlink ref="F3472" r:id="rId2" display="https://files.afu.se/Downloads/Transcripts/0%20-%20Government/USA%20-%20NASA/"/>
    <hyperlink ref="C3473" r:id="rId3473" display="https://youtu.be/EDH5VApZ958"/>
    <hyperlink ref="F3473" r:id="rId2" display="https://files.afu.se/Downloads/Transcripts/0%20-%20Government/USA%20-%20NASA/"/>
    <hyperlink ref="C3474" r:id="rId3474" display="https://youtu.be/ClPTuL2heX0"/>
    <hyperlink ref="F3474" r:id="rId2" display="https://files.afu.se/Downloads/Transcripts/0%20-%20Government/USA%20-%20NASA/"/>
    <hyperlink ref="C3475" r:id="rId3475" display="https://youtu.be/CQ8VpelbNZU"/>
    <hyperlink ref="F3475" r:id="rId2" display="https://files.afu.se/Downloads/Transcripts/0%20-%20Government/USA%20-%20NASA/"/>
    <hyperlink ref="C3476" r:id="rId3476" display="https://youtu.be/qiYes-vFB9M"/>
    <hyperlink ref="F3476" r:id="rId2" display="https://files.afu.se/Downloads/Transcripts/0%20-%20Government/USA%20-%20NASA/"/>
    <hyperlink ref="C3477" r:id="rId3477" display="https://youtu.be/B26s6f-wtOg"/>
    <hyperlink ref="F3477" r:id="rId2" display="https://files.afu.se/Downloads/Transcripts/0%20-%20Government/USA%20-%20NASA/"/>
    <hyperlink ref="C3478" r:id="rId3478" display="https://youtu.be/tHzFkiUIZxc"/>
    <hyperlink ref="F3478" r:id="rId2" display="https://files.afu.se/Downloads/Transcripts/0%20-%20Government/USA%20-%20NASA/"/>
    <hyperlink ref="C3479" r:id="rId3479" display="https://youtu.be/ZKKwosuuUK4"/>
    <hyperlink ref="F3479" r:id="rId2" display="https://files.afu.se/Downloads/Transcripts/0%20-%20Government/USA%20-%20NASA/"/>
    <hyperlink ref="C3480" r:id="rId3480" display="https://youtu.be/4YW8Wj-_vlg"/>
    <hyperlink ref="F3480" r:id="rId2" display="https://files.afu.se/Downloads/Transcripts/0%20-%20Government/USA%20-%20NASA/"/>
    <hyperlink ref="C3481" r:id="rId3481" display="https://youtu.be/2O_zvBMVHe0"/>
    <hyperlink ref="F3481" r:id="rId2" display="https://files.afu.se/Downloads/Transcripts/0%20-%20Government/USA%20-%20NASA/"/>
    <hyperlink ref="C3482" r:id="rId3482" display="https://youtu.be/DwTbASTyk8E"/>
    <hyperlink ref="F3482" r:id="rId2" display="https://files.afu.se/Downloads/Transcripts/0%20-%20Government/USA%20-%20NASA/"/>
    <hyperlink ref="C3483" r:id="rId3483" display="https://youtu.be/uOhC99DMQ1M"/>
    <hyperlink ref="F3483" r:id="rId2" display="https://files.afu.se/Downloads/Transcripts/0%20-%20Government/USA%20-%20NASA/"/>
    <hyperlink ref="C3484" r:id="rId3484" display="https://youtu.be/ugV4q1VRDMQ"/>
    <hyperlink ref="F3484" r:id="rId2" display="https://files.afu.se/Downloads/Transcripts/0%20-%20Government/USA%20-%20NASA/"/>
    <hyperlink ref="C3485" r:id="rId3485" display="https://youtu.be/RdPWfM8_HR0"/>
    <hyperlink ref="F3485" r:id="rId2" display="https://files.afu.se/Downloads/Transcripts/0%20-%20Government/USA%20-%20NASA/"/>
    <hyperlink ref="C3486" r:id="rId3486" display="https://youtu.be/oNrX6oESbaU"/>
    <hyperlink ref="F3486" r:id="rId2" display="https://files.afu.se/Downloads/Transcripts/0%20-%20Government/USA%20-%20NASA/"/>
    <hyperlink ref="C3487" r:id="rId3487" display="https://youtu.be/wgwlh0nA2yI"/>
    <hyperlink ref="F3487" r:id="rId2" display="https://files.afu.se/Downloads/Transcripts/0%20-%20Government/USA%20-%20NASA/"/>
    <hyperlink ref="C3488" r:id="rId3488" display="https://youtu.be/hDEc7HKP0oY"/>
    <hyperlink ref="F3488" r:id="rId2" display="https://files.afu.se/Downloads/Transcripts/0%20-%20Government/USA%20-%20NASA/"/>
    <hyperlink ref="C3489" r:id="rId3489" display="https://youtu.be/9Z7RXVym9DY"/>
    <hyperlink ref="F3489" r:id="rId2" display="https://files.afu.se/Downloads/Transcripts/0%20-%20Government/USA%20-%20NASA/"/>
    <hyperlink ref="C3490" r:id="rId3490" display="https://youtu.be/f-LUKIUvc30"/>
    <hyperlink ref="F3490" r:id="rId2" display="https://files.afu.se/Downloads/Transcripts/0%20-%20Government/USA%20-%20NASA/"/>
    <hyperlink ref="C3491" r:id="rId3491" display="https://youtu.be/es3ZYd85XbA"/>
    <hyperlink ref="F3491" r:id="rId2" display="https://files.afu.se/Downloads/Transcripts/0%20-%20Government/USA%20-%20NASA/"/>
    <hyperlink ref="C3492" r:id="rId3492" display="https://youtu.be/G6zoyY_ToQ0"/>
    <hyperlink ref="F3492" r:id="rId2" display="https://files.afu.se/Downloads/Transcripts/0%20-%20Government/USA%20-%20NASA/"/>
    <hyperlink ref="C3493" r:id="rId3493" display="https://youtu.be/m2bUMAvBgW4"/>
    <hyperlink ref="F3493" r:id="rId2" display="https://files.afu.se/Downloads/Transcripts/0%20-%20Government/USA%20-%20NASA/"/>
    <hyperlink ref="C3494" r:id="rId3494" display="https://youtu.be/uIrM2F0k_NE"/>
    <hyperlink ref="F3494" r:id="rId2" display="https://files.afu.se/Downloads/Transcripts/0%20-%20Government/USA%20-%20NASA/"/>
    <hyperlink ref="C3495" r:id="rId3495" display="https://youtu.be/JqBI-Sz4pAA"/>
    <hyperlink ref="F3495" r:id="rId2" display="https://files.afu.se/Downloads/Transcripts/0%20-%20Government/USA%20-%20NASA/"/>
    <hyperlink ref="C3496" r:id="rId3496" display="https://youtu.be/mZcwWCWDW6Q"/>
    <hyperlink ref="F3496" r:id="rId2" display="https://files.afu.se/Downloads/Transcripts/0%20-%20Government/USA%20-%20NASA/"/>
    <hyperlink ref="C3497" r:id="rId3497" display="https://youtu.be/sRP1DEpgTSI"/>
    <hyperlink ref="F3497" r:id="rId2" display="https://files.afu.se/Downloads/Transcripts/0%20-%20Government/USA%20-%20NASA/"/>
    <hyperlink ref="C3498" r:id="rId3498" display="https://youtu.be/QCZwUohCp1o"/>
    <hyperlink ref="F3498" r:id="rId2" display="https://files.afu.se/Downloads/Transcripts/0%20-%20Government/USA%20-%20NASA/"/>
    <hyperlink ref="C3499" r:id="rId3499" display="https://youtu.be/98Wbzf7a_4o"/>
    <hyperlink ref="F3499" r:id="rId2" display="https://files.afu.se/Downloads/Transcripts/0%20-%20Government/USA%20-%20NASA/"/>
    <hyperlink ref="C3500" r:id="rId3500" display="https://youtu.be/J3Smw7rz1FU"/>
    <hyperlink ref="F3500" r:id="rId2" display="https://files.afu.se/Downloads/Transcripts/0%20-%20Government/USA%20-%20NASA/"/>
    <hyperlink ref="C3501" r:id="rId3501" display="https://youtu.be/mTdxIS8J_NI"/>
    <hyperlink ref="F3501" r:id="rId2" display="https://files.afu.se/Downloads/Transcripts/0%20-%20Government/USA%20-%20NASA/"/>
    <hyperlink ref="C3502" r:id="rId3502" display="https://youtu.be/YjuvIlskUf4"/>
    <hyperlink ref="F3502" r:id="rId2" display="https://files.afu.se/Downloads/Transcripts/0%20-%20Government/USA%20-%20NASA/"/>
    <hyperlink ref="C3503" r:id="rId3503" display="https://youtu.be/ggISl9UZc6o"/>
    <hyperlink ref="F3503" r:id="rId2" display="https://files.afu.se/Downloads/Transcripts/0%20-%20Government/USA%20-%20NASA/"/>
    <hyperlink ref="C3504" r:id="rId3504" display="https://youtu.be/rFBxUz9ROuk"/>
    <hyperlink ref="F3504" r:id="rId2" display="https://files.afu.se/Downloads/Transcripts/0%20-%20Government/USA%20-%20NASA/"/>
    <hyperlink ref="C3505" r:id="rId3505" display="https://youtu.be/jtN2FNpf0lw"/>
    <hyperlink ref="F3505" r:id="rId2" display="https://files.afu.se/Downloads/Transcripts/0%20-%20Government/USA%20-%20NASA/"/>
    <hyperlink ref="C3506" r:id="rId3506" display="https://youtu.be/MO-nVZ-QZJk"/>
    <hyperlink ref="F3506" r:id="rId2" display="https://files.afu.se/Downloads/Transcripts/0%20-%20Government/USA%20-%20NASA/"/>
    <hyperlink ref="C3507" r:id="rId3507" display="https://youtu.be/6xqOUWjLHao"/>
    <hyperlink ref="F3507" r:id="rId2" display="https://files.afu.se/Downloads/Transcripts/0%20-%20Government/USA%20-%20NASA/"/>
    <hyperlink ref="C3508" r:id="rId3508" display="https://youtu.be/L8mpKnCm1JM"/>
    <hyperlink ref="F3508" r:id="rId2" display="https://files.afu.se/Downloads/Transcripts/0%20-%20Government/USA%20-%20NASA/"/>
    <hyperlink ref="C3509" r:id="rId3509" display="https://youtu.be/NZU1ak6BdnY"/>
    <hyperlink ref="F3509" r:id="rId2" display="https://files.afu.se/Downloads/Transcripts/0%20-%20Government/USA%20-%20NASA/"/>
    <hyperlink ref="C3510" r:id="rId3510" display="https://youtu.be/Mww8LPoGhgE"/>
    <hyperlink ref="F3510" r:id="rId2" display="https://files.afu.se/Downloads/Transcripts/0%20-%20Government/USA%20-%20NASA/"/>
    <hyperlink ref="C3511" r:id="rId3511" display="https://youtu.be/hJNNiYPyAeQ"/>
    <hyperlink ref="F3511" r:id="rId2" display="https://files.afu.se/Downloads/Transcripts/0%20-%20Government/USA%20-%20NASA/"/>
    <hyperlink ref="C3512" r:id="rId3512" display="https://youtu.be/-0wRJGGPBUk"/>
    <hyperlink ref="F3512" r:id="rId2" display="https://files.afu.se/Downloads/Transcripts/0%20-%20Government/USA%20-%20NASA/"/>
    <hyperlink ref="C3513" r:id="rId3513" display="https://youtu.be/ZHjPMg-Lin8"/>
    <hyperlink ref="F3513" r:id="rId2" display="https://files.afu.se/Downloads/Transcripts/0%20-%20Government/USA%20-%20NASA/"/>
    <hyperlink ref="C3514" r:id="rId3514" display="https://youtu.be/tUNkX94TRgU"/>
    <hyperlink ref="F3514" r:id="rId2" display="https://files.afu.se/Downloads/Transcripts/0%20-%20Government/USA%20-%20NASA/"/>
    <hyperlink ref="C3515" r:id="rId3515" display="https://youtu.be/nV_JqBOeXMk"/>
    <hyperlink ref="F3515" r:id="rId2" display="https://files.afu.se/Downloads/Transcripts/0%20-%20Government/USA%20-%20NASA/"/>
    <hyperlink ref="C3516" r:id="rId3516" display="https://youtu.be/szlGrFBclXQ"/>
    <hyperlink ref="F3516" r:id="rId2" display="https://files.afu.se/Downloads/Transcripts/0%20-%20Government/USA%20-%20NASA/"/>
    <hyperlink ref="C3517" r:id="rId3517" display="https://youtu.be/HHgHW4ZqrjA"/>
    <hyperlink ref="F3517" r:id="rId2" display="https://files.afu.se/Downloads/Transcripts/0%20-%20Government/USA%20-%20NASA/"/>
    <hyperlink ref="C3518" r:id="rId3518" display="https://youtu.be/r_xvzwPni5I"/>
    <hyperlink ref="F3518" r:id="rId2" display="https://files.afu.se/Downloads/Transcripts/0%20-%20Government/USA%20-%20NASA/"/>
    <hyperlink ref="C3519" r:id="rId3519" display="https://youtu.be/jjutZLmKchs"/>
    <hyperlink ref="F3519" r:id="rId2" display="https://files.afu.se/Downloads/Transcripts/0%20-%20Government/USA%20-%20NASA/"/>
    <hyperlink ref="C3520" r:id="rId3520" display="https://youtu.be/CAb4RgqwW30"/>
    <hyperlink ref="F3520" r:id="rId2" display="https://files.afu.se/Downloads/Transcripts/0%20-%20Government/USA%20-%20NASA/"/>
    <hyperlink ref="C3521" r:id="rId3521" display="https://youtu.be/Qr6JkzUzBgk"/>
    <hyperlink ref="F3521" r:id="rId2" display="https://files.afu.se/Downloads/Transcripts/0%20-%20Government/USA%20-%20NASA/"/>
    <hyperlink ref="C3522" r:id="rId3522" display="https://youtu.be/neZkBzaGeOY"/>
    <hyperlink ref="F3522" r:id="rId2" display="https://files.afu.se/Downloads/Transcripts/0%20-%20Government/USA%20-%20NASA/"/>
    <hyperlink ref="C3523" r:id="rId3523" display="https://youtu.be/9QsjlRxwarw"/>
    <hyperlink ref="F3523" r:id="rId2" display="https://files.afu.se/Downloads/Transcripts/0%20-%20Government/USA%20-%20NASA/"/>
    <hyperlink ref="C3524" r:id="rId3524" display="https://youtu.be/WGJXvDcBut8"/>
    <hyperlink ref="F3524" r:id="rId2" display="https://files.afu.se/Downloads/Transcripts/0%20-%20Government/USA%20-%20NASA/"/>
    <hyperlink ref="C3525" r:id="rId3525" display="https://youtu.be/QGewghzJ48Q"/>
    <hyperlink ref="F3525" r:id="rId2" display="https://files.afu.se/Downloads/Transcripts/0%20-%20Government/USA%20-%20NASA/"/>
    <hyperlink ref="C3526" r:id="rId3526" display="https://youtu.be/UaZX1vuSe2M"/>
    <hyperlink ref="F3526" r:id="rId2" display="https://files.afu.se/Downloads/Transcripts/0%20-%20Government/USA%20-%20NASA/"/>
    <hyperlink ref="C3527" r:id="rId3527" display="https://youtu.be/k64UY0vRPIE"/>
    <hyperlink ref="F3527" r:id="rId2" display="https://files.afu.se/Downloads/Transcripts/0%20-%20Government/USA%20-%20NASA/"/>
    <hyperlink ref="C3528" r:id="rId3528" display="https://youtu.be/6EpKaP18Leo"/>
    <hyperlink ref="F3528" r:id="rId2" display="https://files.afu.se/Downloads/Transcripts/0%20-%20Government/USA%20-%20NASA/"/>
    <hyperlink ref="C3529" r:id="rId3529" display="https://youtu.be/DBw9Mas5HdM"/>
    <hyperlink ref="F3529" r:id="rId2" display="https://files.afu.se/Downloads/Transcripts/0%20-%20Government/USA%20-%20NASA/"/>
    <hyperlink ref="C3530" r:id="rId3530" display="https://youtu.be/FUwZPaw4F9A"/>
    <hyperlink ref="F3530" r:id="rId2" display="https://files.afu.se/Downloads/Transcripts/0%20-%20Government/USA%20-%20NASA/"/>
    <hyperlink ref="C3531" r:id="rId3531" display="https://youtu.be/nS3tEzaTSlM"/>
    <hyperlink ref="F3531" r:id="rId2" display="https://files.afu.se/Downloads/Transcripts/0%20-%20Government/USA%20-%20NASA/"/>
    <hyperlink ref="C3532" r:id="rId3532" display="https://youtu.be/7Apu0brG69g"/>
    <hyperlink ref="F3532" r:id="rId2" display="https://files.afu.se/Downloads/Transcripts/0%20-%20Government/USA%20-%20NASA/"/>
    <hyperlink ref="C3533" r:id="rId3533" display="https://youtu.be/THigU1Q2D7Y"/>
    <hyperlink ref="F3533" r:id="rId2" display="https://files.afu.se/Downloads/Transcripts/0%20-%20Government/USA%20-%20NASA/"/>
    <hyperlink ref="C3534" r:id="rId3534" display="https://youtu.be/_0G2V6-m70E"/>
    <hyperlink ref="F3534" r:id="rId2" display="https://files.afu.se/Downloads/Transcripts/0%20-%20Government/USA%20-%20NASA/"/>
    <hyperlink ref="C3535" r:id="rId3535" display="https://youtu.be/TAsHOqVswEw"/>
    <hyperlink ref="F3535" r:id="rId2" display="https://files.afu.se/Downloads/Transcripts/0%20-%20Government/USA%20-%20NASA/"/>
    <hyperlink ref="C3536" r:id="rId3536" display="https://youtu.be/_Mpm1UPnJ4M"/>
    <hyperlink ref="F3536" r:id="rId2" display="https://files.afu.se/Downloads/Transcripts/0%20-%20Government/USA%20-%20NASA/"/>
    <hyperlink ref="C3537" r:id="rId3537" display="https://youtu.be/JNIbuEqRPTU"/>
    <hyperlink ref="F3537" r:id="rId2" display="https://files.afu.se/Downloads/Transcripts/0%20-%20Government/USA%20-%20NASA/"/>
    <hyperlink ref="C3538" r:id="rId3538" display="https://youtu.be/EYOl9PdBrfw"/>
    <hyperlink ref="F3538" r:id="rId2" display="https://files.afu.se/Downloads/Transcripts/0%20-%20Government/USA%20-%20NASA/"/>
    <hyperlink ref="C3539" r:id="rId3539" display="https://youtu.be/_Iz4pNRU_2s"/>
    <hyperlink ref="F3539" r:id="rId2" display="https://files.afu.se/Downloads/Transcripts/0%20-%20Government/USA%20-%20NASA/"/>
    <hyperlink ref="C3540" r:id="rId3540" display="https://youtu.be/TPW6kRJQCfE"/>
    <hyperlink ref="F3540" r:id="rId2" display="https://files.afu.se/Downloads/Transcripts/0%20-%20Government/USA%20-%20NASA/"/>
    <hyperlink ref="C3541" r:id="rId3541" display="https://youtu.be/eCXJMCSyZbw"/>
    <hyperlink ref="F3541" r:id="rId2" display="https://files.afu.se/Downloads/Transcripts/0%20-%20Government/USA%20-%20NASA/"/>
    <hyperlink ref="C3542" r:id="rId3542" display="https://youtu.be/OoFaRCkegIQ"/>
    <hyperlink ref="F3542" r:id="rId2" display="https://files.afu.se/Downloads/Transcripts/0%20-%20Government/USA%20-%20NASA/"/>
    <hyperlink ref="C3543" r:id="rId3543" display="https://youtu.be/RVfr4uZSqZ4"/>
    <hyperlink ref="F3543" r:id="rId2" display="https://files.afu.se/Downloads/Transcripts/0%20-%20Government/USA%20-%20NASA/"/>
    <hyperlink ref="C3544" r:id="rId3544" display="https://youtu.be/q99Lv66eiVk"/>
    <hyperlink ref="F3544" r:id="rId2" display="https://files.afu.se/Downloads/Transcripts/0%20-%20Government/USA%20-%20NASA/"/>
    <hyperlink ref="C3545" r:id="rId3545" display="https://youtu.be/VLkKadCo0Mk"/>
    <hyperlink ref="F3545" r:id="rId2" display="https://files.afu.se/Downloads/Transcripts/0%20-%20Government/USA%20-%20NASA/"/>
    <hyperlink ref="C3546" r:id="rId3546" display="https://youtu.be/s2Ho8seXwQg"/>
    <hyperlink ref="F3546" r:id="rId2" display="https://files.afu.se/Downloads/Transcripts/0%20-%20Government/USA%20-%20NASA/"/>
    <hyperlink ref="C3547" r:id="rId3547" display="https://youtu.be/ugdWb4k4fws"/>
    <hyperlink ref="F3547" r:id="rId2" display="https://files.afu.se/Downloads/Transcripts/0%20-%20Government/USA%20-%20NASA/"/>
    <hyperlink ref="C3548" r:id="rId3548" display="https://youtu.be/qm6B3s12VLI"/>
    <hyperlink ref="F3548" r:id="rId2" display="https://files.afu.se/Downloads/Transcripts/0%20-%20Government/USA%20-%20NASA/"/>
    <hyperlink ref="C3549" r:id="rId3549" display="https://youtu.be/3SET3iOVw5g"/>
    <hyperlink ref="F3549" r:id="rId2" display="https://files.afu.se/Downloads/Transcripts/0%20-%20Government/USA%20-%20NASA/"/>
    <hyperlink ref="C3550" r:id="rId3550" display="https://youtu.be/W-fBBKvtN7g"/>
    <hyperlink ref="F3550" r:id="rId2" display="https://files.afu.se/Downloads/Transcripts/0%20-%20Government/USA%20-%20NASA/"/>
    <hyperlink ref="C3551" r:id="rId3551" display="https://youtu.be/xSlNgPG-TkI"/>
    <hyperlink ref="F3551" r:id="rId2" display="https://files.afu.se/Downloads/Transcripts/0%20-%20Government/USA%20-%20NASA/"/>
    <hyperlink ref="C3552" r:id="rId3552" display="https://youtu.be/E0pckVd6EjA"/>
    <hyperlink ref="F3552" r:id="rId2" display="https://files.afu.se/Downloads/Transcripts/0%20-%20Government/USA%20-%20NASA/"/>
    <hyperlink ref="C3553" r:id="rId3553" display="https://youtu.be/zZ7QP7cb0Sw"/>
    <hyperlink ref="F3553" r:id="rId2" display="https://files.afu.se/Downloads/Transcripts/0%20-%20Government/USA%20-%20NASA/"/>
    <hyperlink ref="C3554" r:id="rId3554" display="https://youtu.be/S-qGgpljcso"/>
    <hyperlink ref="F3554" r:id="rId2" display="https://files.afu.se/Downloads/Transcripts/0%20-%20Government/USA%20-%20NASA/"/>
    <hyperlink ref="C3555" r:id="rId3555" display="https://youtu.be/2YOqEaEDh9M"/>
    <hyperlink ref="F3555" r:id="rId2" display="https://files.afu.se/Downloads/Transcripts/0%20-%20Government/USA%20-%20NASA/"/>
    <hyperlink ref="C3556" r:id="rId3556" display="https://youtu.be/-JyETCfuq8Q"/>
    <hyperlink ref="F3556" r:id="rId2" display="https://files.afu.se/Downloads/Transcripts/0%20-%20Government/USA%20-%20NASA/"/>
    <hyperlink ref="C3557" r:id="rId3557" display="https://youtu.be/T266Q8as4UA"/>
    <hyperlink ref="F3557" r:id="rId2" display="https://files.afu.se/Downloads/Transcripts/0%20-%20Government/USA%20-%20NASA/"/>
    <hyperlink ref="C3558" r:id="rId3558" display="https://youtu.be/LoFCtYvxyHQ"/>
    <hyperlink ref="F3558" r:id="rId2" display="https://files.afu.se/Downloads/Transcripts/0%20-%20Government/USA%20-%20NASA/"/>
    <hyperlink ref="C3559" r:id="rId3559" display="https://youtu.be/_iJJIFnjaIc"/>
    <hyperlink ref="F3559" r:id="rId2" display="https://files.afu.se/Downloads/Transcripts/0%20-%20Government/USA%20-%20NASA/"/>
    <hyperlink ref="C3560" r:id="rId3560" display="https://youtu.be/-XeSM3C1NRM"/>
    <hyperlink ref="F3560" r:id="rId2" display="https://files.afu.se/Downloads/Transcripts/0%20-%20Government/USA%20-%20NASA/"/>
    <hyperlink ref="C3561" r:id="rId3561" display="https://youtu.be/VvgIBVaauHs"/>
    <hyperlink ref="F3561" r:id="rId2" display="https://files.afu.se/Downloads/Transcripts/0%20-%20Government/USA%20-%20NASA/"/>
    <hyperlink ref="C3562" r:id="rId3562" display="https://youtu.be/2i19UVw_Si4"/>
    <hyperlink ref="F3562" r:id="rId2" display="https://files.afu.se/Downloads/Transcripts/0%20-%20Government/USA%20-%20NASA/"/>
    <hyperlink ref="C3563" r:id="rId3563" display="https://youtu.be/1iD9zPNL5U0"/>
    <hyperlink ref="F3563" r:id="rId2" display="https://files.afu.se/Downloads/Transcripts/0%20-%20Government/USA%20-%20NASA/"/>
    <hyperlink ref="C3564" r:id="rId3564" display="https://youtu.be/pBPUBHyArxk"/>
    <hyperlink ref="F3564" r:id="rId2" display="https://files.afu.se/Downloads/Transcripts/0%20-%20Government/USA%20-%20NASA/"/>
    <hyperlink ref="C3565" r:id="rId3565" display="https://youtu.be/Ga-ZNd2ZgDQ"/>
    <hyperlink ref="F3565" r:id="rId2" display="https://files.afu.se/Downloads/Transcripts/0%20-%20Government/USA%20-%20NASA/"/>
    <hyperlink ref="C3566" r:id="rId3566" display="https://youtu.be/4eM1sFzVWfA"/>
    <hyperlink ref="F3566" r:id="rId2" display="https://files.afu.se/Downloads/Transcripts/0%20-%20Government/USA%20-%20NASA/"/>
    <hyperlink ref="C3567" r:id="rId3567" display="https://youtu.be/Kfp29h20y-o"/>
    <hyperlink ref="F3567" r:id="rId2" display="https://files.afu.se/Downloads/Transcripts/0%20-%20Government/USA%20-%20NASA/"/>
    <hyperlink ref="C3568" r:id="rId3568" display="https://youtu.be/CYPB3XwUI3U"/>
    <hyperlink ref="F3568" r:id="rId2" display="https://files.afu.se/Downloads/Transcripts/0%20-%20Government/USA%20-%20NASA/"/>
    <hyperlink ref="C3569" r:id="rId3569" display="https://youtu.be/zKynhsqvgCA"/>
    <hyperlink ref="F3569" r:id="rId2" display="https://files.afu.se/Downloads/Transcripts/0%20-%20Government/USA%20-%20NASA/"/>
    <hyperlink ref="C3570" r:id="rId3570" display="https://youtu.be/-aDM0gVZXrs"/>
    <hyperlink ref="F3570" r:id="rId2" display="https://files.afu.se/Downloads/Transcripts/0%20-%20Government/USA%20-%20NASA/"/>
    <hyperlink ref="C3571" r:id="rId3571" display="https://youtu.be/UeK37okqAMU"/>
    <hyperlink ref="F3571" r:id="rId2" display="https://files.afu.se/Downloads/Transcripts/0%20-%20Government/USA%20-%20NASA/"/>
    <hyperlink ref="C3572" r:id="rId3572" display="https://youtu.be/Jmyq3TfYMsk"/>
    <hyperlink ref="F3572" r:id="rId2" display="https://files.afu.se/Downloads/Transcripts/0%20-%20Government/USA%20-%20NASA/"/>
    <hyperlink ref="C3573" r:id="rId3573" display="https://youtu.be/r-kWEUp7WFM"/>
    <hyperlink ref="F3573" r:id="rId2" display="https://files.afu.se/Downloads/Transcripts/0%20-%20Government/USA%20-%20NASA/"/>
    <hyperlink ref="C3574" r:id="rId3574" display="https://youtu.be/QSULwrdHF_g"/>
    <hyperlink ref="F3574" r:id="rId2" display="https://files.afu.se/Downloads/Transcripts/0%20-%20Government/USA%20-%20NASA/"/>
    <hyperlink ref="C3575" r:id="rId3575" display="https://youtu.be/UD5VViT08ME"/>
    <hyperlink ref="F3575" r:id="rId2" display="https://files.afu.se/Downloads/Transcripts/0%20-%20Government/USA%20-%20NASA/"/>
    <hyperlink ref="C3576" r:id="rId3576" display="https://youtu.be/SAaV9rBSJ98"/>
    <hyperlink ref="F3576" r:id="rId2" display="https://files.afu.se/Downloads/Transcripts/0%20-%20Government/USA%20-%20NASA/"/>
    <hyperlink ref="C3577" r:id="rId3577" display="https://youtu.be/hyVYX9VsWVo"/>
    <hyperlink ref="F3577" r:id="rId2" display="https://files.afu.se/Downloads/Transcripts/0%20-%20Government/USA%20-%20NASA/"/>
    <hyperlink ref="C3578" r:id="rId3578" display="https://youtu.be/sbYrQrVPA24"/>
    <hyperlink ref="F3578" r:id="rId2" display="https://files.afu.se/Downloads/Transcripts/0%20-%20Government/USA%20-%20NASA/"/>
    <hyperlink ref="C3579" r:id="rId3579" display="https://youtu.be/07oW8O_9Mw0"/>
    <hyperlink ref="F3579" r:id="rId2" display="https://files.afu.se/Downloads/Transcripts/0%20-%20Government/USA%20-%20NASA/"/>
    <hyperlink ref="C3580" r:id="rId3580" display="https://youtu.be/GL_snhngIKU"/>
    <hyperlink ref="F3580" r:id="rId2" display="https://files.afu.se/Downloads/Transcripts/0%20-%20Government/USA%20-%20NASA/"/>
    <hyperlink ref="C3581" r:id="rId3581" display="https://youtu.be/V1bVxVTiZGE"/>
    <hyperlink ref="F3581" r:id="rId2" display="https://files.afu.se/Downloads/Transcripts/0%20-%20Government/USA%20-%20NASA/"/>
    <hyperlink ref="C3582" r:id="rId3582" display="https://youtu.be/nL7pBbvHLhY"/>
    <hyperlink ref="F3582" r:id="rId2" display="https://files.afu.se/Downloads/Transcripts/0%20-%20Government/USA%20-%20NASA/"/>
    <hyperlink ref="C3583" r:id="rId3583" display="https://youtu.be/4M7pePzV_cE"/>
    <hyperlink ref="F3583" r:id="rId2" display="https://files.afu.se/Downloads/Transcripts/0%20-%20Government/USA%20-%20NASA/"/>
    <hyperlink ref="C3584" r:id="rId3584" display="https://youtu.be/xYTY_yHr9rY"/>
    <hyperlink ref="F3584" r:id="rId2" display="https://files.afu.se/Downloads/Transcripts/0%20-%20Government/USA%20-%20NASA/"/>
    <hyperlink ref="C3585" r:id="rId3585" display="https://youtu.be/2bPA5G0X5Fo"/>
    <hyperlink ref="F3585" r:id="rId2" display="https://files.afu.se/Downloads/Transcripts/0%20-%20Government/USA%20-%20NASA/"/>
    <hyperlink ref="C3586" r:id="rId3586" display="https://youtu.be/XcumBFCxu3E"/>
    <hyperlink ref="F3586" r:id="rId2" display="https://files.afu.se/Downloads/Transcripts/0%20-%20Government/USA%20-%20NASA/"/>
    <hyperlink ref="C3587" r:id="rId3587" display="https://youtu.be/KZIkkfWpvzA"/>
    <hyperlink ref="F3587" r:id="rId2" display="https://files.afu.se/Downloads/Transcripts/0%20-%20Government/USA%20-%20NASA/"/>
    <hyperlink ref="C3588" r:id="rId3588" display="https://youtu.be/pCiX21pLOsY"/>
    <hyperlink ref="F3588" r:id="rId2" display="https://files.afu.se/Downloads/Transcripts/0%20-%20Government/USA%20-%20NASA/"/>
    <hyperlink ref="C3589" r:id="rId3589" display="https://youtu.be/4pE2y5dtY_Q"/>
    <hyperlink ref="F3589" r:id="rId2" display="https://files.afu.se/Downloads/Transcripts/0%20-%20Government/USA%20-%20NASA/"/>
    <hyperlink ref="C3590" r:id="rId3590" display="https://youtu.be/WbRVKpJ0ZsU"/>
    <hyperlink ref="F3590" r:id="rId2" display="https://files.afu.se/Downloads/Transcripts/0%20-%20Government/USA%20-%20NASA/"/>
    <hyperlink ref="C3591" r:id="rId3591" display="https://youtu.be/caKrNA1l1MI"/>
    <hyperlink ref="F3591" r:id="rId2" display="https://files.afu.se/Downloads/Transcripts/0%20-%20Government/USA%20-%20NASA/"/>
    <hyperlink ref="C3592" r:id="rId3592" display="https://youtu.be/jyoMwKcWjko"/>
    <hyperlink ref="F3592" r:id="rId2" display="https://files.afu.se/Downloads/Transcripts/0%20-%20Government/USA%20-%20NASA/"/>
    <hyperlink ref="C3593" r:id="rId3593" display="https://youtu.be/bgYFgAMJskg"/>
    <hyperlink ref="F3593" r:id="rId2" display="https://files.afu.se/Downloads/Transcripts/0%20-%20Government/USA%20-%20NASA/"/>
    <hyperlink ref="C3594" r:id="rId3594" display="https://youtu.be/DdWUWZuOStc"/>
    <hyperlink ref="F3594" r:id="rId2" display="https://files.afu.se/Downloads/Transcripts/0%20-%20Government/USA%20-%20NASA/"/>
    <hyperlink ref="C3595" r:id="rId3595" display="https://youtu.be/6dcyiPK-vx4"/>
    <hyperlink ref="F3595" r:id="rId2" display="https://files.afu.se/Downloads/Transcripts/0%20-%20Government/USA%20-%20NASA/"/>
    <hyperlink ref="C3596" r:id="rId3596" display="https://youtu.be/mL4JUPpJw1s"/>
    <hyperlink ref="F3596" r:id="rId2" display="https://files.afu.se/Downloads/Transcripts/0%20-%20Government/USA%20-%20NASA/"/>
    <hyperlink ref="C3597" r:id="rId3597" display="https://youtu.be/p0heftXWkVU"/>
    <hyperlink ref="F3597" r:id="rId2" display="https://files.afu.se/Downloads/Transcripts/0%20-%20Government/USA%20-%20NASA/"/>
    <hyperlink ref="C3598" r:id="rId3598" display="https://youtu.be/i0QBYlU3st0"/>
    <hyperlink ref="F3598" r:id="rId2" display="https://files.afu.se/Downloads/Transcripts/0%20-%20Government/USA%20-%20NASA/"/>
    <hyperlink ref="C3599" r:id="rId3599" display="https://youtu.be/x1D2qF3bL0k"/>
    <hyperlink ref="F3599" r:id="rId2" display="https://files.afu.se/Downloads/Transcripts/0%20-%20Government/USA%20-%20NASA/"/>
    <hyperlink ref="C3600" r:id="rId3600" display="https://youtu.be/nr5to_r25Ug"/>
    <hyperlink ref="F3600" r:id="rId2" display="https://files.afu.se/Downloads/Transcripts/0%20-%20Government/USA%20-%20NASA/"/>
    <hyperlink ref="C3601" r:id="rId3601" display="https://youtu.be/L_LPrxAV7OE"/>
    <hyperlink ref="F3601" r:id="rId2" display="https://files.afu.se/Downloads/Transcripts/0%20-%20Government/USA%20-%20NASA/"/>
    <hyperlink ref="C3602" r:id="rId3602" display="https://youtu.be/a1Y6mdKfMn4"/>
    <hyperlink ref="F3602" r:id="rId2" display="https://files.afu.se/Downloads/Transcripts/0%20-%20Government/USA%20-%20NASA/"/>
    <hyperlink ref="C3603" r:id="rId3603" display="https://youtu.be/80T8CBUHoL0"/>
    <hyperlink ref="F3603" r:id="rId2" display="https://files.afu.se/Downloads/Transcripts/0%20-%20Government/USA%20-%20NASA/"/>
    <hyperlink ref="C3604" r:id="rId3604" display="https://youtu.be/VQ4sG3rwKuw"/>
    <hyperlink ref="F3604" r:id="rId2" display="https://files.afu.se/Downloads/Transcripts/0%20-%20Government/USA%20-%20NASA/"/>
    <hyperlink ref="C3605" r:id="rId3605" display="https://youtu.be/UtAG9Lt0OrQ"/>
    <hyperlink ref="F3605" r:id="rId2" display="https://files.afu.se/Downloads/Transcripts/0%20-%20Government/USA%20-%20NASA/"/>
    <hyperlink ref="C3606" r:id="rId3606" display="https://youtu.be/yGwN4E4vKpc"/>
    <hyperlink ref="F3606" r:id="rId2" display="https://files.afu.se/Downloads/Transcripts/0%20-%20Government/USA%20-%20NASA/"/>
    <hyperlink ref="C3607" r:id="rId3607" display="https://youtu.be/ZmvRgcDfDDc"/>
    <hyperlink ref="F3607" r:id="rId2" display="https://files.afu.se/Downloads/Transcripts/0%20-%20Government/USA%20-%20NASA/"/>
    <hyperlink ref="C3608" r:id="rId3608" display="https://youtu.be/jd5aGcT5d0o"/>
    <hyperlink ref="F3608" r:id="rId2" display="https://files.afu.se/Downloads/Transcripts/0%20-%20Government/USA%20-%20NASA/"/>
    <hyperlink ref="C3609" r:id="rId3609" display="https://youtu.be/mYSiBRyDQZY"/>
    <hyperlink ref="F3609" r:id="rId2" display="https://files.afu.se/Downloads/Transcripts/0%20-%20Government/USA%20-%20NASA/"/>
    <hyperlink ref="C3610" r:id="rId3610" display="https://youtu.be/Wh0l6JmLjQU"/>
    <hyperlink ref="F3610" r:id="rId2" display="https://files.afu.se/Downloads/Transcripts/0%20-%20Government/USA%20-%20NASA/"/>
    <hyperlink ref="C3611" r:id="rId3611" display="https://youtu.be/lLVGM6j2k3g"/>
    <hyperlink ref="F3611" r:id="rId2" display="https://files.afu.se/Downloads/Transcripts/0%20-%20Government/USA%20-%20NASA/"/>
    <hyperlink ref="C3612" r:id="rId3612" display="https://youtu.be/Eojhoc7n0yA"/>
    <hyperlink ref="F3612" r:id="rId2" display="https://files.afu.se/Downloads/Transcripts/0%20-%20Government/USA%20-%20NASA/"/>
    <hyperlink ref="C3613" r:id="rId3613" display="https://youtu.be/Fo705Wm_QKs"/>
    <hyperlink ref="F3613" r:id="rId2" display="https://files.afu.se/Downloads/Transcripts/0%20-%20Government/USA%20-%20NASA/"/>
    <hyperlink ref="C3614" r:id="rId3614" display="https://youtu.be/-RsIodI-iJI"/>
    <hyperlink ref="F3614" r:id="rId2" display="https://files.afu.se/Downloads/Transcripts/0%20-%20Government/USA%20-%20NASA/"/>
    <hyperlink ref="C3615" r:id="rId3615" display="https://youtu.be/PorM-1F4jdo"/>
    <hyperlink ref="F3615" r:id="rId2" display="https://files.afu.se/Downloads/Transcripts/0%20-%20Government/USA%20-%20NASA/"/>
    <hyperlink ref="C3616" r:id="rId3616" display="https://youtu.be/Bh5tFatnrfM"/>
    <hyperlink ref="F3616" r:id="rId2" display="https://files.afu.se/Downloads/Transcripts/0%20-%20Government/USA%20-%20NASA/"/>
    <hyperlink ref="C3617" r:id="rId3617" display="https://youtu.be/A7IA0MJqXjg"/>
    <hyperlink ref="F3617" r:id="rId2" display="https://files.afu.se/Downloads/Transcripts/0%20-%20Government/USA%20-%20NASA/"/>
    <hyperlink ref="C3618" r:id="rId3618" display="https://youtu.be/CzVJ6sFCpV8"/>
    <hyperlink ref="F3618" r:id="rId2" display="https://files.afu.se/Downloads/Transcripts/0%20-%20Government/USA%20-%20NASA/"/>
    <hyperlink ref="C3619" r:id="rId3619" display="https://youtu.be/f4w0Q_16LMM"/>
    <hyperlink ref="F3619" r:id="rId2" display="https://files.afu.se/Downloads/Transcripts/0%20-%20Government/USA%20-%20NASA/"/>
    <hyperlink ref="C3620" r:id="rId3620" display="https://youtu.be/HfKdJfEGM4s"/>
    <hyperlink ref="F3620" r:id="rId2" display="https://files.afu.se/Downloads/Transcripts/0%20-%20Government/USA%20-%20NASA/"/>
    <hyperlink ref="C3621" r:id="rId3621" display="https://youtu.be/Kw5zkf2ZfvA"/>
    <hyperlink ref="F3621" r:id="rId2" display="https://files.afu.se/Downloads/Transcripts/0%20-%20Government/USA%20-%20NASA/"/>
    <hyperlink ref="C3622" r:id="rId3622" display="https://youtu.be/QGZwqXqmsT0"/>
    <hyperlink ref="F3622" r:id="rId2" display="https://files.afu.se/Downloads/Transcripts/0%20-%20Government/USA%20-%20NASA/"/>
    <hyperlink ref="C3623" r:id="rId3623" display="https://youtu.be/42DIYPyjado"/>
    <hyperlink ref="F3623" r:id="rId2" display="https://files.afu.se/Downloads/Transcripts/0%20-%20Government/USA%20-%20NASA/"/>
    <hyperlink ref="C3624" r:id="rId3624" display="https://youtu.be/kP2Ut3QpgWU"/>
    <hyperlink ref="F3624" r:id="rId2" display="https://files.afu.se/Downloads/Transcripts/0%20-%20Government/USA%20-%20NASA/"/>
    <hyperlink ref="C3625" r:id="rId3625" display="https://youtu.be/EDz0AviGge0"/>
    <hyperlink ref="F3625" r:id="rId2" display="https://files.afu.se/Downloads/Transcripts/0%20-%20Government/USA%20-%20NASA/"/>
    <hyperlink ref="C3626" r:id="rId3626" display="https://youtu.be/yYoTGuQroRI"/>
    <hyperlink ref="F3626" r:id="rId2" display="https://files.afu.se/Downloads/Transcripts/0%20-%20Government/USA%20-%20NASA/"/>
    <hyperlink ref="C3627" r:id="rId3627" display="https://youtu.be/-DftngDMvNM"/>
    <hyperlink ref="F3627" r:id="rId2" display="https://files.afu.se/Downloads/Transcripts/0%20-%20Government/USA%20-%20NASA/"/>
    <hyperlink ref="C3628" r:id="rId3628" display="https://youtu.be/rZwKysRcWsY"/>
    <hyperlink ref="F3628" r:id="rId2" display="https://files.afu.se/Downloads/Transcripts/0%20-%20Government/USA%20-%20NASA/"/>
    <hyperlink ref="C3629" r:id="rId3629" display="https://youtu.be/IDGVUBAeq8I"/>
    <hyperlink ref="F3629" r:id="rId2" display="https://files.afu.se/Downloads/Transcripts/0%20-%20Government/USA%20-%20NASA/"/>
    <hyperlink ref="C3630" r:id="rId3630" display="https://youtu.be/KDGpfAzCaDk"/>
    <hyperlink ref="F3630" r:id="rId2" display="https://files.afu.se/Downloads/Transcripts/0%20-%20Government/USA%20-%20NASA/"/>
    <hyperlink ref="C3631" r:id="rId3631" display="https://youtu.be/ID36q7gBwwM"/>
    <hyperlink ref="F3631" r:id="rId2" display="https://files.afu.se/Downloads/Transcripts/0%20-%20Government/USA%20-%20NASA/"/>
    <hyperlink ref="C3632" r:id="rId3632" display="https://youtu.be/TD9N_VyqXXE"/>
    <hyperlink ref="F3632" r:id="rId2" display="https://files.afu.se/Downloads/Transcripts/0%20-%20Government/USA%20-%20NASA/"/>
    <hyperlink ref="C3633" r:id="rId3633" display="https://youtu.be/16rfcTbU_D4"/>
    <hyperlink ref="F3633" r:id="rId2" display="https://files.afu.se/Downloads/Transcripts/0%20-%20Government/USA%20-%20NASA/"/>
    <hyperlink ref="C3634" r:id="rId3634" display="https://youtu.be/bgUhdI7-0O8"/>
    <hyperlink ref="F3634" r:id="rId2" display="https://files.afu.se/Downloads/Transcripts/0%20-%20Government/USA%20-%20NASA/"/>
    <hyperlink ref="C3635" r:id="rId3635" display="https://youtu.be/U4YIFl0_AQE"/>
    <hyperlink ref="F3635" r:id="rId2" display="https://files.afu.se/Downloads/Transcripts/0%20-%20Government/USA%20-%20NASA/"/>
    <hyperlink ref="C3636" r:id="rId3636" display="https://youtu.be/m4qYACF3wAk"/>
    <hyperlink ref="F3636" r:id="rId2" display="https://files.afu.se/Downloads/Transcripts/0%20-%20Government/USA%20-%20NASA/"/>
    <hyperlink ref="C3637" r:id="rId3637" display="https://youtu.be/U63O0naPtyg"/>
    <hyperlink ref="F3637" r:id="rId2" display="https://files.afu.se/Downloads/Transcripts/0%20-%20Government/USA%20-%20NASA/"/>
    <hyperlink ref="C3638" r:id="rId3638" display="https://youtu.be/527fb3-UZGo"/>
    <hyperlink ref="F3638" r:id="rId2" display="https://files.afu.se/Downloads/Transcripts/0%20-%20Government/USA%20-%20NASA/"/>
    <hyperlink ref="C3639" r:id="rId3639" display="https://youtu.be/A6vZMw40ArA"/>
    <hyperlink ref="F3639" r:id="rId2" display="https://files.afu.se/Downloads/Transcripts/0%20-%20Government/USA%20-%20NASA/"/>
    <hyperlink ref="C3640" r:id="rId3640" display="https://youtu.be/3bk_WKF5gCc"/>
    <hyperlink ref="F3640" r:id="rId2" display="https://files.afu.se/Downloads/Transcripts/0%20-%20Government/USA%20-%20NASA/"/>
    <hyperlink ref="C3641" r:id="rId3641" display="https://youtu.be/jwpiSPdHITo"/>
    <hyperlink ref="F3641" r:id="rId2" display="https://files.afu.se/Downloads/Transcripts/0%20-%20Government/USA%20-%20NASA/"/>
    <hyperlink ref="C3642" r:id="rId3642" display="https://youtu.be/QDMDZh8y72o"/>
    <hyperlink ref="F3642" r:id="rId2" display="https://files.afu.se/Downloads/Transcripts/0%20-%20Government/USA%20-%20NASA/"/>
    <hyperlink ref="C3643" r:id="rId3643" display="https://youtu.be/63bAwZuxfo4"/>
    <hyperlink ref="F3643" r:id="rId2" display="https://files.afu.se/Downloads/Transcripts/0%20-%20Government/USA%20-%20NASA/"/>
    <hyperlink ref="C3644" r:id="rId3644" display="https://youtu.be/k7s4ubmj99U"/>
    <hyperlink ref="F3644" r:id="rId2" display="https://files.afu.se/Downloads/Transcripts/0%20-%20Government/USA%20-%20NASA/"/>
    <hyperlink ref="C3645" r:id="rId3645" display="https://youtu.be/zL1tfSBVRVM"/>
    <hyperlink ref="F3645" r:id="rId2" display="https://files.afu.se/Downloads/Transcripts/0%20-%20Government/USA%20-%20NASA/"/>
    <hyperlink ref="C3646" r:id="rId3646" display="https://youtu.be/hYCO9_B61oA"/>
    <hyperlink ref="F3646" r:id="rId2" display="https://files.afu.se/Downloads/Transcripts/0%20-%20Government/USA%20-%20NASA/"/>
    <hyperlink ref="C3647" r:id="rId3647" display="https://youtu.be/PNdsJHEDW_M"/>
    <hyperlink ref="F3647" r:id="rId2" display="https://files.afu.se/Downloads/Transcripts/0%20-%20Government/USA%20-%20NASA/"/>
    <hyperlink ref="C3648" r:id="rId3648" display="https://youtu.be/_htxk1sv_7c"/>
    <hyperlink ref="F3648" r:id="rId2" display="https://files.afu.se/Downloads/Transcripts/0%20-%20Government/USA%20-%20NASA/"/>
    <hyperlink ref="C3649" r:id="rId3649" display="https://youtu.be/kWcO-bz1f3w"/>
    <hyperlink ref="F3649" r:id="rId2" display="https://files.afu.se/Downloads/Transcripts/0%20-%20Government/USA%20-%20NASA/"/>
    <hyperlink ref="C3650" r:id="rId3650" display="https://youtu.be/LqOEaDo7DdU"/>
    <hyperlink ref="F3650" r:id="rId2" display="https://files.afu.se/Downloads/Transcripts/0%20-%20Government/USA%20-%20NASA/"/>
    <hyperlink ref="C3651" r:id="rId3651" display="https://youtu.be/HtGJSRyFmgs"/>
    <hyperlink ref="F3651" r:id="rId2" display="https://files.afu.se/Downloads/Transcripts/0%20-%20Government/USA%20-%20NASA/"/>
    <hyperlink ref="C3652" r:id="rId3652" display="https://youtu.be/eveNwSz6734"/>
    <hyperlink ref="F3652" r:id="rId2" display="https://files.afu.se/Downloads/Transcripts/0%20-%20Government/USA%20-%20NASA/"/>
    <hyperlink ref="C3653" r:id="rId3653" display="https://youtu.be/5wtN9FF_jn8"/>
    <hyperlink ref="F3653" r:id="rId2" display="https://files.afu.se/Downloads/Transcripts/0%20-%20Government/USA%20-%20NASA/"/>
    <hyperlink ref="C3654" r:id="rId3654" display="https://youtu.be/dvHQ1vV21i0"/>
    <hyperlink ref="F3654" r:id="rId2" display="https://files.afu.se/Downloads/Transcripts/0%20-%20Government/USA%20-%20NASA/"/>
    <hyperlink ref="C3655" r:id="rId3655" display="https://youtu.be/kApcB7lod2s"/>
    <hyperlink ref="F3655" r:id="rId2" display="https://files.afu.se/Downloads/Transcripts/0%20-%20Government/USA%20-%20NASA/"/>
    <hyperlink ref="C3656" r:id="rId3656" display="https://youtu.be/deAcVKv5_2I"/>
    <hyperlink ref="F3656" r:id="rId2" display="https://files.afu.se/Downloads/Transcripts/0%20-%20Government/USA%20-%20NASA/"/>
    <hyperlink ref="C3657" r:id="rId3657" display="https://youtu.be/nrQ2912Miuk"/>
    <hyperlink ref="F3657" r:id="rId2" display="https://files.afu.se/Downloads/Transcripts/0%20-%20Government/USA%20-%20NASA/"/>
    <hyperlink ref="C3658" r:id="rId3658" display="https://youtu.be/CwiUhxL4TwM"/>
    <hyperlink ref="F3658" r:id="rId2" display="https://files.afu.se/Downloads/Transcripts/0%20-%20Government/USA%20-%20NASA/"/>
    <hyperlink ref="C3659" r:id="rId3659" display="https://youtu.be/80fkgZfwnk0"/>
    <hyperlink ref="F3659" r:id="rId2" display="https://files.afu.se/Downloads/Transcripts/0%20-%20Government/USA%20-%20NASA/"/>
    <hyperlink ref="C3660" r:id="rId3660" display="https://youtu.be/N-1T5ZdcCxs"/>
    <hyperlink ref="F3660" r:id="rId2" display="https://files.afu.se/Downloads/Transcripts/0%20-%20Government/USA%20-%20NASA/"/>
    <hyperlink ref="C3661" r:id="rId3661" display="https://youtu.be/YqaLtJf9eGc"/>
    <hyperlink ref="F3661" r:id="rId2" display="https://files.afu.se/Downloads/Transcripts/0%20-%20Government/USA%20-%20NASA/"/>
    <hyperlink ref="C3662" r:id="rId3662" display="https://youtu.be/N4_WXjp9Hzo"/>
    <hyperlink ref="F3662" r:id="rId2" display="https://files.afu.se/Downloads/Transcripts/0%20-%20Government/USA%20-%20NASA/"/>
    <hyperlink ref="C3663" r:id="rId3663" display="https://youtu.be/MVAfflk0PJU"/>
    <hyperlink ref="F3663" r:id="rId2" display="https://files.afu.se/Downloads/Transcripts/0%20-%20Government/USA%20-%20NASA/"/>
    <hyperlink ref="C3664" r:id="rId3664" display="https://youtu.be/ybwb-W2xMGc"/>
    <hyperlink ref="F3664" r:id="rId2" display="https://files.afu.se/Downloads/Transcripts/0%20-%20Government/USA%20-%20NASA/"/>
    <hyperlink ref="C3665" r:id="rId3665" display="https://youtu.be/8wwgZRsA_eE"/>
    <hyperlink ref="F3665" r:id="rId2" display="https://files.afu.se/Downloads/Transcripts/0%20-%20Government/USA%20-%20NASA/"/>
    <hyperlink ref="C3666" r:id="rId3666" display="https://youtu.be/15aAvSV8KJY"/>
    <hyperlink ref="F3666" r:id="rId2" display="https://files.afu.se/Downloads/Transcripts/0%20-%20Government/USA%20-%20NASA/"/>
    <hyperlink ref="C3667" r:id="rId3667" display="https://youtu.be/o2jGR8uIlC0"/>
    <hyperlink ref="F3667" r:id="rId2" display="https://files.afu.se/Downloads/Transcripts/0%20-%20Government/USA%20-%20NASA/"/>
    <hyperlink ref="C3668" r:id="rId3668" display="https://youtu.be/sR85BtWNpZA"/>
    <hyperlink ref="F3668" r:id="rId2" display="https://files.afu.se/Downloads/Transcripts/0%20-%20Government/USA%20-%20NASA/"/>
    <hyperlink ref="C3669" r:id="rId3669" display="https://youtu.be/DxmWaH0GaxI"/>
    <hyperlink ref="F3669" r:id="rId2" display="https://files.afu.se/Downloads/Transcripts/0%20-%20Government/USA%20-%20NASA/"/>
    <hyperlink ref="C3670" r:id="rId3670" display="https://youtu.be/iIUCevyU4l4"/>
    <hyperlink ref="F3670" r:id="rId2" display="https://files.afu.se/Downloads/Transcripts/0%20-%20Government/USA%20-%20NASA/"/>
    <hyperlink ref="C3671" r:id="rId3671" display="https://youtu.be/8Mr2BTTwbkY"/>
    <hyperlink ref="F3671" r:id="rId2" display="https://files.afu.se/Downloads/Transcripts/0%20-%20Government/USA%20-%20NASA/"/>
    <hyperlink ref="C3672" r:id="rId3672" display="https://youtu.be/aQpFcS3FeRQ"/>
    <hyperlink ref="F3672" r:id="rId2" display="https://files.afu.se/Downloads/Transcripts/0%20-%20Government/USA%20-%20NASA/"/>
    <hyperlink ref="C3673" r:id="rId3673" display="https://youtu.be/ePALXCWQjvA"/>
    <hyperlink ref="F3673" r:id="rId2" display="https://files.afu.se/Downloads/Transcripts/0%20-%20Government/USA%20-%20NASA/"/>
    <hyperlink ref="C3674" r:id="rId3674" display="https://youtu.be/C_CO-4fJz0M"/>
    <hyperlink ref="F3674" r:id="rId2" display="https://files.afu.se/Downloads/Transcripts/0%20-%20Government/USA%20-%20NASA/"/>
    <hyperlink ref="C3675" r:id="rId3675" display="https://youtu.be/iK8HkV0Ge5Y"/>
    <hyperlink ref="F3675" r:id="rId2" display="https://files.afu.se/Downloads/Transcripts/0%20-%20Government/USA%20-%20NASA/"/>
    <hyperlink ref="C3676" r:id="rId3676" display="https://youtu.be/_CnRVXV4Q50"/>
    <hyperlink ref="F3676" r:id="rId2" display="https://files.afu.se/Downloads/Transcripts/0%20-%20Government/USA%20-%20NASA/"/>
    <hyperlink ref="C3677" r:id="rId3677" display="https://youtu.be/ut5oWQTyAx8"/>
    <hyperlink ref="F3677" r:id="rId2" display="https://files.afu.se/Downloads/Transcripts/0%20-%20Government/USA%20-%20NASA/"/>
    <hyperlink ref="C3678" r:id="rId3678" display="https://youtu.be/QSz6UITs_Cg"/>
    <hyperlink ref="F3678" r:id="rId2" display="https://files.afu.se/Downloads/Transcripts/0%20-%20Government/USA%20-%20NASA/"/>
    <hyperlink ref="C3679" r:id="rId3679" display="https://youtu.be/kbGestZ4KTA"/>
    <hyperlink ref="F3679" r:id="rId2" display="https://files.afu.se/Downloads/Transcripts/0%20-%20Government/USA%20-%20NASA/"/>
    <hyperlink ref="C3680" r:id="rId3680" display="https://youtu.be/5YOTuB4TcL0"/>
    <hyperlink ref="F3680" r:id="rId2" display="https://files.afu.se/Downloads/Transcripts/0%20-%20Government/USA%20-%20NASA/"/>
    <hyperlink ref="C3681" r:id="rId3681" display="https://youtu.be/2Cmh3YsUuJA"/>
    <hyperlink ref="F3681" r:id="rId2" display="https://files.afu.se/Downloads/Transcripts/0%20-%20Government/USA%20-%20NASA/"/>
    <hyperlink ref="C3682" r:id="rId3682" display="https://youtu.be/SEbOlyngWDk"/>
    <hyperlink ref="F3682" r:id="rId2" display="https://files.afu.se/Downloads/Transcripts/0%20-%20Government/USA%20-%20NASA/"/>
    <hyperlink ref="C3683" r:id="rId3683" display="https://youtu.be/rUpwB4qMaMM"/>
    <hyperlink ref="F3683" r:id="rId2" display="https://files.afu.se/Downloads/Transcripts/0%20-%20Government/USA%20-%20NASA/"/>
    <hyperlink ref="C3684" r:id="rId3684" display="https://youtu.be/OV5iUcdrPSE"/>
    <hyperlink ref="F3684" r:id="rId2" display="https://files.afu.se/Downloads/Transcripts/0%20-%20Government/USA%20-%20NASA/"/>
    <hyperlink ref="C3685" r:id="rId3685" display="https://youtu.be/OvXQs87N624"/>
    <hyperlink ref="F3685" r:id="rId2" display="https://files.afu.se/Downloads/Transcripts/0%20-%20Government/USA%20-%20NASA/"/>
    <hyperlink ref="C3686" r:id="rId3686" display="https://youtu.be/10V3au51LWc"/>
    <hyperlink ref="F3686" r:id="rId2" display="https://files.afu.se/Downloads/Transcripts/0%20-%20Government/USA%20-%20NASA/"/>
    <hyperlink ref="C3687" r:id="rId3687" display="https://youtu.be/O-T7CZeiRqM"/>
    <hyperlink ref="F3687" r:id="rId2" display="https://files.afu.se/Downloads/Transcripts/0%20-%20Government/USA%20-%20NASA/"/>
    <hyperlink ref="C3688" r:id="rId3688" display="https://youtu.be/E-lTPK5sQAA"/>
    <hyperlink ref="F3688" r:id="rId2" display="https://files.afu.se/Downloads/Transcripts/0%20-%20Government/USA%20-%20NASA/"/>
    <hyperlink ref="C3689" r:id="rId3689" display="https://youtu.be/AbLhM94HDjY"/>
    <hyperlink ref="F3689" r:id="rId2" display="https://files.afu.se/Downloads/Transcripts/0%20-%20Government/USA%20-%20NASA/"/>
    <hyperlink ref="C3690" r:id="rId3690" display="https://youtu.be/c6rpZXPDLhc"/>
    <hyperlink ref="F3690" r:id="rId2" display="https://files.afu.se/Downloads/Transcripts/0%20-%20Government/USA%20-%20NASA/"/>
    <hyperlink ref="C3691" r:id="rId3691" display="https://youtu.be/mxh57wwJonI"/>
    <hyperlink ref="F3691" r:id="rId2" display="https://files.afu.se/Downloads/Transcripts/0%20-%20Government/USA%20-%20NASA/"/>
    <hyperlink ref="C3692" r:id="rId3692" display="https://youtu.be/Z3a4gufbUOg"/>
    <hyperlink ref="F3692" r:id="rId2" display="https://files.afu.se/Downloads/Transcripts/0%20-%20Government/USA%20-%20NASA/"/>
    <hyperlink ref="C3693" r:id="rId3693" display="https://youtu.be/l1PceS4yRGQ"/>
    <hyperlink ref="F3693" r:id="rId2" display="https://files.afu.se/Downloads/Transcripts/0%20-%20Government/USA%20-%20NASA/"/>
    <hyperlink ref="C3694" r:id="rId3694" display="https://youtu.be/aQOVs7G3fNk"/>
    <hyperlink ref="F3694" r:id="rId2" display="https://files.afu.se/Downloads/Transcripts/0%20-%20Government/USA%20-%20NASA/"/>
    <hyperlink ref="C3695" r:id="rId3695" display="https://youtu.be/--xB13b1UOI"/>
    <hyperlink ref="F3695" r:id="rId2" display="https://files.afu.se/Downloads/Transcripts/0%20-%20Government/USA%20-%20NASA/"/>
    <hyperlink ref="C3696" r:id="rId3696" display="https://youtu.be/wU2eZNbt1m0"/>
    <hyperlink ref="F3696" r:id="rId2" display="https://files.afu.se/Downloads/Transcripts/0%20-%20Government/USA%20-%20NASA/"/>
    <hyperlink ref="C3697" r:id="rId3697" display="https://youtu.be/Fw0WH6guVYM"/>
    <hyperlink ref="F3697" r:id="rId2" display="https://files.afu.se/Downloads/Transcripts/0%20-%20Government/USA%20-%20NASA/"/>
    <hyperlink ref="C3698" r:id="rId3698" display="https://youtu.be/cC1qPuCdS9I"/>
    <hyperlink ref="F3698" r:id="rId2" display="https://files.afu.se/Downloads/Transcripts/0%20-%20Government/USA%20-%20NASA/"/>
    <hyperlink ref="C3699" r:id="rId3699" display="https://youtu.be/f3NLaZPHLgE"/>
    <hyperlink ref="F3699" r:id="rId2" display="https://files.afu.se/Downloads/Transcripts/0%20-%20Government/USA%20-%20NASA/"/>
    <hyperlink ref="C3700" r:id="rId3700" display="https://youtu.be/w2JC775S1hE"/>
    <hyperlink ref="F3700" r:id="rId2" display="https://files.afu.se/Downloads/Transcripts/0%20-%20Government/USA%20-%20NASA/"/>
    <hyperlink ref="C3701" r:id="rId3701" display="https://youtu.be/HX_GZiNog_I"/>
    <hyperlink ref="F3701" r:id="rId2" display="https://files.afu.se/Downloads/Transcripts/0%20-%20Government/USA%20-%20NASA/"/>
    <hyperlink ref="C3702" r:id="rId3702" display="https://youtu.be/YwwVrnLWUvA"/>
    <hyperlink ref="F3702" r:id="rId2" display="https://files.afu.se/Downloads/Transcripts/0%20-%20Government/USA%20-%20NASA/"/>
    <hyperlink ref="C3703" r:id="rId3703" display="https://youtu.be/WqciLBr6t7c"/>
    <hyperlink ref="F3703" r:id="rId2" display="https://files.afu.se/Downloads/Transcripts/0%20-%20Government/USA%20-%20NASA/"/>
    <hyperlink ref="C3704" r:id="rId3704" display="https://youtu.be/gR3A0IhsP48"/>
    <hyperlink ref="F3704" r:id="rId2" display="https://files.afu.se/Downloads/Transcripts/0%20-%20Government/USA%20-%20NASA/"/>
    <hyperlink ref="C3705" r:id="rId3705" display="https://youtu.be/tBtZ54cKj3o"/>
    <hyperlink ref="F3705" r:id="rId2" display="https://files.afu.se/Downloads/Transcripts/0%20-%20Government/USA%20-%20NASA/"/>
    <hyperlink ref="C3706" r:id="rId3706" display="https://youtu.be/NuJxe8XoYW0"/>
    <hyperlink ref="F3706" r:id="rId2" display="https://files.afu.se/Downloads/Transcripts/0%20-%20Government/USA%20-%20NASA/"/>
    <hyperlink ref="C3707" r:id="rId3707" display="https://youtu.be/FstovgoN4J4"/>
    <hyperlink ref="F3707" r:id="rId2" display="https://files.afu.se/Downloads/Transcripts/0%20-%20Government/USA%20-%20NASA/"/>
    <hyperlink ref="C3708" r:id="rId3708" display="https://youtu.be/4oe5z1IBJBU"/>
    <hyperlink ref="F3708" r:id="rId2" display="https://files.afu.se/Downloads/Transcripts/0%20-%20Government/USA%20-%20NASA/"/>
    <hyperlink ref="C3709" r:id="rId3709" display="https://youtu.be/7F_tgmWpOVs"/>
    <hyperlink ref="F3709" r:id="rId2" display="https://files.afu.se/Downloads/Transcripts/0%20-%20Government/USA%20-%20NASA/"/>
    <hyperlink ref="C3710" r:id="rId3710" display="https://youtu.be/4RUjz2TYUOk"/>
    <hyperlink ref="F3710" r:id="rId2" display="https://files.afu.se/Downloads/Transcripts/0%20-%20Government/USA%20-%20NASA/"/>
    <hyperlink ref="C3711" r:id="rId3711" display="https://youtu.be/bgoMll8MmKI"/>
    <hyperlink ref="F3711" r:id="rId2" display="https://files.afu.se/Downloads/Transcripts/0%20-%20Government/USA%20-%20NASA/"/>
    <hyperlink ref="C3712" r:id="rId3712" display="https://youtu.be/sVgu-LGiw6k"/>
    <hyperlink ref="F3712" r:id="rId2" display="https://files.afu.se/Downloads/Transcripts/0%20-%20Government/USA%20-%20NASA/"/>
    <hyperlink ref="C3713" r:id="rId3713" display="https://youtu.be/9yFziJ7J7GY"/>
    <hyperlink ref="F3713" r:id="rId2" display="https://files.afu.se/Downloads/Transcripts/0%20-%20Government/USA%20-%20NASA/"/>
    <hyperlink ref="C3714" r:id="rId3714" display="https://youtu.be/kduLGUgXQ2I"/>
    <hyperlink ref="F3714" r:id="rId2" display="https://files.afu.se/Downloads/Transcripts/0%20-%20Government/USA%20-%20NASA/"/>
    <hyperlink ref="C3715" r:id="rId3715" display="https://youtu.be/I29jwRWnN4I"/>
    <hyperlink ref="F3715" r:id="rId2" display="https://files.afu.se/Downloads/Transcripts/0%20-%20Government/USA%20-%20NASA/"/>
    <hyperlink ref="C3716" r:id="rId3716" display="https://youtu.be/hE_2sQpr4PA"/>
    <hyperlink ref="F3716" r:id="rId2" display="https://files.afu.se/Downloads/Transcripts/0%20-%20Government/USA%20-%20NASA/"/>
    <hyperlink ref="C3717" r:id="rId3717" display="https://youtu.be/Hsw94X6ovIw"/>
    <hyperlink ref="F3717" r:id="rId2" display="https://files.afu.se/Downloads/Transcripts/0%20-%20Government/USA%20-%20NASA/"/>
    <hyperlink ref="C3718" r:id="rId3718" display="https://youtu.be/OQ-Co3cId3c"/>
    <hyperlink ref="F3718" r:id="rId2" display="https://files.afu.se/Downloads/Transcripts/0%20-%20Government/USA%20-%20NASA/"/>
    <hyperlink ref="C3719" r:id="rId3719" display="https://youtu.be/xGp98cqlTgw"/>
    <hyperlink ref="F3719" r:id="rId2" display="https://files.afu.se/Downloads/Transcripts/0%20-%20Government/USA%20-%20NASA/"/>
    <hyperlink ref="C3720" r:id="rId3720" display="https://youtu.be/GwixAyVHHU0"/>
    <hyperlink ref="F3720" r:id="rId2" display="https://files.afu.se/Downloads/Transcripts/0%20-%20Government/USA%20-%20NASA/"/>
    <hyperlink ref="C3721" r:id="rId3721" display="https://youtu.be/X8kP1aZTNFo"/>
    <hyperlink ref="F3721" r:id="rId2" display="https://files.afu.se/Downloads/Transcripts/0%20-%20Government/USA%20-%20NASA/"/>
    <hyperlink ref="C3722" r:id="rId3722" display="https://youtu.be/IhBcdY_o0mU"/>
    <hyperlink ref="F3722" r:id="rId2" display="https://files.afu.se/Downloads/Transcripts/0%20-%20Government/USA%20-%20NASA/"/>
    <hyperlink ref="C3723" r:id="rId3723" display="https://youtu.be/D2yhG5cZuQg"/>
    <hyperlink ref="F3723" r:id="rId2" display="https://files.afu.se/Downloads/Transcripts/0%20-%20Government/USA%20-%20NASA/"/>
    <hyperlink ref="C3724" r:id="rId3724" display="https://youtu.be/l4VuAeUO6yI"/>
    <hyperlink ref="F3724" r:id="rId2" display="https://files.afu.se/Downloads/Transcripts/0%20-%20Government/USA%20-%20NASA/"/>
    <hyperlink ref="C3725" r:id="rId3725" display="https://youtu.be/4iSACXQS5Vc"/>
    <hyperlink ref="F3725" r:id="rId2" display="https://files.afu.se/Downloads/Transcripts/0%20-%20Government/USA%20-%20NASA/"/>
    <hyperlink ref="C3726" r:id="rId3726" display="https://youtu.be/5HhvfKRCbQ8"/>
    <hyperlink ref="F3726" r:id="rId2" display="https://files.afu.se/Downloads/Transcripts/0%20-%20Government/USA%20-%20NASA/"/>
    <hyperlink ref="C3727" r:id="rId3727" display="https://youtu.be/uxi50vrwKFs"/>
    <hyperlink ref="F3727" r:id="rId2" display="https://files.afu.se/Downloads/Transcripts/0%20-%20Government/USA%20-%20NASA/"/>
    <hyperlink ref="C3728" r:id="rId3728" display="https://youtu.be/fRNQIiGHYuI"/>
    <hyperlink ref="F3728" r:id="rId2" display="https://files.afu.se/Downloads/Transcripts/0%20-%20Government/USA%20-%20NASA/"/>
    <hyperlink ref="C3729" r:id="rId3729" display="https://youtu.be/8bqkABFZnG8"/>
    <hyperlink ref="F3729" r:id="rId2" display="https://files.afu.se/Downloads/Transcripts/0%20-%20Government/USA%20-%20NASA/"/>
    <hyperlink ref="C3730" r:id="rId3730" display="https://youtu.be/dTBiV3nSFWI"/>
    <hyperlink ref="F3730" r:id="rId2" display="https://files.afu.se/Downloads/Transcripts/0%20-%20Government/USA%20-%20NASA/"/>
    <hyperlink ref="C3731" r:id="rId3731" display="https://youtu.be/efToKfN51BQ"/>
    <hyperlink ref="F3731" r:id="rId2" display="https://files.afu.se/Downloads/Transcripts/0%20-%20Government/USA%20-%20NASA/"/>
    <hyperlink ref="C3732" r:id="rId3732" display="https://youtu.be/3L1py3dP8kk"/>
    <hyperlink ref="F3732" r:id="rId2" display="https://files.afu.se/Downloads/Transcripts/0%20-%20Government/USA%20-%20NASA/"/>
    <hyperlink ref="C3733" r:id="rId3733" display="https://youtu.be/GMA8JrNQX1Y"/>
    <hyperlink ref="F3733" r:id="rId2" display="https://files.afu.se/Downloads/Transcripts/0%20-%20Government/USA%20-%20NASA/"/>
    <hyperlink ref="C3734" r:id="rId3734" display="https://youtu.be/scL5wNVQKGs"/>
    <hyperlink ref="F3734" r:id="rId2" display="https://files.afu.se/Downloads/Transcripts/0%20-%20Government/USA%20-%20NASA/"/>
    <hyperlink ref="C3735" r:id="rId3735" display="https://youtu.be/tOn3K9u1JbU"/>
    <hyperlink ref="F3735" r:id="rId2" display="https://files.afu.se/Downloads/Transcripts/0%20-%20Government/USA%20-%20NASA/"/>
    <hyperlink ref="C3736" r:id="rId3736" display="https://youtu.be/GMRDlmmgD-w"/>
    <hyperlink ref="F3736" r:id="rId2" display="https://files.afu.se/Downloads/Transcripts/0%20-%20Government/USA%20-%20NASA/"/>
    <hyperlink ref="C3737" r:id="rId3737" display="https://youtu.be/2UWFXY0hGfM"/>
    <hyperlink ref="F3737" r:id="rId2" display="https://files.afu.se/Downloads/Transcripts/0%20-%20Government/USA%20-%20NASA/"/>
    <hyperlink ref="C3738" r:id="rId3738" display="https://youtu.be/nWd3-oh2Dbo"/>
    <hyperlink ref="F3738" r:id="rId2" display="https://files.afu.se/Downloads/Transcripts/0%20-%20Government/USA%20-%20NASA/"/>
    <hyperlink ref="C3739" r:id="rId3739" display="https://youtu.be/zMtFaqXJFmc"/>
    <hyperlink ref="F3739" r:id="rId2" display="https://files.afu.se/Downloads/Transcripts/0%20-%20Government/USA%20-%20NASA/"/>
    <hyperlink ref="C3740" r:id="rId3740" display="https://youtu.be/RkD5JprAxNQ"/>
    <hyperlink ref="F3740" r:id="rId2" display="https://files.afu.se/Downloads/Transcripts/0%20-%20Government/USA%20-%20NASA/"/>
    <hyperlink ref="C3741" r:id="rId3741" display="https://youtu.be/cIamEABjVyA"/>
    <hyperlink ref="F3741" r:id="rId2" display="https://files.afu.se/Downloads/Transcripts/0%20-%20Government/USA%20-%20NASA/"/>
    <hyperlink ref="C3742" r:id="rId3742" display="https://youtu.be/e8NLNej6mC8"/>
    <hyperlink ref="F3742" r:id="rId2" display="https://files.afu.se/Downloads/Transcripts/0%20-%20Government/USA%20-%20NASA/"/>
    <hyperlink ref="C3743" r:id="rId3743" display="https://youtu.be/DOX3GNi_oz0"/>
    <hyperlink ref="F3743" r:id="rId2" display="https://files.afu.se/Downloads/Transcripts/0%20-%20Government/USA%20-%20NASA/"/>
    <hyperlink ref="C3744" r:id="rId3744" display="https://youtu.be/p7fZMYtfA8A"/>
    <hyperlink ref="F3744" r:id="rId2" display="https://files.afu.se/Downloads/Transcripts/0%20-%20Government/USA%20-%20NASA/"/>
    <hyperlink ref="C3745" r:id="rId3745" display="https://youtu.be/LEQX7IJt2x4"/>
    <hyperlink ref="F3745" r:id="rId2" display="https://files.afu.se/Downloads/Transcripts/0%20-%20Government/USA%20-%20NASA/"/>
    <hyperlink ref="C3746" r:id="rId3746" display="https://youtu.be/Uyc8agPJ7pQ"/>
    <hyperlink ref="F3746" r:id="rId2" display="https://files.afu.se/Downloads/Transcripts/0%20-%20Government/USA%20-%20NASA/"/>
    <hyperlink ref="C3747" r:id="rId3747" display="https://youtu.be/srNy2NKoPqk"/>
    <hyperlink ref="F3747" r:id="rId2" display="https://files.afu.se/Downloads/Transcripts/0%20-%20Government/USA%20-%20NASA/"/>
    <hyperlink ref="C3748" r:id="rId3748" display="https://youtu.be/X3v-LG3lMsY"/>
    <hyperlink ref="F3748" r:id="rId2" display="https://files.afu.se/Downloads/Transcripts/0%20-%20Government/USA%20-%20NASA/"/>
    <hyperlink ref="C3749" r:id="rId3749" display="https://youtu.be/nv9wfi0Na4w"/>
    <hyperlink ref="F3749" r:id="rId2" display="https://files.afu.se/Downloads/Transcripts/0%20-%20Government/USA%20-%20NASA/"/>
    <hyperlink ref="C3750" r:id="rId3750" display="https://youtu.be/8JL8kXpO2a0"/>
    <hyperlink ref="F3750" r:id="rId2" display="https://files.afu.se/Downloads/Transcripts/0%20-%20Government/USA%20-%20NASA/"/>
    <hyperlink ref="C3751" r:id="rId3751" display="https://youtu.be/anbNrKAZ3ZY"/>
    <hyperlink ref="F3751" r:id="rId2" display="https://files.afu.se/Downloads/Transcripts/0%20-%20Government/USA%20-%20NASA/"/>
    <hyperlink ref="C3752" r:id="rId3752" display="https://youtu.be/RrqVQ_oxtb4"/>
    <hyperlink ref="F3752" r:id="rId2" display="https://files.afu.se/Downloads/Transcripts/0%20-%20Government/USA%20-%20NASA/"/>
    <hyperlink ref="C3753" r:id="rId3753" display="https://youtu.be/MujkxjrMA2Y"/>
    <hyperlink ref="F3753" r:id="rId2" display="https://files.afu.se/Downloads/Transcripts/0%20-%20Government/USA%20-%20NASA/"/>
    <hyperlink ref="C3754" r:id="rId3754" display="https://youtu.be/vWTUGgNKG9Q"/>
    <hyperlink ref="F3754" r:id="rId2" display="https://files.afu.se/Downloads/Transcripts/0%20-%20Government/USA%20-%20NASA/"/>
    <hyperlink ref="C3755" r:id="rId3755" display="https://youtu.be/_FAPXKtj2ds"/>
    <hyperlink ref="F3755" r:id="rId2" display="https://files.afu.se/Downloads/Transcripts/0%20-%20Government/USA%20-%20NASA/"/>
    <hyperlink ref="C3756" r:id="rId3756" display="https://youtu.be/tV-cyS7iIe8"/>
    <hyperlink ref="F3756" r:id="rId2" display="https://files.afu.se/Downloads/Transcripts/0%20-%20Government/USA%20-%20NASA/"/>
    <hyperlink ref="C3757" r:id="rId3757" display="https://youtu.be/I1C33rgC7X0"/>
    <hyperlink ref="F3757" r:id="rId2" display="https://files.afu.se/Downloads/Transcripts/0%20-%20Government/USA%20-%20NASA/"/>
    <hyperlink ref="C3758" r:id="rId3758" display="https://youtu.be/cj5LTHPi5w0"/>
    <hyperlink ref="F3758" r:id="rId2" display="https://files.afu.se/Downloads/Transcripts/0%20-%20Government/USA%20-%20NASA/"/>
    <hyperlink ref="C3759" r:id="rId3759" display="https://youtu.be/kX_w4mUlvjQ"/>
    <hyperlink ref="F3759" r:id="rId2" display="https://files.afu.se/Downloads/Transcripts/0%20-%20Government/USA%20-%20NASA/"/>
    <hyperlink ref="C3760" r:id="rId3760" display="https://youtu.be/ytQ0bYcIX-c"/>
    <hyperlink ref="F3760" r:id="rId2" display="https://files.afu.se/Downloads/Transcripts/0%20-%20Government/USA%20-%20NASA/"/>
    <hyperlink ref="C3761" r:id="rId3761" display="https://youtu.be/psWbhnqz1l0"/>
    <hyperlink ref="F3761" r:id="rId2" display="https://files.afu.se/Downloads/Transcripts/0%20-%20Government/USA%20-%20NASA/"/>
    <hyperlink ref="C3762" r:id="rId3762" display="https://youtu.be/WzA1Uciv7VQ"/>
    <hyperlink ref="F3762" r:id="rId2" display="https://files.afu.se/Downloads/Transcripts/0%20-%20Government/USA%20-%20NASA/"/>
    <hyperlink ref="C3763" r:id="rId3763" display="https://youtu.be/jEXoMpmfJcM"/>
    <hyperlink ref="F3763" r:id="rId2" display="https://files.afu.se/Downloads/Transcripts/0%20-%20Government/USA%20-%20NASA/"/>
    <hyperlink ref="C3764" r:id="rId3764" display="https://youtu.be/9kcv4DQhft0"/>
    <hyperlink ref="F3764" r:id="rId2" display="https://files.afu.se/Downloads/Transcripts/0%20-%20Government/USA%20-%20NASA/"/>
    <hyperlink ref="C3765" r:id="rId3765" display="https://youtu.be/2lLTP4yxcTA"/>
    <hyperlink ref="F3765" r:id="rId2" display="https://files.afu.se/Downloads/Transcripts/0%20-%20Government/USA%20-%20NASA/"/>
    <hyperlink ref="C3766" r:id="rId3766" display="https://youtu.be/TIs8GPgq_0I"/>
    <hyperlink ref="F3766" r:id="rId2" display="https://files.afu.se/Downloads/Transcripts/0%20-%20Government/USA%20-%20NASA/"/>
    <hyperlink ref="C3767" r:id="rId3767" display="https://youtu.be/wOfuKrJYpqU"/>
    <hyperlink ref="F3767" r:id="rId2" display="https://files.afu.se/Downloads/Transcripts/0%20-%20Government/USA%20-%20NASA/"/>
    <hyperlink ref="C3768" r:id="rId3768" display="https://youtu.be/J2mDVCSVnYo"/>
    <hyperlink ref="F3768" r:id="rId2" display="https://files.afu.se/Downloads/Transcripts/0%20-%20Government/USA%20-%20NASA/"/>
    <hyperlink ref="C3769" r:id="rId3769" display="https://youtu.be/Ee3hBkCs4O0"/>
    <hyperlink ref="F3769" r:id="rId2" display="https://files.afu.se/Downloads/Transcripts/0%20-%20Government/USA%20-%20NASA/"/>
    <hyperlink ref="C3770" r:id="rId3770" display="https://youtu.be/7ZktPYY6_84"/>
    <hyperlink ref="F3770" r:id="rId2" display="https://files.afu.se/Downloads/Transcripts/0%20-%20Government/USA%20-%20NASA/"/>
    <hyperlink ref="C3771" r:id="rId3771" display="https://youtu.be/0-Knwsw2fSI"/>
    <hyperlink ref="F3771" r:id="rId2" display="https://files.afu.se/Downloads/Transcripts/0%20-%20Government/USA%20-%20NASA/"/>
    <hyperlink ref="C3772" r:id="rId3772" display="https://youtu.be/iRhoYm7Fqrg"/>
    <hyperlink ref="F3772" r:id="rId2" display="https://files.afu.se/Downloads/Transcripts/0%20-%20Government/USA%20-%20NASA/"/>
    <hyperlink ref="C3773" r:id="rId3773" display="https://youtu.be/otlbX8ky4yw"/>
    <hyperlink ref="F3773" r:id="rId2" display="https://files.afu.se/Downloads/Transcripts/0%20-%20Government/USA%20-%20NASA/"/>
    <hyperlink ref="C3774" r:id="rId3774" display="https://youtu.be/eHBFR1biJX8"/>
    <hyperlink ref="F3774" r:id="rId2" display="https://files.afu.se/Downloads/Transcripts/0%20-%20Government/USA%20-%20NASA/"/>
    <hyperlink ref="C3775" r:id="rId3775" display="https://youtu.be/uYAjudD51EY"/>
    <hyperlink ref="F3775" r:id="rId2" display="https://files.afu.se/Downloads/Transcripts/0%20-%20Government/USA%20-%20NASA/"/>
    <hyperlink ref="C3776" r:id="rId3776" display="https://youtu.be/_QIESV73OJA"/>
    <hyperlink ref="F3776" r:id="rId2" display="https://files.afu.se/Downloads/Transcripts/0%20-%20Government/USA%20-%20NASA/"/>
    <hyperlink ref="C3777" r:id="rId3777" display="https://youtu.be/W_3FHecSOHE"/>
    <hyperlink ref="F3777" r:id="rId2" display="https://files.afu.se/Downloads/Transcripts/0%20-%20Government/USA%20-%20NASA/"/>
    <hyperlink ref="C3778" r:id="rId3778" display="https://youtu.be/fORo5XeK4DU"/>
    <hyperlink ref="F3778" r:id="rId2" display="https://files.afu.se/Downloads/Transcripts/0%20-%20Government/USA%20-%20NASA/"/>
    <hyperlink ref="C3779" r:id="rId3779" display="https://youtu.be/UKwa1jbMS40"/>
    <hyperlink ref="F3779" r:id="rId2" display="https://files.afu.se/Downloads/Transcripts/0%20-%20Government/USA%20-%20NASA/"/>
    <hyperlink ref="C3780" r:id="rId3780" display="https://youtu.be/syunkxkacLA"/>
    <hyperlink ref="F3780" r:id="rId2" display="https://files.afu.se/Downloads/Transcripts/0%20-%20Government/USA%20-%20NASA/"/>
    <hyperlink ref="C3781" r:id="rId3781" display="https://youtu.be/zwNbMv_Pujc"/>
    <hyperlink ref="F3781" r:id="rId2" display="https://files.afu.se/Downloads/Transcripts/0%20-%20Government/USA%20-%20NASA/"/>
    <hyperlink ref="C3782" r:id="rId3782" display="https://youtu.be/bXkUenG3izQ"/>
    <hyperlink ref="F3782" r:id="rId2" display="https://files.afu.se/Downloads/Transcripts/0%20-%20Government/USA%20-%20NASA/"/>
    <hyperlink ref="C3783" r:id="rId3783" display="https://youtu.be/8DuBCAF6vE4"/>
    <hyperlink ref="F3783" r:id="rId2" display="https://files.afu.se/Downloads/Transcripts/0%20-%20Government/USA%20-%20NASA/"/>
    <hyperlink ref="C3784" r:id="rId3784" display="https://youtu.be/6qSktYoxsxo"/>
    <hyperlink ref="F3784" r:id="rId2" display="https://files.afu.se/Downloads/Transcripts/0%20-%20Government/USA%20-%20NASA/"/>
    <hyperlink ref="C3785" r:id="rId3785" display="https://youtu.be/f-yyMM5c6J0"/>
    <hyperlink ref="F3785" r:id="rId2" display="https://files.afu.se/Downloads/Transcripts/0%20-%20Government/USA%20-%20NASA/"/>
    <hyperlink ref="C3786" r:id="rId3786" display="https://youtu.be/1PNzPh1jJhE"/>
    <hyperlink ref="F3786" r:id="rId2" display="https://files.afu.se/Downloads/Transcripts/0%20-%20Government/USA%20-%20NASA/"/>
    <hyperlink ref="C3787" r:id="rId3787" display="https://youtu.be/ldzRCO55cUw"/>
    <hyperlink ref="F3787" r:id="rId2" display="https://files.afu.se/Downloads/Transcripts/0%20-%20Government/USA%20-%20NASA/"/>
    <hyperlink ref="C3788" r:id="rId3788" display="https://youtu.be/YKnyE1Fa1Mw"/>
    <hyperlink ref="F3788" r:id="rId2" display="https://files.afu.se/Downloads/Transcripts/0%20-%20Government/USA%20-%20NASA/"/>
    <hyperlink ref="C3789" r:id="rId3789" display="https://youtu.be/9DP0O8uBm68"/>
    <hyperlink ref="F3789" r:id="rId2" display="https://files.afu.se/Downloads/Transcripts/0%20-%20Government/USA%20-%20NASA/"/>
    <hyperlink ref="C3790" r:id="rId3790" display="https://youtu.be/iDwd701cXxk"/>
    <hyperlink ref="F3790" r:id="rId2" display="https://files.afu.se/Downloads/Transcripts/0%20-%20Government/USA%20-%20NASA/"/>
    <hyperlink ref="C3791" r:id="rId3791" display="https://youtu.be/T4axdEwLguE"/>
    <hyperlink ref="F3791" r:id="rId2" display="https://files.afu.se/Downloads/Transcripts/0%20-%20Government/USA%20-%20NASA/"/>
    <hyperlink ref="C3792" r:id="rId3792" display="https://youtu.be/9y8-ajXQ0nc"/>
    <hyperlink ref="F3792" r:id="rId2" display="https://files.afu.se/Downloads/Transcripts/0%20-%20Government/USA%20-%20NASA/"/>
    <hyperlink ref="C3793" r:id="rId3793" display="https://youtu.be/dy7ounc7GB8"/>
    <hyperlink ref="F3793" r:id="rId2" display="https://files.afu.se/Downloads/Transcripts/0%20-%20Government/USA%20-%20NASA/"/>
    <hyperlink ref="C3794" r:id="rId3794" display="https://youtu.be/6KlNJ2scxcw"/>
    <hyperlink ref="F3794" r:id="rId2" display="https://files.afu.se/Downloads/Transcripts/0%20-%20Government/USA%20-%20NASA/"/>
    <hyperlink ref="C3795" r:id="rId3795" display="https://youtu.be/dyT0iKqYg0g"/>
    <hyperlink ref="F3795" r:id="rId2" display="https://files.afu.se/Downloads/Transcripts/0%20-%20Government/USA%20-%20NASA/"/>
    <hyperlink ref="C3796" r:id="rId3796" display="https://youtu.be/REY8JbGtLMg"/>
    <hyperlink ref="F3796" r:id="rId2" display="https://files.afu.se/Downloads/Transcripts/0%20-%20Government/USA%20-%20NASA/"/>
    <hyperlink ref="C3797" r:id="rId3797" display="https://youtu.be/-LwNaMMMFws"/>
    <hyperlink ref="F3797" r:id="rId2" display="https://files.afu.se/Downloads/Transcripts/0%20-%20Government/USA%20-%20NASA/"/>
    <hyperlink ref="C3798" r:id="rId3798" display="https://youtu.be/u0Q86S7hYO0"/>
    <hyperlink ref="F3798" r:id="rId2" display="https://files.afu.se/Downloads/Transcripts/0%20-%20Government/USA%20-%20NASA/"/>
    <hyperlink ref="C3799" r:id="rId3799" display="https://youtu.be/bbTKRPnYaZc"/>
    <hyperlink ref="F3799" r:id="rId2" display="https://files.afu.se/Downloads/Transcripts/0%20-%20Government/USA%20-%20NASA/"/>
    <hyperlink ref="C3800" r:id="rId3800" display="https://youtu.be/I2WUz8hpOkI"/>
    <hyperlink ref="F3800" r:id="rId2" display="https://files.afu.se/Downloads/Transcripts/0%20-%20Government/USA%20-%20NASA/"/>
    <hyperlink ref="C3801" r:id="rId3801" display="https://youtu.be/YBr7P0D6Kkk"/>
    <hyperlink ref="F3801" r:id="rId2" display="https://files.afu.se/Downloads/Transcripts/0%20-%20Government/USA%20-%20NASA/"/>
    <hyperlink ref="C3802" r:id="rId3802" display="https://youtu.be/EUBqARUjYvM"/>
    <hyperlink ref="F3802" r:id="rId2" display="https://files.afu.se/Downloads/Transcripts/0%20-%20Government/USA%20-%20NASA/"/>
    <hyperlink ref="C3803" r:id="rId3803" display="https://youtu.be/BBl65R8a0XQ"/>
    <hyperlink ref="F3803" r:id="rId2" display="https://files.afu.se/Downloads/Transcripts/0%20-%20Government/USA%20-%20NASA/"/>
    <hyperlink ref="C3804" r:id="rId3804" display="https://youtu.be/PWnwIW3JHH4"/>
    <hyperlink ref="F3804" r:id="rId2" display="https://files.afu.se/Downloads/Transcripts/0%20-%20Government/USA%20-%20NASA/"/>
    <hyperlink ref="C3805" r:id="rId3805" display="https://youtu.be/v7yngnjivQ4"/>
    <hyperlink ref="F3805" r:id="rId2" display="https://files.afu.se/Downloads/Transcripts/0%20-%20Government/USA%20-%20NASA/"/>
    <hyperlink ref="C3806" r:id="rId3806" display="https://youtu.be/MjQ0j1a9RcA"/>
    <hyperlink ref="F3806" r:id="rId2" display="https://files.afu.se/Downloads/Transcripts/0%20-%20Government/USA%20-%20NASA/"/>
    <hyperlink ref="C3807" r:id="rId3807" display="https://youtu.be/2VtQC9VnS_Q"/>
    <hyperlink ref="F3807" r:id="rId2" display="https://files.afu.se/Downloads/Transcripts/0%20-%20Government/USA%20-%20NASA/"/>
    <hyperlink ref="C3808" r:id="rId3808" display="https://youtu.be/F0vSIJBfUl8"/>
    <hyperlink ref="F3808" r:id="rId2" display="https://files.afu.se/Downloads/Transcripts/0%20-%20Government/USA%20-%20NASA/"/>
    <hyperlink ref="C3809" r:id="rId3809" display="https://youtu.be/PZlTbVuUgX0"/>
    <hyperlink ref="F3809" r:id="rId2" display="https://files.afu.se/Downloads/Transcripts/0%20-%20Government/USA%20-%20NASA/"/>
    <hyperlink ref="C3810" r:id="rId3810" display="https://youtu.be/CJvvb6jfe3w"/>
    <hyperlink ref="F3810" r:id="rId2" display="https://files.afu.se/Downloads/Transcripts/0%20-%20Government/USA%20-%20NASA/"/>
    <hyperlink ref="C3811" r:id="rId3811" display="https://youtu.be/kglk3bdaImc"/>
    <hyperlink ref="F3811" r:id="rId2" display="https://files.afu.se/Downloads/Transcripts/0%20-%20Government/USA%20-%20NASA/"/>
    <hyperlink ref="C3812" r:id="rId3812" display="https://youtu.be/R8hvFOpxehA"/>
    <hyperlink ref="F3812" r:id="rId2" display="https://files.afu.se/Downloads/Transcripts/0%20-%20Government/USA%20-%20NASA/"/>
    <hyperlink ref="C3813" r:id="rId3813" display="https://youtu.be/pbz5J3O2gyU"/>
    <hyperlink ref="F3813" r:id="rId2" display="https://files.afu.se/Downloads/Transcripts/0%20-%20Government/USA%20-%20NASA/"/>
    <hyperlink ref="C3814" r:id="rId3814" display="https://youtu.be/cxMe8PFaAOY"/>
    <hyperlink ref="F3814" r:id="rId2" display="https://files.afu.se/Downloads/Transcripts/0%20-%20Government/USA%20-%20NASA/"/>
    <hyperlink ref="C3815" r:id="rId3815" display="https://youtu.be/0kb57v9dZJo"/>
    <hyperlink ref="F3815" r:id="rId2" display="https://files.afu.se/Downloads/Transcripts/0%20-%20Government/USA%20-%20NASA/"/>
    <hyperlink ref="C3816" r:id="rId3816" display="https://youtu.be/s5ZymKzCVsM"/>
    <hyperlink ref="F3816" r:id="rId2" display="https://files.afu.se/Downloads/Transcripts/0%20-%20Government/USA%20-%20NASA/"/>
    <hyperlink ref="C3817" r:id="rId3817" display="https://youtu.be/65RrRQ2E7Xs"/>
    <hyperlink ref="F3817" r:id="rId2" display="https://files.afu.se/Downloads/Transcripts/0%20-%20Government/USA%20-%20NASA/"/>
    <hyperlink ref="C3818" r:id="rId3818" display="https://youtu.be/_xUlhaFKjsE"/>
    <hyperlink ref="F3818" r:id="rId2" display="https://files.afu.se/Downloads/Transcripts/0%20-%20Government/USA%20-%20NASA/"/>
    <hyperlink ref="C3819" r:id="rId3819" display="https://youtu.be/e_4BQCS1XZs"/>
    <hyperlink ref="F3819" r:id="rId2" display="https://files.afu.se/Downloads/Transcripts/0%20-%20Government/USA%20-%20NASA/"/>
    <hyperlink ref="C3820" r:id="rId3820" display="https://youtu.be/4bj831dCzVk"/>
    <hyperlink ref="F3820" r:id="rId2" display="https://files.afu.se/Downloads/Transcripts/0%20-%20Government/USA%20-%20NASA/"/>
    <hyperlink ref="C3821" r:id="rId3821" display="https://youtu.be/GOclsLhvzdY"/>
    <hyperlink ref="F3821" r:id="rId2" display="https://files.afu.se/Downloads/Transcripts/0%20-%20Government/USA%20-%20NASA/"/>
    <hyperlink ref="C3822" r:id="rId3822" display="https://youtu.be/cJcMvUNIAhc"/>
    <hyperlink ref="F3822" r:id="rId2" display="https://files.afu.se/Downloads/Transcripts/0%20-%20Government/USA%20-%20NASA/"/>
    <hyperlink ref="C3823" r:id="rId3823" display="https://youtu.be/Q9B9MlfvqVM"/>
    <hyperlink ref="F3823" r:id="rId2" display="https://files.afu.se/Downloads/Transcripts/0%20-%20Government/USA%20-%20NASA/"/>
    <hyperlink ref="C3824" r:id="rId3824" display="https://youtu.be/WCCIAeh4_Zk"/>
    <hyperlink ref="F3824" r:id="rId2" display="https://files.afu.se/Downloads/Transcripts/0%20-%20Government/USA%20-%20NASA/"/>
    <hyperlink ref="C3825" r:id="rId3825" display="https://youtu.be/QYWdLUxLlnc"/>
    <hyperlink ref="F3825" r:id="rId2" display="https://files.afu.se/Downloads/Transcripts/0%20-%20Government/USA%20-%20NASA/"/>
    <hyperlink ref="C3826" r:id="rId3826" display="https://youtu.be/2cDSD60qSz0"/>
    <hyperlink ref="F3826" r:id="rId2" display="https://files.afu.se/Downloads/Transcripts/0%20-%20Government/USA%20-%20NASA/"/>
    <hyperlink ref="C3827" r:id="rId3827" display="https://youtu.be/x-4JTTQ4FAU"/>
    <hyperlink ref="F3827" r:id="rId2" display="https://files.afu.se/Downloads/Transcripts/0%20-%20Government/USA%20-%20NASA/"/>
    <hyperlink ref="C3828" r:id="rId3828" display="https://youtu.be/FhY3zGFlw_Q"/>
    <hyperlink ref="F3828" r:id="rId2" display="https://files.afu.se/Downloads/Transcripts/0%20-%20Government/USA%20-%20NASA/"/>
    <hyperlink ref="C3829" r:id="rId3829" display="https://youtu.be/u6UJxP3n0Lw"/>
    <hyperlink ref="F3829" r:id="rId2" display="https://files.afu.se/Downloads/Transcripts/0%20-%20Government/USA%20-%20NASA/"/>
    <hyperlink ref="C3830" r:id="rId3830" display="https://youtu.be/UcjM2GhMD-E"/>
    <hyperlink ref="F3830" r:id="rId2" display="https://files.afu.se/Downloads/Transcripts/0%20-%20Government/USA%20-%20NASA/"/>
    <hyperlink ref="C3831" r:id="rId3831" display="https://youtu.be/DwsQQtKFmz0"/>
    <hyperlink ref="F3831" r:id="rId2" display="https://files.afu.se/Downloads/Transcripts/0%20-%20Government/USA%20-%20NASA/"/>
    <hyperlink ref="C3832" r:id="rId3832" display="https://youtu.be/zsATmjG79ew"/>
    <hyperlink ref="F3832" r:id="rId2" display="https://files.afu.se/Downloads/Transcripts/0%20-%20Government/USA%20-%20NASA/"/>
    <hyperlink ref="C3833" r:id="rId3833" display="https://youtu.be/nnUSnZDY7yE"/>
    <hyperlink ref="F3833" r:id="rId2" display="https://files.afu.se/Downloads/Transcripts/0%20-%20Government/USA%20-%20NASA/"/>
    <hyperlink ref="C3834" r:id="rId3834" display="https://youtu.be/nlQNIPBc6TY"/>
    <hyperlink ref="F3834" r:id="rId2" display="https://files.afu.se/Downloads/Transcripts/0%20-%20Government/USA%20-%20NASA/"/>
    <hyperlink ref="C3835" r:id="rId3835" display="https://youtu.be/vyWm3JJT_k0"/>
    <hyperlink ref="F3835" r:id="rId2" display="https://files.afu.se/Downloads/Transcripts/0%20-%20Government/USA%20-%20NASA/"/>
    <hyperlink ref="C3836" r:id="rId3836" display="https://youtu.be/qVsIp5G_Yms"/>
    <hyperlink ref="F3836" r:id="rId2" display="https://files.afu.se/Downloads/Transcripts/0%20-%20Government/USA%20-%20NASA/"/>
    <hyperlink ref="C3837" r:id="rId3837" display="https://youtu.be/Ot2I9ahOjGY"/>
    <hyperlink ref="F3837" r:id="rId2" display="https://files.afu.se/Downloads/Transcripts/0%20-%20Government/USA%20-%20NASA/"/>
    <hyperlink ref="C3838" r:id="rId3838" display="https://youtu.be/6tBVSyDNboQ"/>
    <hyperlink ref="F3838" r:id="rId2" display="https://files.afu.se/Downloads/Transcripts/0%20-%20Government/USA%20-%20NASA/"/>
    <hyperlink ref="C3839" r:id="rId3839" display="https://youtu.be/uWvgWuVwpKg"/>
    <hyperlink ref="F3839" r:id="rId2" display="https://files.afu.se/Downloads/Transcripts/0%20-%20Government/USA%20-%20NASA/"/>
    <hyperlink ref="C3840" r:id="rId3840" display="https://youtu.be/eZbX95fqPmM"/>
    <hyperlink ref="F3840" r:id="rId2" display="https://files.afu.se/Downloads/Transcripts/0%20-%20Government/USA%20-%20NASA/"/>
    <hyperlink ref="C3841" r:id="rId3841" display="https://youtu.be/yi391opiZ0A"/>
    <hyperlink ref="F3841" r:id="rId2" display="https://files.afu.se/Downloads/Transcripts/0%20-%20Government/USA%20-%20NASA/"/>
    <hyperlink ref="C3842" r:id="rId3842" display="https://youtu.be/UbxL_Ub9B64"/>
    <hyperlink ref="F3842" r:id="rId2" display="https://files.afu.se/Downloads/Transcripts/0%20-%20Government/USA%20-%20NASA/"/>
    <hyperlink ref="C3843" r:id="rId3843" display="https://youtu.be/8-ZEGrmluNM"/>
    <hyperlink ref="F3843" r:id="rId2" display="https://files.afu.se/Downloads/Transcripts/0%20-%20Government/USA%20-%20NASA/"/>
    <hyperlink ref="C3844" r:id="rId3844" display="https://youtu.be/gNpH0kBmtFQ"/>
    <hyperlink ref="F3844" r:id="rId2" display="https://files.afu.se/Downloads/Transcripts/0%20-%20Government/USA%20-%20NASA/"/>
    <hyperlink ref="C3845" r:id="rId3845" display="https://youtu.be/psO0Y6vImMA"/>
    <hyperlink ref="F3845" r:id="rId2" display="https://files.afu.se/Downloads/Transcripts/0%20-%20Government/USA%20-%20NASA/"/>
    <hyperlink ref="C3846" r:id="rId3846" display="https://youtu.be/OMc7GHIsfk0"/>
    <hyperlink ref="F3846" r:id="rId2" display="https://files.afu.se/Downloads/Transcripts/0%20-%20Government/USA%20-%20NASA/"/>
    <hyperlink ref="C3847" r:id="rId3847" display="https://youtu.be/vwrrnrp3rTE"/>
    <hyperlink ref="F3847" r:id="rId2" display="https://files.afu.se/Downloads/Transcripts/0%20-%20Government/USA%20-%20NASA/"/>
    <hyperlink ref="C3848" r:id="rId3848" display="https://youtu.be/xI4rKSsAbH4"/>
    <hyperlink ref="F3848" r:id="rId2" display="https://files.afu.se/Downloads/Transcripts/0%20-%20Government/USA%20-%20NASA/"/>
    <hyperlink ref="C3849" r:id="rId3849" display="https://youtu.be/3J--96zTgJg"/>
    <hyperlink ref="F3849" r:id="rId2" display="https://files.afu.se/Downloads/Transcripts/0%20-%20Government/USA%20-%20NASA/"/>
    <hyperlink ref="C3850" r:id="rId3850" display="https://youtu.be/fkV_r8pxhbI"/>
    <hyperlink ref="F3850" r:id="rId2" display="https://files.afu.se/Downloads/Transcripts/0%20-%20Government/USA%20-%20NASA/"/>
    <hyperlink ref="C3851" r:id="rId3851" display="https://youtu.be/IVoXpBEwFyY"/>
    <hyperlink ref="F3851" r:id="rId2" display="https://files.afu.se/Downloads/Transcripts/0%20-%20Government/USA%20-%20NASA/"/>
    <hyperlink ref="C3852" r:id="rId3852" display="https://youtu.be/CuHuoad7b8k"/>
    <hyperlink ref="F3852" r:id="rId2" display="https://files.afu.se/Downloads/Transcripts/0%20-%20Government/USA%20-%20NASA/"/>
    <hyperlink ref="C3853" r:id="rId3853" display="https://youtu.be/R8l-1j-kZo8"/>
    <hyperlink ref="F3853" r:id="rId2" display="https://files.afu.se/Downloads/Transcripts/0%20-%20Government/USA%20-%20NASA/"/>
    <hyperlink ref="C3854" r:id="rId3854" display="https://youtu.be/Yf1NAwSoE6s"/>
    <hyperlink ref="F3854" r:id="rId2" display="https://files.afu.se/Downloads/Transcripts/0%20-%20Government/USA%20-%20NASA/"/>
    <hyperlink ref="C3855" r:id="rId3855" display="https://youtu.be/O0sL7mGsDpU"/>
    <hyperlink ref="F3855" r:id="rId2" display="https://files.afu.se/Downloads/Transcripts/0%20-%20Government/USA%20-%20NASA/"/>
    <hyperlink ref="C3856" r:id="rId3856" display="https://youtu.be/hyS81PPCErY"/>
    <hyperlink ref="F3856" r:id="rId2" display="https://files.afu.se/Downloads/Transcripts/0%20-%20Government/USA%20-%20NASA/"/>
    <hyperlink ref="C3857" r:id="rId3857" display="https://youtu.be/S6RKyIIyOqM"/>
    <hyperlink ref="F3857" r:id="rId2" display="https://files.afu.se/Downloads/Transcripts/0%20-%20Government/USA%20-%20NASA/"/>
    <hyperlink ref="C3858" r:id="rId3858" display="https://youtu.be/VkCyzw88r_E"/>
    <hyperlink ref="F3858" r:id="rId2" display="https://files.afu.se/Downloads/Transcripts/0%20-%20Government/USA%20-%20NASA/"/>
    <hyperlink ref="C3859" r:id="rId3859" display="https://youtu.be/BsxL_B5_rO0"/>
    <hyperlink ref="F3859" r:id="rId2" display="https://files.afu.se/Downloads/Transcripts/0%20-%20Government/USA%20-%20NASA/"/>
    <hyperlink ref="C3860" r:id="rId3860" display="https://youtu.be/0AvtBkZdiME"/>
    <hyperlink ref="F3860" r:id="rId2" display="https://files.afu.se/Downloads/Transcripts/0%20-%20Government/USA%20-%20NASA/"/>
    <hyperlink ref="C3861" r:id="rId3861" display="https://youtu.be/m3NDbu5Y8c4"/>
    <hyperlink ref="F3861" r:id="rId2" display="https://files.afu.se/Downloads/Transcripts/0%20-%20Government/USA%20-%20NASA/"/>
    <hyperlink ref="C3862" r:id="rId3862" display="https://youtu.be/uqZVf08nEYc"/>
    <hyperlink ref="F3862" r:id="rId2" display="https://files.afu.se/Downloads/Transcripts/0%20-%20Government/USA%20-%20NASA/"/>
    <hyperlink ref="C3863" r:id="rId3863" display="https://youtu.be/tAwTJPUHkEs"/>
    <hyperlink ref="F3863" r:id="rId2" display="https://files.afu.se/Downloads/Transcripts/0%20-%20Government/USA%20-%20NASA/"/>
    <hyperlink ref="C3864" r:id="rId3864" display="https://youtu.be/yiTstmr1WHo"/>
    <hyperlink ref="F3864" r:id="rId2" display="https://files.afu.se/Downloads/Transcripts/0%20-%20Government/USA%20-%20NASA/"/>
    <hyperlink ref="C3865" r:id="rId3865" display="https://youtu.be/s5-R-HjWEUA"/>
    <hyperlink ref="F3865" r:id="rId2" display="https://files.afu.se/Downloads/Transcripts/0%20-%20Government/USA%20-%20NASA/"/>
    <hyperlink ref="C3866" r:id="rId3866" display="https://youtu.be/HKx13fAzs4Q"/>
    <hyperlink ref="F3866" r:id="rId2" display="https://files.afu.se/Downloads/Transcripts/0%20-%20Government/USA%20-%20NASA/"/>
    <hyperlink ref="C3867" r:id="rId3867" display="https://youtu.be/cUCn0TRb2dA"/>
    <hyperlink ref="F3867" r:id="rId2" display="https://files.afu.se/Downloads/Transcripts/0%20-%20Government/USA%20-%20NASA/"/>
    <hyperlink ref="C3868" r:id="rId3868" display="https://youtu.be/xbZ4MlTw2JA"/>
    <hyperlink ref="F3868" r:id="rId2" display="https://files.afu.se/Downloads/Transcripts/0%20-%20Government/USA%20-%20NASA/"/>
    <hyperlink ref="C3869" r:id="rId3869" display="https://youtu.be/76tf_uy7skQ"/>
    <hyperlink ref="F3869" r:id="rId2" display="https://files.afu.se/Downloads/Transcripts/0%20-%20Government/USA%20-%20NASA/"/>
    <hyperlink ref="C3870" r:id="rId3870" display="https://youtu.be/Y2NwvJa37Ng"/>
    <hyperlink ref="F3870" r:id="rId2" display="https://files.afu.se/Downloads/Transcripts/0%20-%20Government/USA%20-%20NASA/"/>
    <hyperlink ref="C3871" r:id="rId3871" display="https://youtu.be/0KAq-5gwq-s"/>
    <hyperlink ref="F3871" r:id="rId2" display="https://files.afu.se/Downloads/Transcripts/0%20-%20Government/USA%20-%20NASA/"/>
    <hyperlink ref="C3872" r:id="rId3872" display="https://youtu.be/S1fO9QAOxi0"/>
    <hyperlink ref="F3872" r:id="rId2" display="https://files.afu.se/Downloads/Transcripts/0%20-%20Government/USA%20-%20NASA/"/>
    <hyperlink ref="C3873" r:id="rId3873" display="https://youtu.be/pLOpRnxyySI"/>
    <hyperlink ref="F3873" r:id="rId2" display="https://files.afu.se/Downloads/Transcripts/0%20-%20Government/USA%20-%20NASA/"/>
    <hyperlink ref="C3874" r:id="rId3874" display="https://youtu.be/0R_FSS22P_E"/>
    <hyperlink ref="F3874" r:id="rId2" display="https://files.afu.se/Downloads/Transcripts/0%20-%20Government/USA%20-%20NASA/"/>
    <hyperlink ref="C3875" r:id="rId3875" display="https://youtu.be/vhOQ1Xz7oOo"/>
    <hyperlink ref="F3875" r:id="rId2" display="https://files.afu.se/Downloads/Transcripts/0%20-%20Government/USA%20-%20NASA/"/>
    <hyperlink ref="C3876" r:id="rId3876" display="https://youtu.be/a1AZHMg-J5Q"/>
    <hyperlink ref="F3876" r:id="rId2" display="https://files.afu.se/Downloads/Transcripts/0%20-%20Government/USA%20-%20NASA/"/>
    <hyperlink ref="C3877" r:id="rId3877" display="https://youtu.be/RyyQSMq29W8"/>
    <hyperlink ref="F3877" r:id="rId2" display="https://files.afu.se/Downloads/Transcripts/0%20-%20Government/USA%20-%20NASA/"/>
    <hyperlink ref="C3878" r:id="rId3878" display="https://youtu.be/N0_QB0kWhVo"/>
    <hyperlink ref="F3878" r:id="rId2" display="https://files.afu.se/Downloads/Transcripts/0%20-%20Government/USA%20-%20NASA/"/>
    <hyperlink ref="C3879" r:id="rId3879" display="https://youtu.be/3mihT5ECrS8"/>
    <hyperlink ref="F3879" r:id="rId2" display="https://files.afu.se/Downloads/Transcripts/0%20-%20Government/USA%20-%20NASA/"/>
    <hyperlink ref="C3880" r:id="rId3880" display="https://youtu.be/WjbKvj15DZM"/>
    <hyperlink ref="F3880" r:id="rId2" display="https://files.afu.se/Downloads/Transcripts/0%20-%20Government/USA%20-%20NASA/"/>
    <hyperlink ref="C3881" r:id="rId3881" display="https://youtu.be/QO_-kkjY9qU"/>
    <hyperlink ref="F3881" r:id="rId2" display="https://files.afu.se/Downloads/Transcripts/0%20-%20Government/USA%20-%20NASA/"/>
    <hyperlink ref="C3882" r:id="rId3882" display="https://youtu.be/8uorMEOWl08"/>
    <hyperlink ref="F3882" r:id="rId2" display="https://files.afu.se/Downloads/Transcripts/0%20-%20Government/USA%20-%20NASA/"/>
    <hyperlink ref="C3883" r:id="rId3883" display="https://youtu.be/AKevqfI2ZeY"/>
    <hyperlink ref="F3883" r:id="rId2" display="https://files.afu.se/Downloads/Transcripts/0%20-%20Government/USA%20-%20NASA/"/>
    <hyperlink ref="C3884" r:id="rId3884" display="https://youtu.be/0yiJNA7dTAw"/>
    <hyperlink ref="F3884" r:id="rId2" display="https://files.afu.se/Downloads/Transcripts/0%20-%20Government/USA%20-%20NASA/"/>
    <hyperlink ref="C3885" r:id="rId3885" display="https://youtu.be/DU0Vhd1ceDQ"/>
    <hyperlink ref="F3885" r:id="rId2" display="https://files.afu.se/Downloads/Transcripts/0%20-%20Government/USA%20-%20NASA/"/>
    <hyperlink ref="C3886" r:id="rId3886" display="https://youtu.be/mrD8gjnwMcg"/>
    <hyperlink ref="F3886" r:id="rId2" display="https://files.afu.se/Downloads/Transcripts/0%20-%20Government/USA%20-%20NASA/"/>
    <hyperlink ref="C3887" r:id="rId3887" display="https://youtu.be/cTMzkHa8rCI"/>
    <hyperlink ref="F3887" r:id="rId2" display="https://files.afu.se/Downloads/Transcripts/0%20-%20Government/USA%20-%20NASA/"/>
    <hyperlink ref="C3888" r:id="rId3888" display="https://youtu.be/YUwoKuQywrk"/>
    <hyperlink ref="F3888" r:id="rId2" display="https://files.afu.se/Downloads/Transcripts/0%20-%20Government/USA%20-%20NASA/"/>
    <hyperlink ref="C3889" r:id="rId3889" display="https://youtu.be/1elSL-w1B8g"/>
    <hyperlink ref="F3889" r:id="rId2" display="https://files.afu.se/Downloads/Transcripts/0%20-%20Government/USA%20-%20NASA/"/>
    <hyperlink ref="C3890" r:id="rId3890" display="https://youtu.be/8-juzSr4HPI"/>
    <hyperlink ref="F3890" r:id="rId2" display="https://files.afu.se/Downloads/Transcripts/0%20-%20Government/USA%20-%20NASA/"/>
    <hyperlink ref="C3891" r:id="rId3891" display="https://youtu.be/c6Rb5B0vrgI"/>
    <hyperlink ref="F3891" r:id="rId2" display="https://files.afu.se/Downloads/Transcripts/0%20-%20Government/USA%20-%20NASA/"/>
    <hyperlink ref="C3892" r:id="rId3892" display="https://youtu.be/ThBMvOIkkII"/>
    <hyperlink ref="F3892" r:id="rId2" display="https://files.afu.se/Downloads/Transcripts/0%20-%20Government/USA%20-%20NASA/"/>
    <hyperlink ref="C3893" r:id="rId3893" display="https://youtu.be/rFZ50AZedhw"/>
    <hyperlink ref="F3893" r:id="rId2" display="https://files.afu.se/Downloads/Transcripts/0%20-%20Government/USA%20-%20NASA/"/>
    <hyperlink ref="C3894" r:id="rId3894" display="https://youtu.be/S5Y94_rEsfs"/>
    <hyperlink ref="F3894" r:id="rId2" display="https://files.afu.se/Downloads/Transcripts/0%20-%20Government/USA%20-%20NASA/"/>
    <hyperlink ref="C3895" r:id="rId3895" display="https://youtu.be/pSUDohqwg3I"/>
    <hyperlink ref="F3895" r:id="rId2" display="https://files.afu.se/Downloads/Transcripts/0%20-%20Government/USA%20-%20NASA/"/>
    <hyperlink ref="C3896" r:id="rId3896" display="https://youtu.be/QZa0haNFy1M"/>
    <hyperlink ref="F3896" r:id="rId2" display="https://files.afu.se/Downloads/Transcripts/0%20-%20Government/USA%20-%20NASA/"/>
    <hyperlink ref="C3897" r:id="rId3897" display="https://youtu.be/_vHQBjvGg-k"/>
    <hyperlink ref="F3897" r:id="rId2" display="https://files.afu.se/Downloads/Transcripts/0%20-%20Government/USA%20-%20NASA/"/>
    <hyperlink ref="C3898" r:id="rId3898" display="https://youtu.be/Ffxj35bxwnw"/>
    <hyperlink ref="F3898" r:id="rId2" display="https://files.afu.se/Downloads/Transcripts/0%20-%20Government/USA%20-%20NASA/"/>
    <hyperlink ref="C3899" r:id="rId3899" display="https://youtu.be/9w3SakwPXQc"/>
    <hyperlink ref="F3899" r:id="rId2" display="https://files.afu.se/Downloads/Transcripts/0%20-%20Government/USA%20-%20NASA/"/>
    <hyperlink ref="C3900" r:id="rId3900" display="https://youtu.be/0vkXMHGSqKw"/>
    <hyperlink ref="F3900" r:id="rId2" display="https://files.afu.se/Downloads/Transcripts/0%20-%20Government/USA%20-%20NASA/"/>
    <hyperlink ref="C3901" r:id="rId3901" display="https://youtu.be/CMnfcWTY4uQ"/>
    <hyperlink ref="F3901" r:id="rId2" display="https://files.afu.se/Downloads/Transcripts/0%20-%20Government/USA%20-%20NASA/"/>
    <hyperlink ref="C3902" r:id="rId3902" display="https://youtu.be/bxtlzby4YjM"/>
    <hyperlink ref="F3902" r:id="rId2" display="https://files.afu.se/Downloads/Transcripts/0%20-%20Government/USA%20-%20NASA/"/>
    <hyperlink ref="C3903" r:id="rId3903" display="https://youtu.be/Jje78j9E6Hw"/>
    <hyperlink ref="F3903" r:id="rId2" display="https://files.afu.se/Downloads/Transcripts/0%20-%20Government/USA%20-%20NASA/"/>
    <hyperlink ref="C3904" r:id="rId3904" display="https://youtu.be/sbr9nH8ix4k"/>
    <hyperlink ref="F3904" r:id="rId2" display="https://files.afu.se/Downloads/Transcripts/0%20-%20Government/USA%20-%20NASA/"/>
    <hyperlink ref="C3905" r:id="rId3905" display="https://youtu.be/PTeM4ZqEKR4"/>
    <hyperlink ref="F3905" r:id="rId2" display="https://files.afu.se/Downloads/Transcripts/0%20-%20Government/USA%20-%20NASA/"/>
    <hyperlink ref="C3906" r:id="rId3906" display="https://youtu.be/p7zgcKFGbtk"/>
    <hyperlink ref="F3906" r:id="rId2" display="https://files.afu.se/Downloads/Transcripts/0%20-%20Government/USA%20-%20NASA/"/>
    <hyperlink ref="C3907" r:id="rId3907" display="https://youtu.be/p18j_vmIyso"/>
    <hyperlink ref="F3907" r:id="rId2" display="https://files.afu.se/Downloads/Transcripts/0%20-%20Government/USA%20-%20NASA/"/>
    <hyperlink ref="C3908" r:id="rId3908" display="https://youtu.be/IdBbNdRsFeM"/>
    <hyperlink ref="F3908" r:id="rId2" display="https://files.afu.se/Downloads/Transcripts/0%20-%20Government/USA%20-%20NASA/"/>
    <hyperlink ref="C3909" r:id="rId3909" display="https://youtu.be/K-1mpjet12k"/>
    <hyperlink ref="F3909" r:id="rId2" display="https://files.afu.se/Downloads/Transcripts/0%20-%20Government/USA%20-%20NASA/"/>
    <hyperlink ref="C3910" r:id="rId3910" display="https://youtu.be/hG3Z3HcfWq0"/>
    <hyperlink ref="F3910" r:id="rId2" display="https://files.afu.se/Downloads/Transcripts/0%20-%20Government/USA%20-%20NASA/"/>
    <hyperlink ref="C3911" r:id="rId3911" display="https://youtu.be/iBsgd-JQx9A"/>
    <hyperlink ref="F3911" r:id="rId2" display="https://files.afu.se/Downloads/Transcripts/0%20-%20Government/USA%20-%20NASA/"/>
    <hyperlink ref="C3912" r:id="rId3912" display="https://youtu.be/qtSie19oVKE"/>
    <hyperlink ref="F3912" r:id="rId2" display="https://files.afu.se/Downloads/Transcripts/0%20-%20Government/USA%20-%20NASA/"/>
    <hyperlink ref="C3913" r:id="rId3913" display="https://youtu.be/3VSD6YcgsBw"/>
    <hyperlink ref="F3913" r:id="rId2" display="https://files.afu.se/Downloads/Transcripts/0%20-%20Government/USA%20-%20NASA/"/>
    <hyperlink ref="C3914" r:id="rId3914" display="https://youtu.be/3f7qFCYYB0E"/>
    <hyperlink ref="F3914" r:id="rId2" display="https://files.afu.se/Downloads/Transcripts/0%20-%20Government/USA%20-%20NASA/"/>
    <hyperlink ref="C3915" r:id="rId3915" display="https://youtu.be/Oa1ayR3PVSE"/>
    <hyperlink ref="F3915" r:id="rId2" display="https://files.afu.se/Downloads/Transcripts/0%20-%20Government/USA%20-%20NASA/"/>
    <hyperlink ref="C3916" r:id="rId3916" display="https://youtu.be/yw5m9QXYvRQ"/>
    <hyperlink ref="F3916" r:id="rId2" display="https://files.afu.se/Downloads/Transcripts/0%20-%20Government/USA%20-%20NASA/"/>
    <hyperlink ref="C3917" r:id="rId3917" display="https://youtu.be/SIuFcNphMzY"/>
    <hyperlink ref="F3917" r:id="rId2" display="https://files.afu.se/Downloads/Transcripts/0%20-%20Government/USA%20-%20NASA/"/>
    <hyperlink ref="C3918" r:id="rId3918" display="https://youtu.be/0pm9DTgoVIM"/>
    <hyperlink ref="F3918" r:id="rId2" display="https://files.afu.se/Downloads/Transcripts/0%20-%20Government/USA%20-%20NASA/"/>
    <hyperlink ref="C3919" r:id="rId3919" display="https://youtu.be/vO45Gh_orM0"/>
    <hyperlink ref="F3919" r:id="rId2" display="https://files.afu.se/Downloads/Transcripts/0%20-%20Government/USA%20-%20NASA/"/>
    <hyperlink ref="C3920" r:id="rId3920" display="https://youtu.be/2Jq42IqYlBo"/>
    <hyperlink ref="F3920" r:id="rId2" display="https://files.afu.se/Downloads/Transcripts/0%20-%20Government/USA%20-%20NASA/"/>
    <hyperlink ref="C3921" r:id="rId3921" display="https://youtu.be/FwrrLhKNwN0"/>
    <hyperlink ref="F3921" r:id="rId2" display="https://files.afu.se/Downloads/Transcripts/0%20-%20Government/USA%20-%20NASA/"/>
    <hyperlink ref="C3922" r:id="rId3922" display="https://youtu.be/MrWqFOjBvMs"/>
    <hyperlink ref="F3922" r:id="rId2" display="https://files.afu.se/Downloads/Transcripts/0%20-%20Government/USA%20-%20NASA/"/>
    <hyperlink ref="C3923" r:id="rId3923" display="https://youtu.be/rrKMO_FuF-o"/>
    <hyperlink ref="F3923" r:id="rId2" display="https://files.afu.se/Downloads/Transcripts/0%20-%20Government/USA%20-%20NASA/"/>
    <hyperlink ref="C3924" r:id="rId3924" display="https://youtu.be/e4tB3RqveKQ"/>
    <hyperlink ref="F3924" r:id="rId2" display="https://files.afu.se/Downloads/Transcripts/0%20-%20Government/USA%20-%20NASA/"/>
    <hyperlink ref="C3925" r:id="rId3925" display="https://youtu.be/vFY7gfHh4s0"/>
    <hyperlink ref="F3925" r:id="rId2" display="https://files.afu.se/Downloads/Transcripts/0%20-%20Government/USA%20-%20NASA/"/>
    <hyperlink ref="C3926" r:id="rId3926" display="https://youtu.be/J5jY2IsqSLA"/>
    <hyperlink ref="F3926" r:id="rId2" display="https://files.afu.se/Downloads/Transcripts/0%20-%20Government/USA%20-%20NASA/"/>
    <hyperlink ref="C3927" r:id="rId3927" display="https://youtu.be/lZTeKvukrso"/>
    <hyperlink ref="F3927" r:id="rId2" display="https://files.afu.se/Downloads/Transcripts/0%20-%20Government/USA%20-%20NASA/"/>
    <hyperlink ref="C3928" r:id="rId3928" display="https://youtu.be/NiejvDFB5dI"/>
    <hyperlink ref="F3928" r:id="rId2" display="https://files.afu.se/Downloads/Transcripts/0%20-%20Government/USA%20-%20NASA/"/>
    <hyperlink ref="C3929" r:id="rId3929" display="https://youtu.be/u2i7FBzFgws"/>
    <hyperlink ref="F3929" r:id="rId2" display="https://files.afu.se/Downloads/Transcripts/0%20-%20Government/USA%20-%20NASA/"/>
    <hyperlink ref="C3930" r:id="rId3930" display="https://youtu.be/24VOW3shcGQ"/>
    <hyperlink ref="F3930" r:id="rId2" display="https://files.afu.se/Downloads/Transcripts/0%20-%20Government/USA%20-%20NASA/"/>
    <hyperlink ref="C3931" r:id="rId3931" display="https://youtu.be/mmhJD0UHMPY"/>
    <hyperlink ref="F3931" r:id="rId2" display="https://files.afu.se/Downloads/Transcripts/0%20-%20Government/USA%20-%20NASA/"/>
    <hyperlink ref="C3932" r:id="rId3932" display="https://youtu.be/TJ-Oer3XpGI"/>
    <hyperlink ref="F3932" r:id="rId2" display="https://files.afu.se/Downloads/Transcripts/0%20-%20Government/USA%20-%20NASA/"/>
    <hyperlink ref="C3933" r:id="rId3933" display="https://youtu.be/6UNDq1eTgPQ"/>
    <hyperlink ref="F3933" r:id="rId2" display="https://files.afu.se/Downloads/Transcripts/0%20-%20Government/USA%20-%20NASA/"/>
    <hyperlink ref="C3934" r:id="rId3934" display="https://youtu.be/9i2j7gdHuuE"/>
    <hyperlink ref="F3934" r:id="rId2" display="https://files.afu.se/Downloads/Transcripts/0%20-%20Government/USA%20-%20NASA/"/>
    <hyperlink ref="C3935" r:id="rId3935" display="https://youtu.be/9lq6eNqQ4_0"/>
    <hyperlink ref="F3935" r:id="rId2" display="https://files.afu.se/Downloads/Transcripts/0%20-%20Government/USA%20-%20NASA/"/>
    <hyperlink ref="C3936" r:id="rId3936" display="https://youtu.be/29OIVEIU0W0"/>
    <hyperlink ref="F3936" r:id="rId2" display="https://files.afu.se/Downloads/Transcripts/0%20-%20Government/USA%20-%20NASA/"/>
    <hyperlink ref="C3937" r:id="rId3937" display="https://youtu.be/fki5r9T6dZk"/>
    <hyperlink ref="F3937" r:id="rId2" display="https://files.afu.se/Downloads/Transcripts/0%20-%20Government/USA%20-%20NASA/"/>
    <hyperlink ref="C3938" r:id="rId3938" display="https://youtu.be/VmmBrd7LzMk"/>
    <hyperlink ref="F3938" r:id="rId2" display="https://files.afu.se/Downloads/Transcripts/0%20-%20Government/USA%20-%20NASA/"/>
    <hyperlink ref="C3939" r:id="rId3939" display="https://youtu.be/0a6H0EuvOZQ"/>
    <hyperlink ref="F3939" r:id="rId2" display="https://files.afu.se/Downloads/Transcripts/0%20-%20Government/USA%20-%20NASA/"/>
    <hyperlink ref="C3940" r:id="rId3940" display="https://youtu.be/KpKwKLP2Ans"/>
    <hyperlink ref="F3940" r:id="rId2" display="https://files.afu.se/Downloads/Transcripts/0%20-%20Government/USA%20-%20NASA/"/>
    <hyperlink ref="C3941" r:id="rId3941" display="https://youtu.be/dXHRcDM6Tv8"/>
    <hyperlink ref="F3941" r:id="rId2" display="https://files.afu.se/Downloads/Transcripts/0%20-%20Government/USA%20-%20NASA/"/>
    <hyperlink ref="C3942" r:id="rId3942" display="https://youtu.be/zA1R5xZdlbQ"/>
    <hyperlink ref="F3942" r:id="rId2" display="https://files.afu.se/Downloads/Transcripts/0%20-%20Government/USA%20-%20NASA/"/>
    <hyperlink ref="C3943" r:id="rId3943" display="https://youtu.be/mRY-E8eBkXE"/>
    <hyperlink ref="F3943" r:id="rId2" display="https://files.afu.se/Downloads/Transcripts/0%20-%20Government/USA%20-%20NASA/"/>
    <hyperlink ref="C3944" r:id="rId3944" display="https://youtu.be/aaB8ca5GJ-Y"/>
    <hyperlink ref="F3944" r:id="rId2" display="https://files.afu.se/Downloads/Transcripts/0%20-%20Government/USA%20-%20NASA/"/>
    <hyperlink ref="C3945" r:id="rId3945" display="https://youtu.be/la1--kuU_5U"/>
    <hyperlink ref="F3945" r:id="rId2" display="https://files.afu.se/Downloads/Transcripts/0%20-%20Government/USA%20-%20NASA/"/>
    <hyperlink ref="C3946" r:id="rId3946" display="https://youtu.be/VVVozYAvPkk"/>
    <hyperlink ref="F3946" r:id="rId2" display="https://files.afu.se/Downloads/Transcripts/0%20-%20Government/USA%20-%20NASA/"/>
    <hyperlink ref="C3947" r:id="rId3947" display="https://youtu.be/zWBHO8FIP8Y"/>
    <hyperlink ref="F3947" r:id="rId2" display="https://files.afu.se/Downloads/Transcripts/0%20-%20Government/USA%20-%20NASA/"/>
    <hyperlink ref="C3948" r:id="rId3948" display="https://youtu.be/wtdhAXBSZ6M"/>
    <hyperlink ref="F3948" r:id="rId2" display="https://files.afu.se/Downloads/Transcripts/0%20-%20Government/USA%20-%20NASA/"/>
    <hyperlink ref="C3949" r:id="rId3949" display="https://youtu.be/x5zzf4L8Ec4"/>
    <hyperlink ref="F3949" r:id="rId2" display="https://files.afu.se/Downloads/Transcripts/0%20-%20Government/USA%20-%20NASA/"/>
    <hyperlink ref="C3950" r:id="rId3950" display="https://youtu.be/UdtsueWG2mM"/>
    <hyperlink ref="F3950" r:id="rId2" display="https://files.afu.se/Downloads/Transcripts/0%20-%20Government/USA%20-%20NASA/"/>
    <hyperlink ref="C3951" r:id="rId3951" display="https://youtu.be/l9hoWRovfpM"/>
    <hyperlink ref="F3951" r:id="rId2" display="https://files.afu.se/Downloads/Transcripts/0%20-%20Government/USA%20-%20NASA/"/>
    <hyperlink ref="C3952" r:id="rId3952" display="https://youtu.be/EZzIk2JFSQw"/>
    <hyperlink ref="F3952" r:id="rId2" display="https://files.afu.se/Downloads/Transcripts/0%20-%20Government/USA%20-%20NASA/"/>
    <hyperlink ref="C3953" r:id="rId3953" display="https://youtu.be/ME51bNgsDaM"/>
    <hyperlink ref="F3953" r:id="rId2" display="https://files.afu.se/Downloads/Transcripts/0%20-%20Government/USA%20-%20NASA/"/>
    <hyperlink ref="C3954" r:id="rId3954" display="https://youtu.be/GVE1JJaPJiI"/>
    <hyperlink ref="F3954" r:id="rId2" display="https://files.afu.se/Downloads/Transcripts/0%20-%20Government/USA%20-%20NASA/"/>
    <hyperlink ref="C3955" r:id="rId3955" display="https://youtu.be/4qkpTy7Ba9E"/>
    <hyperlink ref="F3955" r:id="rId2" display="https://files.afu.se/Downloads/Transcripts/0%20-%20Government/USA%20-%20NASA/"/>
    <hyperlink ref="C3956" r:id="rId3956" display="https://youtu.be/OfqV8cwCbkQ"/>
    <hyperlink ref="F3956" r:id="rId2" display="https://files.afu.se/Downloads/Transcripts/0%20-%20Government/USA%20-%20NASA/"/>
    <hyperlink ref="C3957" r:id="rId3957" display="https://youtu.be/eA-iWUXMCic"/>
    <hyperlink ref="F3957" r:id="rId2" display="https://files.afu.se/Downloads/Transcripts/0%20-%20Government/USA%20-%20NASA/"/>
    <hyperlink ref="C3958" r:id="rId3958" display="https://youtu.be/iHGIN3RlbP8"/>
    <hyperlink ref="F3958" r:id="rId2" display="https://files.afu.se/Downloads/Transcripts/0%20-%20Government/USA%20-%20NASA/"/>
    <hyperlink ref="C3959" r:id="rId3959" display="https://youtu.be/iMnt6PWYscg"/>
    <hyperlink ref="F3959" r:id="rId2" display="https://files.afu.se/Downloads/Transcripts/0%20-%20Government/USA%20-%20NASA/"/>
    <hyperlink ref="C3960" r:id="rId3960" display="https://youtu.be/51lS4UkrXt4"/>
    <hyperlink ref="F3960" r:id="rId2" display="https://files.afu.se/Downloads/Transcripts/0%20-%20Government/USA%20-%20NASA/"/>
    <hyperlink ref="C3961" r:id="rId3961" display="https://youtu.be/qnkeD04jveg"/>
    <hyperlink ref="F3961" r:id="rId2" display="https://files.afu.se/Downloads/Transcripts/0%20-%20Government/USA%20-%20NASA/"/>
    <hyperlink ref="C3962" r:id="rId3962" display="https://youtu.be/BrG-8bVL-v4"/>
    <hyperlink ref="F3962" r:id="rId2" display="https://files.afu.se/Downloads/Transcripts/0%20-%20Government/USA%20-%20NASA/"/>
    <hyperlink ref="C3963" r:id="rId3963" display="https://youtu.be/2jo3DsRP5vA"/>
    <hyperlink ref="F3963" r:id="rId2" display="https://files.afu.se/Downloads/Transcripts/0%20-%20Government/USA%20-%20NASA/"/>
    <hyperlink ref="C3964" r:id="rId3964" display="https://youtu.be/EIyt5EBUlfM"/>
    <hyperlink ref="F3964" r:id="rId2" display="https://files.afu.se/Downloads/Transcripts/0%20-%20Government/USA%20-%20NASA/"/>
    <hyperlink ref="C3965" r:id="rId3965" display="https://youtu.be/Do9xkkSqOCw"/>
    <hyperlink ref="F3965" r:id="rId2" display="https://files.afu.se/Downloads/Transcripts/0%20-%20Government/USA%20-%20NASA/"/>
    <hyperlink ref="C3966" r:id="rId3966" display="https://youtu.be/5iWgZ_TmL0M"/>
    <hyperlink ref="F3966" r:id="rId2" display="https://files.afu.se/Downloads/Transcripts/0%20-%20Government/USA%20-%20NASA/"/>
    <hyperlink ref="C3967" r:id="rId3967" display="https://youtu.be/Em_KPz8OtCw"/>
    <hyperlink ref="F3967" r:id="rId2" display="https://files.afu.se/Downloads/Transcripts/0%20-%20Government/USA%20-%20NASA/"/>
    <hyperlink ref="C3968" r:id="rId3968" display="https://youtu.be/kCfTLc9oHa8"/>
    <hyperlink ref="F3968" r:id="rId2" display="https://files.afu.se/Downloads/Transcripts/0%20-%20Government/USA%20-%20NASA/"/>
    <hyperlink ref="C3969" r:id="rId3969" display="https://youtu.be/35StUm25Qg0"/>
    <hyperlink ref="F3969" r:id="rId2" display="https://files.afu.se/Downloads/Transcripts/0%20-%20Government/USA%20-%20NASA/"/>
    <hyperlink ref="C3970" r:id="rId3970" display="https://youtu.be/j1qnGXbGf0o"/>
    <hyperlink ref="F3970" r:id="rId2" display="https://files.afu.se/Downloads/Transcripts/0%20-%20Government/USA%20-%20NASA/"/>
    <hyperlink ref="C3971" r:id="rId3971" display="https://youtu.be/DJBcxfxNo-M"/>
    <hyperlink ref="F3971" r:id="rId2" display="https://files.afu.se/Downloads/Transcripts/0%20-%20Government/USA%20-%20NASA/"/>
    <hyperlink ref="C3972" r:id="rId3972" display="https://youtu.be/BLy6bvwmAxk"/>
    <hyperlink ref="F3972" r:id="rId2" display="https://files.afu.se/Downloads/Transcripts/0%20-%20Government/USA%20-%20NASA/"/>
    <hyperlink ref="C3973" r:id="rId3973" display="https://youtu.be/uYMq4PvWKnE"/>
    <hyperlink ref="F3973" r:id="rId2" display="https://files.afu.se/Downloads/Transcripts/0%20-%20Government/USA%20-%20NASA/"/>
    <hyperlink ref="C3974" r:id="rId3974" display="https://youtu.be/x8DG72R6pqw"/>
    <hyperlink ref="F3974" r:id="rId2" display="https://files.afu.se/Downloads/Transcripts/0%20-%20Government/USA%20-%20NASA/"/>
    <hyperlink ref="C3975" r:id="rId3975" display="https://youtu.be/POW95rQSNj8"/>
    <hyperlink ref="F3975" r:id="rId2" display="https://files.afu.se/Downloads/Transcripts/0%20-%20Government/USA%20-%20NASA/"/>
    <hyperlink ref="C3976" r:id="rId3976" display="https://youtu.be/Kq6qKhs5jFg"/>
    <hyperlink ref="F3976" r:id="rId2" display="https://files.afu.se/Downloads/Transcripts/0%20-%20Government/USA%20-%20NASA/"/>
    <hyperlink ref="C3977" r:id="rId3977" display="https://youtu.be/POB8Bnpxo6Y"/>
    <hyperlink ref="F3977" r:id="rId2" display="https://files.afu.se/Downloads/Transcripts/0%20-%20Government/USA%20-%20NASA/"/>
    <hyperlink ref="C3978" r:id="rId3978" display="https://youtu.be/sNMOOjemMG8"/>
    <hyperlink ref="F3978" r:id="rId2" display="https://files.afu.se/Downloads/Transcripts/0%20-%20Government/USA%20-%20NASA/"/>
    <hyperlink ref="C3979" r:id="rId3979" display="https://youtu.be/7LlnAk5NiyA"/>
    <hyperlink ref="F3979" r:id="rId2" display="https://files.afu.se/Downloads/Transcripts/0%20-%20Government/USA%20-%20NASA/"/>
    <hyperlink ref="C3980" r:id="rId3980" display="https://youtu.be/9--Ns_AYdwQ"/>
    <hyperlink ref="F3980" r:id="rId2" display="https://files.afu.se/Downloads/Transcripts/0%20-%20Government/USA%20-%20NASA/"/>
    <hyperlink ref="C3981" r:id="rId3981" display="https://youtu.be/POq-HEiNbHA"/>
    <hyperlink ref="F3981" r:id="rId2" display="https://files.afu.se/Downloads/Transcripts/0%20-%20Government/USA%20-%20NASA/"/>
    <hyperlink ref="C3982" r:id="rId3982" display="https://youtu.be/6Yzg4QoP64A"/>
    <hyperlink ref="F3982" r:id="rId2" display="https://files.afu.se/Downloads/Transcripts/0%20-%20Government/USA%20-%20NASA/"/>
    <hyperlink ref="C3983" r:id="rId3983" display="https://youtu.be/rVG53nAeUEk"/>
    <hyperlink ref="F3983" r:id="rId2" display="https://files.afu.se/Downloads/Transcripts/0%20-%20Government/USA%20-%20NASA/"/>
    <hyperlink ref="C3984" r:id="rId3984" display="https://youtu.be/zrbS0B3l56A"/>
    <hyperlink ref="F3984" r:id="rId2" display="https://files.afu.se/Downloads/Transcripts/0%20-%20Government/USA%20-%20NASA/"/>
    <hyperlink ref="C3985" r:id="rId3985" display="https://youtu.be/3QCRriFKanM"/>
    <hyperlink ref="F3985" r:id="rId2" display="https://files.afu.se/Downloads/Transcripts/0%20-%20Government/USA%20-%20NASA/"/>
    <hyperlink ref="C3986" r:id="rId3986" display="https://youtu.be/Rpfe2d3EX0o"/>
    <hyperlink ref="F3986" r:id="rId2" display="https://files.afu.se/Downloads/Transcripts/0%20-%20Government/USA%20-%20NASA/"/>
    <hyperlink ref="C3987" r:id="rId3987" display="https://youtu.be/IknfWcps40g"/>
    <hyperlink ref="F3987" r:id="rId2" display="https://files.afu.se/Downloads/Transcripts/0%20-%20Government/USA%20-%20NASA/"/>
    <hyperlink ref="C3988" r:id="rId3988" display="https://youtu.be/Ar1rnwLwP3M"/>
    <hyperlink ref="F3988" r:id="rId2" display="https://files.afu.se/Downloads/Transcripts/0%20-%20Government/USA%20-%20NASA/"/>
    <hyperlink ref="C3989" r:id="rId3989" display="https://youtu.be/87Tu23BrLh8"/>
    <hyperlink ref="F3989" r:id="rId2" display="https://files.afu.se/Downloads/Transcripts/0%20-%20Government/USA%20-%20NASA/"/>
    <hyperlink ref="C3990" r:id="rId3990" display="https://youtu.be/He2kGMRMjPk"/>
    <hyperlink ref="F3990" r:id="rId2" display="https://files.afu.se/Downloads/Transcripts/0%20-%20Government/USA%20-%20NASA/"/>
    <hyperlink ref="C3991" r:id="rId3991" display="https://youtu.be/evhdrNmcaqM"/>
    <hyperlink ref="F3991" r:id="rId2" display="https://files.afu.se/Downloads/Transcripts/0%20-%20Government/USA%20-%20NASA/"/>
    <hyperlink ref="C3992" r:id="rId3992" display="https://youtu.be/JhwgG3V_GA8"/>
    <hyperlink ref="F3992" r:id="rId2" display="https://files.afu.se/Downloads/Transcripts/0%20-%20Government/USA%20-%20NASA/"/>
    <hyperlink ref="C3993" r:id="rId3993" display="https://youtu.be/9OtJLltVpZI"/>
    <hyperlink ref="F3993" r:id="rId2" display="https://files.afu.se/Downloads/Transcripts/0%20-%20Government/USA%20-%20NASA/"/>
    <hyperlink ref="C3994" r:id="rId3994" display="https://youtu.be/lzf-edLOo-8"/>
    <hyperlink ref="F3994" r:id="rId2" display="https://files.afu.se/Downloads/Transcripts/0%20-%20Government/USA%20-%20NASA/"/>
    <hyperlink ref="C3995" r:id="rId3995" display="https://youtu.be/1Wmi2uCiEsU"/>
    <hyperlink ref="F3995" r:id="rId2" display="https://files.afu.se/Downloads/Transcripts/0%20-%20Government/USA%20-%20NASA/"/>
    <hyperlink ref="C3996" r:id="rId3996" display="https://youtu.be/e7dISGGxLRk"/>
    <hyperlink ref="F3996" r:id="rId2" display="https://files.afu.se/Downloads/Transcripts/0%20-%20Government/USA%20-%20NASA/"/>
    <hyperlink ref="C3997" r:id="rId3997" display="https://youtu.be/8nl69I9ZX1A"/>
    <hyperlink ref="F3997" r:id="rId2" display="https://files.afu.se/Downloads/Transcripts/0%20-%20Government/USA%20-%20NASA/"/>
    <hyperlink ref="C3998" r:id="rId3998" display="https://youtu.be/HLDG5sNMX2M"/>
    <hyperlink ref="F3998" r:id="rId2" display="https://files.afu.se/Downloads/Transcripts/0%20-%20Government/USA%20-%20NASA/"/>
    <hyperlink ref="C3999" r:id="rId3999" display="https://youtu.be/DRQbGB4T5Os"/>
    <hyperlink ref="F3999" r:id="rId2" display="https://files.afu.se/Downloads/Transcripts/0%20-%20Government/USA%20-%20NASA/"/>
    <hyperlink ref="C4000" r:id="rId4000" display="https://youtu.be/VVGrS7jVq90"/>
    <hyperlink ref="F4000" r:id="rId2" display="https://files.afu.se/Downloads/Transcripts/0%20-%20Government/USA%20-%20NASA/"/>
    <hyperlink ref="C4001" r:id="rId4001" display="https://youtu.be/9MWJi9BBznU"/>
    <hyperlink ref="F4001" r:id="rId2" display="https://files.afu.se/Downloads/Transcripts/0%20-%20Government/USA%20-%20NASA/"/>
    <hyperlink ref="C4002" r:id="rId4002" display="https://youtu.be/4jkdq-BCkDI"/>
    <hyperlink ref="F4002" r:id="rId2" display="https://files.afu.se/Downloads/Transcripts/0%20-%20Government/USA%20-%20NASA/"/>
    <hyperlink ref="C4003" r:id="rId4003" display="https://youtu.be/dEQF_C3E-Q4"/>
    <hyperlink ref="F4003" r:id="rId2" display="https://files.afu.se/Downloads/Transcripts/0%20-%20Government/USA%20-%20NASA/"/>
    <hyperlink ref="C4004" r:id="rId4004" display="https://youtu.be/KjA17RHNF0M"/>
    <hyperlink ref="F4004" r:id="rId2" display="https://files.afu.se/Downloads/Transcripts/0%20-%20Government/USA%20-%20NASA/"/>
    <hyperlink ref="C4005" r:id="rId4005" display="https://youtu.be/40YpG8j8O5s"/>
    <hyperlink ref="F4005" r:id="rId2" display="https://files.afu.se/Downloads/Transcripts/0%20-%20Government/USA%20-%20NASA/"/>
    <hyperlink ref="C4006" r:id="rId4006" display="https://youtu.be/u37hsZQ2hUc"/>
    <hyperlink ref="F4006" r:id="rId2" display="https://files.afu.se/Downloads/Transcripts/0%20-%20Government/USA%20-%20NASA/"/>
    <hyperlink ref="C4007" r:id="rId4007" display="https://youtu.be/rW4CUDLZtCQ"/>
    <hyperlink ref="F4007" r:id="rId2" display="https://files.afu.se/Downloads/Transcripts/0%20-%20Government/USA%20-%20NASA/"/>
    <hyperlink ref="C4008" r:id="rId4008" display="https://youtu.be/r3SYMALDFWE"/>
    <hyperlink ref="F4008" r:id="rId2" display="https://files.afu.se/Downloads/Transcripts/0%20-%20Government/USA%20-%20NASA/"/>
    <hyperlink ref="C4009" r:id="rId4009" display="https://youtu.be/T4ikciBsT9E"/>
    <hyperlink ref="F4009" r:id="rId2" display="https://files.afu.se/Downloads/Transcripts/0%20-%20Government/USA%20-%20NASA/"/>
    <hyperlink ref="C4010" r:id="rId4010" display="https://youtu.be/LycueAyuATg"/>
    <hyperlink ref="F4010" r:id="rId2" display="https://files.afu.se/Downloads/Transcripts/0%20-%20Government/USA%20-%20NASA/"/>
    <hyperlink ref="C4011" r:id="rId4011" display="https://youtu.be/uOCjF8MtRVg"/>
    <hyperlink ref="F4011" r:id="rId2" display="https://files.afu.se/Downloads/Transcripts/0%20-%20Government/USA%20-%20NASA/"/>
    <hyperlink ref="C4012" r:id="rId4012" display="https://youtu.be/8Drno0nGT3Q"/>
    <hyperlink ref="F4012" r:id="rId2" display="https://files.afu.se/Downloads/Transcripts/0%20-%20Government/USA%20-%20NASA/"/>
    <hyperlink ref="C4013" r:id="rId4013" display="https://youtu.be/qWIqW3CysGw"/>
    <hyperlink ref="F4013" r:id="rId2" display="https://files.afu.se/Downloads/Transcripts/0%20-%20Government/USA%20-%20NASA/"/>
    <hyperlink ref="C4014" r:id="rId4014" display="https://youtu.be/8aZjVA90wio"/>
    <hyperlink ref="F4014" r:id="rId2" display="https://files.afu.se/Downloads/Transcripts/0%20-%20Government/USA%20-%20NASA/"/>
    <hyperlink ref="C4015" r:id="rId4015" display="https://youtu.be/ALe_MYH1q58"/>
    <hyperlink ref="F4015" r:id="rId2" display="https://files.afu.se/Downloads/Transcripts/0%20-%20Government/USA%20-%20NASA/"/>
    <hyperlink ref="C4016" r:id="rId4016" display="https://youtu.be/lJ7i9az_yU4"/>
    <hyperlink ref="F4016" r:id="rId2" display="https://files.afu.se/Downloads/Transcripts/0%20-%20Government/USA%20-%20NASA/"/>
    <hyperlink ref="C4017" r:id="rId4017" display="https://youtu.be/GFceGcsLSuY"/>
    <hyperlink ref="F4017" r:id="rId2" display="https://files.afu.se/Downloads/Transcripts/0%20-%20Government/USA%20-%20NASA/"/>
    <hyperlink ref="C4018" r:id="rId4018" display="https://youtu.be/PVlpNMtoeHE"/>
    <hyperlink ref="F4018" r:id="rId2" display="https://files.afu.se/Downloads/Transcripts/0%20-%20Government/USA%20-%20NASA/"/>
    <hyperlink ref="C4019" r:id="rId4019" display="https://youtu.be/LnvzphT1XCY"/>
    <hyperlink ref="F4019" r:id="rId2" display="https://files.afu.se/Downloads/Transcripts/0%20-%20Government/USA%20-%20NASA/"/>
    <hyperlink ref="C4020" r:id="rId4020" display="https://youtu.be/Vo9Y9i1nN3U"/>
    <hyperlink ref="F4020" r:id="rId2" display="https://files.afu.se/Downloads/Transcripts/0%20-%20Government/USA%20-%20NASA/"/>
    <hyperlink ref="C4021" r:id="rId4021" display="https://youtu.be/ON1tBvz5e5w"/>
    <hyperlink ref="F4021" r:id="rId2" display="https://files.afu.se/Downloads/Transcripts/0%20-%20Government/USA%20-%20NASA/"/>
    <hyperlink ref="C4022" r:id="rId4022" display="https://youtu.be/r1mKjY15XFU"/>
    <hyperlink ref="F4022" r:id="rId2" display="https://files.afu.se/Downloads/Transcripts/0%20-%20Government/USA%20-%20NASA/"/>
    <hyperlink ref="C4023" r:id="rId4023" display="https://youtu.be/6Oaw9rNdRrQ"/>
    <hyperlink ref="F4023" r:id="rId2" display="https://files.afu.se/Downloads/Transcripts/0%20-%20Government/USA%20-%20NASA/"/>
    <hyperlink ref="C4024" r:id="rId4024" display="https://youtu.be/0Z6B4OB1Kr0"/>
    <hyperlink ref="F4024" r:id="rId2" display="https://files.afu.se/Downloads/Transcripts/0%20-%20Government/USA%20-%20NASA/"/>
    <hyperlink ref="C4025" r:id="rId4025" display="https://youtu.be/Us18oQTAm9k"/>
    <hyperlink ref="F4025" r:id="rId2" display="https://files.afu.se/Downloads/Transcripts/0%20-%20Government/USA%20-%20NASA/"/>
    <hyperlink ref="C4026" r:id="rId4026" display="https://youtu.be/oXzkdYVzlcc"/>
    <hyperlink ref="F4026" r:id="rId2" display="https://files.afu.se/Downloads/Transcripts/0%20-%20Government/USA%20-%20NASA/"/>
    <hyperlink ref="C4027" r:id="rId4027" display="https://youtu.be/e8AHmDxiHZs"/>
    <hyperlink ref="F4027" r:id="rId2" display="https://files.afu.se/Downloads/Transcripts/0%20-%20Government/USA%20-%20NASA/"/>
    <hyperlink ref="C4028" r:id="rId4028" display="https://youtu.be/NreQUWr8fOs"/>
    <hyperlink ref="F4028" r:id="rId2" display="https://files.afu.se/Downloads/Transcripts/0%20-%20Government/USA%20-%20NASA/"/>
    <hyperlink ref="C4029" r:id="rId4029" display="https://youtu.be/0k1RZdKz3Zk"/>
    <hyperlink ref="F4029" r:id="rId2" display="https://files.afu.se/Downloads/Transcripts/0%20-%20Government/USA%20-%20NASA/"/>
    <hyperlink ref="C4030" r:id="rId4030" display="https://youtu.be/-w6w9w-MQJM"/>
    <hyperlink ref="F4030" r:id="rId2" display="https://files.afu.se/Downloads/Transcripts/0%20-%20Government/USA%20-%20NASA/"/>
    <hyperlink ref="C4031" r:id="rId4031" display="https://youtu.be/V___dKNv1pM"/>
    <hyperlink ref="F4031" r:id="rId2" display="https://files.afu.se/Downloads/Transcripts/0%20-%20Government/USA%20-%20NASA/"/>
    <hyperlink ref="C4032" r:id="rId4032" display="https://youtu.be/Y3QSYZA_NK4"/>
    <hyperlink ref="F4032" r:id="rId2" display="https://files.afu.se/Downloads/Transcripts/0%20-%20Government/USA%20-%20NASA/"/>
    <hyperlink ref="C4033" r:id="rId4033" display="https://youtu.be/c7ON6zZ2pCY"/>
    <hyperlink ref="F4033" r:id="rId2" display="https://files.afu.se/Downloads/Transcripts/0%20-%20Government/USA%20-%20NASA/"/>
    <hyperlink ref="C4034" r:id="rId4034" display="https://youtu.be/6KWknGuxUx4"/>
    <hyperlink ref="F4034" r:id="rId2" display="https://files.afu.se/Downloads/Transcripts/0%20-%20Government/USA%20-%20NASA/"/>
    <hyperlink ref="C4035" r:id="rId4035" display="https://youtu.be/OiXtvQEVKWI"/>
    <hyperlink ref="F4035" r:id="rId2" display="https://files.afu.se/Downloads/Transcripts/0%20-%20Government/USA%20-%20NASA/"/>
    <hyperlink ref="C4036" r:id="rId4036" display="https://youtu.be/zxE3KBRorZI"/>
    <hyperlink ref="F4036" r:id="rId2" display="https://files.afu.se/Downloads/Transcripts/0%20-%20Government/USA%20-%20NASA/"/>
    <hyperlink ref="C4037" r:id="rId4037" display="https://youtu.be/S_exKI8MXOA"/>
    <hyperlink ref="F4037" r:id="rId2" display="https://files.afu.se/Downloads/Transcripts/0%20-%20Government/USA%20-%20NASA/"/>
    <hyperlink ref="C4038" r:id="rId4038" display="https://youtu.be/ALtA-kve86c"/>
    <hyperlink ref="F4038" r:id="rId2" display="https://files.afu.se/Downloads/Transcripts/0%20-%20Government/USA%20-%20NASA/"/>
    <hyperlink ref="C4039" r:id="rId4039" display="https://youtu.be/KqDKDD1M9Dg"/>
    <hyperlink ref="F4039" r:id="rId2" display="https://files.afu.se/Downloads/Transcripts/0%20-%20Government/USA%20-%20NASA/"/>
    <hyperlink ref="C4040" r:id="rId4040" display="https://youtu.be/ADBZji-VTGU"/>
    <hyperlink ref="F4040" r:id="rId2" display="https://files.afu.se/Downloads/Transcripts/0%20-%20Government/USA%20-%20NASA/"/>
    <hyperlink ref="C4041" r:id="rId4041" display="https://youtu.be/krVj1FLDJB4"/>
    <hyperlink ref="F4041" r:id="rId2" display="https://files.afu.se/Downloads/Transcripts/0%20-%20Government/USA%20-%20NASA/"/>
    <hyperlink ref="C4042" r:id="rId4042" display="https://youtu.be/fBzj2bHQENQ"/>
    <hyperlink ref="F4042" r:id="rId2" display="https://files.afu.se/Downloads/Transcripts/0%20-%20Government/USA%20-%20NASA/"/>
    <hyperlink ref="C4043" r:id="rId4043" display="https://youtu.be/ALaUAjtw7cg"/>
    <hyperlink ref="F4043" r:id="rId2" display="https://files.afu.se/Downloads/Transcripts/0%20-%20Government/USA%20-%20NASA/"/>
    <hyperlink ref="C4044" r:id="rId4044" display="https://youtu.be/nLEZQZxd3pA"/>
    <hyperlink ref="F4044" r:id="rId2" display="https://files.afu.se/Downloads/Transcripts/0%20-%20Government/USA%20-%20NASA/"/>
    <hyperlink ref="C4045" r:id="rId4045" display="https://youtu.be/sCE47dK7f2E"/>
    <hyperlink ref="F4045" r:id="rId2" display="https://files.afu.se/Downloads/Transcripts/0%20-%20Government/USA%20-%20NASA/"/>
    <hyperlink ref="C4046" r:id="rId4046" display="https://youtu.be/3sBlQnF3cpc"/>
    <hyperlink ref="F4046" r:id="rId2" display="https://files.afu.se/Downloads/Transcripts/0%20-%20Government/USA%20-%20NASA/"/>
    <hyperlink ref="C4047" r:id="rId4047" display="https://youtu.be/VyYUCseZ4i8"/>
    <hyperlink ref="F4047" r:id="rId2" display="https://files.afu.se/Downloads/Transcripts/0%20-%20Government/USA%20-%20NASA/"/>
    <hyperlink ref="C4048" r:id="rId4048" display="https://youtu.be/XLlBD5IaWbo"/>
    <hyperlink ref="F4048" r:id="rId2" display="https://files.afu.se/Downloads/Transcripts/0%20-%20Government/USA%20-%20NASA/"/>
    <hyperlink ref="C4049" r:id="rId4049" display="https://youtu.be/sIjys2D8L_A"/>
    <hyperlink ref="F4049" r:id="rId2" display="https://files.afu.se/Downloads/Transcripts/0%20-%20Government/USA%20-%20NASA/"/>
    <hyperlink ref="C4050" r:id="rId4050" display="https://youtu.be/q3zgUWD7EZY"/>
    <hyperlink ref="F4050" r:id="rId2" display="https://files.afu.se/Downloads/Transcripts/0%20-%20Government/USA%20-%20NASA/"/>
    <hyperlink ref="C4051" r:id="rId4051" display="https://youtu.be/l5cXp5ZZiZA"/>
    <hyperlink ref="F4051" r:id="rId2" display="https://files.afu.se/Downloads/Transcripts/0%20-%20Government/USA%20-%20NASA/"/>
    <hyperlink ref="C4052" r:id="rId4052" display="https://youtu.be/L-oMCEemI08"/>
    <hyperlink ref="F4052" r:id="rId2" display="https://files.afu.se/Downloads/Transcripts/0%20-%20Government/USA%20-%20NASA/"/>
    <hyperlink ref="C4053" r:id="rId4053" display="https://youtu.be/iiPFT5OwDMI"/>
    <hyperlink ref="F4053" r:id="rId2" display="https://files.afu.se/Downloads/Transcripts/0%20-%20Government/USA%20-%20NASA/"/>
    <hyperlink ref="C4054" r:id="rId4054" display="https://youtu.be/hqYhL8agRYM"/>
    <hyperlink ref="F4054" r:id="rId2" display="https://files.afu.se/Downloads/Transcripts/0%20-%20Government/USA%20-%20NASA/"/>
    <hyperlink ref="C4055" r:id="rId4055" display="https://youtu.be/wCHo5C5EPKM"/>
    <hyperlink ref="F4055" r:id="rId2" display="https://files.afu.se/Downloads/Transcripts/0%20-%20Government/USA%20-%20NASA/"/>
    <hyperlink ref="C4056" r:id="rId4056" display="https://youtu.be/bJM3rOhfje0"/>
    <hyperlink ref="F4056" r:id="rId2" display="https://files.afu.se/Downloads/Transcripts/0%20-%20Government/USA%20-%20NASA/"/>
    <hyperlink ref="C4057" r:id="rId4057" display="https://youtu.be/fU4dAyVbgWw"/>
    <hyperlink ref="F4057" r:id="rId2" display="https://files.afu.se/Downloads/Transcripts/0%20-%20Government/USA%20-%20NASA/"/>
    <hyperlink ref="C4058" r:id="rId4058" display="https://youtu.be/aml4u8JMn5A"/>
    <hyperlink ref="F4058" r:id="rId2" display="https://files.afu.se/Downloads/Transcripts/0%20-%20Government/USA%20-%20NASA/"/>
    <hyperlink ref="C4059" r:id="rId4059" display="https://youtu.be/Y53pI0Wj6KY"/>
    <hyperlink ref="F4059" r:id="rId2" display="https://files.afu.se/Downloads/Transcripts/0%20-%20Government/USA%20-%20NASA/"/>
    <hyperlink ref="C4060" r:id="rId4060" display="https://youtu.be/CNpLLtW0xC0"/>
    <hyperlink ref="F4060" r:id="rId2" display="https://files.afu.se/Downloads/Transcripts/0%20-%20Government/USA%20-%20NASA/"/>
    <hyperlink ref="C4061" r:id="rId4061" display="https://youtu.be/vujmgfuL3Wk"/>
    <hyperlink ref="F4061" r:id="rId2" display="https://files.afu.se/Downloads/Transcripts/0%20-%20Government/USA%20-%20NASA/"/>
    <hyperlink ref="C4062" r:id="rId4062" display="https://youtu.be/VEERQzt-9l8"/>
    <hyperlink ref="F4062" r:id="rId2" display="https://files.afu.se/Downloads/Transcripts/0%20-%20Government/USA%20-%20NASA/"/>
    <hyperlink ref="C4063" r:id="rId4063" display="https://youtu.be/SAj12ESML_0"/>
    <hyperlink ref="F4063" r:id="rId2" display="https://files.afu.se/Downloads/Transcripts/0%20-%20Government/USA%20-%20NASA/"/>
    <hyperlink ref="C4064" r:id="rId4064" display="https://youtu.be/YUnQCs77PoY"/>
    <hyperlink ref="F4064" r:id="rId2" display="https://files.afu.se/Downloads/Transcripts/0%20-%20Government/USA%20-%20NASA/"/>
    <hyperlink ref="C4065" r:id="rId4065" display="https://youtu.be/ZYb0p991x1Y"/>
    <hyperlink ref="F4065" r:id="rId2" display="https://files.afu.se/Downloads/Transcripts/0%20-%20Government/USA%20-%20NASA/"/>
    <hyperlink ref="C4066" r:id="rId4066" display="https://youtu.be/gooXoVf_llw"/>
    <hyperlink ref="F4066" r:id="rId2" display="https://files.afu.se/Downloads/Transcripts/0%20-%20Government/USA%20-%20NASA/"/>
    <hyperlink ref="C4067" r:id="rId4067" display="https://youtu.be/EbU7dFoCoyU"/>
    <hyperlink ref="F4067" r:id="rId2" display="https://files.afu.se/Downloads/Transcripts/0%20-%20Government/USA%20-%20NASA/"/>
    <hyperlink ref="C4068" r:id="rId4068" display="https://youtu.be/AX_muSpK8dU"/>
    <hyperlink ref="F4068" r:id="rId2" display="https://files.afu.se/Downloads/Transcripts/0%20-%20Government/USA%20-%20NASA/"/>
    <hyperlink ref="C4069" r:id="rId4069" display="https://youtu.be/Mz8jPvhUjy0"/>
    <hyperlink ref="F4069" r:id="rId2" display="https://files.afu.se/Downloads/Transcripts/0%20-%20Government/USA%20-%20NASA/"/>
    <hyperlink ref="C4070" r:id="rId4070" display="https://youtu.be/-eznixDTqCc"/>
    <hyperlink ref="F4070" r:id="rId2" display="https://files.afu.se/Downloads/Transcripts/0%20-%20Government/USA%20-%20NASA/"/>
    <hyperlink ref="C4071" r:id="rId4071" display="https://youtu.be/eGxJwX4HOXY"/>
    <hyperlink ref="F4071" r:id="rId2" display="https://files.afu.se/Downloads/Transcripts/0%20-%20Government/USA%20-%20NASA/"/>
    <hyperlink ref="C4072" r:id="rId4072" display="https://youtu.be/3deA3BXAnHs"/>
    <hyperlink ref="F4072" r:id="rId2" display="https://files.afu.se/Downloads/Transcripts/0%20-%20Government/USA%20-%20NASA/"/>
    <hyperlink ref="C4073" r:id="rId4073" display="https://youtu.be/1cFdhyVtNUw"/>
    <hyperlink ref="F4073" r:id="rId2" display="https://files.afu.se/Downloads/Transcripts/0%20-%20Government/USA%20-%20NASA/"/>
    <hyperlink ref="C4074" r:id="rId4074" display="https://youtu.be/V-wXjYid4_8"/>
    <hyperlink ref="F4074" r:id="rId2" display="https://files.afu.se/Downloads/Transcripts/0%20-%20Government/USA%20-%20NASA/"/>
    <hyperlink ref="C4075" r:id="rId4075" display="https://youtu.be/PDlnNrl64S8"/>
    <hyperlink ref="F4075" r:id="rId2" display="https://files.afu.se/Downloads/Transcripts/0%20-%20Government/USA%20-%20NASA/"/>
    <hyperlink ref="C4076" r:id="rId4076" display="https://youtu.be/knRwq9DRHbw"/>
    <hyperlink ref="F4076" r:id="rId2" display="https://files.afu.se/Downloads/Transcripts/0%20-%20Government/USA%20-%20NASA/"/>
    <hyperlink ref="C4077" r:id="rId4077" display="https://youtu.be/0KDyezVYPBY"/>
    <hyperlink ref="F4077" r:id="rId2" display="https://files.afu.se/Downloads/Transcripts/0%20-%20Government/USA%20-%20NASA/"/>
    <hyperlink ref="C4078" r:id="rId4078" display="https://youtu.be/R69tCTKMP6g"/>
    <hyperlink ref="F4078" r:id="rId2" display="https://files.afu.se/Downloads/Transcripts/0%20-%20Government/USA%20-%20NASA/"/>
    <hyperlink ref="C4079" r:id="rId4079" display="https://youtu.be/ejk5GL3nE5I"/>
    <hyperlink ref="F4079" r:id="rId2" display="https://files.afu.se/Downloads/Transcripts/0%20-%20Government/USA%20-%20NASA/"/>
    <hyperlink ref="C4080" r:id="rId4080" display="https://youtu.be/s6twVLxek2g"/>
    <hyperlink ref="F4080" r:id="rId2" display="https://files.afu.se/Downloads/Transcripts/0%20-%20Government/USA%20-%20NASA/"/>
    <hyperlink ref="C4081" r:id="rId4081" display="https://youtu.be/hBnO8lJd2JU"/>
    <hyperlink ref="F4081" r:id="rId2" display="https://files.afu.se/Downloads/Transcripts/0%20-%20Government/USA%20-%20NASA/"/>
    <hyperlink ref="C4082" r:id="rId4082" display="https://youtu.be/_lOio5YxVz8"/>
    <hyperlink ref="F4082" r:id="rId2" display="https://files.afu.se/Downloads/Transcripts/0%20-%20Government/USA%20-%20NASA/"/>
    <hyperlink ref="C4083" r:id="rId4083" display="https://youtu.be/SvaG0xDdP8g"/>
    <hyperlink ref="F4083" r:id="rId2" display="https://files.afu.se/Downloads/Transcripts/0%20-%20Government/USA%20-%20NASA/"/>
    <hyperlink ref="C4084" r:id="rId4084" display="https://youtu.be/9jqtxyvH4Vc"/>
    <hyperlink ref="F4084" r:id="rId2" display="https://files.afu.se/Downloads/Transcripts/0%20-%20Government/USA%20-%20NASA/"/>
    <hyperlink ref="C4085" r:id="rId4085" display="https://youtu.be/BE8LojTjo2A"/>
    <hyperlink ref="F4085" r:id="rId2" display="https://files.afu.se/Downloads/Transcripts/0%20-%20Government/USA%20-%20NASA/"/>
    <hyperlink ref="C4086" r:id="rId4086" display="https://youtu.be/SgP5N8tJisg"/>
    <hyperlink ref="F4086" r:id="rId2" display="https://files.afu.se/Downloads/Transcripts/0%20-%20Government/USA%20-%20NASA/"/>
    <hyperlink ref="C4087" r:id="rId4087" display="https://youtu.be/lswDRdT3zJw"/>
    <hyperlink ref="F4087" r:id="rId2" display="https://files.afu.se/Downloads/Transcripts/0%20-%20Government/USA%20-%20NASA/"/>
    <hyperlink ref="C4088" r:id="rId4088" display="https://youtu.be/t7nVTByMiZA"/>
    <hyperlink ref="F4088" r:id="rId2" display="https://files.afu.se/Downloads/Transcripts/0%20-%20Government/USA%20-%20NASA/"/>
    <hyperlink ref="C4089" r:id="rId4089" display="https://youtu.be/xR0004YvK2s"/>
    <hyperlink ref="F4089" r:id="rId2" display="https://files.afu.se/Downloads/Transcripts/0%20-%20Government/USA%20-%20NASA/"/>
    <hyperlink ref="C4090" r:id="rId4090" display="https://youtu.be/VYaNE49vv9I"/>
    <hyperlink ref="F4090" r:id="rId2" display="https://files.afu.se/Downloads/Transcripts/0%20-%20Government/USA%20-%20NASA/"/>
    <hyperlink ref="C4091" r:id="rId4091" display="https://youtu.be/peKQyXZ_g5w"/>
    <hyperlink ref="F4091" r:id="rId2" display="https://files.afu.se/Downloads/Transcripts/0%20-%20Government/USA%20-%20NASA/"/>
    <hyperlink ref="C4092" r:id="rId4092" display="https://youtu.be/lSz0JifzWSU"/>
    <hyperlink ref="F4092" r:id="rId2" display="https://files.afu.se/Downloads/Transcripts/0%20-%20Government/USA%20-%20NASA/"/>
    <hyperlink ref="C4093" r:id="rId4093" display="https://youtu.be/mkjBW5CZWkc"/>
    <hyperlink ref="F4093" r:id="rId2" display="https://files.afu.se/Downloads/Transcripts/0%20-%20Government/USA%20-%20NASA/"/>
    <hyperlink ref="C4094" r:id="rId4094" display="https://youtu.be/f-MgyVJq-y4"/>
    <hyperlink ref="F4094" r:id="rId2" display="https://files.afu.se/Downloads/Transcripts/0%20-%20Government/USA%20-%20NASA/"/>
    <hyperlink ref="C4095" r:id="rId4095" display="https://youtu.be/Y-5VO2nlRYA"/>
    <hyperlink ref="F4095" r:id="rId2" display="https://files.afu.se/Downloads/Transcripts/0%20-%20Government/USA%20-%20NASA/"/>
    <hyperlink ref="C4096" r:id="rId4096" display="https://youtu.be/-lhmzhNYLbU"/>
    <hyperlink ref="F4096" r:id="rId2" display="https://files.afu.se/Downloads/Transcripts/0%20-%20Government/USA%20-%20NASA/"/>
    <hyperlink ref="C4097" r:id="rId4097" display="https://youtu.be/UleTHCoU-Zc"/>
    <hyperlink ref="F4097" r:id="rId2" display="https://files.afu.se/Downloads/Transcripts/0%20-%20Government/USA%20-%20NASA/"/>
    <hyperlink ref="C4098" r:id="rId4098" display="https://youtu.be/oQapAbaWrmQ"/>
    <hyperlink ref="F4098" r:id="rId2" display="https://files.afu.se/Downloads/Transcripts/0%20-%20Government/USA%20-%20NASA/"/>
    <hyperlink ref="C4099" r:id="rId4099" display="https://youtu.be/4Xn180k6k_Q"/>
    <hyperlink ref="F4099" r:id="rId2" display="https://files.afu.se/Downloads/Transcripts/0%20-%20Government/USA%20-%20NASA/"/>
    <hyperlink ref="C4100" r:id="rId4100" display="https://youtu.be/qPne2ffaG9Q"/>
    <hyperlink ref="F4100" r:id="rId2" display="https://files.afu.se/Downloads/Transcripts/0%20-%20Government/USA%20-%20NASA/"/>
    <hyperlink ref="C4101" r:id="rId4101" display="https://youtu.be/Y9O2zoIPTZE"/>
    <hyperlink ref="F4101" r:id="rId2" display="https://files.afu.se/Downloads/Transcripts/0%20-%20Government/USA%20-%20NASA/"/>
    <hyperlink ref="C4102" r:id="rId4102" display="https://youtu.be/BKSWVa7kt6s"/>
    <hyperlink ref="F4102" r:id="rId2" display="https://files.afu.se/Downloads/Transcripts/0%20-%20Government/USA%20-%20NASA/"/>
    <hyperlink ref="C4103" r:id="rId4103" display="https://youtu.be/XJ3m4bB0MWo"/>
    <hyperlink ref="F4103" r:id="rId2" display="https://files.afu.se/Downloads/Transcripts/0%20-%20Government/USA%20-%20NASA/"/>
    <hyperlink ref="C4104" r:id="rId4104" display="https://youtu.be/FfFuEpptyUk"/>
    <hyperlink ref="F4104" r:id="rId2" display="https://files.afu.se/Downloads/Transcripts/0%20-%20Government/USA%20-%20NASA/"/>
    <hyperlink ref="C4105" r:id="rId4105" display="https://youtu.be/iz1XF2Acn2Y"/>
    <hyperlink ref="F4105" r:id="rId2" display="https://files.afu.se/Downloads/Transcripts/0%20-%20Government/USA%20-%20NASA/"/>
    <hyperlink ref="C4106" r:id="rId4106" display="https://youtu.be/BgciF5iz9fA"/>
    <hyperlink ref="F4106" r:id="rId2" display="https://files.afu.se/Downloads/Transcripts/0%20-%20Government/USA%20-%20NASA/"/>
    <hyperlink ref="C4107" r:id="rId4107" display="https://youtu.be/2hz-cGhiTLE"/>
    <hyperlink ref="F4107" r:id="rId2" display="https://files.afu.se/Downloads/Transcripts/0%20-%20Government/USA%20-%20NASA/"/>
    <hyperlink ref="C4108" r:id="rId4108" display="https://youtu.be/sw0gWqUsD-g"/>
    <hyperlink ref="F4108" r:id="rId2" display="https://files.afu.se/Downloads/Transcripts/0%20-%20Government/USA%20-%20NASA/"/>
    <hyperlink ref="C4109" r:id="rId4109" display="https://youtu.be/RGhvkVafUqI"/>
    <hyperlink ref="F4109" r:id="rId2" display="https://files.afu.se/Downloads/Transcripts/0%20-%20Government/USA%20-%20NASA/"/>
    <hyperlink ref="C4110" r:id="rId4110" display="https://youtu.be/TRgocJcABco"/>
    <hyperlink ref="F4110" r:id="rId2" display="https://files.afu.se/Downloads/Transcripts/0%20-%20Government/USA%20-%20NASA/"/>
    <hyperlink ref="C4111" r:id="rId4111" display="https://youtu.be/CKW1UvKmRqM"/>
    <hyperlink ref="F4111" r:id="rId2" display="https://files.afu.se/Downloads/Transcripts/0%20-%20Government/USA%20-%20NASA/"/>
    <hyperlink ref="C4112" r:id="rId4112" display="https://youtu.be/8IZvzs4YzzI"/>
    <hyperlink ref="F4112" r:id="rId2" display="https://files.afu.se/Downloads/Transcripts/0%20-%20Government/USA%20-%20NASA/"/>
    <hyperlink ref="C4113" r:id="rId4113" display="https://youtu.be/Kux0Jc53hj0"/>
    <hyperlink ref="F4113" r:id="rId2" display="https://files.afu.se/Downloads/Transcripts/0%20-%20Government/USA%20-%20NASA/"/>
    <hyperlink ref="C4114" r:id="rId4114" display="https://youtu.be/CbXhAEtsbHA"/>
    <hyperlink ref="F4114" r:id="rId2" display="https://files.afu.se/Downloads/Transcripts/0%20-%20Government/USA%20-%20NASA/"/>
    <hyperlink ref="C4115" r:id="rId4115" display="https://youtu.be/VMcUN3Bp_b0"/>
    <hyperlink ref="F4115" r:id="rId2" display="https://files.afu.se/Downloads/Transcripts/0%20-%20Government/USA%20-%20NASA/"/>
    <hyperlink ref="C4116" r:id="rId4116" display="https://youtu.be/uy-zRqdi32E"/>
    <hyperlink ref="F4116" r:id="rId2" display="https://files.afu.se/Downloads/Transcripts/0%20-%20Government/USA%20-%20NASA/"/>
    <hyperlink ref="C4117" r:id="rId4117" display="https://youtu.be/i8stQ3m-VD8"/>
    <hyperlink ref="F4117" r:id="rId2" display="https://files.afu.se/Downloads/Transcripts/0%20-%20Government/USA%20-%20NASA/"/>
    <hyperlink ref="C4118" r:id="rId4118" display="https://youtu.be/mGvBbZE6EQ0"/>
    <hyperlink ref="F4118" r:id="rId2" display="https://files.afu.se/Downloads/Transcripts/0%20-%20Government/USA%20-%20NASA/"/>
    <hyperlink ref="C4119" r:id="rId4119" display="https://youtu.be/KAsoNC73uRE"/>
    <hyperlink ref="F4119" r:id="rId2" display="https://files.afu.se/Downloads/Transcripts/0%20-%20Government/USA%20-%20NASA/"/>
    <hyperlink ref="C4120" r:id="rId4120" display="https://youtu.be/sjJRyFNtzzk"/>
    <hyperlink ref="F4120" r:id="rId2" display="https://files.afu.se/Downloads/Transcripts/0%20-%20Government/USA%20-%20NASA/"/>
    <hyperlink ref="C4121" r:id="rId4121" display="https://youtu.be/k28G6jLx24A"/>
    <hyperlink ref="F4121" r:id="rId2" display="https://files.afu.se/Downloads/Transcripts/0%20-%20Government/USA%20-%20NASA/"/>
    <hyperlink ref="C4122" r:id="rId4122" display="https://youtu.be/elel_HBHSV0"/>
    <hyperlink ref="F4122" r:id="rId2" display="https://files.afu.se/Downloads/Transcripts/0%20-%20Government/USA%20-%20NASA/"/>
    <hyperlink ref="C4123" r:id="rId4123" display="https://youtu.be/0w2umL6OYNk"/>
    <hyperlink ref="F4123" r:id="rId2" display="https://files.afu.se/Downloads/Transcripts/0%20-%20Government/USA%20-%20NASA/"/>
    <hyperlink ref="C4124" r:id="rId4124" display="https://youtu.be/nMBTnYEsw6k"/>
    <hyperlink ref="F4124" r:id="rId2" display="https://files.afu.se/Downloads/Transcripts/0%20-%20Government/USA%20-%20NASA/"/>
    <hyperlink ref="C4125" r:id="rId4125" display="https://youtu.be/5lGq5dQ2a-A"/>
    <hyperlink ref="F4125" r:id="rId2" display="https://files.afu.se/Downloads/Transcripts/0%20-%20Government/USA%20-%20NASA/"/>
    <hyperlink ref="C4126" r:id="rId4126" display="https://youtu.be/idRwRcDapgg"/>
    <hyperlink ref="F4126" r:id="rId2" display="https://files.afu.se/Downloads/Transcripts/0%20-%20Government/USA%20-%20NASA/"/>
    <hyperlink ref="C4127" r:id="rId4127" display="https://youtu.be/aMiP-D4SJZQ"/>
    <hyperlink ref="F4127" r:id="rId2" display="https://files.afu.se/Downloads/Transcripts/0%20-%20Government/USA%20-%20NASA/"/>
    <hyperlink ref="C4128" r:id="rId4128" display="https://youtu.be/W2moU4Djzbk"/>
    <hyperlink ref="F4128" r:id="rId2" display="https://files.afu.se/Downloads/Transcripts/0%20-%20Government/USA%20-%20NASA/"/>
    <hyperlink ref="C4129" r:id="rId4129" display="https://youtu.be/64jml5rxKr0"/>
    <hyperlink ref="F4129" r:id="rId2" display="https://files.afu.se/Downloads/Transcripts/0%20-%20Government/USA%20-%20NASA/"/>
    <hyperlink ref="C4130" r:id="rId4130" display="https://youtu.be/g-fCkzHkn3c"/>
    <hyperlink ref="F4130" r:id="rId2" display="https://files.afu.se/Downloads/Transcripts/0%20-%20Government/USA%20-%20NASA/"/>
    <hyperlink ref="C4131" r:id="rId4131" display="https://youtu.be/iOLh3Vxk0HM"/>
    <hyperlink ref="F4131" r:id="rId2" display="https://files.afu.se/Downloads/Transcripts/0%20-%20Government/USA%20-%20NASA/"/>
    <hyperlink ref="C4132" r:id="rId4132" display="https://youtu.be/z27GRH23nkw"/>
    <hyperlink ref="F4132" r:id="rId2" display="https://files.afu.se/Downloads/Transcripts/0%20-%20Government/USA%20-%20NASA/"/>
    <hyperlink ref="C4133" r:id="rId4133" display="https://youtu.be/0yZLP32ehRE"/>
    <hyperlink ref="F4133" r:id="rId2" display="https://files.afu.se/Downloads/Transcripts/0%20-%20Government/USA%20-%20NASA/"/>
    <hyperlink ref="C4134" r:id="rId4134" display="https://youtu.be/r_If7LyjyXo"/>
    <hyperlink ref="F4134" r:id="rId2" display="https://files.afu.se/Downloads/Transcripts/0%20-%20Government/USA%20-%20NASA/"/>
    <hyperlink ref="C4135" r:id="rId4135" display="https://youtu.be/vV61OoU-r3M"/>
    <hyperlink ref="F4135" r:id="rId2" display="https://files.afu.se/Downloads/Transcripts/0%20-%20Government/USA%20-%20NASA/"/>
    <hyperlink ref="C4136" r:id="rId4136" display="https://youtu.be/GEsg50IlmBM"/>
    <hyperlink ref="F4136" r:id="rId2" display="https://files.afu.se/Downloads/Transcripts/0%20-%20Government/USA%20-%20NASA/"/>
    <hyperlink ref="C4137" r:id="rId4137" display="https://youtu.be/HMSoqSfEgS0"/>
    <hyperlink ref="F4137" r:id="rId2" display="https://files.afu.se/Downloads/Transcripts/0%20-%20Government/USA%20-%20NASA/"/>
    <hyperlink ref="C4138" r:id="rId4138" display="https://youtu.be/3qSlHh23Qto"/>
    <hyperlink ref="F4138" r:id="rId2" display="https://files.afu.se/Downloads/Transcripts/0%20-%20Government/USA%20-%20NASA/"/>
    <hyperlink ref="C4139" r:id="rId4139" display="https://youtu.be/Z6N-tkxlfVs"/>
    <hyperlink ref="F4139" r:id="rId2" display="https://files.afu.se/Downloads/Transcripts/0%20-%20Government/USA%20-%20NASA/"/>
    <hyperlink ref="C4140" r:id="rId4140" display="https://youtu.be/bx2hZC6UyO4"/>
    <hyperlink ref="F4140" r:id="rId2" display="https://files.afu.se/Downloads/Transcripts/0%20-%20Government/USA%20-%20NASA/"/>
    <hyperlink ref="C4141" r:id="rId4141" display="https://youtu.be/k_dyhxeU44s"/>
    <hyperlink ref="F4141" r:id="rId2" display="https://files.afu.se/Downloads/Transcripts/0%20-%20Government/USA%20-%20NASA/"/>
    <hyperlink ref="C4142" r:id="rId4142" display="https://youtu.be/dWNLussF_lQ"/>
    <hyperlink ref="F4142" r:id="rId2" display="https://files.afu.se/Downloads/Transcripts/0%20-%20Government/USA%20-%20NASA/"/>
    <hyperlink ref="C4143" r:id="rId4143" display="https://youtu.be/vAPlT4cExs0"/>
    <hyperlink ref="F4143" r:id="rId2" display="https://files.afu.se/Downloads/Transcripts/0%20-%20Government/USA%20-%20NASA/"/>
    <hyperlink ref="C4144" r:id="rId4144" display="https://youtu.be/fbb63fSP14M"/>
    <hyperlink ref="F4144" r:id="rId2" display="https://files.afu.se/Downloads/Transcripts/0%20-%20Government/USA%20-%20NASA/"/>
    <hyperlink ref="C4145" r:id="rId4145" display="https://youtu.be/fUudz3CLJPI"/>
    <hyperlink ref="F4145" r:id="rId2" display="https://files.afu.se/Downloads/Transcripts/0%20-%20Government/USA%20-%20NASA/"/>
    <hyperlink ref="C4146" r:id="rId4146" display="https://youtu.be/wyzXsed6jgQ"/>
    <hyperlink ref="F4146" r:id="rId2" display="https://files.afu.se/Downloads/Transcripts/0%20-%20Government/USA%20-%20NASA/"/>
    <hyperlink ref="C4147" r:id="rId4147" display="https://youtu.be/wp6U3Di1Btg"/>
    <hyperlink ref="F4147" r:id="rId2" display="https://files.afu.se/Downloads/Transcripts/0%20-%20Government/USA%20-%20NASA/"/>
    <hyperlink ref="C4148" r:id="rId4148" display="https://youtu.be/ChlEmzegVvI"/>
    <hyperlink ref="F4148" r:id="rId2" display="https://files.afu.se/Downloads/Transcripts/0%20-%20Government/USA%20-%20NASA/"/>
    <hyperlink ref="C4149" r:id="rId4149" display="https://youtu.be/9-d_PDxLlcs"/>
    <hyperlink ref="F4149" r:id="rId2" display="https://files.afu.se/Downloads/Transcripts/0%20-%20Government/USA%20-%20NASA/"/>
    <hyperlink ref="C4150" r:id="rId4150" display="https://youtu.be/S5A2TCUw5Yc"/>
    <hyperlink ref="F4150" r:id="rId2" display="https://files.afu.se/Downloads/Transcripts/0%20-%20Government/USA%20-%20NASA/"/>
    <hyperlink ref="C4151" r:id="rId4151" display="https://youtu.be/bQxCLl6dWC4"/>
    <hyperlink ref="F4151" r:id="rId2" display="https://files.afu.se/Downloads/Transcripts/0%20-%20Government/USA%20-%20NASA/"/>
    <hyperlink ref="C4152" r:id="rId4152" display="https://youtu.be/cGIY3E_WMr0"/>
    <hyperlink ref="F4152" r:id="rId2" display="https://files.afu.se/Downloads/Transcripts/0%20-%20Government/USA%20-%20NASA/"/>
    <hyperlink ref="C4153" r:id="rId4153" display="https://youtu.be/Bgxw9s8a8vk"/>
    <hyperlink ref="F4153" r:id="rId2" display="https://files.afu.se/Downloads/Transcripts/0%20-%20Government/USA%20-%20NASA/"/>
    <hyperlink ref="C4154" r:id="rId4154" display="https://youtu.be/elRr7V3B7ys"/>
    <hyperlink ref="F4154" r:id="rId2" display="https://files.afu.se/Downloads/Transcripts/0%20-%20Government/USA%20-%20NASA/"/>
    <hyperlink ref="C4155" r:id="rId4155" display="https://youtu.be/OcQSDUWUhNE"/>
    <hyperlink ref="F4155" r:id="rId2" display="https://files.afu.se/Downloads/Transcripts/0%20-%20Government/USA%20-%20NASA/"/>
    <hyperlink ref="C4156" r:id="rId4156" display="https://youtu.be/fBB9sAitVTE"/>
    <hyperlink ref="F4156" r:id="rId2" display="https://files.afu.se/Downloads/Transcripts/0%20-%20Government/USA%20-%20NASA/"/>
    <hyperlink ref="C4157" r:id="rId4157" display="https://youtu.be/Jt0eqRGSlvw"/>
    <hyperlink ref="F4157" r:id="rId2" display="https://files.afu.se/Downloads/Transcripts/0%20-%20Government/USA%20-%20NASA/"/>
    <hyperlink ref="C4158" r:id="rId4158" display="https://youtu.be/twCidsVCBso"/>
    <hyperlink ref="F4158" r:id="rId2" display="https://files.afu.se/Downloads/Transcripts/0%20-%20Government/USA%20-%20NASA/"/>
    <hyperlink ref="C4159" r:id="rId4159" display="https://youtu.be/6Mom3Fdg36c"/>
    <hyperlink ref="F4159" r:id="rId2" display="https://files.afu.se/Downloads/Transcripts/0%20-%20Government/USA%20-%20NASA/"/>
    <hyperlink ref="C4160" r:id="rId4160" display="https://youtu.be/oiqFKi--C1E"/>
    <hyperlink ref="F4160" r:id="rId2" display="https://files.afu.se/Downloads/Transcripts/0%20-%20Government/USA%20-%20NASA/"/>
    <hyperlink ref="C4161" r:id="rId4161" display="https://youtu.be/g9kUrejo52I"/>
    <hyperlink ref="F4161" r:id="rId2" display="https://files.afu.se/Downloads/Transcripts/0%20-%20Government/USA%20-%20NASA/"/>
    <hyperlink ref="C4162" r:id="rId4162" display="https://youtu.be/IIv6KxkkWtg"/>
    <hyperlink ref="F4162" r:id="rId2" display="https://files.afu.se/Downloads/Transcripts/0%20-%20Government/USA%20-%20NASA/"/>
    <hyperlink ref="C4163" r:id="rId4163" display="https://youtu.be/W9YpNeW3tQ4"/>
    <hyperlink ref="F4163" r:id="rId2" display="https://files.afu.se/Downloads/Transcripts/0%20-%20Government/USA%20-%20NASA/"/>
    <hyperlink ref="C4164" r:id="rId4164" display="https://youtu.be/9FR2PO0r5rQ"/>
    <hyperlink ref="F4164" r:id="rId2" display="https://files.afu.se/Downloads/Transcripts/0%20-%20Government/USA%20-%20NASA/"/>
    <hyperlink ref="C4165" r:id="rId4165" display="https://youtu.be/03s1SM8zgO4"/>
    <hyperlink ref="F4165" r:id="rId2" display="https://files.afu.se/Downloads/Transcripts/0%20-%20Government/USA%20-%20NASA/"/>
    <hyperlink ref="C4166" r:id="rId4166" display="https://youtu.be/O_rsFPpkrNs"/>
    <hyperlink ref="F4166" r:id="rId2" display="https://files.afu.se/Downloads/Transcripts/0%20-%20Government/USA%20-%20NASA/"/>
    <hyperlink ref="C4167" r:id="rId4167" display="https://youtu.be/Z6X5QhRvGWQ"/>
    <hyperlink ref="F4167" r:id="rId2" display="https://files.afu.se/Downloads/Transcripts/0%20-%20Government/USA%20-%20NASA/"/>
    <hyperlink ref="C4168" r:id="rId4168" display="https://youtu.be/z63hrM6vHUA"/>
    <hyperlink ref="F4168" r:id="rId2" display="https://files.afu.se/Downloads/Transcripts/0%20-%20Government/USA%20-%20NASA/"/>
    <hyperlink ref="C4169" r:id="rId4169" display="https://youtu.be/BNKgv7u7W3Q"/>
    <hyperlink ref="F4169" r:id="rId2" display="https://files.afu.se/Downloads/Transcripts/0%20-%20Government/USA%20-%20NASA/"/>
    <hyperlink ref="C4170" r:id="rId4170" display="https://youtu.be/T4VQqe5N2zY"/>
    <hyperlink ref="F4170" r:id="rId2" display="https://files.afu.se/Downloads/Transcripts/0%20-%20Government/USA%20-%20NASA/"/>
    <hyperlink ref="C4171" r:id="rId4171" display="https://youtu.be/NEJr-Bt8eGI"/>
    <hyperlink ref="F4171" r:id="rId2" display="https://files.afu.se/Downloads/Transcripts/0%20-%20Government/USA%20-%20NASA/"/>
    <hyperlink ref="C4172" r:id="rId4172" display="https://youtu.be/F_o0VmZFEu4"/>
    <hyperlink ref="F4172" r:id="rId2" display="https://files.afu.se/Downloads/Transcripts/0%20-%20Government/USA%20-%20NASA/"/>
    <hyperlink ref="C4173" r:id="rId4173" display="https://youtu.be/Lb-iFEjONCo"/>
    <hyperlink ref="F4173" r:id="rId2" display="https://files.afu.se/Downloads/Transcripts/0%20-%20Government/USA%20-%20NASA/"/>
    <hyperlink ref="C4174" r:id="rId4174" display="https://youtu.be/AimHTadtopc"/>
    <hyperlink ref="F4174" r:id="rId2" display="https://files.afu.se/Downloads/Transcripts/0%20-%20Government/USA%20-%20NASA/"/>
    <hyperlink ref="C4175" r:id="rId4175" display="https://youtu.be/mPEJTs_gFJc"/>
    <hyperlink ref="F4175" r:id="rId2" display="https://files.afu.se/Downloads/Transcripts/0%20-%20Government/USA%20-%20NASA/"/>
    <hyperlink ref="C4176" r:id="rId4176" display="https://youtu.be/176-oUVZD4E"/>
    <hyperlink ref="F4176" r:id="rId2" display="https://files.afu.se/Downloads/Transcripts/0%20-%20Government/USA%20-%20NASA/"/>
    <hyperlink ref="C4177" r:id="rId4177" display="https://youtu.be/11HQORFArOg"/>
    <hyperlink ref="F4177" r:id="rId2" display="https://files.afu.se/Downloads/Transcripts/0%20-%20Government/USA%20-%20NASA/"/>
    <hyperlink ref="C4178" r:id="rId4178" display="https://youtu.be/d8oJBrUKYTg"/>
    <hyperlink ref="F4178" r:id="rId2" display="https://files.afu.se/Downloads/Transcripts/0%20-%20Government/USA%20-%20NASA/"/>
    <hyperlink ref="C4179" r:id="rId4179" display="https://youtu.be/LbJ2xL7Tpeo"/>
    <hyperlink ref="F4179" r:id="rId2" display="https://files.afu.se/Downloads/Transcripts/0%20-%20Government/USA%20-%20NASA/"/>
    <hyperlink ref="C4180" r:id="rId4180" display="https://youtu.be/NPruKwzphc8"/>
    <hyperlink ref="F4180" r:id="rId2" display="https://files.afu.se/Downloads/Transcripts/0%20-%20Government/USA%20-%20NASA/"/>
    <hyperlink ref="C4181" r:id="rId4181" display="https://youtu.be/UpqcocSdgJQ"/>
    <hyperlink ref="F4181" r:id="rId2" display="https://files.afu.se/Downloads/Transcripts/0%20-%20Government/USA%20-%20NASA/"/>
    <hyperlink ref="C4182" r:id="rId4182" display="https://youtu.be/HV3AMOC928o"/>
    <hyperlink ref="F4182" r:id="rId2" display="https://files.afu.se/Downloads/Transcripts/0%20-%20Government/USA%20-%20NASA/"/>
    <hyperlink ref="C4183" r:id="rId4183" display="https://youtu.be/NMSKOdvS-V4"/>
    <hyperlink ref="F4183" r:id="rId2" display="https://files.afu.se/Downloads/Transcripts/0%20-%20Government/USA%20-%20NASA/"/>
    <hyperlink ref="C4184" r:id="rId4184" display="https://youtu.be/bJla-JsVNpw"/>
    <hyperlink ref="F4184" r:id="rId2" display="https://files.afu.se/Downloads/Transcripts/0%20-%20Government/USA%20-%20NASA/"/>
    <hyperlink ref="C4185" r:id="rId4185" display="https://youtu.be/zlnnHIoxd_Y"/>
    <hyperlink ref="F4185" r:id="rId2" display="https://files.afu.se/Downloads/Transcripts/0%20-%20Government/USA%20-%20NASA/"/>
    <hyperlink ref="C4186" r:id="rId4186" display="https://youtu.be/biSdeqwcGMk"/>
    <hyperlink ref="F4186" r:id="rId2" display="https://files.afu.se/Downloads/Transcripts/0%20-%20Government/USA%20-%20NASA/"/>
    <hyperlink ref="C4187" r:id="rId4187" display="https://youtu.be/b5e_rLltI6Y"/>
    <hyperlink ref="F4187" r:id="rId2" display="https://files.afu.se/Downloads/Transcripts/0%20-%20Government/USA%20-%20NASA/"/>
    <hyperlink ref="C4188" r:id="rId4188" display="https://youtu.be/nZD-6mEp9_4"/>
    <hyperlink ref="F4188" r:id="rId2" display="https://files.afu.se/Downloads/Transcripts/0%20-%20Government/USA%20-%20NASA/"/>
    <hyperlink ref="C4189" r:id="rId4189" display="https://youtu.be/cd0jxM2_1so"/>
    <hyperlink ref="F4189" r:id="rId2" display="https://files.afu.se/Downloads/Transcripts/0%20-%20Government/USA%20-%20NASA/"/>
    <hyperlink ref="C4190" r:id="rId4190" display="https://youtu.be/R3LpNxUHIrI"/>
    <hyperlink ref="F4190" r:id="rId2" display="https://files.afu.se/Downloads/Transcripts/0%20-%20Government/USA%20-%20NASA/"/>
    <hyperlink ref="C4191" r:id="rId4191" display="https://youtu.be/Kg7W9GtDiIY"/>
    <hyperlink ref="F4191" r:id="rId2" display="https://files.afu.se/Downloads/Transcripts/0%20-%20Government/USA%20-%20NASA/"/>
    <hyperlink ref="C4192" r:id="rId4192" display="https://youtu.be/58_JHzCtj00"/>
    <hyperlink ref="F4192" r:id="rId2" display="https://files.afu.se/Downloads/Transcripts/0%20-%20Government/USA%20-%20NASA/"/>
    <hyperlink ref="C4193" r:id="rId4193" display="https://youtu.be/TH6VPAO7FZI"/>
    <hyperlink ref="F4193" r:id="rId2" display="https://files.afu.se/Downloads/Transcripts/0%20-%20Government/USA%20-%20NASA/"/>
    <hyperlink ref="C4194" r:id="rId4194" display="https://youtu.be/1qqWrIa0WbM"/>
    <hyperlink ref="F4194" r:id="rId2" display="https://files.afu.se/Downloads/Transcripts/0%20-%20Government/USA%20-%20NASA/"/>
    <hyperlink ref="C4195" r:id="rId4195" display="https://youtu.be/O4XVhoezrzM"/>
    <hyperlink ref="F4195" r:id="rId2" display="https://files.afu.se/Downloads/Transcripts/0%20-%20Government/USA%20-%20NASA/"/>
    <hyperlink ref="C4196" r:id="rId4196" display="https://youtu.be/kehtaclbPjs"/>
    <hyperlink ref="F4196" r:id="rId2" display="https://files.afu.se/Downloads/Transcripts/0%20-%20Government/USA%20-%20NASA/"/>
    <hyperlink ref="C4197" r:id="rId4197" display="https://youtu.be/1CsU-McSTmM"/>
    <hyperlink ref="F4197" r:id="rId2" display="https://files.afu.se/Downloads/Transcripts/0%20-%20Government/USA%20-%20NASA/"/>
    <hyperlink ref="C4198" r:id="rId4198" display="https://youtu.be/BWnxhnM8I4k"/>
    <hyperlink ref="F4198" r:id="rId2" display="https://files.afu.se/Downloads/Transcripts/0%20-%20Government/USA%20-%20NASA/"/>
    <hyperlink ref="C4199" r:id="rId4199" display="https://youtu.be/Aji0_CwkHT0"/>
    <hyperlink ref="F4199" r:id="rId2" display="https://files.afu.se/Downloads/Transcripts/0%20-%20Government/USA%20-%20NASA/"/>
    <hyperlink ref="C4200" r:id="rId4200" display="https://youtu.be/G-8GMxcxfVE"/>
    <hyperlink ref="F4200" r:id="rId2" display="https://files.afu.se/Downloads/Transcripts/0%20-%20Government/USA%20-%20NASA/"/>
    <hyperlink ref="C4201" r:id="rId4201" display="https://youtu.be/qcY4T4O4nLg"/>
    <hyperlink ref="F4201" r:id="rId2" display="https://files.afu.se/Downloads/Transcripts/0%20-%20Government/USA%20-%20NASA/"/>
    <hyperlink ref="C4202" r:id="rId4202" display="https://youtu.be/ci2WTrq_mjI"/>
    <hyperlink ref="F4202" r:id="rId2" display="https://files.afu.se/Downloads/Transcripts/0%20-%20Government/USA%20-%20NASA/"/>
    <hyperlink ref="C4203" r:id="rId4203" display="https://youtu.be/p-1V_7As3Ek"/>
    <hyperlink ref="F4203" r:id="rId2" display="https://files.afu.se/Downloads/Transcripts/0%20-%20Government/USA%20-%20NASA/"/>
    <hyperlink ref="C4204" r:id="rId4204" display="https://youtu.be/LNg1uH-O73s"/>
    <hyperlink ref="F4204" r:id="rId2" display="https://files.afu.se/Downloads/Transcripts/0%20-%20Government/USA%20-%20NASA/"/>
    <hyperlink ref="C4205" r:id="rId4205" display="https://youtu.be/tcmIryQ2iPI"/>
    <hyperlink ref="F4205" r:id="rId2" display="https://files.afu.se/Downloads/Transcripts/0%20-%20Government/USA%20-%20NASA/"/>
    <hyperlink ref="C4206" r:id="rId4206" display="https://youtu.be/b7jSBPp6k0Q"/>
    <hyperlink ref="F4206" r:id="rId2" display="https://files.afu.se/Downloads/Transcripts/0%20-%20Government/USA%20-%20NASA/"/>
    <hyperlink ref="C4207" r:id="rId4207" display="https://youtu.be/xMdPjWu2knw"/>
    <hyperlink ref="F4207" r:id="rId2" display="https://files.afu.se/Downloads/Transcripts/0%20-%20Government/USA%20-%20NASA/"/>
    <hyperlink ref="C4208" r:id="rId4208" display="https://youtu.be/81jAmb_e1pg"/>
    <hyperlink ref="F4208" r:id="rId2" display="https://files.afu.se/Downloads/Transcripts/0%20-%20Government/USA%20-%20NASA/"/>
    <hyperlink ref="C4209" r:id="rId4209" display="https://youtu.be/Sa2vdohUp0U"/>
    <hyperlink ref="F4209" r:id="rId2" display="https://files.afu.se/Downloads/Transcripts/0%20-%20Government/USA%20-%20NASA/"/>
    <hyperlink ref="C4210" r:id="rId4210" display="https://youtu.be/FuqTODoI_hs"/>
    <hyperlink ref="F4210" r:id="rId2" display="https://files.afu.se/Downloads/Transcripts/0%20-%20Government/USA%20-%20NASA/"/>
    <hyperlink ref="C4211" r:id="rId4211" display="https://youtu.be/S_3FG3SN89Q"/>
    <hyperlink ref="F4211" r:id="rId2" display="https://files.afu.se/Downloads/Transcripts/0%20-%20Government/USA%20-%20NASA/"/>
    <hyperlink ref="C4212" r:id="rId4212" display="https://youtu.be/RR7UuzFAun8"/>
    <hyperlink ref="F4212" r:id="rId2" display="https://files.afu.se/Downloads/Transcripts/0%20-%20Government/USA%20-%20NASA/"/>
    <hyperlink ref="C4213" r:id="rId4213" display="https://youtu.be/019ytYfZdZg"/>
    <hyperlink ref="F4213" r:id="rId2" display="https://files.afu.se/Downloads/Transcripts/0%20-%20Government/USA%20-%20NASA/"/>
    <hyperlink ref="C4214" r:id="rId4214" display="https://youtu.be/o8XVX3L2D1k"/>
    <hyperlink ref="F4214" r:id="rId2" display="https://files.afu.se/Downloads/Transcripts/0%20-%20Government/USA%20-%20NASA/"/>
    <hyperlink ref="C4215" r:id="rId4215" display="https://youtu.be/eJHiPn498PM"/>
    <hyperlink ref="F4215" r:id="rId2" display="https://files.afu.se/Downloads/Transcripts/0%20-%20Government/USA%20-%20NASA/"/>
    <hyperlink ref="C4216" r:id="rId4216" display="https://youtu.be/DZ5jBs1aQyo"/>
    <hyperlink ref="F4216" r:id="rId2" display="https://files.afu.se/Downloads/Transcripts/0%20-%20Government/USA%20-%20NASA/"/>
    <hyperlink ref="C4217" r:id="rId4217" display="https://youtu.be/VhbqrZOYGUg"/>
    <hyperlink ref="F4217" r:id="rId2" display="https://files.afu.se/Downloads/Transcripts/0%20-%20Government/USA%20-%20NASA/"/>
    <hyperlink ref="C4218" r:id="rId4218" display="https://youtu.be/__w18FPWvfc"/>
    <hyperlink ref="F4218" r:id="rId2" display="https://files.afu.se/Downloads/Transcripts/0%20-%20Government/USA%20-%20NASA/"/>
    <hyperlink ref="C4219" r:id="rId4219" display="https://youtu.be/xUcg-RtKS6Q"/>
    <hyperlink ref="F4219" r:id="rId2" display="https://files.afu.se/Downloads/Transcripts/0%20-%20Government/USA%20-%20NASA/"/>
    <hyperlink ref="C4220" r:id="rId4220" display="https://youtu.be/6VvjOW1gPmU"/>
    <hyperlink ref="F4220" r:id="rId2" display="https://files.afu.se/Downloads/Transcripts/0%20-%20Government/USA%20-%20NASA/"/>
    <hyperlink ref="C4221" r:id="rId4221" display="https://youtu.be/GA_P7u3GO2w"/>
    <hyperlink ref="F4221" r:id="rId2" display="https://files.afu.se/Downloads/Transcripts/0%20-%20Government/USA%20-%20NASA/"/>
    <hyperlink ref="C4222" r:id="rId4222" display="https://youtu.be/NnEQhRb5JUI"/>
    <hyperlink ref="F4222" r:id="rId2" display="https://files.afu.se/Downloads/Transcripts/0%20-%20Government/USA%20-%20NASA/"/>
    <hyperlink ref="C4223" r:id="rId4223" display="https://youtu.be/scyJRlafRgc"/>
    <hyperlink ref="F4223" r:id="rId2" display="https://files.afu.se/Downloads/Transcripts/0%20-%20Government/USA%20-%20NASA/"/>
    <hyperlink ref="C4224" r:id="rId4224" display="https://youtu.be/sO2InAhoPSU"/>
    <hyperlink ref="F4224" r:id="rId2" display="https://files.afu.se/Downloads/Transcripts/0%20-%20Government/USA%20-%20NASA/"/>
    <hyperlink ref="C4225" r:id="rId4225" display="https://youtu.be/rCn-IjmAoHs"/>
    <hyperlink ref="F4225" r:id="rId2" display="https://files.afu.se/Downloads/Transcripts/0%20-%20Government/USA%20-%20NASA/"/>
    <hyperlink ref="C4226" r:id="rId4226" display="https://youtu.be/iDbKW7XetNk"/>
    <hyperlink ref="F4226" r:id="rId2" display="https://files.afu.se/Downloads/Transcripts/0%20-%20Government/USA%20-%20NASA/"/>
    <hyperlink ref="C4227" r:id="rId4227" display="https://youtu.be/XcI-S4KvaEo"/>
    <hyperlink ref="F4227" r:id="rId2" display="https://files.afu.se/Downloads/Transcripts/0%20-%20Government/USA%20-%20NASA/"/>
    <hyperlink ref="C4228" r:id="rId4228" display="https://youtu.be/gIwKsUcNDn0"/>
    <hyperlink ref="F4228" r:id="rId2" display="https://files.afu.se/Downloads/Transcripts/0%20-%20Government/USA%20-%20NASA/"/>
    <hyperlink ref="C4229" r:id="rId4229" display="https://youtu.be/F113cjbndkk"/>
    <hyperlink ref="F4229" r:id="rId2" display="https://files.afu.se/Downloads/Transcripts/0%20-%20Government/USA%20-%20NASA/"/>
    <hyperlink ref="C4230" r:id="rId4230" display="https://youtu.be/H8S18HZFzTg"/>
    <hyperlink ref="F4230" r:id="rId2" display="https://files.afu.se/Downloads/Transcripts/0%20-%20Government/USA%20-%20NASA/"/>
    <hyperlink ref="C4231" r:id="rId4231" display="https://youtu.be/Z9VLXgjFKWo"/>
    <hyperlink ref="F4231" r:id="rId2" display="https://files.afu.se/Downloads/Transcripts/0%20-%20Government/USA%20-%20NASA/"/>
    <hyperlink ref="C4232" r:id="rId4232" display="https://youtu.be/O8BKghgkk58"/>
    <hyperlink ref="F4232" r:id="rId2" display="https://files.afu.se/Downloads/Transcripts/0%20-%20Government/USA%20-%20NASA/"/>
    <hyperlink ref="C4233" r:id="rId4233" display="https://youtu.be/aoNHhTyaxJg"/>
    <hyperlink ref="F4233" r:id="rId2" display="https://files.afu.se/Downloads/Transcripts/0%20-%20Government/USA%20-%20NASA/"/>
    <hyperlink ref="C4234" r:id="rId4234" display="https://youtu.be/7MlEY3RVk98"/>
    <hyperlink ref="F4234" r:id="rId2" display="https://files.afu.se/Downloads/Transcripts/0%20-%20Government/USA%20-%20NASA/"/>
    <hyperlink ref="C4235" r:id="rId4235" display="https://youtu.be/pom0ZCIzN90"/>
    <hyperlink ref="F4235" r:id="rId2" display="https://files.afu.se/Downloads/Transcripts/0%20-%20Government/USA%20-%20NASA/"/>
    <hyperlink ref="C4236" r:id="rId4236" display="https://youtu.be/2fuaIEYEiLI"/>
    <hyperlink ref="F4236" r:id="rId2" display="https://files.afu.se/Downloads/Transcripts/0%20-%20Government/USA%20-%20NASA/"/>
    <hyperlink ref="C4237" r:id="rId4237" display="https://youtu.be/RGy7442gbF0"/>
    <hyperlink ref="F4237" r:id="rId2" display="https://files.afu.se/Downloads/Transcripts/0%20-%20Government/USA%20-%20NASA/"/>
    <hyperlink ref="C4238" r:id="rId4238" display="https://youtu.be/PNWPEweU8pA"/>
    <hyperlink ref="F4238" r:id="rId2" display="https://files.afu.se/Downloads/Transcripts/0%20-%20Government/USA%20-%20NASA/"/>
    <hyperlink ref="C4239" r:id="rId4239" display="https://youtu.be/bCJNZ3xSUfQ"/>
    <hyperlink ref="F4239" r:id="rId2" display="https://files.afu.se/Downloads/Transcripts/0%20-%20Government/USA%20-%20NASA/"/>
    <hyperlink ref="C4240" r:id="rId4240" display="https://youtu.be/SFLbjjPj-Xw"/>
    <hyperlink ref="F4240" r:id="rId2" display="https://files.afu.se/Downloads/Transcripts/0%20-%20Government/USA%20-%20NASA/"/>
    <hyperlink ref="C4241" r:id="rId4241" display="https://youtu.be/ues4N6xODDM"/>
    <hyperlink ref="F4241" r:id="rId2" display="https://files.afu.se/Downloads/Transcripts/0%20-%20Government/USA%20-%20NASA/"/>
    <hyperlink ref="C4242" r:id="rId4242" display="https://youtu.be/b-D0tzfXJ9Q"/>
    <hyperlink ref="F4242" r:id="rId2" display="https://files.afu.se/Downloads/Transcripts/0%20-%20Government/USA%20-%20NASA/"/>
    <hyperlink ref="C4243" r:id="rId4243" display="https://youtu.be/dHfdWp_8AGY"/>
    <hyperlink ref="F4243" r:id="rId2" display="https://files.afu.se/Downloads/Transcripts/0%20-%20Government/USA%20-%20NASA/"/>
    <hyperlink ref="C4244" r:id="rId4244" display="https://youtu.be/HZUHohVbGG8"/>
    <hyperlink ref="F4244" r:id="rId2" display="https://files.afu.se/Downloads/Transcripts/0%20-%20Government/USA%20-%20NASA/"/>
    <hyperlink ref="C4245" r:id="rId4245" display="https://youtu.be/bQIldPCgVPc"/>
    <hyperlink ref="F4245" r:id="rId2" display="https://files.afu.se/Downloads/Transcripts/0%20-%20Government/USA%20-%20NASA/"/>
    <hyperlink ref="C4246" r:id="rId4246" display="https://youtu.be/eYxHGK61HNY"/>
    <hyperlink ref="F4246" r:id="rId2" display="https://files.afu.se/Downloads/Transcripts/0%20-%20Government/USA%20-%20NASA/"/>
    <hyperlink ref="C4247" r:id="rId4247" display="https://youtu.be/ICPq2uaRWEM"/>
    <hyperlink ref="F4247" r:id="rId2" display="https://files.afu.se/Downloads/Transcripts/0%20-%20Government/USA%20-%20NASA/"/>
    <hyperlink ref="C4248" r:id="rId4248" display="https://youtu.be/vx5mQ9ZGHZw"/>
    <hyperlink ref="F4248" r:id="rId2" display="https://files.afu.se/Downloads/Transcripts/0%20-%20Government/USA%20-%20NASA/"/>
    <hyperlink ref="C4249" r:id="rId4249" display="https://youtu.be/BLxDE-Jz2hw"/>
    <hyperlink ref="F4249" r:id="rId2" display="https://files.afu.se/Downloads/Transcripts/0%20-%20Government/USA%20-%20NASA/"/>
    <hyperlink ref="C4250" r:id="rId4250" display="https://youtu.be/GzJRRVIUBBw"/>
    <hyperlink ref="F4250" r:id="rId2" display="https://files.afu.se/Downloads/Transcripts/0%20-%20Government/USA%20-%20NASA/"/>
    <hyperlink ref="C4251" r:id="rId4251" display="https://youtu.be/jy2KQJDYJhE"/>
    <hyperlink ref="F4251" r:id="rId2" display="https://files.afu.se/Downloads/Transcripts/0%20-%20Government/USA%20-%20NASA/"/>
    <hyperlink ref="C4252" r:id="rId4252" display="https://youtu.be/SBiY0Fn1ze4"/>
    <hyperlink ref="F4252" r:id="rId2" display="https://files.afu.se/Downloads/Transcripts/0%20-%20Government/USA%20-%20NASA/"/>
    <hyperlink ref="C4253" r:id="rId4253" display="https://youtu.be/APwntCQ8Iiw"/>
    <hyperlink ref="F4253" r:id="rId2" display="https://files.afu.se/Downloads/Transcripts/0%20-%20Government/USA%20-%20NASA/"/>
    <hyperlink ref="C4254" r:id="rId4254" display="https://youtu.be/aAHjq9jm2-g"/>
    <hyperlink ref="F4254" r:id="rId2" display="https://files.afu.se/Downloads/Transcripts/0%20-%20Government/USA%20-%20NASA/"/>
    <hyperlink ref="C4255" r:id="rId4255" display="https://youtu.be/C2A9IVc9Qe8"/>
    <hyperlink ref="F4255" r:id="rId2" display="https://files.afu.se/Downloads/Transcripts/0%20-%20Government/USA%20-%20NASA/"/>
    <hyperlink ref="C4256" r:id="rId4256" display="https://youtu.be/aQ_IAAV69z8"/>
    <hyperlink ref="F4256" r:id="rId2" display="https://files.afu.se/Downloads/Transcripts/0%20-%20Government/USA%20-%20NASA/"/>
    <hyperlink ref="C4257" r:id="rId4257" display="https://youtu.be/PcarFP61Trg"/>
    <hyperlink ref="F4257" r:id="rId2" display="https://files.afu.se/Downloads/Transcripts/0%20-%20Government/USA%20-%20NASA/"/>
    <hyperlink ref="C4258" r:id="rId4258" display="https://youtu.be/0Aj2JdKEBcM"/>
    <hyperlink ref="F4258" r:id="rId2" display="https://files.afu.se/Downloads/Transcripts/0%20-%20Government/USA%20-%20NASA/"/>
    <hyperlink ref="C4259" r:id="rId4259" display="https://youtu.be/0UGMazfmFoo"/>
    <hyperlink ref="F4259" r:id="rId2" display="https://files.afu.se/Downloads/Transcripts/0%20-%20Government/USA%20-%20NASA/"/>
    <hyperlink ref="C4260" r:id="rId4260" display="https://youtu.be/J7723PBrYSc"/>
    <hyperlink ref="F4260" r:id="rId2" display="https://files.afu.se/Downloads/Transcripts/0%20-%20Government/USA%20-%20NASA/"/>
    <hyperlink ref="C4261" r:id="rId4261" display="https://youtu.be/U09KSe6aCfY"/>
    <hyperlink ref="F4261" r:id="rId2" display="https://files.afu.se/Downloads/Transcripts/0%20-%20Government/USA%20-%20NASA/"/>
    <hyperlink ref="C4262" r:id="rId4262" display="https://youtu.be/hDQ2O8fO1sI"/>
    <hyperlink ref="F4262" r:id="rId2" display="https://files.afu.se/Downloads/Transcripts/0%20-%20Government/USA%20-%20NASA/"/>
    <hyperlink ref="C4263" r:id="rId4263" display="https://youtu.be/zqPB0l5FZP4"/>
    <hyperlink ref="F4263" r:id="rId2" display="https://files.afu.se/Downloads/Transcripts/0%20-%20Government/USA%20-%20NASA/"/>
    <hyperlink ref="C4264" r:id="rId4264" display="https://youtu.be/BABGPvEFybU"/>
    <hyperlink ref="F4264" r:id="rId2" display="https://files.afu.se/Downloads/Transcripts/0%20-%20Government/USA%20-%20NASA/"/>
    <hyperlink ref="C4265" r:id="rId4265" display="https://youtu.be/QftA0I7JO2s"/>
    <hyperlink ref="F4265" r:id="rId2" display="https://files.afu.se/Downloads/Transcripts/0%20-%20Government/USA%20-%20NASA/"/>
    <hyperlink ref="C4266" r:id="rId4266" display="https://youtu.be/IOKRR9sYlzc"/>
    <hyperlink ref="F4266" r:id="rId2" display="https://files.afu.se/Downloads/Transcripts/0%20-%20Government/USA%20-%20NASA/"/>
    <hyperlink ref="C4267" r:id="rId4267" display="https://youtu.be/VLNA8Exb--8"/>
    <hyperlink ref="F4267" r:id="rId2" display="https://files.afu.se/Downloads/Transcripts/0%20-%20Government/USA%20-%20NASA/"/>
    <hyperlink ref="C4268" r:id="rId4268" display="https://youtu.be/lXxhYZb2qw0"/>
    <hyperlink ref="F4268" r:id="rId2" display="https://files.afu.se/Downloads/Transcripts/0%20-%20Government/USA%20-%20NASA/"/>
    <hyperlink ref="C4269" r:id="rId4269" display="https://youtu.be/MK_F9YJQjUI"/>
    <hyperlink ref="F4269" r:id="rId2" display="https://files.afu.se/Downloads/Transcripts/0%20-%20Government/USA%20-%20NASA/"/>
    <hyperlink ref="C4270" r:id="rId4270" display="https://youtu.be/X9jvyo7xDWs"/>
    <hyperlink ref="F4270" r:id="rId2" display="https://files.afu.se/Downloads/Transcripts/0%20-%20Government/USA%20-%20NASA/"/>
    <hyperlink ref="C4271" r:id="rId4271" display="https://youtu.be/J12mNMJtFKE"/>
    <hyperlink ref="F4271" r:id="rId2" display="https://files.afu.se/Downloads/Transcripts/0%20-%20Government/USA%20-%20NASA/"/>
    <hyperlink ref="C4272" r:id="rId4272" display="https://youtu.be/R74Su3LqxI4"/>
    <hyperlink ref="F4272" r:id="rId2" display="https://files.afu.se/Downloads/Transcripts/0%20-%20Government/USA%20-%20NASA/"/>
    <hyperlink ref="C4273" r:id="rId4273" display="https://youtu.be/QW5xZV2pUWE"/>
    <hyperlink ref="F4273" r:id="rId2" display="https://files.afu.se/Downloads/Transcripts/0%20-%20Government/USA%20-%20NASA/"/>
    <hyperlink ref="C4274" r:id="rId4274" display="https://youtu.be/sZRvMCewbVw"/>
    <hyperlink ref="F4274" r:id="rId2" display="https://files.afu.se/Downloads/Transcripts/0%20-%20Government/USA%20-%20NASA/"/>
    <hyperlink ref="C4275" r:id="rId4275" display="https://youtu.be/6Jxk_5oHv3s"/>
    <hyperlink ref="F4275" r:id="rId2" display="https://files.afu.se/Downloads/Transcripts/0%20-%20Government/USA%20-%20NASA/"/>
    <hyperlink ref="C4276" r:id="rId4276" display="https://youtu.be/vu_6yuW6PY0"/>
    <hyperlink ref="F4276" r:id="rId2" display="https://files.afu.se/Downloads/Transcripts/0%20-%20Government/USA%20-%20NASA/"/>
    <hyperlink ref="C4277" r:id="rId4277" display="https://youtu.be/UBQPE_bOP6Y"/>
    <hyperlink ref="F4277" r:id="rId2" display="https://files.afu.se/Downloads/Transcripts/0%20-%20Government/USA%20-%20NASA/"/>
    <hyperlink ref="C4278" r:id="rId4278" display="https://youtu.be/-TeRXAhHfzE"/>
    <hyperlink ref="F4278" r:id="rId2" display="https://files.afu.se/Downloads/Transcripts/0%20-%20Government/USA%20-%20NASA/"/>
    <hyperlink ref="C4279" r:id="rId4279" display="https://youtu.be/OZq0Hd-_4Kk"/>
    <hyperlink ref="F4279" r:id="rId2" display="https://files.afu.se/Downloads/Transcripts/0%20-%20Government/USA%20-%20NASA/"/>
    <hyperlink ref="C4280" r:id="rId4280" display="https://youtu.be/rlG7W0gkjjE"/>
    <hyperlink ref="F4280" r:id="rId2" display="https://files.afu.se/Downloads/Transcripts/0%20-%20Government/USA%20-%20NASA/"/>
    <hyperlink ref="C4281" r:id="rId4281" display="https://youtu.be/BReUn3C1pzk"/>
    <hyperlink ref="F4281" r:id="rId2" display="https://files.afu.se/Downloads/Transcripts/0%20-%20Government/USA%20-%20NASA/"/>
    <hyperlink ref="C4282" r:id="rId4282" display="https://youtu.be/XnEHq6p54Hw"/>
    <hyperlink ref="F4282" r:id="rId2" display="https://files.afu.se/Downloads/Transcripts/0%20-%20Government/USA%20-%20NASA/"/>
    <hyperlink ref="C4283" r:id="rId4283" display="https://youtu.be/qSBuGBBJ8XI"/>
    <hyperlink ref="F4283" r:id="rId2" display="https://files.afu.se/Downloads/Transcripts/0%20-%20Government/USA%20-%20NASA/"/>
    <hyperlink ref="C4284" r:id="rId4284" display="https://youtu.be/nEgw-GtMj2o"/>
    <hyperlink ref="F4284" r:id="rId2" display="https://files.afu.se/Downloads/Transcripts/0%20-%20Government/USA%20-%20NASA/"/>
    <hyperlink ref="C4285" r:id="rId4285" display="https://youtu.be/6rduG1ghRXI"/>
    <hyperlink ref="F4285" r:id="rId2" display="https://files.afu.se/Downloads/Transcripts/0%20-%20Government/USA%20-%20NASA/"/>
    <hyperlink ref="C4286" r:id="rId4286" display="https://youtu.be/mjP2gm72gFo"/>
    <hyperlink ref="F4286" r:id="rId2" display="https://files.afu.se/Downloads/Transcripts/0%20-%20Government/USA%20-%20NASA/"/>
    <hyperlink ref="C4287" r:id="rId4287" display="https://youtu.be/uFRBax05-4E"/>
    <hyperlink ref="F4287" r:id="rId2" display="https://files.afu.se/Downloads/Transcripts/0%20-%20Government/USA%20-%20NASA/"/>
    <hyperlink ref="C4288" r:id="rId4288" display="https://youtu.be/K8QaPxz8L-E"/>
    <hyperlink ref="F4288" r:id="rId2" display="https://files.afu.se/Downloads/Transcripts/0%20-%20Government/USA%20-%20NASA/"/>
    <hyperlink ref="C4289" r:id="rId4289" display="https://youtu.be/ereZ56lWW9c"/>
    <hyperlink ref="F4289" r:id="rId2" display="https://files.afu.se/Downloads/Transcripts/0%20-%20Government/USA%20-%20NASA/"/>
    <hyperlink ref="C4290" r:id="rId4290" display="https://youtu.be/jz-inRrnCIE"/>
    <hyperlink ref="F4290" r:id="rId2" display="https://files.afu.se/Downloads/Transcripts/0%20-%20Government/USA%20-%20NASA/"/>
    <hyperlink ref="C4291" r:id="rId4291" display="https://youtu.be/9nm1U17MRGY"/>
    <hyperlink ref="F4291" r:id="rId2" display="https://files.afu.se/Downloads/Transcripts/0%20-%20Government/USA%20-%20NASA/"/>
    <hyperlink ref="C4292" r:id="rId4292" display="https://youtu.be/3GfCI1hP8vI"/>
    <hyperlink ref="F4292" r:id="rId2" display="https://files.afu.se/Downloads/Transcripts/0%20-%20Government/USA%20-%20NASA/"/>
    <hyperlink ref="C4293" r:id="rId4293" display="https://youtu.be/J2-4vOGMqio"/>
    <hyperlink ref="F4293" r:id="rId2" display="https://files.afu.se/Downloads/Transcripts/0%20-%20Government/USA%20-%20NASA/"/>
    <hyperlink ref="C4294" r:id="rId4294" display="https://youtu.be/y37_dIcvGkc"/>
    <hyperlink ref="F4294" r:id="rId2" display="https://files.afu.se/Downloads/Transcripts/0%20-%20Government/USA%20-%20NASA/"/>
    <hyperlink ref="C4295" r:id="rId4295" display="https://youtu.be/rjmbXXUHwa0"/>
    <hyperlink ref="F4295" r:id="rId2" display="https://files.afu.se/Downloads/Transcripts/0%20-%20Government/USA%20-%20NASA/"/>
    <hyperlink ref="C4296" r:id="rId4296" display="https://youtu.be/sDEqimA_JSo"/>
    <hyperlink ref="F4296" r:id="rId2" display="https://files.afu.se/Downloads/Transcripts/0%20-%20Government/USA%20-%20NASA/"/>
    <hyperlink ref="C4297" r:id="rId4297" display="https://youtu.be/urOu6AM_cCc"/>
    <hyperlink ref="F4297" r:id="rId2" display="https://files.afu.se/Downloads/Transcripts/0%20-%20Government/USA%20-%20NASA/"/>
    <hyperlink ref="C4298" r:id="rId4298" display="https://youtu.be/naAoNekod9c"/>
    <hyperlink ref="F4298" r:id="rId2" display="https://files.afu.se/Downloads/Transcripts/0%20-%20Government/USA%20-%20NASA/"/>
    <hyperlink ref="C4299" r:id="rId4299" display="https://youtu.be/GuSC4J9vI0w"/>
    <hyperlink ref="F4299" r:id="rId2" display="https://files.afu.se/Downloads/Transcripts/0%20-%20Government/USA%20-%20NASA/"/>
    <hyperlink ref="C4300" r:id="rId4300" display="https://youtu.be/1o39Uvj1T0U"/>
    <hyperlink ref="F4300" r:id="rId2" display="https://files.afu.se/Downloads/Transcripts/0%20-%20Government/USA%20-%20NASA/"/>
    <hyperlink ref="C4301" r:id="rId4301" display="https://youtu.be/JLBA28Yq6oY"/>
    <hyperlink ref="F4301" r:id="rId2" display="https://files.afu.se/Downloads/Transcripts/0%20-%20Government/USA%20-%20NASA/"/>
    <hyperlink ref="C4302" r:id="rId4302" display="https://youtu.be/Utx4FRj56WI"/>
    <hyperlink ref="F4302" r:id="rId2" display="https://files.afu.se/Downloads/Transcripts/0%20-%20Government/USA%20-%20NASA/"/>
    <hyperlink ref="C4303" r:id="rId4303" display="https://youtu.be/skyEY0wstGk"/>
    <hyperlink ref="F4303" r:id="rId2" display="https://files.afu.se/Downloads/Transcripts/0%20-%20Government/USA%20-%20NASA/"/>
    <hyperlink ref="C4304" r:id="rId4304" display="https://youtu.be/57Y7Qm-BoCw"/>
    <hyperlink ref="F4304" r:id="rId2" display="https://files.afu.se/Downloads/Transcripts/0%20-%20Government/USA%20-%20NASA/"/>
    <hyperlink ref="C4305" r:id="rId4305" display="https://youtu.be/I_l9cj9rRd8"/>
    <hyperlink ref="F4305" r:id="rId2" display="https://files.afu.se/Downloads/Transcripts/0%20-%20Government/USA%20-%20NASA/"/>
    <hyperlink ref="C4306" r:id="rId4306" display="https://youtu.be/ix_ytEmoqis"/>
    <hyperlink ref="F4306" r:id="rId2" display="https://files.afu.se/Downloads/Transcripts/0%20-%20Government/USA%20-%20NASA/"/>
    <hyperlink ref="C4307" r:id="rId4307" display="https://youtu.be/xhZ8W1WJvJw"/>
    <hyperlink ref="F4307" r:id="rId2" display="https://files.afu.se/Downloads/Transcripts/0%20-%20Government/USA%20-%20NASA/"/>
    <hyperlink ref="C4308" r:id="rId4308" display="https://youtu.be/tlh63_sbDik"/>
    <hyperlink ref="F4308" r:id="rId2" display="https://files.afu.se/Downloads/Transcripts/0%20-%20Government/USA%20-%20NASA/"/>
    <hyperlink ref="C4309" r:id="rId4309" display="https://youtu.be/1IPSlcZga8U"/>
    <hyperlink ref="F4309" r:id="rId2" display="https://files.afu.se/Downloads/Transcripts/0%20-%20Government/USA%20-%20NASA/"/>
    <hyperlink ref="C4310" r:id="rId4310" display="https://youtu.be/qhTW36re1eU"/>
    <hyperlink ref="F4310" r:id="rId2" display="https://files.afu.se/Downloads/Transcripts/0%20-%20Government/USA%20-%20NASA/"/>
    <hyperlink ref="C4311" r:id="rId4311" display="https://youtu.be/V7O42TKb2DY"/>
    <hyperlink ref="F4311" r:id="rId2" display="https://files.afu.se/Downloads/Transcripts/0%20-%20Government/USA%20-%20NASA/"/>
    <hyperlink ref="C4312" r:id="rId4312" display="https://youtu.be/67qEPYJ45sI"/>
    <hyperlink ref="F4312" r:id="rId2" display="https://files.afu.se/Downloads/Transcripts/0%20-%20Government/USA%20-%20NASA/"/>
    <hyperlink ref="C4313" r:id="rId4313" display="https://youtu.be/3fH3FUwGZRk"/>
    <hyperlink ref="F4313" r:id="rId2" display="https://files.afu.se/Downloads/Transcripts/0%20-%20Government/USA%20-%20NASA/"/>
    <hyperlink ref="C4314" r:id="rId4314" display="https://youtu.be/MOC__iCwNRs"/>
    <hyperlink ref="F4314" r:id="rId2" display="https://files.afu.se/Downloads/Transcripts/0%20-%20Government/USA%20-%20NASA/"/>
    <hyperlink ref="C4315" r:id="rId4315" display="https://youtu.be/XmpSHx79Q_E"/>
    <hyperlink ref="F4315" r:id="rId2" display="https://files.afu.se/Downloads/Transcripts/0%20-%20Government/USA%20-%20NASA/"/>
    <hyperlink ref="C4316" r:id="rId4316" display="https://youtu.be/RnG7SWZ6Kzs"/>
    <hyperlink ref="F4316" r:id="rId2" display="https://files.afu.se/Downloads/Transcripts/0%20-%20Government/USA%20-%20NASA/"/>
    <hyperlink ref="C4317" r:id="rId4317" display="https://youtu.be/4I4CXm08e5M"/>
    <hyperlink ref="F4317" r:id="rId2" display="https://files.afu.se/Downloads/Transcripts/0%20-%20Government/USA%20-%20NASA/"/>
    <hyperlink ref="C4318" r:id="rId4318" display="https://youtu.be/alO7-jncI_A"/>
    <hyperlink ref="F4318" r:id="rId2" display="https://files.afu.se/Downloads/Transcripts/0%20-%20Government/USA%20-%20NASA/"/>
    <hyperlink ref="C4319" r:id="rId4319" display="https://youtu.be/UZy08F-gsqU"/>
    <hyperlink ref="F4319" r:id="rId2" display="https://files.afu.se/Downloads/Transcripts/0%20-%20Government/USA%20-%20NASA/"/>
    <hyperlink ref="C4320" r:id="rId4320" display="https://youtu.be/k1gZXt0CHHU"/>
    <hyperlink ref="F4320" r:id="rId2" display="https://files.afu.se/Downloads/Transcripts/0%20-%20Government/USA%20-%20NASA/"/>
    <hyperlink ref="C4321" r:id="rId4321" display="https://youtu.be/MxPnAMLDmKY"/>
    <hyperlink ref="F4321" r:id="rId2" display="https://files.afu.se/Downloads/Transcripts/0%20-%20Government/USA%20-%20NASA/"/>
    <hyperlink ref="C4322" r:id="rId4322" display="https://youtu.be/Xi3rc9n_-kY"/>
    <hyperlink ref="F4322" r:id="rId2" display="https://files.afu.se/Downloads/Transcripts/0%20-%20Government/USA%20-%20NASA/"/>
    <hyperlink ref="C4323" r:id="rId4323" display="https://youtu.be/uwIUF1V1Rv4"/>
    <hyperlink ref="F4323" r:id="rId2" display="https://files.afu.se/Downloads/Transcripts/0%20-%20Government/USA%20-%20NASA/"/>
    <hyperlink ref="C4324" r:id="rId4324" display="https://youtu.be/KzaWX8uuyUI"/>
    <hyperlink ref="F4324" r:id="rId2" display="https://files.afu.se/Downloads/Transcripts/0%20-%20Government/USA%20-%20NASA/"/>
    <hyperlink ref="C4325" r:id="rId4325" display="https://youtu.be/cawIs_rKaeI"/>
    <hyperlink ref="F4325" r:id="rId2" display="https://files.afu.se/Downloads/Transcripts/0%20-%20Government/USA%20-%20NASA/"/>
    <hyperlink ref="C4326" r:id="rId4326" display="https://youtu.be/CSN7bhw3mXE"/>
    <hyperlink ref="F4326" r:id="rId2" display="https://files.afu.se/Downloads/Transcripts/0%20-%20Government/USA%20-%20NASA/"/>
    <hyperlink ref="C4327" r:id="rId4327" display="https://youtu.be/oEnr13WLdl0"/>
    <hyperlink ref="F4327" r:id="rId2" display="https://files.afu.se/Downloads/Transcripts/0%20-%20Government/USA%20-%20NASA/"/>
    <hyperlink ref="C4328" r:id="rId4328" display="https://youtu.be/KmFUo0CEEOE"/>
    <hyperlink ref="F4328" r:id="rId2" display="https://files.afu.se/Downloads/Transcripts/0%20-%20Government/USA%20-%20NASA/"/>
    <hyperlink ref="C4329" r:id="rId4329" display="https://youtu.be/DGAPt_HOUls"/>
    <hyperlink ref="F4329" r:id="rId2" display="https://files.afu.se/Downloads/Transcripts/0%20-%20Government/USA%20-%20NASA/"/>
    <hyperlink ref="C4330" r:id="rId4330" display="https://youtu.be/Gbtulv0mnlU"/>
    <hyperlink ref="F4330" r:id="rId2" display="https://files.afu.se/Downloads/Transcripts/0%20-%20Government/USA%20-%20NASA/"/>
    <hyperlink ref="C4331" r:id="rId4331" display="https://youtu.be/WL_FwRFCAmA"/>
    <hyperlink ref="F4331" r:id="rId2" display="https://files.afu.se/Downloads/Transcripts/0%20-%20Government/USA%20-%20NASA/"/>
    <hyperlink ref="C4332" r:id="rId4332" display="https://youtu.be/Hkagxtiy1-M"/>
    <hyperlink ref="F4332" r:id="rId2" display="https://files.afu.se/Downloads/Transcripts/0%20-%20Government/USA%20-%20NASA/"/>
    <hyperlink ref="C4333" r:id="rId4333" display="https://youtu.be/iDPRJznyOYw"/>
    <hyperlink ref="F4333" r:id="rId2" display="https://files.afu.se/Downloads/Transcripts/0%20-%20Government/USA%20-%20NASA/"/>
    <hyperlink ref="C4334" r:id="rId4334" display="https://youtu.be/jDlx2N6fpM4"/>
    <hyperlink ref="F4334" r:id="rId2" display="https://files.afu.se/Downloads/Transcripts/0%20-%20Government/USA%20-%20NASA/"/>
    <hyperlink ref="C4335" r:id="rId4335" display="https://youtu.be/Ajz69bgCriU"/>
    <hyperlink ref="F4335" r:id="rId2" display="https://files.afu.se/Downloads/Transcripts/0%20-%20Government/USA%20-%20NASA/"/>
    <hyperlink ref="C4336" r:id="rId4336" display="https://youtu.be/yx3JkEO5lo4"/>
    <hyperlink ref="F4336" r:id="rId2" display="https://files.afu.se/Downloads/Transcripts/0%20-%20Government/USA%20-%20NASA/"/>
    <hyperlink ref="C4337" r:id="rId4337" display="https://youtu.be/uA3kIxpqIl4"/>
    <hyperlink ref="F4337" r:id="rId2" display="https://files.afu.se/Downloads/Transcripts/0%20-%20Government/USA%20-%20NASA/"/>
    <hyperlink ref="C4338" r:id="rId4338" display="https://youtu.be/bZtWf8VOdTY"/>
    <hyperlink ref="F4338" r:id="rId2" display="https://files.afu.se/Downloads/Transcripts/0%20-%20Government/USA%20-%20NASA/"/>
    <hyperlink ref="C4339" r:id="rId4339" display="https://youtu.be/9sh2DkTh3qc"/>
    <hyperlink ref="F4339" r:id="rId2" display="https://files.afu.se/Downloads/Transcripts/0%20-%20Government/USA%20-%20NASA/"/>
    <hyperlink ref="C4340" r:id="rId4340" display="https://youtu.be/fGiD3ZrppKM"/>
    <hyperlink ref="F4340" r:id="rId2" display="https://files.afu.se/Downloads/Transcripts/0%20-%20Government/USA%20-%20NASA/"/>
    <hyperlink ref="C4341" r:id="rId4341" display="https://youtu.be/-iLBUJcz_oU"/>
    <hyperlink ref="F4341" r:id="rId2" display="https://files.afu.se/Downloads/Transcripts/0%20-%20Government/USA%20-%20NASA/"/>
    <hyperlink ref="C4342" r:id="rId4342" display="https://youtu.be/InYCEeB5t2I"/>
    <hyperlink ref="F4342" r:id="rId2" display="https://files.afu.se/Downloads/Transcripts/0%20-%20Government/USA%20-%20NASA/"/>
    <hyperlink ref="C4343" r:id="rId4343" display="https://youtu.be/Z-qBZWmCiK8"/>
    <hyperlink ref="F4343" r:id="rId2" display="https://files.afu.se/Downloads/Transcripts/0%20-%20Government/USA%20-%20NASA/"/>
    <hyperlink ref="C4344" r:id="rId4344" display="https://youtu.be/oJtZkPTJ0Qs"/>
    <hyperlink ref="F4344" r:id="rId2" display="https://files.afu.se/Downloads/Transcripts/0%20-%20Government/USA%20-%20NASA/"/>
    <hyperlink ref="C4345" r:id="rId4345" display="https://youtu.be/zzGxpht0zwA"/>
    <hyperlink ref="F4345" r:id="rId2" display="https://files.afu.se/Downloads/Transcripts/0%20-%20Government/USA%20-%20NASA/"/>
    <hyperlink ref="C4346" r:id="rId4346" display="https://youtu.be/vY7aNaLWpAE"/>
    <hyperlink ref="F4346" r:id="rId2" display="https://files.afu.se/Downloads/Transcripts/0%20-%20Government/USA%20-%20NASA/"/>
    <hyperlink ref="C4347" r:id="rId4347" display="https://youtu.be/iO2jOtxP3T8"/>
    <hyperlink ref="F4347" r:id="rId2" display="https://files.afu.se/Downloads/Transcripts/0%20-%20Government/USA%20-%20NASA/"/>
    <hyperlink ref="C4348" r:id="rId4348" display="https://youtu.be/VVSHiOFe4-0"/>
    <hyperlink ref="F4348" r:id="rId2" display="https://files.afu.se/Downloads/Transcripts/0%20-%20Government/USA%20-%20NASA/"/>
    <hyperlink ref="C4349" r:id="rId4349" display="https://youtu.be/gWhJLg1umAE"/>
    <hyperlink ref="F4349" r:id="rId2" display="https://files.afu.se/Downloads/Transcripts/0%20-%20Government/USA%20-%20NASA/"/>
    <hyperlink ref="C4350" r:id="rId4350" display="https://youtu.be/zFx7R4Jm1TM"/>
    <hyperlink ref="F4350" r:id="rId2" display="https://files.afu.se/Downloads/Transcripts/0%20-%20Government/USA%20-%20NASA/"/>
    <hyperlink ref="C4351" r:id="rId4351" display="https://youtu.be/DJwjwtCsDhs"/>
    <hyperlink ref="F4351" r:id="rId2" display="https://files.afu.se/Downloads/Transcripts/0%20-%20Government/USA%20-%20NASA/"/>
    <hyperlink ref="C4352" r:id="rId4352" display="https://youtu.be/Drv0SS1rCpk"/>
    <hyperlink ref="F4352" r:id="rId2" display="https://files.afu.se/Downloads/Transcripts/0%20-%20Government/USA%20-%20NASA/"/>
    <hyperlink ref="C4353" r:id="rId4353" display="https://youtu.be/da13q8AHTzs"/>
    <hyperlink ref="F4353" r:id="rId2" display="https://files.afu.se/Downloads/Transcripts/0%20-%20Government/USA%20-%20NASA/"/>
    <hyperlink ref="C4354" r:id="rId4354" display="https://youtu.be/FqriQJCFXag"/>
    <hyperlink ref="F4354" r:id="rId2" display="https://files.afu.se/Downloads/Transcripts/0%20-%20Government/USA%20-%20NASA/"/>
    <hyperlink ref="C4355" r:id="rId4355" display="https://youtu.be/N7gmzQUG57E"/>
    <hyperlink ref="F4355" r:id="rId2" display="https://files.afu.se/Downloads/Transcripts/0%20-%20Government/USA%20-%20NASA/"/>
    <hyperlink ref="C4356" r:id="rId4356" display="https://youtu.be/DGn_zp9Ln5E"/>
    <hyperlink ref="F4356" r:id="rId2" display="https://files.afu.se/Downloads/Transcripts/0%20-%20Government/USA%20-%20NASA/"/>
    <hyperlink ref="C4357" r:id="rId4357" display="https://youtu.be/UWHCsZtF37Q"/>
    <hyperlink ref="F4357" r:id="rId2" display="https://files.afu.se/Downloads/Transcripts/0%20-%20Government/USA%20-%20NASA/"/>
    <hyperlink ref="C4358" r:id="rId4358" display="https://youtu.be/0t5--gUbMCg"/>
    <hyperlink ref="F4358" r:id="rId2" display="https://files.afu.se/Downloads/Transcripts/0%20-%20Government/USA%20-%20NASA/"/>
    <hyperlink ref="C4359" r:id="rId4359" display="https://youtu.be/RRfZAVc1Alo"/>
    <hyperlink ref="F4359" r:id="rId2" display="https://files.afu.se/Downloads/Transcripts/0%20-%20Government/USA%20-%20NASA/"/>
    <hyperlink ref="C4360" r:id="rId4360" display="https://youtu.be/bIdB1UWlNDU"/>
    <hyperlink ref="F4360" r:id="rId2" display="https://files.afu.se/Downloads/Transcripts/0%20-%20Government/USA%20-%20NASA/"/>
    <hyperlink ref="C4361" r:id="rId4361" display="https://youtu.be/-UO__C5UihE"/>
    <hyperlink ref="F4361" r:id="rId2" display="https://files.afu.se/Downloads/Transcripts/0%20-%20Government/USA%20-%20NASA/"/>
    <hyperlink ref="C4362" r:id="rId4362" display="https://youtu.be/t6nVSmjZScU"/>
    <hyperlink ref="F4362" r:id="rId2" display="https://files.afu.se/Downloads/Transcripts/0%20-%20Government/USA%20-%20NASA/"/>
    <hyperlink ref="C4363" r:id="rId4363" display="https://youtu.be/BSJIEKcHlho"/>
    <hyperlink ref="F4363" r:id="rId2" display="https://files.afu.se/Downloads/Transcripts/0%20-%20Government/USA%20-%20NASA/"/>
    <hyperlink ref="C4364" r:id="rId4364" display="https://youtu.be/xRVHylmxUk8"/>
    <hyperlink ref="F4364" r:id="rId2" display="https://files.afu.se/Downloads/Transcripts/0%20-%20Government/USA%20-%20NASA/"/>
    <hyperlink ref="C4365" r:id="rId4365" display="https://youtu.be/YkqiblIgB_Y"/>
    <hyperlink ref="F4365" r:id="rId2" display="https://files.afu.se/Downloads/Transcripts/0%20-%20Government/USA%20-%20NASA/"/>
    <hyperlink ref="C4366" r:id="rId4366" display="https://youtu.be/WYmozt4yFZs"/>
    <hyperlink ref="F4366" r:id="rId2" display="https://files.afu.se/Downloads/Transcripts/0%20-%20Government/USA%20-%20NASA/"/>
    <hyperlink ref="C4367" r:id="rId4367" display="https://youtu.be/g8okqWukoaU"/>
    <hyperlink ref="F4367" r:id="rId2" display="https://files.afu.se/Downloads/Transcripts/0%20-%20Government/USA%20-%20NASA/"/>
    <hyperlink ref="C4368" r:id="rId4368" display="https://youtu.be/0wEMBhq-EZ8"/>
    <hyperlink ref="F4368" r:id="rId2" display="https://files.afu.se/Downloads/Transcripts/0%20-%20Government/USA%20-%20NASA/"/>
    <hyperlink ref="C4369" r:id="rId4369" display="https://youtu.be/x0OaCenDySM"/>
    <hyperlink ref="F4369" r:id="rId2" display="https://files.afu.se/Downloads/Transcripts/0%20-%20Government/USA%20-%20NASA/"/>
    <hyperlink ref="C4370" r:id="rId4370" display="https://youtu.be/R22UNGuJyYw"/>
    <hyperlink ref="F4370" r:id="rId2" display="https://files.afu.se/Downloads/Transcripts/0%20-%20Government/USA%20-%20NASA/"/>
    <hyperlink ref="C4371" r:id="rId4371" display="https://youtu.be/wxmw3LE9rvY"/>
    <hyperlink ref="F4371" r:id="rId2" display="https://files.afu.se/Downloads/Transcripts/0%20-%20Government/USA%20-%20NASA/"/>
    <hyperlink ref="C4372" r:id="rId4372" display="https://youtu.be/FE0sgybgQy4"/>
    <hyperlink ref="F4372" r:id="rId2" display="https://files.afu.se/Downloads/Transcripts/0%20-%20Government/USA%20-%20NASA/"/>
    <hyperlink ref="C4373" r:id="rId4373" display="https://youtu.be/zLmDKo5rxKg"/>
    <hyperlink ref="F4373" r:id="rId2" display="https://files.afu.se/Downloads/Transcripts/0%20-%20Government/USA%20-%20NASA/"/>
    <hyperlink ref="C4374" r:id="rId4374" display="https://youtu.be/HQz3huNCX-o"/>
    <hyperlink ref="F4374" r:id="rId2" display="https://files.afu.se/Downloads/Transcripts/0%20-%20Government/USA%20-%20NASA/"/>
    <hyperlink ref="C4375" r:id="rId4375" display="https://youtu.be/Hv7Qw9bnZe8"/>
    <hyperlink ref="F4375" r:id="rId2" display="https://files.afu.se/Downloads/Transcripts/0%20-%20Government/USA%20-%20NASA/"/>
    <hyperlink ref="C4376" r:id="rId4376" display="https://youtu.be/U_IKkGJzFDM"/>
    <hyperlink ref="F4376" r:id="rId2" display="https://files.afu.se/Downloads/Transcripts/0%20-%20Government/USA%20-%20NASA/"/>
    <hyperlink ref="C4377" r:id="rId4377" display="https://youtu.be/FvSDO1GS2gY"/>
    <hyperlink ref="F4377" r:id="rId2" display="https://files.afu.se/Downloads/Transcripts/0%20-%20Government/USA%20-%20NASA/"/>
    <hyperlink ref="C4378" r:id="rId4378" display="https://youtu.be/Q3jh3UEF97Q"/>
    <hyperlink ref="F4378" r:id="rId2" display="https://files.afu.se/Downloads/Transcripts/0%20-%20Government/USA%20-%20NASA/"/>
    <hyperlink ref="C4379" r:id="rId4379" display="https://youtu.be/UE1o_1U8cYg"/>
    <hyperlink ref="F4379" r:id="rId2" display="https://files.afu.se/Downloads/Transcripts/0%20-%20Government/USA%20-%20NASA/"/>
    <hyperlink ref="C4380" r:id="rId4380" display="https://youtu.be/kSuNwTxeAuo"/>
    <hyperlink ref="F4380" r:id="rId2" display="https://files.afu.se/Downloads/Transcripts/0%20-%20Government/USA%20-%20NASA/"/>
    <hyperlink ref="C4381" r:id="rId4381" display="https://youtu.be/fvSRnOJ8x38"/>
    <hyperlink ref="F4381" r:id="rId2" display="https://files.afu.se/Downloads/Transcripts/0%20-%20Government/USA%20-%20NASA/"/>
    <hyperlink ref="C4382" r:id="rId4382" display="https://youtu.be/y1Rhqg3pvqQ"/>
    <hyperlink ref="F4382" r:id="rId2" display="https://files.afu.se/Downloads/Transcripts/0%20-%20Government/USA%20-%20NASA/"/>
    <hyperlink ref="C4383" r:id="rId4383" display="https://youtu.be/7odWaoSpGRg"/>
    <hyperlink ref="F4383" r:id="rId2" display="https://files.afu.se/Downloads/Transcripts/0%20-%20Government/USA%20-%20NASA/"/>
    <hyperlink ref="C4384" r:id="rId4384" display="https://youtu.be/NmbEt_olRys"/>
    <hyperlink ref="F4384" r:id="rId2" display="https://files.afu.se/Downloads/Transcripts/0%20-%20Government/USA%20-%20NASA/"/>
    <hyperlink ref="C4385" r:id="rId4385" display="https://youtu.be/3LX18OeUAFA"/>
    <hyperlink ref="F4385" r:id="rId2" display="https://files.afu.se/Downloads/Transcripts/0%20-%20Government/USA%20-%20NASA/"/>
    <hyperlink ref="C4386" r:id="rId4386" display="https://youtu.be/E2RyGOB7v_Y"/>
    <hyperlink ref="F4386" r:id="rId2" display="https://files.afu.se/Downloads/Transcripts/0%20-%20Government/USA%20-%20NASA/"/>
    <hyperlink ref="C4387" r:id="rId4387" display="https://youtu.be/-UiVHayv3gM"/>
    <hyperlink ref="F4387" r:id="rId2" display="https://files.afu.se/Downloads/Transcripts/0%20-%20Government/USA%20-%20NASA/"/>
    <hyperlink ref="C4388" r:id="rId4388" display="https://youtu.be/KfH8fjJecyE"/>
    <hyperlink ref="F4388" r:id="rId2" display="https://files.afu.se/Downloads/Transcripts/0%20-%20Government/USA%20-%20NASA/"/>
    <hyperlink ref="C4389" r:id="rId4389" display="https://youtu.be/-S9bAkz2X70"/>
    <hyperlink ref="F4389" r:id="rId2" display="https://files.afu.se/Downloads/Transcripts/0%20-%20Government/USA%20-%20NASA/"/>
    <hyperlink ref="C4390" r:id="rId4390" display="https://youtu.be/OFQ3HGHMBa8"/>
    <hyperlink ref="F4390" r:id="rId2" display="https://files.afu.se/Downloads/Transcripts/0%20-%20Government/USA%20-%20NASA/"/>
    <hyperlink ref="C4391" r:id="rId4391" display="https://youtu.be/TRxwXrTMwew"/>
    <hyperlink ref="F4391" r:id="rId2" display="https://files.afu.se/Downloads/Transcripts/0%20-%20Government/USA%20-%20NASA/"/>
    <hyperlink ref="C4392" r:id="rId4392" display="https://youtu.be/flf4-SOgJO8"/>
    <hyperlink ref="F4392" r:id="rId2" display="https://files.afu.se/Downloads/Transcripts/0%20-%20Government/USA%20-%20NASA/"/>
    <hyperlink ref="C4393" r:id="rId4393" display="https://youtu.be/3OUTa8RhZvI"/>
    <hyperlink ref="F4393" r:id="rId2" display="https://files.afu.se/Downloads/Transcripts/0%20-%20Government/USA%20-%20NASA/"/>
    <hyperlink ref="C4394" r:id="rId4394" display="https://youtu.be/uMvkVGwS060"/>
    <hyperlink ref="F4394" r:id="rId2" display="https://files.afu.se/Downloads/Transcripts/0%20-%20Government/USA%20-%20NASA/"/>
    <hyperlink ref="C4395" r:id="rId4395" display="https://youtu.be/n7V5IQAxp4w"/>
    <hyperlink ref="F4395" r:id="rId2" display="https://files.afu.se/Downloads/Transcripts/0%20-%20Government/USA%20-%20NASA/"/>
    <hyperlink ref="C4396" r:id="rId4396" display="https://youtu.be/bX9vMkzcelQ"/>
    <hyperlink ref="F4396" r:id="rId2" display="https://files.afu.se/Downloads/Transcripts/0%20-%20Government/USA%20-%20NASA/"/>
    <hyperlink ref="C4397" r:id="rId4397" display="https://youtu.be/vUwd23UoHNk"/>
    <hyperlink ref="F4397" r:id="rId2" display="https://files.afu.se/Downloads/Transcripts/0%20-%20Government/USA%20-%20NASA/"/>
    <hyperlink ref="C4398" r:id="rId4398" display="https://youtu.be/tW1dVjXH9LQ"/>
    <hyperlink ref="F4398" r:id="rId2" display="https://files.afu.se/Downloads/Transcripts/0%20-%20Government/USA%20-%20NASA/"/>
    <hyperlink ref="C4399" r:id="rId4399" display="https://youtu.be/IdKJRXP-2vg"/>
    <hyperlink ref="F4399" r:id="rId2" display="https://files.afu.se/Downloads/Transcripts/0%20-%20Government/USA%20-%20NASA/"/>
    <hyperlink ref="C4400" r:id="rId4400" display="https://youtu.be/SvJgJx5PTyQ"/>
    <hyperlink ref="F4400" r:id="rId2" display="https://files.afu.se/Downloads/Transcripts/0%20-%20Government/USA%20-%20NASA/"/>
    <hyperlink ref="C4401" r:id="rId4401" display="https://youtu.be/pecFxSjmIlM"/>
    <hyperlink ref="F4401" r:id="rId2" display="https://files.afu.se/Downloads/Transcripts/0%20-%20Government/USA%20-%20NASA/"/>
    <hyperlink ref="C4402" r:id="rId4402" display="https://youtu.be/W4ICBKdH00U"/>
    <hyperlink ref="F4402" r:id="rId2" display="https://files.afu.se/Downloads/Transcripts/0%20-%20Government/USA%20-%20NASA/"/>
    <hyperlink ref="C4403" r:id="rId4403" display="https://youtu.be/lw4wPH84igc"/>
    <hyperlink ref="F4403" r:id="rId2" display="https://files.afu.se/Downloads/Transcripts/0%20-%20Government/USA%20-%20NASA/"/>
    <hyperlink ref="C4404" r:id="rId4404" display="https://youtu.be/5XkH-3zjXJA"/>
    <hyperlink ref="F4404" r:id="rId2" display="https://files.afu.se/Downloads/Transcripts/0%20-%20Government/USA%20-%20NASA/"/>
    <hyperlink ref="C4405" r:id="rId4405" display="https://youtu.be/c2ajFTQzKb0"/>
    <hyperlink ref="F4405" r:id="rId2" display="https://files.afu.se/Downloads/Transcripts/0%20-%20Government/USA%20-%20NASA/"/>
    <hyperlink ref="C4406" r:id="rId4406" display="https://youtu.be/VnLnkZq3yA8"/>
    <hyperlink ref="F4406" r:id="rId2" display="https://files.afu.se/Downloads/Transcripts/0%20-%20Government/USA%20-%20NASA/"/>
    <hyperlink ref="C4407" r:id="rId4407" display="https://youtu.be/3lvSI_Oy2sA"/>
    <hyperlink ref="F4407" r:id="rId2" display="https://files.afu.se/Downloads/Transcripts/0%20-%20Government/USA%20-%20NASA/"/>
    <hyperlink ref="C4408" r:id="rId4408" display="https://youtu.be/H_p3CGw-VlE"/>
    <hyperlink ref="F4408" r:id="rId2" display="https://files.afu.se/Downloads/Transcripts/0%20-%20Government/USA%20-%20NASA/"/>
    <hyperlink ref="C4409" r:id="rId4409" display="https://youtu.be/_6NDwYonh-w"/>
    <hyperlink ref="F4409" r:id="rId2" display="https://files.afu.se/Downloads/Transcripts/0%20-%20Government/USA%20-%20NASA/"/>
    <hyperlink ref="C4410" r:id="rId4410" display="https://youtu.be/OwQNn5i2Hmo"/>
    <hyperlink ref="F4410" r:id="rId2" display="https://files.afu.se/Downloads/Transcripts/0%20-%20Government/USA%20-%20NASA/"/>
    <hyperlink ref="C4411" r:id="rId4411" display="https://youtu.be/TExUzUR88qc"/>
    <hyperlink ref="F4411" r:id="rId2" display="https://files.afu.se/Downloads/Transcripts/0%20-%20Government/USA%20-%20NASA/"/>
    <hyperlink ref="C4412" r:id="rId4412" display="https://youtu.be/UpVClvUzhPA"/>
    <hyperlink ref="F4412" r:id="rId2" display="https://files.afu.se/Downloads/Transcripts/0%20-%20Government/USA%20-%20NASA/"/>
    <hyperlink ref="C4413" r:id="rId4413" display="https://youtu.be/SH65Chfip0g"/>
    <hyperlink ref="F4413" r:id="rId2" display="https://files.afu.se/Downloads/Transcripts/0%20-%20Government/USA%20-%20NASA/"/>
    <hyperlink ref="C4414" r:id="rId4414" display="https://youtu.be/B3dxvNfrFU4"/>
    <hyperlink ref="F4414" r:id="rId2" display="https://files.afu.se/Downloads/Transcripts/0%20-%20Government/USA%20-%20NASA/"/>
    <hyperlink ref="C4415" r:id="rId4415" display="https://youtu.be/fBhrFxUbhYg"/>
    <hyperlink ref="F4415" r:id="rId2" display="https://files.afu.se/Downloads/Transcripts/0%20-%20Government/USA%20-%20NASA/"/>
    <hyperlink ref="C4416" r:id="rId4416" display="https://youtu.be/hysniE1bVzg"/>
    <hyperlink ref="F4416" r:id="rId2" display="https://files.afu.se/Downloads/Transcripts/0%20-%20Government/USA%20-%20NASA/"/>
    <hyperlink ref="C4417" r:id="rId4417" display="https://youtu.be/FfhtmLPBuR4"/>
    <hyperlink ref="F4417" r:id="rId2" display="https://files.afu.se/Downloads/Transcripts/0%20-%20Government/USA%20-%20NASA/"/>
    <hyperlink ref="C4418" r:id="rId4418" display="https://youtu.be/Ynqy3XV18zw"/>
    <hyperlink ref="F4418" r:id="rId2" display="https://files.afu.se/Downloads/Transcripts/0%20-%20Government/USA%20-%20NASA/"/>
    <hyperlink ref="C4419" r:id="rId4419" display="https://youtu.be/tYddpBvMOUo"/>
    <hyperlink ref="F4419" r:id="rId2" display="https://files.afu.se/Downloads/Transcripts/0%20-%20Government/USA%20-%20NASA/"/>
    <hyperlink ref="C4420" r:id="rId4420" display="https://youtu.be/rs_ps8zsMX4"/>
    <hyperlink ref="F4420" r:id="rId2" display="https://files.afu.se/Downloads/Transcripts/0%20-%20Government/USA%20-%20NASA/"/>
    <hyperlink ref="C4421" r:id="rId4421" display="https://youtu.be/Qv5NHCbVkBI"/>
    <hyperlink ref="F4421" r:id="rId2" display="https://files.afu.se/Downloads/Transcripts/0%20-%20Government/USA%20-%20NASA/"/>
    <hyperlink ref="C4422" r:id="rId4422" display="https://youtu.be/PwPZebSjnGQ"/>
    <hyperlink ref="F4422" r:id="rId2" display="https://files.afu.se/Downloads/Transcripts/0%20-%20Government/USA%20-%20NASA/"/>
    <hyperlink ref="C4423" r:id="rId4423" display="https://youtu.be/DOFfw-YrgR0"/>
    <hyperlink ref="F4423" r:id="rId2" display="https://files.afu.se/Downloads/Transcripts/0%20-%20Government/USA%20-%20NASA/"/>
    <hyperlink ref="C4424" r:id="rId4424" display="https://youtu.be/2fd7W0bZLWI"/>
    <hyperlink ref="F4424" r:id="rId2" display="https://files.afu.se/Downloads/Transcripts/0%20-%20Government/USA%20-%20NASA/"/>
    <hyperlink ref="C4425" r:id="rId4425" display="https://youtu.be/mjOd9BHfsbw"/>
    <hyperlink ref="F4425" r:id="rId2" display="https://files.afu.se/Downloads/Transcripts/0%20-%20Government/USA%20-%20NASA/"/>
    <hyperlink ref="C4426" r:id="rId4426" display="https://youtu.be/bnxQ8sMgAEw"/>
    <hyperlink ref="F4426" r:id="rId2" display="https://files.afu.se/Downloads/Transcripts/0%20-%20Government/USA%20-%20NASA/"/>
    <hyperlink ref="C4427" r:id="rId4427" display="https://youtu.be/R7wPaVpLI4o"/>
    <hyperlink ref="F4427" r:id="rId2" display="https://files.afu.se/Downloads/Transcripts/0%20-%20Government/USA%20-%20NASA/"/>
    <hyperlink ref="C4428" r:id="rId4428" display="https://youtu.be/12ZMgnC86o0"/>
    <hyperlink ref="F4428" r:id="rId2" display="https://files.afu.se/Downloads/Transcripts/0%20-%20Government/USA%20-%20NASA/"/>
    <hyperlink ref="C4429" r:id="rId4429" display="https://youtu.be/dc8SJI1zHWg"/>
    <hyperlink ref="F4429" r:id="rId2" display="https://files.afu.se/Downloads/Transcripts/0%20-%20Government/USA%20-%20NASA/"/>
    <hyperlink ref="C4430" r:id="rId4430" display="https://youtu.be/-m0uuO4HBgY"/>
    <hyperlink ref="F4430" r:id="rId2" display="https://files.afu.se/Downloads/Transcripts/0%20-%20Government/USA%20-%20NASA/"/>
    <hyperlink ref="C4431" r:id="rId4431" display="https://youtu.be/dZFaMouTY1s"/>
    <hyperlink ref="F4431" r:id="rId2" display="https://files.afu.se/Downloads/Transcripts/0%20-%20Government/USA%20-%20NASA/"/>
    <hyperlink ref="C4432" r:id="rId4432" display="https://youtu.be/jZKSWuowgPI"/>
    <hyperlink ref="F4432" r:id="rId2" display="https://files.afu.se/Downloads/Transcripts/0%20-%20Government/USA%20-%20NASA/"/>
    <hyperlink ref="C4433" r:id="rId4433" display="https://youtu.be/AOcyDYf21NM"/>
    <hyperlink ref="F4433" r:id="rId2" display="https://files.afu.se/Downloads/Transcripts/0%20-%20Government/USA%20-%20NASA/"/>
    <hyperlink ref="C4434" r:id="rId4434" display="https://youtu.be/aL6vLBKydpE"/>
    <hyperlink ref="F4434" r:id="rId2" display="https://files.afu.se/Downloads/Transcripts/0%20-%20Government/USA%20-%20NASA/"/>
    <hyperlink ref="C4435" r:id="rId4435" display="https://youtu.be/LASAF49JTgE"/>
    <hyperlink ref="F4435" r:id="rId2" display="https://files.afu.se/Downloads/Transcripts/0%20-%20Government/USA%20-%20NASA/"/>
    <hyperlink ref="C4436" r:id="rId4436" display="https://youtu.be/cmOiW_JbXMc"/>
    <hyperlink ref="F4436" r:id="rId2" display="https://files.afu.se/Downloads/Transcripts/0%20-%20Government/USA%20-%20NASA/"/>
    <hyperlink ref="C4437" r:id="rId4437" display="https://youtu.be/mAIrpnRFKBg"/>
    <hyperlink ref="F4437" r:id="rId2" display="https://files.afu.se/Downloads/Transcripts/0%20-%20Government/USA%20-%20NASA/"/>
    <hyperlink ref="C4438" r:id="rId4438" display="https://youtu.be/CQE0S_G7XIk"/>
    <hyperlink ref="F4438" r:id="rId2" display="https://files.afu.se/Downloads/Transcripts/0%20-%20Government/USA%20-%20NASA/"/>
    <hyperlink ref="C4439" r:id="rId4439" display="https://youtu.be/2zihywXgyOI"/>
    <hyperlink ref="F4439" r:id="rId2" display="https://files.afu.se/Downloads/Transcripts/0%20-%20Government/USA%20-%20NASA/"/>
    <hyperlink ref="C4440" r:id="rId4440" display="https://youtu.be/y9f8KsPfYsU"/>
    <hyperlink ref="F4440" r:id="rId2" display="https://files.afu.se/Downloads/Transcripts/0%20-%20Government/USA%20-%20NASA/"/>
    <hyperlink ref="C4441" r:id="rId4441" display="https://youtu.be/iHzEsXUfqD0"/>
    <hyperlink ref="F4441" r:id="rId2" display="https://files.afu.se/Downloads/Transcripts/0%20-%20Government/USA%20-%20NASA/"/>
    <hyperlink ref="C4442" r:id="rId4442" display="https://youtu.be/4IMFbhjbFj4"/>
    <hyperlink ref="F4442" r:id="rId2" display="https://files.afu.se/Downloads/Transcripts/0%20-%20Government/USA%20-%20NASA/"/>
    <hyperlink ref="C4443" r:id="rId4443" display="https://youtu.be/u9VDPGY2DEQ"/>
    <hyperlink ref="F4443" r:id="rId2" display="https://files.afu.se/Downloads/Transcripts/0%20-%20Government/USA%20-%20NASA/"/>
    <hyperlink ref="C4444" r:id="rId4444" display="https://youtu.be/wKVoSCDJ-f4"/>
    <hyperlink ref="F4444" r:id="rId2" display="https://files.afu.se/Downloads/Transcripts/0%20-%20Government/USA%20-%20NASA/"/>
    <hyperlink ref="C4445" r:id="rId4445" display="https://youtu.be/Ucbm-BPxjq0"/>
    <hyperlink ref="F4445" r:id="rId2" display="https://files.afu.se/Downloads/Transcripts/0%20-%20Government/USA%20-%20NASA/"/>
    <hyperlink ref="C4446" r:id="rId4446" display="https://youtu.be/zZHSptpDoLQ"/>
    <hyperlink ref="F4446" r:id="rId2" display="https://files.afu.se/Downloads/Transcripts/0%20-%20Government/USA%20-%20NASA/"/>
    <hyperlink ref="C4447" r:id="rId4447" display="https://youtu.be/OJYxOLF9FiM"/>
    <hyperlink ref="F4447" r:id="rId2" display="https://files.afu.se/Downloads/Transcripts/0%20-%20Government/USA%20-%20NASA/"/>
    <hyperlink ref="C4448" r:id="rId4448" display="https://youtu.be/l9bOnh0hwbU"/>
    <hyperlink ref="F4448" r:id="rId2" display="https://files.afu.se/Downloads/Transcripts/0%20-%20Government/USA%20-%20NASA/"/>
    <hyperlink ref="C4449" r:id="rId4449" display="https://youtu.be/nAetqx5bods"/>
    <hyperlink ref="F4449" r:id="rId2" display="https://files.afu.se/Downloads/Transcripts/0%20-%20Government/USA%20-%20NASA/"/>
    <hyperlink ref="C4450" r:id="rId4450" display="https://youtu.be/npV44pHdzdM"/>
    <hyperlink ref="F4450" r:id="rId2" display="https://files.afu.se/Downloads/Transcripts/0%20-%20Government/USA%20-%20NASA/"/>
    <hyperlink ref="C4451" r:id="rId4451" display="https://youtu.be/5_mNN5v41KY"/>
    <hyperlink ref="F4451" r:id="rId2" display="https://files.afu.se/Downloads/Transcripts/0%20-%20Government/USA%20-%20NASA/"/>
    <hyperlink ref="C4452" r:id="rId4452" display="https://youtu.be/yZZHZCr27HE"/>
    <hyperlink ref="F4452" r:id="rId2" display="https://files.afu.se/Downloads/Transcripts/0%20-%20Government/USA%20-%20NASA/"/>
    <hyperlink ref="C4453" r:id="rId4453" display="https://youtu.be/fF8vP5YEm3g"/>
    <hyperlink ref="F4453" r:id="rId2" display="https://files.afu.se/Downloads/Transcripts/0%20-%20Government/USA%20-%20NASA/"/>
    <hyperlink ref="C4454" r:id="rId4454" display="https://youtu.be/OZQjxC-kRdE"/>
    <hyperlink ref="F4454" r:id="rId2" display="https://files.afu.se/Downloads/Transcripts/0%20-%20Government/USA%20-%20NASA/"/>
    <hyperlink ref="C4455" r:id="rId4455" display="https://youtu.be/2eSHTAO7ZUo"/>
    <hyperlink ref="F4455" r:id="rId2" display="https://files.afu.se/Downloads/Transcripts/0%20-%20Government/USA%20-%20NASA/"/>
    <hyperlink ref="C4456" r:id="rId4456" display="https://youtu.be/KrdSLrJHXFw"/>
    <hyperlink ref="F4456" r:id="rId2" display="https://files.afu.se/Downloads/Transcripts/0%20-%20Government/USA%20-%20NASA/"/>
    <hyperlink ref="C4457" r:id="rId4457" display="https://youtu.be/KyFejZwXg5k"/>
    <hyperlink ref="F4457" r:id="rId2" display="https://files.afu.se/Downloads/Transcripts/0%20-%20Government/USA%20-%20NASA/"/>
    <hyperlink ref="C4458" r:id="rId4458" display="https://youtu.be/83xwb9ARw5Y"/>
    <hyperlink ref="F4458" r:id="rId2" display="https://files.afu.se/Downloads/Transcripts/0%20-%20Government/USA%20-%20NASA/"/>
    <hyperlink ref="C4459" r:id="rId4459" display="https://youtu.be/ANwlI_zKe3k"/>
    <hyperlink ref="F4459" r:id="rId2" display="https://files.afu.se/Downloads/Transcripts/0%20-%20Government/USA%20-%20NASA/"/>
    <hyperlink ref="C4460" r:id="rId4460" display="https://youtu.be/NhTylM5PW7k"/>
    <hyperlink ref="F4460" r:id="rId2" display="https://files.afu.se/Downloads/Transcripts/0%20-%20Government/USA%20-%20NASA/"/>
    <hyperlink ref="C4461" r:id="rId4461" display="https://youtu.be/Xkjis0Uwqyk"/>
    <hyperlink ref="F4461" r:id="rId2" display="https://files.afu.se/Downloads/Transcripts/0%20-%20Government/USA%20-%20NASA/"/>
    <hyperlink ref="C4462" r:id="rId4462" display="https://youtu.be/11Dsh7_WDg0"/>
    <hyperlink ref="F4462" r:id="rId2" display="https://files.afu.se/Downloads/Transcripts/0%20-%20Government/USA%20-%20NASA/"/>
    <hyperlink ref="C4463" r:id="rId4463" display="https://youtu.be/YIuNNZTllmY"/>
    <hyperlink ref="F4463" r:id="rId2" display="https://files.afu.se/Downloads/Transcripts/0%20-%20Government/USA%20-%20NASA/"/>
    <hyperlink ref="C4464" r:id="rId4464" display="https://youtu.be/Fvr3XipwXYE"/>
    <hyperlink ref="F4464" r:id="rId2" display="https://files.afu.se/Downloads/Transcripts/0%20-%20Government/USA%20-%20NASA/"/>
    <hyperlink ref="C4465" r:id="rId4465" display="https://youtu.be/T8Q698X03W0"/>
    <hyperlink ref="F4465" r:id="rId2" display="https://files.afu.se/Downloads/Transcripts/0%20-%20Government/USA%20-%20NASA/"/>
    <hyperlink ref="C4466" r:id="rId4466" display="https://youtu.be/WGB6qylPCo8"/>
    <hyperlink ref="F4466" r:id="rId2" display="https://files.afu.se/Downloads/Transcripts/0%20-%20Government/USA%20-%20NASA/"/>
    <hyperlink ref="C4467" r:id="rId4467" display="https://youtu.be/rVXhhGrSBvY"/>
    <hyperlink ref="F4467" r:id="rId2" display="https://files.afu.se/Downloads/Transcripts/0%20-%20Government/USA%20-%20NASA/"/>
    <hyperlink ref="C4468" r:id="rId4468" display="https://youtu.be/svUMzW3kV1s"/>
    <hyperlink ref="F4468" r:id="rId2" display="https://files.afu.se/Downloads/Transcripts/0%20-%20Government/USA%20-%20NASA/"/>
    <hyperlink ref="C4469" r:id="rId4469" display="https://youtu.be/tjZp6WWpbb0"/>
    <hyperlink ref="F4469" r:id="rId2" display="https://files.afu.se/Downloads/Transcripts/0%20-%20Government/USA%20-%20NASA/"/>
    <hyperlink ref="C4470" r:id="rId4470" display="https://youtu.be/g30lVjUU5Y0"/>
    <hyperlink ref="F4470" r:id="rId2" display="https://files.afu.se/Downloads/Transcripts/0%20-%20Government/USA%20-%20NASA/"/>
    <hyperlink ref="C4471" r:id="rId4471" display="https://youtu.be/uKMKGSt8W4k"/>
    <hyperlink ref="F4471" r:id="rId2" display="https://files.afu.se/Downloads/Transcripts/0%20-%20Government/USA%20-%20NASA/"/>
    <hyperlink ref="C4472" r:id="rId4472" display="https://youtu.be/WU2pY5K88aM"/>
    <hyperlink ref="F4472" r:id="rId2" display="https://files.afu.se/Downloads/Transcripts/0%20-%20Government/USA%20-%20NASA/"/>
    <hyperlink ref="C4473" r:id="rId4473" display="https://youtu.be/RQnYyV9JbbY"/>
    <hyperlink ref="F4473" r:id="rId2" display="https://files.afu.se/Downloads/Transcripts/0%20-%20Government/USA%20-%20NASA/"/>
    <hyperlink ref="C4474" r:id="rId4474" display="https://youtu.be/G8PybJo9IWk"/>
    <hyperlink ref="F4474" r:id="rId2" display="https://files.afu.se/Downloads/Transcripts/0%20-%20Government/USA%20-%20NASA/"/>
    <hyperlink ref="C4475" r:id="rId4475" display="https://youtu.be/FdQA-pE2luQ"/>
    <hyperlink ref="F4475" r:id="rId2" display="https://files.afu.se/Downloads/Transcripts/0%20-%20Government/USA%20-%20NASA/"/>
    <hyperlink ref="C4476" r:id="rId4476" display="https://youtu.be/xr7fPdfQ_nY"/>
    <hyperlink ref="F4476" r:id="rId2" display="https://files.afu.se/Downloads/Transcripts/0%20-%20Government/USA%20-%20NASA/"/>
    <hyperlink ref="C4477" r:id="rId4477" display="https://youtu.be/xd58pvZWluA"/>
    <hyperlink ref="F4477" r:id="rId2" display="https://files.afu.se/Downloads/Transcripts/0%20-%20Government/USA%20-%20NASA/"/>
    <hyperlink ref="C4478" r:id="rId4478" display="https://youtu.be/TlNhva55hZY"/>
    <hyperlink ref="F4478" r:id="rId2" display="https://files.afu.se/Downloads/Transcripts/0%20-%20Government/USA%20-%20NASA/"/>
    <hyperlink ref="C4479" r:id="rId4479" display="https://youtu.be/mfdQO1k2ehM"/>
    <hyperlink ref="F4479" r:id="rId2" display="https://files.afu.se/Downloads/Transcripts/0%20-%20Government/USA%20-%20NASA/"/>
    <hyperlink ref="C4480" r:id="rId4480" display="https://youtu.be/fzgsKupw5hM"/>
    <hyperlink ref="F4480" r:id="rId2" display="https://files.afu.se/Downloads/Transcripts/0%20-%20Government/USA%20-%20NASA/"/>
    <hyperlink ref="C4481" r:id="rId4481" display="https://youtu.be/sq9gVEZjmlM"/>
    <hyperlink ref="F4481" r:id="rId2" display="https://files.afu.se/Downloads/Transcripts/0%20-%20Government/USA%20-%20NASA/"/>
    <hyperlink ref="C4482" r:id="rId4482" display="https://youtu.be/1n9GjJszdyQ"/>
    <hyperlink ref="F4482" r:id="rId2" display="https://files.afu.se/Downloads/Transcripts/0%20-%20Government/USA%20-%20NASA/"/>
    <hyperlink ref="C4483" r:id="rId4483" display="https://youtu.be/1-0-HKHjsPY"/>
    <hyperlink ref="F4483" r:id="rId2" display="https://files.afu.se/Downloads/Transcripts/0%20-%20Government/USA%20-%20NASA/"/>
    <hyperlink ref="C4484" r:id="rId4484" display="https://youtu.be/Xe71vveJMjA"/>
    <hyperlink ref="F4484" r:id="rId2" display="https://files.afu.se/Downloads/Transcripts/0%20-%20Government/USA%20-%20NASA/"/>
    <hyperlink ref="C4485" r:id="rId4485" display="https://youtu.be/bpydgvoo7x8"/>
    <hyperlink ref="F4485" r:id="rId2" display="https://files.afu.se/Downloads/Transcripts/0%20-%20Government/USA%20-%20NASA/"/>
    <hyperlink ref="C4486" r:id="rId4486" display="https://youtu.be/xZrdrWpEBRE"/>
    <hyperlink ref="F4486" r:id="rId2" display="https://files.afu.se/Downloads/Transcripts/0%20-%20Government/USA%20-%20NASA/"/>
    <hyperlink ref="C4487" r:id="rId4487" display="https://youtu.be/xuhqSVBSruw"/>
    <hyperlink ref="F4487" r:id="rId2" display="https://files.afu.se/Downloads/Transcripts/0%20-%20Government/USA%20-%20NASA/"/>
    <hyperlink ref="C4488" r:id="rId4488" display="https://youtu.be/k6XrZVDKXn0"/>
    <hyperlink ref="F4488" r:id="rId2" display="https://files.afu.se/Downloads/Transcripts/0%20-%20Government/USA%20-%20NASA/"/>
    <hyperlink ref="C4489" r:id="rId4489" display="https://youtu.be/rpecnnbJPjg"/>
    <hyperlink ref="F4489" r:id="rId2" display="https://files.afu.se/Downloads/Transcripts/0%20-%20Government/USA%20-%20NASA/"/>
    <hyperlink ref="C4490" r:id="rId4490" display="https://youtu.be/9eMUd2Fb59w"/>
    <hyperlink ref="F4490" r:id="rId2" display="https://files.afu.se/Downloads/Transcripts/0%20-%20Government/USA%20-%20NASA/"/>
    <hyperlink ref="C4491" r:id="rId4491" display="https://youtu.be/bKJcDyBgTlc"/>
    <hyperlink ref="F4491" r:id="rId2" display="https://files.afu.se/Downloads/Transcripts/0%20-%20Government/USA%20-%20NASA/"/>
    <hyperlink ref="C4492" r:id="rId4492" display="https://youtu.be/gD2iT8hSm0k"/>
    <hyperlink ref="F4492" r:id="rId2" display="https://files.afu.se/Downloads/Transcripts/0%20-%20Government/USA%20-%20NASA/"/>
    <hyperlink ref="C4493" r:id="rId4493" display="https://youtu.be/xnjIFKNalCg"/>
    <hyperlink ref="F4493" r:id="rId2" display="https://files.afu.se/Downloads/Transcripts/0%20-%20Government/USA%20-%20NASA/"/>
    <hyperlink ref="C4494" r:id="rId4494" display="https://youtu.be/jweL9xyyu98"/>
    <hyperlink ref="F4494" r:id="rId2" display="https://files.afu.se/Downloads/Transcripts/0%20-%20Government/USA%20-%20NASA/"/>
    <hyperlink ref="C4495" r:id="rId4495" display="https://youtu.be/Q7p1nHtFT5Y"/>
    <hyperlink ref="F4495" r:id="rId2" display="https://files.afu.se/Downloads/Transcripts/0%20-%20Government/USA%20-%20NASA/"/>
    <hyperlink ref="C4496" r:id="rId4496" display="https://youtu.be/MiUB6HRgmGU"/>
    <hyperlink ref="F4496" r:id="rId2" display="https://files.afu.se/Downloads/Transcripts/0%20-%20Government/USA%20-%20NASA/"/>
    <hyperlink ref="C4497" r:id="rId4497" display="https://youtu.be/NsIlYF4Kh-U"/>
    <hyperlink ref="F4497" r:id="rId2" display="https://files.afu.se/Downloads/Transcripts/0%20-%20Government/USA%20-%20NASA/"/>
    <hyperlink ref="C4498" r:id="rId4498" display="https://youtu.be/Gsu79p3KWX4"/>
    <hyperlink ref="F4498" r:id="rId2" display="https://files.afu.se/Downloads/Transcripts/0%20-%20Government/USA%20-%20NASA/"/>
    <hyperlink ref="C4499" r:id="rId4499" display="https://youtu.be/DBGwJ-Wkucc"/>
    <hyperlink ref="F4499" r:id="rId2" display="https://files.afu.se/Downloads/Transcripts/0%20-%20Government/USA%20-%20NASA/"/>
    <hyperlink ref="C4500" r:id="rId4500" display="https://youtu.be/2P7ZggLYo2g"/>
    <hyperlink ref="F4500" r:id="rId2" display="https://files.afu.se/Downloads/Transcripts/0%20-%20Government/USA%20-%20NASA/"/>
    <hyperlink ref="C4501" r:id="rId4501" display="https://youtu.be/2Bc-Opq1IlA"/>
    <hyperlink ref="F4501" r:id="rId2" display="https://files.afu.se/Downloads/Transcripts/0%20-%20Government/USA%20-%20NASA/"/>
    <hyperlink ref="C4502" r:id="rId4502" display="https://youtu.be/BOddPaD-2-g"/>
    <hyperlink ref="F4502" r:id="rId2" display="https://files.afu.se/Downloads/Transcripts/0%20-%20Government/USA%20-%20NASA/"/>
    <hyperlink ref="C4503" r:id="rId4503" display="https://youtu.be/pxMuoAPxkvg"/>
    <hyperlink ref="F4503" r:id="rId2" display="https://files.afu.se/Downloads/Transcripts/0%20-%20Government/USA%20-%20NASA/"/>
    <hyperlink ref="C4504" r:id="rId4504" display="https://youtu.be/bha5IZTXzBY"/>
    <hyperlink ref="F4504" r:id="rId2" display="https://files.afu.se/Downloads/Transcripts/0%20-%20Government/USA%20-%20NASA/"/>
    <hyperlink ref="C4505" r:id="rId4505" display="https://youtu.be/fzUmin_mHTs"/>
    <hyperlink ref="F4505" r:id="rId2" display="https://files.afu.se/Downloads/Transcripts/0%20-%20Government/USA%20-%20NASA/"/>
    <hyperlink ref="C4506" r:id="rId4506" display="https://youtu.be/fDCeKGjhaRM"/>
    <hyperlink ref="F4506" r:id="rId2" display="https://files.afu.se/Downloads/Transcripts/0%20-%20Government/USA%20-%20NASA/"/>
    <hyperlink ref="C4507" r:id="rId4507" display="https://youtu.be/4OGJrOx_jBU"/>
    <hyperlink ref="F4507" r:id="rId2" display="https://files.afu.se/Downloads/Transcripts/0%20-%20Government/USA%20-%20NASA/"/>
    <hyperlink ref="C4508" r:id="rId4508" display="https://youtu.be/KzCDsfZ0GQs"/>
    <hyperlink ref="F4508" r:id="rId2" display="https://files.afu.se/Downloads/Transcripts/0%20-%20Government/USA%20-%20NASA/"/>
    <hyperlink ref="C4509" r:id="rId4509" display="https://youtu.be/48hjjKUS7G8"/>
    <hyperlink ref="F4509" r:id="rId2" display="https://files.afu.se/Downloads/Transcripts/0%20-%20Government/USA%20-%20NASA/"/>
    <hyperlink ref="C4510" r:id="rId4510" display="https://youtu.be/vFwqZ4qAUkE"/>
    <hyperlink ref="F4510" r:id="rId2" display="https://files.afu.se/Downloads/Transcripts/0%20-%20Government/USA%20-%20NASA/"/>
    <hyperlink ref="C4511" r:id="rId4511" display="https://youtu.be/rk0IOEBOiZI"/>
    <hyperlink ref="F4511" r:id="rId2" display="https://files.afu.se/Downloads/Transcripts/0%20-%20Government/USA%20-%20NASA/"/>
    <hyperlink ref="C4512" r:id="rId4512" display="https://youtu.be/WaUup6a-IMk"/>
    <hyperlink ref="F4512" r:id="rId2" display="https://files.afu.se/Downloads/Transcripts/0%20-%20Government/USA%20-%20NASA/"/>
    <hyperlink ref="C4513" r:id="rId4513" display="https://youtu.be/bKBcbBXecxs"/>
    <hyperlink ref="F4513" r:id="rId2" display="https://files.afu.se/Downloads/Transcripts/0%20-%20Government/USA%20-%20NASA/"/>
    <hyperlink ref="C4514" r:id="rId4514" display="https://youtu.be/PHfxHcFWoaU"/>
    <hyperlink ref="F4514" r:id="rId2" display="https://files.afu.se/Downloads/Transcripts/0%20-%20Government/USA%20-%20NASA/"/>
    <hyperlink ref="C4515" r:id="rId4515" display="https://youtu.be/up0yImiN4S4"/>
    <hyperlink ref="F4515" r:id="rId2" display="https://files.afu.se/Downloads/Transcripts/0%20-%20Government/USA%20-%20NASA/"/>
    <hyperlink ref="C4516" r:id="rId4516" display="https://youtu.be/hXg4ugCajkE"/>
    <hyperlink ref="F4516" r:id="rId2" display="https://files.afu.se/Downloads/Transcripts/0%20-%20Government/USA%20-%20NASA/"/>
    <hyperlink ref="C4517" r:id="rId4517" display="https://youtu.be/16Ex51OJVT4"/>
    <hyperlink ref="F4517" r:id="rId2" display="https://files.afu.se/Downloads/Transcripts/0%20-%20Government/USA%20-%20NASA/"/>
    <hyperlink ref="C4518" r:id="rId4518" display="https://youtu.be/dykfmqK22rs"/>
    <hyperlink ref="F4518" r:id="rId2" display="https://files.afu.se/Downloads/Transcripts/0%20-%20Government/USA%20-%20NASA/"/>
    <hyperlink ref="C4519" r:id="rId4519" display="https://youtu.be/MDG4fD6Qy7M"/>
    <hyperlink ref="F4519" r:id="rId2" display="https://files.afu.se/Downloads/Transcripts/0%20-%20Government/USA%20-%20NASA/"/>
    <hyperlink ref="C4520" r:id="rId4520" display="https://youtu.be/IsRm11sRi5E"/>
    <hyperlink ref="F4520" r:id="rId2" display="https://files.afu.se/Downloads/Transcripts/0%20-%20Government/USA%20-%20NASA/"/>
    <hyperlink ref="C4521" r:id="rId4521" display="https://youtu.be/UE00r8ISDI4"/>
    <hyperlink ref="F4521" r:id="rId2" display="https://files.afu.se/Downloads/Transcripts/0%20-%20Government/USA%20-%20NASA/"/>
    <hyperlink ref="C4522" r:id="rId4522" display="https://youtu.be/Hzqd84njl3g"/>
    <hyperlink ref="F4522" r:id="rId2" display="https://files.afu.se/Downloads/Transcripts/0%20-%20Government/USA%20-%20NASA/"/>
    <hyperlink ref="C4523" r:id="rId4523" display="https://youtu.be/i-GEZQ6zo9A"/>
    <hyperlink ref="F4523" r:id="rId2" display="https://files.afu.se/Downloads/Transcripts/0%20-%20Government/USA%20-%20NASA/"/>
    <hyperlink ref="C4524" r:id="rId4524" display="https://youtu.be/PVVofOldIdw"/>
    <hyperlink ref="F4524" r:id="rId2" display="https://files.afu.se/Downloads/Transcripts/0%20-%20Government/USA%20-%20NASA/"/>
    <hyperlink ref="C4525" r:id="rId4525" display="https://youtu.be/vPBeiLv_m-s"/>
    <hyperlink ref="F4525" r:id="rId2" display="https://files.afu.se/Downloads/Transcripts/0%20-%20Government/USA%20-%20NASA/"/>
    <hyperlink ref="C4526" r:id="rId4526" display="https://youtu.be/QXWEoRDaXPM"/>
    <hyperlink ref="F4526" r:id="rId2" display="https://files.afu.se/Downloads/Transcripts/0%20-%20Government/USA%20-%20NASA/"/>
    <hyperlink ref="C4527" r:id="rId4527" display="https://youtu.be/ZUU38XkSFEs"/>
    <hyperlink ref="F4527" r:id="rId2" display="https://files.afu.se/Downloads/Transcripts/0%20-%20Government/USA%20-%20NASA/"/>
    <hyperlink ref="C4528" r:id="rId4528" display="https://youtu.be/LZcxJSMQBKY"/>
    <hyperlink ref="F4528" r:id="rId2" display="https://files.afu.se/Downloads/Transcripts/0%20-%20Government/USA%20-%20NASA/"/>
    <hyperlink ref="C4529" r:id="rId4529" display="https://youtu.be/de_2GoKGR54"/>
    <hyperlink ref="F4529" r:id="rId2" display="https://files.afu.se/Downloads/Transcripts/0%20-%20Government/USA%20-%20NASA/"/>
    <hyperlink ref="C4530" r:id="rId4530" display="https://youtu.be/aVczgFMj4U4"/>
    <hyperlink ref="F4530" r:id="rId2" display="https://files.afu.se/Downloads/Transcripts/0%20-%20Government/USA%20-%20NASA/"/>
    <hyperlink ref="C4531" r:id="rId4531" display="https://youtu.be/Powb_QQiJCw"/>
    <hyperlink ref="F4531" r:id="rId2" display="https://files.afu.se/Downloads/Transcripts/0%20-%20Government/USA%20-%20NASA/"/>
    <hyperlink ref="C4532" r:id="rId4532" display="https://youtu.be/RkXN964rQb4"/>
    <hyperlink ref="F4532" r:id="rId2" display="https://files.afu.se/Downloads/Transcripts/0%20-%20Government/USA%20-%20NASA/"/>
    <hyperlink ref="C4533" r:id="rId4533" display="https://youtu.be/sgmGX8kgsZc"/>
    <hyperlink ref="F4533" r:id="rId2" display="https://files.afu.se/Downloads/Transcripts/0%20-%20Government/USA%20-%20NASA/"/>
    <hyperlink ref="C4534" r:id="rId4534" display="https://youtu.be/Evlbc8yP75w"/>
    <hyperlink ref="F4534" r:id="rId2" display="https://files.afu.se/Downloads/Transcripts/0%20-%20Government/USA%20-%20NASA/"/>
    <hyperlink ref="C4535" r:id="rId4535" display="https://youtu.be/5xo60Zb_gqw"/>
    <hyperlink ref="F4535" r:id="rId2" display="https://files.afu.se/Downloads/Transcripts/0%20-%20Government/USA%20-%20NASA/"/>
    <hyperlink ref="C4536" r:id="rId4536" display="https://youtu.be/JVSJLUIQrA0"/>
    <hyperlink ref="F4536" r:id="rId2" display="https://files.afu.se/Downloads/Transcripts/0%20-%20Government/USA%20-%20NASA/"/>
    <hyperlink ref="C4537" r:id="rId4537" display="https://youtu.be/mDU0fg6iLgk"/>
    <hyperlink ref="F4537" r:id="rId2" display="https://files.afu.se/Downloads/Transcripts/0%20-%20Government/USA%20-%20NASA/"/>
    <hyperlink ref="C4538" r:id="rId4538" display="https://youtu.be/Sbn7NXkxoEU"/>
    <hyperlink ref="F4538" r:id="rId2" display="https://files.afu.se/Downloads/Transcripts/0%20-%20Government/USA%20-%20NASA/"/>
    <hyperlink ref="C4539" r:id="rId4539" display="https://youtu.be/XhHaA8K2gZM"/>
    <hyperlink ref="F4539" r:id="rId2" display="https://files.afu.se/Downloads/Transcripts/0%20-%20Government/USA%20-%20NASA/"/>
    <hyperlink ref="C4540" r:id="rId4540" display="https://youtu.be/02q4F_kDUB0"/>
    <hyperlink ref="F4540" r:id="rId2" display="https://files.afu.se/Downloads/Transcripts/0%20-%20Government/USA%20-%20NASA/"/>
    <hyperlink ref="C4541" r:id="rId4541" display="https://youtu.be/AY08g_8XKbE"/>
    <hyperlink ref="F4541" r:id="rId2" display="https://files.afu.se/Downloads/Transcripts/0%20-%20Government/USA%20-%20NASA/"/>
    <hyperlink ref="C4542" r:id="rId4542" display="https://youtu.be/G0TWEN7kVAY"/>
    <hyperlink ref="F4542" r:id="rId2" display="https://files.afu.se/Downloads/Transcripts/0%20-%20Government/USA%20-%20NASA/"/>
    <hyperlink ref="C4543" r:id="rId4543" display="https://youtu.be/i_1cVX_P_aQ"/>
    <hyperlink ref="F4543" r:id="rId2" display="https://files.afu.se/Downloads/Transcripts/0%20-%20Government/USA%20-%20NASA/"/>
    <hyperlink ref="C4544" r:id="rId4544" display="https://youtu.be/BtzNxMGbTA4"/>
    <hyperlink ref="F4544" r:id="rId2" display="https://files.afu.se/Downloads/Transcripts/0%20-%20Government/USA%20-%20NASA/"/>
    <hyperlink ref="C4545" r:id="rId4545" display="https://youtu.be/sBkiOt3zjWI"/>
    <hyperlink ref="F4545" r:id="rId2" display="https://files.afu.se/Downloads/Transcripts/0%20-%20Government/USA%20-%20NASA/"/>
    <hyperlink ref="C4546" r:id="rId4546" display="https://youtu.be/h73EYcyszf8"/>
    <hyperlink ref="F4546" r:id="rId2" display="https://files.afu.se/Downloads/Transcripts/0%20-%20Government/USA%20-%20NASA/"/>
    <hyperlink ref="C4547" r:id="rId4547" display="https://youtu.be/O9sYVb2Iecg"/>
    <hyperlink ref="F4547" r:id="rId2" display="https://files.afu.se/Downloads/Transcripts/0%20-%20Government/USA%20-%20NASA/"/>
    <hyperlink ref="C4548" r:id="rId4548" display="https://youtu.be/sVwkscQzOho"/>
    <hyperlink ref="F4548" r:id="rId2" display="https://files.afu.se/Downloads/Transcripts/0%20-%20Government/USA%20-%20NASA/"/>
    <hyperlink ref="C4549" r:id="rId4549" display="https://youtu.be/9DWj1-Hxnz0"/>
    <hyperlink ref="F4549" r:id="rId2" display="https://files.afu.se/Downloads/Transcripts/0%20-%20Government/USA%20-%20NASA/"/>
    <hyperlink ref="C4550" r:id="rId4550" display="https://youtu.be/DzeNeeA3iJY"/>
    <hyperlink ref="F4550" r:id="rId2" display="https://files.afu.se/Downloads/Transcripts/0%20-%20Government/USA%20-%20NASA/"/>
    <hyperlink ref="C4551" r:id="rId4551" display="https://youtu.be/NWupQkE8WW8"/>
    <hyperlink ref="F4551" r:id="rId2" display="https://files.afu.se/Downloads/Transcripts/0%20-%20Government/USA%20-%20NASA/"/>
    <hyperlink ref="C4552" r:id="rId4552" display="https://youtu.be/j0x-j1D4oJE"/>
    <hyperlink ref="F4552" r:id="rId2" display="https://files.afu.se/Downloads/Transcripts/0%20-%20Government/USA%20-%20NASA/"/>
    <hyperlink ref="C4553" r:id="rId4553" display="https://youtu.be/rXX5Z5vbOlA"/>
    <hyperlink ref="F4553" r:id="rId2" display="https://files.afu.se/Downloads/Transcripts/0%20-%20Government/USA%20-%20NASA/"/>
    <hyperlink ref="C4554" r:id="rId4554" display="https://youtu.be/LnAjWtsINnQ"/>
    <hyperlink ref="F4554" r:id="rId2" display="https://files.afu.se/Downloads/Transcripts/0%20-%20Government/USA%20-%20NASA/"/>
    <hyperlink ref="C4555" r:id="rId4555" display="https://youtu.be/GkP_HAzMnC0"/>
    <hyperlink ref="F4555" r:id="rId2" display="https://files.afu.se/Downloads/Transcripts/0%20-%20Government/USA%20-%20NASA/"/>
    <hyperlink ref="C4556" r:id="rId4556" display="https://youtu.be/5S_2XetvKn0"/>
    <hyperlink ref="F4556" r:id="rId2" display="https://files.afu.se/Downloads/Transcripts/0%20-%20Government/USA%20-%20NASA/"/>
    <hyperlink ref="C4557" r:id="rId4557" display="https://youtu.be/8jqrT1klE50"/>
    <hyperlink ref="F4557" r:id="rId2" display="https://files.afu.se/Downloads/Transcripts/0%20-%20Government/USA%20-%20NASA/"/>
    <hyperlink ref="C4558" r:id="rId4558" display="https://youtu.be/vIlJFIX7_ks"/>
    <hyperlink ref="F4558" r:id="rId2" display="https://files.afu.se/Downloads/Transcripts/0%20-%20Government/USA%20-%20NASA/"/>
    <hyperlink ref="C4559" r:id="rId4559" display="https://youtu.be/8YzHObZ2qb4"/>
    <hyperlink ref="F4559" r:id="rId2" display="https://files.afu.se/Downloads/Transcripts/0%20-%20Government/USA%20-%20NASA/"/>
    <hyperlink ref="C4560" r:id="rId4560" display="https://youtu.be/Q53-qnWBNp4"/>
    <hyperlink ref="F4560" r:id="rId2" display="https://files.afu.se/Downloads/Transcripts/0%20-%20Government/USA%20-%20NASA/"/>
    <hyperlink ref="C4561" r:id="rId4561" display="https://youtu.be/aIhP8nVik4Y"/>
    <hyperlink ref="F4561" r:id="rId2" display="https://files.afu.se/Downloads/Transcripts/0%20-%20Government/USA%20-%20NASA/"/>
    <hyperlink ref="C4562" r:id="rId4562" display="https://youtu.be/MpLb-bifrZ8"/>
    <hyperlink ref="F4562" r:id="rId2" display="https://files.afu.se/Downloads/Transcripts/0%20-%20Government/USA%20-%20NASA/"/>
    <hyperlink ref="C4563" r:id="rId4563" display="https://youtu.be/Xy2iKji29H8"/>
    <hyperlink ref="F4563" r:id="rId2" display="https://files.afu.se/Downloads/Transcripts/0%20-%20Government/USA%20-%20NASA/"/>
    <hyperlink ref="C4564" r:id="rId4564" display="https://youtu.be/900J_ODhap4"/>
    <hyperlink ref="F4564" r:id="rId2" display="https://files.afu.se/Downloads/Transcripts/0%20-%20Government/USA%20-%20NASA/"/>
    <hyperlink ref="C4565" r:id="rId4565" display="https://youtu.be/d5DvW1caEgs"/>
    <hyperlink ref="F4565" r:id="rId2" display="https://files.afu.se/Downloads/Transcripts/0%20-%20Government/USA%20-%20NASA/"/>
    <hyperlink ref="C4566" r:id="rId4566" display="https://youtu.be/AS-26XG9GXA"/>
    <hyperlink ref="F4566" r:id="rId2" display="https://files.afu.se/Downloads/Transcripts/0%20-%20Government/USA%20-%20NASA/"/>
    <hyperlink ref="C4567" r:id="rId4567" display="https://youtu.be/8pv1BeGYjMI"/>
    <hyperlink ref="F4567" r:id="rId2" display="https://files.afu.se/Downloads/Transcripts/0%20-%20Government/USA%20-%20NASA/"/>
    <hyperlink ref="C4568" r:id="rId4568" display="https://youtu.be/9hlu-Uvt0t4"/>
    <hyperlink ref="F4568" r:id="rId2" display="https://files.afu.se/Downloads/Transcripts/0%20-%20Government/USA%20-%20NASA/"/>
    <hyperlink ref="C4569" r:id="rId4569" display="https://youtu.be/X5PgNpwSqdI"/>
    <hyperlink ref="F4569" r:id="rId2" display="https://files.afu.se/Downloads/Transcripts/0%20-%20Government/USA%20-%20NASA/"/>
    <hyperlink ref="C4570" r:id="rId4570" display="https://youtu.be/sD8BuJPGExE"/>
    <hyperlink ref="F4570" r:id="rId2" display="https://files.afu.se/Downloads/Transcripts/0%20-%20Government/USA%20-%20NASA/"/>
    <hyperlink ref="C4571" r:id="rId4571" display="https://youtu.be/I6dru-Wefa0"/>
    <hyperlink ref="F4571" r:id="rId2" display="https://files.afu.se/Downloads/Transcripts/0%20-%20Government/USA%20-%20NASA/"/>
    <hyperlink ref="C4572" r:id="rId4572" display="https://youtu.be/34cHTsgRFdg"/>
    <hyperlink ref="F4572" r:id="rId2" display="https://files.afu.se/Downloads/Transcripts/0%20-%20Government/USA%20-%20NASA/"/>
    <hyperlink ref="C4573" r:id="rId4573" display="https://youtu.be/bZMILIwkOzQ"/>
    <hyperlink ref="F4573" r:id="rId2" display="https://files.afu.se/Downloads/Transcripts/0%20-%20Government/USA%20-%20NASA/"/>
    <hyperlink ref="C4574" r:id="rId4574" display="https://youtu.be/iHIcuYCeosE"/>
    <hyperlink ref="F4574" r:id="rId2" display="https://files.afu.se/Downloads/Transcripts/0%20-%20Government/USA%20-%20NASA/"/>
    <hyperlink ref="C4575" r:id="rId4575" display="https://youtu.be/qCkwNvKzom8"/>
    <hyperlink ref="F4575" r:id="rId2" display="https://files.afu.se/Downloads/Transcripts/0%20-%20Government/USA%20-%20NASA/"/>
    <hyperlink ref="C4576" r:id="rId4576" display="https://youtu.be/TtWCT8qCyXs"/>
    <hyperlink ref="F4576" r:id="rId2" display="https://files.afu.se/Downloads/Transcripts/0%20-%20Government/USA%20-%20NASA/"/>
    <hyperlink ref="C4577" r:id="rId4577" display="https://youtu.be/P_NL8lHCszo"/>
    <hyperlink ref="F4577" r:id="rId2" display="https://files.afu.se/Downloads/Transcripts/0%20-%20Government/USA%20-%20NASA/"/>
    <hyperlink ref="C4578" r:id="rId4578" display="https://youtu.be/EN2r9EqdKp0"/>
    <hyperlink ref="F4578" r:id="rId2" display="https://files.afu.se/Downloads/Transcripts/0%20-%20Government/USA%20-%20NASA/"/>
    <hyperlink ref="C4579" r:id="rId4579" display="https://youtu.be/Jbo_E2i0bQI"/>
    <hyperlink ref="F4579" r:id="rId2" display="https://files.afu.se/Downloads/Transcripts/0%20-%20Government/USA%20-%20NASA/"/>
    <hyperlink ref="C4580" r:id="rId4580" display="https://youtu.be/3ykdyxzIvrs"/>
    <hyperlink ref="F4580" r:id="rId2" display="https://files.afu.se/Downloads/Transcripts/0%20-%20Government/USA%20-%20NASA/"/>
    <hyperlink ref="C4581" r:id="rId4581" display="https://youtu.be/bOEkJIIFRsY"/>
    <hyperlink ref="F4581" r:id="rId2" display="https://files.afu.se/Downloads/Transcripts/0%20-%20Government/USA%20-%20NASA/"/>
    <hyperlink ref="C4582" r:id="rId4582" display="https://youtu.be/i3WYViq7CjI"/>
    <hyperlink ref="F4582" r:id="rId2" display="https://files.afu.se/Downloads/Transcripts/0%20-%20Government/USA%20-%20NASA/"/>
    <hyperlink ref="C4583" r:id="rId4583" display="https://youtu.be/R_zW1iCNEWo"/>
    <hyperlink ref="F4583" r:id="rId2" display="https://files.afu.se/Downloads/Transcripts/0%20-%20Government/USA%20-%20NASA/"/>
    <hyperlink ref="C4584" r:id="rId4584" display="https://youtu.be/jwkbj8okWxY"/>
    <hyperlink ref="F4584" r:id="rId2" display="https://files.afu.se/Downloads/Transcripts/0%20-%20Government/USA%20-%20NASA/"/>
    <hyperlink ref="C4585" r:id="rId4585" display="https://youtu.be/HFnc_Q5ftfo"/>
    <hyperlink ref="F4585" r:id="rId2" display="https://files.afu.se/Downloads/Transcripts/0%20-%20Government/USA%20-%20NASA/"/>
    <hyperlink ref="C4586" r:id="rId4586" display="https://youtu.be/hpe9T9teuQ4"/>
    <hyperlink ref="F4586" r:id="rId2" display="https://files.afu.se/Downloads/Transcripts/0%20-%20Government/USA%20-%20NASA/"/>
    <hyperlink ref="C4587" r:id="rId4587" display="https://youtu.be/Rg-eVs1A_p8"/>
    <hyperlink ref="F4587" r:id="rId2" display="https://files.afu.se/Downloads/Transcripts/0%20-%20Government/USA%20-%20NASA/"/>
    <hyperlink ref="C4588" r:id="rId4588" display="https://youtu.be/kYWVG7qftaM"/>
    <hyperlink ref="F4588" r:id="rId2" display="https://files.afu.se/Downloads/Transcripts/0%20-%20Government/USA%20-%20NASA/"/>
    <hyperlink ref="C4589" r:id="rId4589" display="https://youtu.be/wDO4q9EaUg4"/>
    <hyperlink ref="F4589" r:id="rId2" display="https://files.afu.se/Downloads/Transcripts/0%20-%20Government/USA%20-%20NASA/"/>
    <hyperlink ref="C4590" r:id="rId4590" display="https://youtu.be/vkHyRpRypwo"/>
    <hyperlink ref="F4590" r:id="rId2" display="https://files.afu.se/Downloads/Transcripts/0%20-%20Government/USA%20-%20NASA/"/>
    <hyperlink ref="C4591" r:id="rId4591" display="https://youtu.be/NzMIsRmmQV8"/>
    <hyperlink ref="F4591" r:id="rId2" display="https://files.afu.se/Downloads/Transcripts/0%20-%20Government/USA%20-%20NASA/"/>
    <hyperlink ref="C4592" r:id="rId4592" display="https://youtu.be/VCjZLOS_i1o"/>
    <hyperlink ref="F4592" r:id="rId2" display="https://files.afu.se/Downloads/Transcripts/0%20-%20Government/USA%20-%20NASA/"/>
    <hyperlink ref="C4593" r:id="rId4593" display="https://youtu.be/c9PYpIvE7zE"/>
    <hyperlink ref="F4593" r:id="rId2" display="https://files.afu.se/Downloads/Transcripts/0%20-%20Government/USA%20-%20NASA/"/>
    <hyperlink ref="C4594" r:id="rId4594" display="https://youtu.be/NtrVwX1ncqk"/>
    <hyperlink ref="F4594" r:id="rId2" display="https://files.afu.se/Downloads/Transcripts/0%20-%20Government/USA%20-%20NASA/"/>
    <hyperlink ref="C4595" r:id="rId4595" display="https://youtu.be/S7xj41iXCnE"/>
    <hyperlink ref="F4595" r:id="rId2" display="https://files.afu.se/Downloads/Transcripts/0%20-%20Government/USA%20-%20NASA/"/>
    <hyperlink ref="C4596" r:id="rId4596" display="https://youtu.be/cLiVrFx9SWQ"/>
    <hyperlink ref="F4596" r:id="rId2" display="https://files.afu.se/Downloads/Transcripts/0%20-%20Government/USA%20-%20NASA/"/>
    <hyperlink ref="C4597" r:id="rId4597" display="https://youtu.be/4aWlh8wxByk"/>
    <hyperlink ref="F4597" r:id="rId2" display="https://files.afu.se/Downloads/Transcripts/0%20-%20Government/USA%20-%20NASA/"/>
    <hyperlink ref="C4598" r:id="rId4598" display="https://youtu.be/B5u3tQQOvXQ"/>
    <hyperlink ref="F4598" r:id="rId2" display="https://files.afu.se/Downloads/Transcripts/0%20-%20Government/USA%20-%20NASA/"/>
    <hyperlink ref="C4599" r:id="rId4599" display="https://youtu.be/Sl4JQynsBgc"/>
    <hyperlink ref="F4599" r:id="rId2" display="https://files.afu.se/Downloads/Transcripts/0%20-%20Government/USA%20-%20NASA/"/>
    <hyperlink ref="C4600" r:id="rId4600" display="https://youtu.be/LLyKcAG7DOE"/>
    <hyperlink ref="F4600" r:id="rId2" display="https://files.afu.se/Downloads/Transcripts/0%20-%20Government/USA%20-%20NASA/"/>
    <hyperlink ref="C4601" r:id="rId4601" display="https://youtu.be/JN1w-T7SMV4"/>
    <hyperlink ref="F4601" r:id="rId2" display="https://files.afu.se/Downloads/Transcripts/0%20-%20Government/USA%20-%20NASA/"/>
    <hyperlink ref="C4602" r:id="rId4602" display="https://youtu.be/zgHhyhB6yUE"/>
    <hyperlink ref="F4602" r:id="rId2" display="https://files.afu.se/Downloads/Transcripts/0%20-%20Government/USA%20-%20NASA/"/>
    <hyperlink ref="C4603" r:id="rId4603" display="https://youtu.be/DzFFs3D9Tao"/>
    <hyperlink ref="F4603" r:id="rId2" display="https://files.afu.se/Downloads/Transcripts/0%20-%20Government/USA%20-%20NASA/"/>
    <hyperlink ref="C4604" r:id="rId4604" display="https://youtu.be/c94TgAJuUEE"/>
    <hyperlink ref="F4604" r:id="rId2" display="https://files.afu.se/Downloads/Transcripts/0%20-%20Government/USA%20-%20NASA/"/>
    <hyperlink ref="C4605" r:id="rId4605" display="https://youtu.be/PWaTzPt3M6w"/>
    <hyperlink ref="F4605" r:id="rId2" display="https://files.afu.se/Downloads/Transcripts/0%20-%20Government/USA%20-%20NASA/"/>
    <hyperlink ref="C4606" r:id="rId4606" display="https://youtu.be/dSpSushTDVw"/>
    <hyperlink ref="F4606" r:id="rId2" display="https://files.afu.se/Downloads/Transcripts/0%20-%20Government/USA%20-%20NASA/"/>
    <hyperlink ref="C4607" r:id="rId4607" display="https://youtu.be/ZU6lE7pAXIo"/>
    <hyperlink ref="F4607" r:id="rId2" display="https://files.afu.se/Downloads/Transcripts/0%20-%20Government/USA%20-%20NASA/"/>
    <hyperlink ref="C4608" r:id="rId4608" display="https://youtu.be/so5i_t3bGIs"/>
    <hyperlink ref="F4608" r:id="rId2" display="https://files.afu.se/Downloads/Transcripts/0%20-%20Government/USA%20-%20NASA/"/>
    <hyperlink ref="C4609" r:id="rId4609" display="https://youtu.be/rvKUMQ4emVk"/>
    <hyperlink ref="F4609" r:id="rId2" display="https://files.afu.se/Downloads/Transcripts/0%20-%20Government/USA%20-%20NASA/"/>
    <hyperlink ref="C4610" r:id="rId4610" display="https://youtu.be/i9OMpqSN1jM"/>
    <hyperlink ref="F4610" r:id="rId2" display="https://files.afu.se/Downloads/Transcripts/0%20-%20Government/USA%20-%20NASA/"/>
    <hyperlink ref="C4611" r:id="rId4611" display="https://youtu.be/JPkN8blaDMs"/>
    <hyperlink ref="F4611" r:id="rId2" display="https://files.afu.se/Downloads/Transcripts/0%20-%20Government/USA%20-%20NASA/"/>
    <hyperlink ref="C4612" r:id="rId4612" display="https://youtu.be/7jEw9LoFCeM"/>
    <hyperlink ref="F4612" r:id="rId2" display="https://files.afu.se/Downloads/Transcripts/0%20-%20Government/USA%20-%20NASA/"/>
    <hyperlink ref="C4613" r:id="rId4613" display="https://youtu.be/YZIrX1KWKXk"/>
    <hyperlink ref="F4613" r:id="rId2" display="https://files.afu.se/Downloads/Transcripts/0%20-%20Government/USA%20-%20NASA/"/>
    <hyperlink ref="C4614" r:id="rId4614" display="https://youtu.be/jpn2vUasQdI"/>
    <hyperlink ref="F4614" r:id="rId2" display="https://files.afu.se/Downloads/Transcripts/0%20-%20Government/USA%20-%20NASA/"/>
    <hyperlink ref="C4615" r:id="rId4615" display="https://youtu.be/vPoE8icyE7c"/>
    <hyperlink ref="F4615" r:id="rId2" display="https://files.afu.se/Downloads/Transcripts/0%20-%20Government/USA%20-%20NASA/"/>
    <hyperlink ref="C4616" r:id="rId4616" display="https://youtu.be/6DQN1Ace8Eo"/>
    <hyperlink ref="F4616" r:id="rId2" display="https://files.afu.se/Downloads/Transcripts/0%20-%20Government/USA%20-%20NASA/"/>
    <hyperlink ref="C4617" r:id="rId4617" display="https://youtu.be/pIhAmMyn1Ho"/>
    <hyperlink ref="F4617" r:id="rId2" display="https://files.afu.se/Downloads/Transcripts/0%20-%20Government/USA%20-%20NASA/"/>
    <hyperlink ref="C4618" r:id="rId4618" display="https://youtu.be/pKtof0Ykccc"/>
    <hyperlink ref="F4618" r:id="rId2" display="https://files.afu.se/Downloads/Transcripts/0%20-%20Government/USA%20-%20NASA/"/>
    <hyperlink ref="C4619" r:id="rId4619" display="https://youtu.be/tkhdhaNyYqU"/>
    <hyperlink ref="F4619" r:id="rId2" display="https://files.afu.se/Downloads/Transcripts/0%20-%20Government/USA%20-%20NASA/"/>
    <hyperlink ref="C4620" r:id="rId4620" display="https://youtu.be/bGnQMyw3oFk"/>
    <hyperlink ref="F4620" r:id="rId2" display="https://files.afu.se/Downloads/Transcripts/0%20-%20Government/USA%20-%20NASA/"/>
    <hyperlink ref="C4621" r:id="rId4621" display="https://youtu.be/_auAhph-PF4"/>
    <hyperlink ref="F4621" r:id="rId2" display="https://files.afu.se/Downloads/Transcripts/0%20-%20Government/USA%20-%20NASA/"/>
    <hyperlink ref="C4622" r:id="rId4622" display="https://youtu.be/mhyIg2Jszfs"/>
    <hyperlink ref="F4622" r:id="rId2" display="https://files.afu.se/Downloads/Transcripts/0%20-%20Government/USA%20-%20NASA/"/>
    <hyperlink ref="C4623" r:id="rId4623" display="https://youtu.be/J14do2LamhE"/>
    <hyperlink ref="F4623" r:id="rId2" display="https://files.afu.se/Downloads/Transcripts/0%20-%20Government/USA%20-%20NASA/"/>
    <hyperlink ref="C4624" r:id="rId4624" display="https://youtu.be/EqLqOc6rK1Q"/>
    <hyperlink ref="F4624" r:id="rId2" display="https://files.afu.se/Downloads/Transcripts/0%20-%20Government/USA%20-%20NASA/"/>
    <hyperlink ref="C4625" r:id="rId4625" display="https://youtu.be/dVfg7Y5XF3c"/>
    <hyperlink ref="F4625" r:id="rId2" display="https://files.afu.se/Downloads/Transcripts/0%20-%20Government/USA%20-%20NASA/"/>
    <hyperlink ref="C4626" r:id="rId4626" display="https://youtu.be/IhtqJKHC5Ig"/>
    <hyperlink ref="F4626" r:id="rId2" display="https://files.afu.se/Downloads/Transcripts/0%20-%20Government/USA%20-%20NASA/"/>
    <hyperlink ref="C4627" r:id="rId4627" display="https://youtu.be/_aUxShY0Tiw"/>
    <hyperlink ref="F4627" r:id="rId2" display="https://files.afu.se/Downloads/Transcripts/0%20-%20Government/USA%20-%20NASA/"/>
    <hyperlink ref="C4628" r:id="rId4628" display="https://youtu.be/gZNXXOGRk0s"/>
    <hyperlink ref="F4628" r:id="rId2" display="https://files.afu.se/Downloads/Transcripts/0%20-%20Government/USA%20-%20NASA/"/>
    <hyperlink ref="C4629" r:id="rId4629" display="https://youtu.be/V080m972yFE"/>
    <hyperlink ref="F4629" r:id="rId2" display="https://files.afu.se/Downloads/Transcripts/0%20-%20Government/USA%20-%20NASA/"/>
    <hyperlink ref="C4630" r:id="rId4630" display="https://youtu.be/vNHouLrFx-k"/>
    <hyperlink ref="F4630" r:id="rId2" display="https://files.afu.se/Downloads/Transcripts/0%20-%20Government/USA%20-%20NASA/"/>
    <hyperlink ref="C4631" r:id="rId4631" display="https://youtu.be/84NJXctzzIU"/>
    <hyperlink ref="F4631" r:id="rId2" display="https://files.afu.se/Downloads/Transcripts/0%20-%20Government/USA%20-%20NASA/"/>
    <hyperlink ref="C4632" r:id="rId4632" display="https://youtu.be/WgIMIXahv9s"/>
    <hyperlink ref="F4632" r:id="rId2" display="https://files.afu.se/Downloads/Transcripts/0%20-%20Government/USA%20-%20NASA/"/>
    <hyperlink ref="C4633" r:id="rId4633" display="https://youtu.be/0qUr2hv4K8I"/>
    <hyperlink ref="F4633" r:id="rId2" display="https://files.afu.se/Downloads/Transcripts/0%20-%20Government/USA%20-%20NASA/"/>
    <hyperlink ref="C4634" r:id="rId4634" display="https://youtu.be/GE3jZLGaLPs"/>
    <hyperlink ref="F4634" r:id="rId2" display="https://files.afu.se/Downloads/Transcripts/0%20-%20Government/USA%20-%20NASA/"/>
    <hyperlink ref="C4635" r:id="rId4635" display="https://youtu.be/jxapK63HUII"/>
    <hyperlink ref="F4635" r:id="rId2" display="https://files.afu.se/Downloads/Transcripts/0%20-%20Government/USA%20-%20NASA/"/>
    <hyperlink ref="C4636" r:id="rId4636" display="https://youtu.be/_0cXTjnyFCk"/>
    <hyperlink ref="F4636" r:id="rId2" display="https://files.afu.se/Downloads/Transcripts/0%20-%20Government/USA%20-%20NASA/"/>
    <hyperlink ref="C4637" r:id="rId4637" display="https://youtu.be/vtLlnrNrbys"/>
    <hyperlink ref="F4637" r:id="rId2" display="https://files.afu.se/Downloads/Transcripts/0%20-%20Government/USA%20-%20NASA/"/>
    <hyperlink ref="C4638" r:id="rId4638" display="https://youtu.be/cmJgAhwETy4"/>
    <hyperlink ref="F4638" r:id="rId2" display="https://files.afu.se/Downloads/Transcripts/0%20-%20Government/USA%20-%20NASA/"/>
    <hyperlink ref="C4639" r:id="rId4639" display="https://youtu.be/llix751qov0"/>
    <hyperlink ref="F4639" r:id="rId2" display="https://files.afu.se/Downloads/Transcripts/0%20-%20Government/USA%20-%20NASA/"/>
    <hyperlink ref="C4640" r:id="rId4640" display="https://youtu.be/vaChod1zEAQ"/>
    <hyperlink ref="F4640" r:id="rId2" display="https://files.afu.se/Downloads/Transcripts/0%20-%20Government/USA%20-%20NASA/"/>
    <hyperlink ref="C4641" r:id="rId4641" display="https://youtu.be/ug3Dr6IqZiQ"/>
    <hyperlink ref="F4641" r:id="rId2" display="https://files.afu.se/Downloads/Transcripts/0%20-%20Government/USA%20-%20NASA/"/>
    <hyperlink ref="C4642" r:id="rId4642" display="https://youtu.be/qAEjsS0i06k"/>
    <hyperlink ref="F4642" r:id="rId2" display="https://files.afu.se/Downloads/Transcripts/0%20-%20Government/USA%20-%20NASA/"/>
    <hyperlink ref="C4643" r:id="rId4643" display="https://youtu.be/3zuIcj2PcH4"/>
    <hyperlink ref="F4643" r:id="rId2" display="https://files.afu.se/Downloads/Transcripts/0%20-%20Government/USA%20-%20NASA/"/>
    <hyperlink ref="C4644" r:id="rId4644" display="https://youtu.be/MlIQTEwiKzQ"/>
    <hyperlink ref="F4644" r:id="rId2" display="https://files.afu.se/Downloads/Transcripts/0%20-%20Government/USA%20-%20NASA/"/>
    <hyperlink ref="C4645" r:id="rId4645" display="https://youtu.be/HtpR8TmZGW4"/>
    <hyperlink ref="F4645" r:id="rId2" display="https://files.afu.se/Downloads/Transcripts/0%20-%20Government/USA%20-%20NASA/"/>
    <hyperlink ref="C4646" r:id="rId4646" display="https://youtu.be/_HoxR1W6uVg"/>
    <hyperlink ref="F4646" r:id="rId2" display="https://files.afu.se/Downloads/Transcripts/0%20-%20Government/USA%20-%20NASA/"/>
    <hyperlink ref="C4647" r:id="rId4647" display="https://youtu.be/UqhkfIrJ_Ic"/>
    <hyperlink ref="F4647" r:id="rId2" display="https://files.afu.se/Downloads/Transcripts/0%20-%20Government/USA%20-%20NASA/"/>
    <hyperlink ref="C4648" r:id="rId4648" display="https://youtu.be/G40G1q1I7u8"/>
    <hyperlink ref="F4648" r:id="rId2" display="https://files.afu.se/Downloads/Transcripts/0%20-%20Government/USA%20-%20NASA/"/>
    <hyperlink ref="C4649" r:id="rId4649" display="https://youtu.be/_NJSRankJhE"/>
    <hyperlink ref="F4649" r:id="rId2" display="https://files.afu.se/Downloads/Transcripts/0%20-%20Government/USA%20-%20NASA/"/>
    <hyperlink ref="C4650" r:id="rId4650" display="https://youtu.be/a7DBqWj62Rc"/>
    <hyperlink ref="F4650" r:id="rId2" display="https://files.afu.se/Downloads/Transcripts/0%20-%20Government/USA%20-%20NASA/"/>
    <hyperlink ref="C4651" r:id="rId4651" display="https://youtu.be/wcd2ht79HKA"/>
    <hyperlink ref="F4651" r:id="rId2" display="https://files.afu.se/Downloads/Transcripts/0%20-%20Government/USA%20-%20NASA/"/>
    <hyperlink ref="C4652" r:id="rId4652" display="https://youtu.be/9nRgVzwgUqk"/>
    <hyperlink ref="F4652" r:id="rId2" display="https://files.afu.se/Downloads/Transcripts/0%20-%20Government/USA%20-%20NASA/"/>
    <hyperlink ref="C4653" r:id="rId4653" display="https://youtu.be/mtl48NOtyg0"/>
    <hyperlink ref="F4653" r:id="rId2" display="https://files.afu.se/Downloads/Transcripts/0%20-%20Government/USA%20-%20NASA/"/>
    <hyperlink ref="C4654" r:id="rId4654" display="https://youtu.be/K7ssZ-Lnaeg"/>
    <hyperlink ref="F4654" r:id="rId2" display="https://files.afu.se/Downloads/Transcripts/0%20-%20Government/USA%20-%20NASA/"/>
    <hyperlink ref="C4655" r:id="rId4655" display="https://youtu.be/FAp6l_lwp5g"/>
    <hyperlink ref="F4655" r:id="rId2" display="https://files.afu.se/Downloads/Transcripts/0%20-%20Government/USA%20-%20NASA/"/>
    <hyperlink ref="C4656" r:id="rId4656" display="https://youtu.be/Cp3Ann1pebk"/>
    <hyperlink ref="F4656" r:id="rId2" display="https://files.afu.se/Downloads/Transcripts/0%20-%20Government/USA%20-%20NASA/"/>
    <hyperlink ref="C4657" r:id="rId4657" display="https://youtu.be/xRihDyoSDNo"/>
    <hyperlink ref="F4657" r:id="rId2" display="https://files.afu.se/Downloads/Transcripts/0%20-%20Government/USA%20-%20NASA/"/>
    <hyperlink ref="C4658" r:id="rId4658" display="https://youtu.be/BcLF0tZC1NM"/>
    <hyperlink ref="F4658" r:id="rId2" display="https://files.afu.se/Downloads/Transcripts/0%20-%20Government/USA%20-%20NASA/"/>
    <hyperlink ref="C4659" r:id="rId4659" display="https://youtu.be/WKM8j0qFLy4"/>
    <hyperlink ref="F4659" r:id="rId2" display="https://files.afu.se/Downloads/Transcripts/0%20-%20Government/USA%20-%20NASA/"/>
    <hyperlink ref="C4660" r:id="rId4660" display="https://youtu.be/xIYLhtYLA-g"/>
    <hyperlink ref="F4660" r:id="rId2" display="https://files.afu.se/Downloads/Transcripts/0%20-%20Government/USA%20-%20NASA/"/>
    <hyperlink ref="C4661" r:id="rId4661" display="https://youtu.be/K8T8uuKTips"/>
    <hyperlink ref="F4661" r:id="rId2" display="https://files.afu.se/Downloads/Transcripts/0%20-%20Government/USA%20-%20NASA/"/>
    <hyperlink ref="C4662" r:id="rId4662" display="https://youtu.be/twRXaQMlXfM"/>
    <hyperlink ref="F4662" r:id="rId2" display="https://files.afu.se/Downloads/Transcripts/0%20-%20Government/USA%20-%20NASA/"/>
    <hyperlink ref="C4663" r:id="rId4663" display="https://youtu.be/AlAEJyn5A1w"/>
    <hyperlink ref="F4663" r:id="rId2" display="https://files.afu.se/Downloads/Transcripts/0%20-%20Government/USA%20-%20NASA/"/>
    <hyperlink ref="C4664" r:id="rId4664" display="https://youtu.be/LZ1cT47u75w"/>
    <hyperlink ref="F4664" r:id="rId2" display="https://files.afu.se/Downloads/Transcripts/0%20-%20Government/USA%20-%20NASA/"/>
    <hyperlink ref="C4665" r:id="rId4665" display="https://youtu.be/izR0i-LaUro"/>
    <hyperlink ref="F4665" r:id="rId2" display="https://files.afu.se/Downloads/Transcripts/0%20-%20Government/USA%20-%20NASA/"/>
    <hyperlink ref="C4666" r:id="rId4666" display="https://youtu.be/uJLPuftMGOU"/>
    <hyperlink ref="F4666" r:id="rId2" display="https://files.afu.se/Downloads/Transcripts/0%20-%20Government/USA%20-%20NASA/"/>
    <hyperlink ref="C4667" r:id="rId4667" display="https://youtu.be/UJu7Y-yCMiw"/>
    <hyperlink ref="F4667" r:id="rId2" display="https://files.afu.se/Downloads/Transcripts/0%20-%20Government/USA%20-%20NASA/"/>
    <hyperlink ref="C4668" r:id="rId4668" display="https://youtu.be/PDc3TxWc0vM"/>
    <hyperlink ref="F4668" r:id="rId2" display="https://files.afu.se/Downloads/Transcripts/0%20-%20Government/USA%20-%20NASA/"/>
    <hyperlink ref="C4669" r:id="rId4669" display="https://youtu.be/g02meEV6hI4"/>
    <hyperlink ref="F4669" r:id="rId2" display="https://files.afu.se/Downloads/Transcripts/0%20-%20Government/USA%20-%20NASA/"/>
    <hyperlink ref="C4670" r:id="rId4670" display="https://youtu.be/65LeVveG-Po"/>
    <hyperlink ref="F4670" r:id="rId2" display="https://files.afu.se/Downloads/Transcripts/0%20-%20Government/USA%20-%20NASA/"/>
    <hyperlink ref="C4671" r:id="rId4671" display="https://youtu.be/SC1PSGugtXA"/>
    <hyperlink ref="F4671" r:id="rId2" display="https://files.afu.se/Downloads/Transcripts/0%20-%20Government/USA%20-%20NASA/"/>
    <hyperlink ref="C4672" r:id="rId4672" display="https://youtu.be/gXju8_EXko0"/>
    <hyperlink ref="F4672" r:id="rId2" display="https://files.afu.se/Downloads/Transcripts/0%20-%20Government/USA%20-%20NASA/"/>
    <hyperlink ref="C4673" r:id="rId4673" display="https://youtu.be/WsSF-VYY9vs"/>
    <hyperlink ref="F4673" r:id="rId2" display="https://files.afu.se/Downloads/Transcripts/0%20-%20Government/USA%20-%20NASA/"/>
    <hyperlink ref="C4674" r:id="rId4674" display="https://youtu.be/ki-bYvLOZ6s"/>
    <hyperlink ref="F4674" r:id="rId2" display="https://files.afu.se/Downloads/Transcripts/0%20-%20Government/USA%20-%20NASA/"/>
    <hyperlink ref="C4675" r:id="rId4675" display="https://youtu.be/TNwrRY4FvJU"/>
    <hyperlink ref="F4675" r:id="rId2" display="https://files.afu.se/Downloads/Transcripts/0%20-%20Government/USA%20-%20NASA/"/>
    <hyperlink ref="C4676" r:id="rId4676" display="https://youtu.be/_WySURo4_u0"/>
    <hyperlink ref="F4676" r:id="rId2" display="https://files.afu.se/Downloads/Transcripts/0%20-%20Government/USA%20-%20NASA/"/>
    <hyperlink ref="C4677" r:id="rId4677" display="https://youtu.be/Zq8TQHABi2s"/>
    <hyperlink ref="F4677" r:id="rId2" display="https://files.afu.se/Downloads/Transcripts/0%20-%20Government/USA%20-%20NASA/"/>
    <hyperlink ref="C4678" r:id="rId4678" display="https://youtu.be/4uAms3uSKhg"/>
    <hyperlink ref="F4678" r:id="rId2" display="https://files.afu.se/Downloads/Transcripts/0%20-%20Government/USA%20-%20NASA/"/>
    <hyperlink ref="C4679" r:id="rId4679" display="https://youtu.be/YOT-Ij6bv9M"/>
    <hyperlink ref="F4679" r:id="rId2" display="https://files.afu.se/Downloads/Transcripts/0%20-%20Government/USA%20-%20NASA/"/>
    <hyperlink ref="C4680" r:id="rId4680" display="https://youtu.be/YqDPaOEWqo8"/>
    <hyperlink ref="F4680" r:id="rId2" display="https://files.afu.se/Downloads/Transcripts/0%20-%20Government/USA%20-%20NASA/"/>
    <hyperlink ref="C4681" r:id="rId4681" display="https://youtu.be/tbX3NGDv_wI"/>
    <hyperlink ref="F4681" r:id="rId2" display="https://files.afu.se/Downloads/Transcripts/0%20-%20Government/USA%20-%20NASA/"/>
    <hyperlink ref="C4682" r:id="rId4682" display="https://youtu.be/baRvcLVsNwc"/>
    <hyperlink ref="F4682" r:id="rId2" display="https://files.afu.se/Downloads/Transcripts/0%20-%20Government/USA%20-%20NASA/"/>
    <hyperlink ref="C4683" r:id="rId4683" display="https://youtu.be/IyIweRep6OY"/>
    <hyperlink ref="F4683" r:id="rId2" display="https://files.afu.se/Downloads/Transcripts/0%20-%20Government/USA%20-%20NASA/"/>
    <hyperlink ref="C4684" r:id="rId4684" display="https://youtu.be/rQ4n2HjppWo"/>
    <hyperlink ref="F4684" r:id="rId2" display="https://files.afu.se/Downloads/Transcripts/0%20-%20Government/USA%20-%20NASA/"/>
    <hyperlink ref="C4685" r:id="rId4685" display="https://youtu.be/T-zfZN3ZCzs"/>
    <hyperlink ref="F4685" r:id="rId2" display="https://files.afu.se/Downloads/Transcripts/0%20-%20Government/USA%20-%20NASA/"/>
    <hyperlink ref="C4686" r:id="rId4686" display="https://youtu.be/lLJvG1K1N9M"/>
    <hyperlink ref="F4686" r:id="rId2" display="https://files.afu.se/Downloads/Transcripts/0%20-%20Government/USA%20-%20NASA/"/>
    <hyperlink ref="C4687" r:id="rId4687" display="https://youtu.be/TJesh8DWBoc"/>
    <hyperlink ref="F4687" r:id="rId2" display="https://files.afu.se/Downloads/Transcripts/0%20-%20Government/USA%20-%20NASA/"/>
    <hyperlink ref="C4688" r:id="rId4688" display="https://youtu.be/UG9d_cP4iZ0"/>
    <hyperlink ref="F4688" r:id="rId2" display="https://files.afu.se/Downloads/Transcripts/0%20-%20Government/USA%20-%20NASA/"/>
    <hyperlink ref="C4689" r:id="rId4689" display="https://youtu.be/M1x5JiF1iuk"/>
    <hyperlink ref="F4689" r:id="rId2" display="https://files.afu.se/Downloads/Transcripts/0%20-%20Government/USA%20-%20NASA/"/>
    <hyperlink ref="C4690" r:id="rId4690" display="https://youtu.be/CM4gaWo--fU"/>
    <hyperlink ref="F4690" r:id="rId2" display="https://files.afu.se/Downloads/Transcripts/0%20-%20Government/USA%20-%20NASA/"/>
    <hyperlink ref="C4691" r:id="rId4691" display="https://youtu.be/QAArGSgSQu8"/>
    <hyperlink ref="F4691" r:id="rId2" display="https://files.afu.se/Downloads/Transcripts/0%20-%20Government/USA%20-%20NASA/"/>
    <hyperlink ref="C4692" r:id="rId4692" display="https://youtu.be/QyiI38FWU74"/>
    <hyperlink ref="F4692" r:id="rId2" display="https://files.afu.se/Downloads/Transcripts/0%20-%20Government/USA%20-%20NASA/"/>
    <hyperlink ref="C4693" r:id="rId4693" display="https://youtu.be/vUfM17hvEFg"/>
    <hyperlink ref="F4693" r:id="rId2" display="https://files.afu.se/Downloads/Transcripts/0%20-%20Government/USA%20-%20NASA/"/>
    <hyperlink ref="C4694" r:id="rId4694" display="https://youtu.be/2xaRotYad1o"/>
    <hyperlink ref="F4694" r:id="rId2" display="https://files.afu.se/Downloads/Transcripts/0%20-%20Government/USA%20-%20NASA/"/>
    <hyperlink ref="C4695" r:id="rId4695" display="https://youtu.be/nSG2qvDsmvY"/>
    <hyperlink ref="F4695" r:id="rId2" display="https://files.afu.se/Downloads/Transcripts/0%20-%20Government/USA%20-%20NASA/"/>
    <hyperlink ref="C4696" r:id="rId4696" display="https://youtu.be/livOZ-fDQ88"/>
    <hyperlink ref="F4696" r:id="rId2" display="https://files.afu.se/Downloads/Transcripts/0%20-%20Government/USA%20-%20NASA/"/>
    <hyperlink ref="C4697" r:id="rId4697" display="https://youtu.be/Uul7nB7ZUtU"/>
    <hyperlink ref="F4697" r:id="rId2" display="https://files.afu.se/Downloads/Transcripts/0%20-%20Government/USA%20-%20NASA/"/>
    <hyperlink ref="C4698" r:id="rId4698" display="https://youtu.be/z3aH4VQ-TDQ"/>
    <hyperlink ref="F4698" r:id="rId2" display="https://files.afu.se/Downloads/Transcripts/0%20-%20Government/USA%20-%20NASA/"/>
    <hyperlink ref="C4699" r:id="rId4699" display="https://youtu.be/ciHVOGCHpNE"/>
    <hyperlink ref="F4699" r:id="rId2" display="https://files.afu.se/Downloads/Transcripts/0%20-%20Government/USA%20-%20NASA/"/>
    <hyperlink ref="C4700" r:id="rId4700" display="https://youtu.be/5qMHgAI2z8o"/>
    <hyperlink ref="F4700" r:id="rId2" display="https://files.afu.se/Downloads/Transcripts/0%20-%20Government/USA%20-%20NASA/"/>
    <hyperlink ref="C4701" r:id="rId4701" display="https://youtu.be/OxjffeDfpgQ"/>
    <hyperlink ref="F4701" r:id="rId2" display="https://files.afu.se/Downloads/Transcripts/0%20-%20Government/USA%20-%20NASA/"/>
    <hyperlink ref="C4702" r:id="rId4702" display="https://youtu.be/8bn7t2-FCEs"/>
    <hyperlink ref="F4702" r:id="rId2" display="https://files.afu.se/Downloads/Transcripts/0%20-%20Government/USA%20-%20NASA/"/>
    <hyperlink ref="C4703" r:id="rId4703" display="https://youtu.be/PvrEtSUP7_M"/>
    <hyperlink ref="F4703" r:id="rId2" display="https://files.afu.se/Downloads/Transcripts/0%20-%20Government/USA%20-%20NASA/"/>
    <hyperlink ref="C4704" r:id="rId4704" display="https://youtu.be/oRm0fnWyklo"/>
    <hyperlink ref="F4704" r:id="rId2" display="https://files.afu.se/Downloads/Transcripts/0%20-%20Government/USA%20-%20NASA/"/>
    <hyperlink ref="C4705" r:id="rId4705" display="https://youtu.be/fHQrXERODS0"/>
    <hyperlink ref="F4705" r:id="rId2" display="https://files.afu.se/Downloads/Transcripts/0%20-%20Government/USA%20-%20NASA/"/>
    <hyperlink ref="C4706" r:id="rId4706" display="https://youtu.be/TDtBT5XL5KQ"/>
    <hyperlink ref="F4706" r:id="rId2" display="https://files.afu.se/Downloads/Transcripts/0%20-%20Government/USA%20-%20NASA/"/>
    <hyperlink ref="C4707" r:id="rId4707" display="https://youtu.be/3vQMraQb4D0"/>
    <hyperlink ref="F4707" r:id="rId2" display="https://files.afu.se/Downloads/Transcripts/0%20-%20Government/USA%20-%20NASA/"/>
    <hyperlink ref="C4708" r:id="rId4708" display="https://youtu.be/YBg2tuJxYTM"/>
    <hyperlink ref="F4708" r:id="rId2" display="https://files.afu.se/Downloads/Transcripts/0%20-%20Government/USA%20-%20NASA/"/>
    <hyperlink ref="C4709" r:id="rId4709" display="https://youtu.be/GJL6EMiD3-Y"/>
    <hyperlink ref="F4709" r:id="rId2" display="https://files.afu.se/Downloads/Transcripts/0%20-%20Government/USA%20-%20NASA/"/>
    <hyperlink ref="C4710" r:id="rId4710" display="https://youtu.be/QmEAIlsqXDs"/>
    <hyperlink ref="F4710" r:id="rId2" display="https://files.afu.se/Downloads/Transcripts/0%20-%20Government/USA%20-%20NASA/"/>
    <hyperlink ref="C4711" r:id="rId4711" display="https://youtu.be/NVmIbPP1iAM"/>
    <hyperlink ref="F4711" r:id="rId2" display="https://files.afu.se/Downloads/Transcripts/0%20-%20Government/USA%20-%20NASA/"/>
    <hyperlink ref="C4712" r:id="rId4712" display="https://youtu.be/HBJZyzY55J0"/>
    <hyperlink ref="F4712" r:id="rId2" display="https://files.afu.se/Downloads/Transcripts/0%20-%20Government/USA%20-%20NASA/"/>
    <hyperlink ref="C4713" r:id="rId4713" display="https://youtu.be/fiU3zPibBSI"/>
    <hyperlink ref="F4713" r:id="rId2" display="https://files.afu.se/Downloads/Transcripts/0%20-%20Government/USA%20-%20NASA/"/>
    <hyperlink ref="C4714" r:id="rId4714" display="https://youtu.be/D2C_Vsd5unA"/>
    <hyperlink ref="F4714" r:id="rId2" display="https://files.afu.se/Downloads/Transcripts/0%20-%20Government/USA%20-%20NASA/"/>
    <hyperlink ref="C4715" r:id="rId4715" display="https://youtu.be/griaUjEFH_g"/>
    <hyperlink ref="F4715" r:id="rId2" display="https://files.afu.se/Downloads/Transcripts/0%20-%20Government/USA%20-%20NASA/"/>
    <hyperlink ref="C4716" r:id="rId4716" display="https://youtu.be/wR6sYM6r5JU"/>
    <hyperlink ref="F4716" r:id="rId2" display="https://files.afu.se/Downloads/Transcripts/0%20-%20Government/USA%20-%20NASA/"/>
    <hyperlink ref="C4717" r:id="rId4717" display="https://youtu.be/s8QC5sbKnF0"/>
    <hyperlink ref="F4717" r:id="rId2" display="https://files.afu.se/Downloads/Transcripts/0%20-%20Government/USA%20-%20NASA/"/>
    <hyperlink ref="C4718" r:id="rId4718" display="https://youtu.be/85YQx89ICQQ"/>
    <hyperlink ref="F4718" r:id="rId2" display="https://files.afu.se/Downloads/Transcripts/0%20-%20Government/USA%20-%20NASA/"/>
    <hyperlink ref="C4719" r:id="rId4719" display="https://youtu.be/OPuoMvTsM-4"/>
    <hyperlink ref="F4719" r:id="rId2" display="https://files.afu.se/Downloads/Transcripts/0%20-%20Government/USA%20-%20NASA/"/>
    <hyperlink ref="C4720" r:id="rId4720" display="https://youtu.be/DIYYUuP-jKs"/>
    <hyperlink ref="F4720" r:id="rId2" display="https://files.afu.se/Downloads/Transcripts/0%20-%20Government/USA%20-%20NASA/"/>
    <hyperlink ref="C4721" r:id="rId4721" display="https://youtu.be/p8tqynqDL2E"/>
    <hyperlink ref="F4721" r:id="rId2" display="https://files.afu.se/Downloads/Transcripts/0%20-%20Government/USA%20-%20NASA/"/>
    <hyperlink ref="C4722" r:id="rId4722" display="https://youtu.be/n_N6ybnawR0"/>
    <hyperlink ref="F4722" r:id="rId2" display="https://files.afu.se/Downloads/Transcripts/0%20-%20Government/USA%20-%20NASA/"/>
    <hyperlink ref="C4723" r:id="rId4723" display="https://youtu.be/urdFzTATwWg"/>
    <hyperlink ref="F4723" r:id="rId2" display="https://files.afu.se/Downloads/Transcripts/0%20-%20Government/USA%20-%20NASA/"/>
    <hyperlink ref="C4724" r:id="rId4724" display="https://youtu.be/zWpD-fCC9lc"/>
    <hyperlink ref="F4724" r:id="rId2" display="https://files.afu.se/Downloads/Transcripts/0%20-%20Government/USA%20-%20NASA/"/>
    <hyperlink ref="C4725" r:id="rId4725" display="https://youtu.be/BK6C4m8wY5M"/>
    <hyperlink ref="F4725" r:id="rId2" display="https://files.afu.se/Downloads/Transcripts/0%20-%20Government/USA%20-%20NASA/"/>
    <hyperlink ref="C4726" r:id="rId4726" display="https://youtu.be/ggDveAjJacA"/>
    <hyperlink ref="F4726" r:id="rId2" display="https://files.afu.se/Downloads/Transcripts/0%20-%20Government/USA%20-%20NASA/"/>
    <hyperlink ref="C4727" r:id="rId4727" display="https://youtu.be/AJvzZF2Q1lo"/>
    <hyperlink ref="F4727" r:id="rId2" display="https://files.afu.se/Downloads/Transcripts/0%20-%20Government/USA%20-%20NASA/"/>
    <hyperlink ref="C4728" r:id="rId4728" display="https://youtu.be/t1a3klbJQ4I"/>
    <hyperlink ref="F4728" r:id="rId2" display="https://files.afu.se/Downloads/Transcripts/0%20-%20Government/USA%20-%20NASA/"/>
    <hyperlink ref="C4729" r:id="rId4729" display="https://youtu.be/XVfcpROR2J8"/>
    <hyperlink ref="F4729" r:id="rId2" display="https://files.afu.se/Downloads/Transcripts/0%20-%20Government/USA%20-%20NASA/"/>
    <hyperlink ref="C4730" r:id="rId4730" display="https://youtu.be/wswhFnYQdRs"/>
    <hyperlink ref="F4730" r:id="rId2" display="https://files.afu.se/Downloads/Transcripts/0%20-%20Government/USA%20-%20NASA/"/>
    <hyperlink ref="C4731" r:id="rId4731" display="https://youtu.be/5CAouXYLC2U"/>
    <hyperlink ref="F4731" r:id="rId2" display="https://files.afu.se/Downloads/Transcripts/0%20-%20Government/USA%20-%20NASA/"/>
    <hyperlink ref="C4732" r:id="rId4732" display="https://youtu.be/VCZEp7jgCzc"/>
    <hyperlink ref="F4732" r:id="rId2" display="https://files.afu.se/Downloads/Transcripts/0%20-%20Government/USA%20-%20NASA/"/>
    <hyperlink ref="C4733" r:id="rId4733" display="https://youtu.be/030_pKgXUI8"/>
    <hyperlink ref="F4733" r:id="rId2" display="https://files.afu.se/Downloads/Transcripts/0%20-%20Government/USA%20-%20NASA/"/>
    <hyperlink ref="C4734" r:id="rId4734" display="https://youtu.be/8Q7NHKl0nSI"/>
    <hyperlink ref="F4734" r:id="rId2" display="https://files.afu.se/Downloads/Transcripts/0%20-%20Government/USA%20-%20NASA/"/>
    <hyperlink ref="C4735" r:id="rId4735" display="https://youtu.be/hzZfAXz4kgE"/>
    <hyperlink ref="F4735" r:id="rId2" display="https://files.afu.se/Downloads/Transcripts/0%20-%20Government/USA%20-%20NASA/"/>
    <hyperlink ref="C4736" r:id="rId4736" display="https://youtu.be/7ollX4iUcdU"/>
    <hyperlink ref="F4736" r:id="rId2" display="https://files.afu.se/Downloads/Transcripts/0%20-%20Government/USA%20-%20NASA/"/>
    <hyperlink ref="C4737" r:id="rId4737" display="https://youtu.be/mB9_7OJHDrI"/>
    <hyperlink ref="F4737" r:id="rId2" display="https://files.afu.se/Downloads/Transcripts/0%20-%20Government/USA%20-%20NASA/"/>
    <hyperlink ref="C4738" r:id="rId4738" display="https://youtu.be/KJfJbpDcqKA"/>
    <hyperlink ref="F4738" r:id="rId2" display="https://files.afu.se/Downloads/Transcripts/0%20-%20Government/USA%20-%20NASA/"/>
    <hyperlink ref="C4739" r:id="rId4739" display="https://youtu.be/rDHiamFar6o"/>
    <hyperlink ref="F4739" r:id="rId2" display="https://files.afu.se/Downloads/Transcripts/0%20-%20Government/USA%20-%20NASA/"/>
    <hyperlink ref="C4740" r:id="rId4740" display="https://youtu.be/-HEHIAaeFPs"/>
    <hyperlink ref="F4740" r:id="rId2" display="https://files.afu.se/Downloads/Transcripts/0%20-%20Government/USA%20-%20NASA/"/>
    <hyperlink ref="C4741" r:id="rId4741" display="https://youtu.be/GL0P6ZAgsls"/>
    <hyperlink ref="F4741" r:id="rId2" display="https://files.afu.se/Downloads/Transcripts/0%20-%20Government/USA%20-%20NASA/"/>
    <hyperlink ref="C4742" r:id="rId4742" display="https://youtu.be/aFXXrM6_aAI"/>
    <hyperlink ref="F4742" r:id="rId2" display="https://files.afu.se/Downloads/Transcripts/0%20-%20Government/USA%20-%20NASA/"/>
    <hyperlink ref="C4743" r:id="rId4743" display="https://youtu.be/_rOIgDlT_Q4"/>
    <hyperlink ref="F4743" r:id="rId2" display="https://files.afu.se/Downloads/Transcripts/0%20-%20Government/USA%20-%20NASA/"/>
    <hyperlink ref="C4744" r:id="rId4744" display="https://youtu.be/ud4Pm_DCUrM"/>
    <hyperlink ref="F4744" r:id="rId2" display="https://files.afu.se/Downloads/Transcripts/0%20-%20Government/USA%20-%20NASA/"/>
    <hyperlink ref="C4745" r:id="rId4745" display="https://youtu.be/JWUXOWWRAPI"/>
    <hyperlink ref="F4745" r:id="rId2" display="https://files.afu.se/Downloads/Transcripts/0%20-%20Government/USA%20-%20NASA/"/>
    <hyperlink ref="C4746" r:id="rId4746" display="https://youtu.be/WAQYRA2atvg"/>
    <hyperlink ref="F4746" r:id="rId2" display="https://files.afu.se/Downloads/Transcripts/0%20-%20Government/USA%20-%20NASA/"/>
    <hyperlink ref="C4747" r:id="rId4747" display="https://youtu.be/8lNsWWc5M5k"/>
    <hyperlink ref="F4747" r:id="rId2" display="https://files.afu.se/Downloads/Transcripts/0%20-%20Government/USA%20-%20NASA/"/>
    <hyperlink ref="C4748" r:id="rId4748" display="https://youtu.be/DdvMsKkpgPw"/>
    <hyperlink ref="F4748" r:id="rId2" display="https://files.afu.se/Downloads/Transcripts/0%20-%20Government/USA%20-%20NASA/"/>
    <hyperlink ref="C4749" r:id="rId4749" display="https://youtu.be/eqEIODCWI7Q"/>
    <hyperlink ref="F4749" r:id="rId2" display="https://files.afu.se/Downloads/Transcripts/0%20-%20Government/USA%20-%20NASA/"/>
    <hyperlink ref="C4750" r:id="rId4750" display="https://youtu.be/Z_rqoks3j60"/>
    <hyperlink ref="F4750" r:id="rId2" display="https://files.afu.se/Downloads/Transcripts/0%20-%20Government/USA%20-%20NASA/"/>
    <hyperlink ref="C4751" r:id="rId4751" display="https://youtu.be/GQkwM-HRLho"/>
    <hyperlink ref="F4751" r:id="rId2" display="https://files.afu.se/Downloads/Transcripts/0%20-%20Government/USA%20-%20NASA/"/>
    <hyperlink ref="C4752" r:id="rId4752" display="https://youtu.be/5fo9fhYTOoY"/>
    <hyperlink ref="F4752" r:id="rId2" display="https://files.afu.se/Downloads/Transcripts/0%20-%20Government/USA%20-%20NASA/"/>
    <hyperlink ref="C4753" r:id="rId4753" display="https://youtu.be/HuNu39p_GFI"/>
    <hyperlink ref="F4753" r:id="rId2" display="https://files.afu.se/Downloads/Transcripts/0%20-%20Government/USA%20-%20NASA/"/>
    <hyperlink ref="C4754" r:id="rId4754" display="https://youtu.be/2rR1TGRIebw"/>
    <hyperlink ref="F4754" r:id="rId2" display="https://files.afu.se/Downloads/Transcripts/0%20-%20Government/USA%20-%20NASA/"/>
    <hyperlink ref="C4755" r:id="rId4755" display="https://youtu.be/HsAXMi05Nug"/>
    <hyperlink ref="F4755" r:id="rId2" display="https://files.afu.se/Downloads/Transcripts/0%20-%20Government/USA%20-%20NASA/"/>
    <hyperlink ref="C4756" r:id="rId4756" display="https://youtu.be/HssASU-K7Ec"/>
    <hyperlink ref="F4756" r:id="rId2" display="https://files.afu.se/Downloads/Transcripts/0%20-%20Government/USA%20-%20NASA/"/>
    <hyperlink ref="C4757" r:id="rId4757" display="https://youtu.be/CAM9RBPjSzQ"/>
    <hyperlink ref="F4757" r:id="rId2" display="https://files.afu.se/Downloads/Transcripts/0%20-%20Government/USA%20-%20NASA/"/>
    <hyperlink ref="C4758" r:id="rId4758" display="https://youtu.be/iqay-OJcin8"/>
    <hyperlink ref="F4758" r:id="rId2" display="https://files.afu.se/Downloads/Transcripts/0%20-%20Government/USA%20-%20NASA/"/>
    <hyperlink ref="C4759" r:id="rId4759" display="https://youtu.be/fADJUVsWIoI"/>
    <hyperlink ref="F4759" r:id="rId2" display="https://files.afu.se/Downloads/Transcripts/0%20-%20Government/USA%20-%20NASA/"/>
    <hyperlink ref="C4760" r:id="rId4760" display="https://youtu.be/iw64pFuGdjE"/>
    <hyperlink ref="F4760" r:id="rId2" display="https://files.afu.se/Downloads/Transcripts/0%20-%20Government/USA%20-%20NASA/"/>
    <hyperlink ref="C4761" r:id="rId4761" display="https://youtu.be/5ynP-eGB8cg"/>
    <hyperlink ref="F4761" r:id="rId2" display="https://files.afu.se/Downloads/Transcripts/0%20-%20Government/USA%20-%20NASA/"/>
    <hyperlink ref="C4762" r:id="rId4762" display="https://youtu.be/_PGWRLy6OG8"/>
    <hyperlink ref="F4762" r:id="rId2" display="https://files.afu.se/Downloads/Transcripts/0%20-%20Government/USA%20-%20NASA/"/>
    <hyperlink ref="C4763" r:id="rId4763" display="https://youtu.be/NAeq7YZJZxo"/>
    <hyperlink ref="F4763" r:id="rId2" display="https://files.afu.se/Downloads/Transcripts/0%20-%20Government/USA%20-%20NASA/"/>
    <hyperlink ref="C4764" r:id="rId4764" display="https://youtu.be/xGUM-xmE_xM"/>
    <hyperlink ref="F4764" r:id="rId2" display="https://files.afu.se/Downloads/Transcripts/0%20-%20Government/USA%20-%20NASA/"/>
    <hyperlink ref="C4765" r:id="rId4765" display="https://youtu.be/z9-WrRNVZJo"/>
    <hyperlink ref="F4765" r:id="rId2" display="https://files.afu.se/Downloads/Transcripts/0%20-%20Government/USA%20-%20NASA/"/>
    <hyperlink ref="C4766" r:id="rId4766" display="https://youtu.be/a7-gatElpos"/>
    <hyperlink ref="F4766" r:id="rId2" display="https://files.afu.se/Downloads/Transcripts/0%20-%20Government/USA%20-%20NASA/"/>
    <hyperlink ref="C4767" r:id="rId4767" display="https://youtu.be/EiUpgWsP-2k"/>
    <hyperlink ref="F4767" r:id="rId2" display="https://files.afu.se/Downloads/Transcripts/0%20-%20Government/USA%20-%20NASA/"/>
    <hyperlink ref="C4768" r:id="rId4768" display="https://youtu.be/xF3P2ewE6eg"/>
    <hyperlink ref="F4768" r:id="rId2" display="https://files.afu.se/Downloads/Transcripts/0%20-%20Government/USA%20-%20NASA/"/>
    <hyperlink ref="C4769" r:id="rId4769" display="https://youtu.be/Wd-8B-L4rcg"/>
    <hyperlink ref="F4769" r:id="rId2" display="https://files.afu.se/Downloads/Transcripts/0%20-%20Government/USA%20-%20NASA/"/>
    <hyperlink ref="C4770" r:id="rId4770" display="https://youtu.be/NYaXA-7xo08"/>
    <hyperlink ref="F4770" r:id="rId2" display="https://files.afu.se/Downloads/Transcripts/0%20-%20Government/USA%20-%20NASA/"/>
    <hyperlink ref="C4771" r:id="rId4771" display="https://youtu.be/6SOc_FHQP6I"/>
    <hyperlink ref="F4771" r:id="rId2" display="https://files.afu.se/Downloads/Transcripts/0%20-%20Government/USA%20-%20NASA/"/>
    <hyperlink ref="C4772" r:id="rId4772" display="https://youtu.be/4IC72SdxLS8"/>
    <hyperlink ref="F4772" r:id="rId2" display="https://files.afu.se/Downloads/Transcripts/0%20-%20Government/USA%20-%20NASA/"/>
    <hyperlink ref="C4773" r:id="rId4773" display="https://youtu.be/yy0hqtygKuk"/>
    <hyperlink ref="F4773" r:id="rId2" display="https://files.afu.se/Downloads/Transcripts/0%20-%20Government/USA%20-%20NASA/"/>
    <hyperlink ref="C4774" r:id="rId4774" display="https://youtu.be/pe-Lo95mDzo"/>
    <hyperlink ref="F4774" r:id="rId2" display="https://files.afu.se/Downloads/Transcripts/0%20-%20Government/USA%20-%20NASA/"/>
    <hyperlink ref="C4775" r:id="rId4775" display="https://youtu.be/bZQ1VVqdsog"/>
    <hyperlink ref="F4775" r:id="rId2" display="https://files.afu.se/Downloads/Transcripts/0%20-%20Government/USA%20-%20NASA/"/>
    <hyperlink ref="C4776" r:id="rId4776" display="https://youtu.be/nXiKY6x4Qi8"/>
    <hyperlink ref="F4776" r:id="rId2" display="https://files.afu.se/Downloads/Transcripts/0%20-%20Government/USA%20-%20NASA/"/>
    <hyperlink ref="C4777" r:id="rId4777" display="https://youtu.be/zHn0aRbIVaI"/>
    <hyperlink ref="F4777" r:id="rId2" display="https://files.afu.se/Downloads/Transcripts/0%20-%20Government/USA%20-%20NASA/"/>
    <hyperlink ref="C4778" r:id="rId4778" display="https://youtu.be/vOjq0CmwlnQ"/>
    <hyperlink ref="F4778" r:id="rId2" display="https://files.afu.se/Downloads/Transcripts/0%20-%20Government/USA%20-%20NASA/"/>
    <hyperlink ref="C4779" r:id="rId4779" display="https://youtu.be/LFVc8CxfO1o"/>
    <hyperlink ref="F4779" r:id="rId2" display="https://files.afu.se/Downloads/Transcripts/0%20-%20Government/USA%20-%20NASA/"/>
    <hyperlink ref="C4780" r:id="rId4780" display="https://youtu.be/HAxhAGSRQuE"/>
    <hyperlink ref="F4780" r:id="rId2" display="https://files.afu.se/Downloads/Transcripts/0%20-%20Government/USA%20-%20NASA/"/>
    <hyperlink ref="C4781" r:id="rId4781" display="https://youtu.be/lslBglu98nQ"/>
    <hyperlink ref="F4781" r:id="rId2" display="https://files.afu.se/Downloads/Transcripts/0%20-%20Government/USA%20-%20NASA/"/>
    <hyperlink ref="C4782" r:id="rId4782" display="https://youtu.be/uwnR2NQX1c4"/>
    <hyperlink ref="F4782" r:id="rId2" display="https://files.afu.se/Downloads/Transcripts/0%20-%20Government/USA%20-%20NASA/"/>
    <hyperlink ref="C4783" r:id="rId4783" display="https://youtu.be/tUndKqvYfuc"/>
    <hyperlink ref="F4783" r:id="rId2" display="https://files.afu.se/Downloads/Transcripts/0%20-%20Government/USA%20-%20NASA/"/>
    <hyperlink ref="C4784" r:id="rId4784" display="https://youtu.be/sSO5DDLHnhQ"/>
    <hyperlink ref="F4784" r:id="rId2" display="https://files.afu.se/Downloads/Transcripts/0%20-%20Government/USA%20-%20NASA/"/>
    <hyperlink ref="C4785" r:id="rId4785" display="https://youtu.be/M6i1eKW8M6Q"/>
    <hyperlink ref="F4785" r:id="rId2" display="https://files.afu.se/Downloads/Transcripts/0%20-%20Government/USA%20-%20NASA/"/>
    <hyperlink ref="C4786" r:id="rId4786" display="https://youtu.be/i4VOUacqDFU"/>
    <hyperlink ref="F4786" r:id="rId2" display="https://files.afu.se/Downloads/Transcripts/0%20-%20Government/USA%20-%20NASA/"/>
    <hyperlink ref="C4787" r:id="rId4787" display="https://youtu.be/BgM76yQrT8I"/>
    <hyperlink ref="F4787" r:id="rId2" display="https://files.afu.se/Downloads/Transcripts/0%20-%20Government/USA%20-%20NASA/"/>
    <hyperlink ref="C4788" r:id="rId4788" display="https://youtu.be/IMUxWcihwEE"/>
    <hyperlink ref="F4788" r:id="rId2" display="https://files.afu.se/Downloads/Transcripts/0%20-%20Government/USA%20-%20NASA/"/>
    <hyperlink ref="C4789" r:id="rId4789" display="https://youtu.be/vmDYSqjodEQ"/>
    <hyperlink ref="F4789" r:id="rId2" display="https://files.afu.se/Downloads/Transcripts/0%20-%20Government/USA%20-%20NASA/"/>
    <hyperlink ref="C4790" r:id="rId4790" display="https://youtu.be/fr-WUy6geKs"/>
    <hyperlink ref="F4790" r:id="rId2" display="https://files.afu.se/Downloads/Transcripts/0%20-%20Government/USA%20-%20NASA/"/>
    <hyperlink ref="C4791" r:id="rId4791" display="https://youtu.be/cKPqomW5kDI"/>
    <hyperlink ref="F4791" r:id="rId2" display="https://files.afu.se/Downloads/Transcripts/0%20-%20Government/USA%20-%20NASA/"/>
    <hyperlink ref="C4792" r:id="rId4792" display="https://youtu.be/btc70vURm4o"/>
    <hyperlink ref="F4792" r:id="rId2" display="https://files.afu.se/Downloads/Transcripts/0%20-%20Government/USA%20-%20NASA/"/>
    <hyperlink ref="C4793" r:id="rId4793" display="https://youtu.be/QUh5LIKoFJk"/>
    <hyperlink ref="F4793" r:id="rId2" display="https://files.afu.se/Downloads/Transcripts/0%20-%20Government/USA%20-%20NASA/"/>
    <hyperlink ref="C4794" r:id="rId4794" display="https://youtu.be/qpM1svEbJy0"/>
    <hyperlink ref="F4794" r:id="rId2" display="https://files.afu.se/Downloads/Transcripts/0%20-%20Government/USA%20-%20NASA/"/>
    <hyperlink ref="C4795" r:id="rId4795" display="https://youtu.be/aXqPcC8AchY"/>
    <hyperlink ref="F4795" r:id="rId2" display="https://files.afu.se/Downloads/Transcripts/0%20-%20Government/USA%20-%20NASA/"/>
    <hyperlink ref="C4796" r:id="rId4796" display="https://youtu.be/oiElFC1HKdM"/>
    <hyperlink ref="F4796" r:id="rId2" display="https://files.afu.se/Downloads/Transcripts/0%20-%20Government/USA%20-%20NASA/"/>
    <hyperlink ref="C4797" r:id="rId4797" display="https://youtu.be/mwoYGl1CKUY"/>
    <hyperlink ref="F4797" r:id="rId2" display="https://files.afu.se/Downloads/Transcripts/0%20-%20Government/USA%20-%20NASA/"/>
    <hyperlink ref="C4798" r:id="rId4798" display="https://youtu.be/5o67zNhntUI"/>
    <hyperlink ref="F4798" r:id="rId2" display="https://files.afu.se/Downloads/Transcripts/0%20-%20Government/USA%20-%20NASA/"/>
    <hyperlink ref="C4799" r:id="rId4799" display="https://youtu.be/sESFVA-2dF0"/>
    <hyperlink ref="F4799" r:id="rId2" display="https://files.afu.se/Downloads/Transcripts/0%20-%20Government/USA%20-%20NASA/"/>
    <hyperlink ref="C4800" r:id="rId4800" display="https://youtu.be/NeY4JIy_Css"/>
    <hyperlink ref="F4800" r:id="rId2" display="https://files.afu.se/Downloads/Transcripts/0%20-%20Government/USA%20-%20NASA/"/>
    <hyperlink ref="C4801" r:id="rId4801" display="https://youtu.be/wRkLOHZ2r6k"/>
    <hyperlink ref="F4801" r:id="rId2" display="https://files.afu.se/Downloads/Transcripts/0%20-%20Government/USA%20-%20NASA/"/>
    <hyperlink ref="C4802" r:id="rId4802" display="https://youtu.be/rO0fyCyHEOE"/>
    <hyperlink ref="F4802" r:id="rId2" display="https://files.afu.se/Downloads/Transcripts/0%20-%20Government/USA%20-%20NASA/"/>
    <hyperlink ref="C4803" r:id="rId4803" display="https://youtu.be/cZXoYoldz90"/>
    <hyperlink ref="F4803" r:id="rId2" display="https://files.afu.se/Downloads/Transcripts/0%20-%20Government/USA%20-%20NASA/"/>
    <hyperlink ref="C4804" r:id="rId4804" display="https://youtu.be/cUg2XnS3eyU"/>
    <hyperlink ref="F4804" r:id="rId2" display="https://files.afu.se/Downloads/Transcripts/0%20-%20Government/USA%20-%20NASA/"/>
    <hyperlink ref="C4805" r:id="rId4805" display="https://youtu.be/wgzd6FIicq0"/>
    <hyperlink ref="F4805" r:id="rId2" display="https://files.afu.se/Downloads/Transcripts/0%20-%20Government/USA%20-%20NASA/"/>
    <hyperlink ref="C4806" r:id="rId4806" display="https://youtu.be/M6GpYdhfa3c"/>
    <hyperlink ref="F4806" r:id="rId2" display="https://files.afu.se/Downloads/Transcripts/0%20-%20Government/USA%20-%20NASA/"/>
    <hyperlink ref="C4807" r:id="rId4807" display="https://youtu.be/cVRZRStGZVA"/>
    <hyperlink ref="F4807" r:id="rId2" display="https://files.afu.se/Downloads/Transcripts/0%20-%20Government/USA%20-%20NASA/"/>
    <hyperlink ref="C4808" r:id="rId4808" display="https://youtu.be/zIlBAMdQwsE"/>
    <hyperlink ref="F4808" r:id="rId2" display="https://files.afu.se/Downloads/Transcripts/0%20-%20Government/USA%20-%20NASA/"/>
    <hyperlink ref="C4809" r:id="rId4809" display="https://youtu.be/PNnLPr4oV1A"/>
    <hyperlink ref="F4809" r:id="rId2" display="https://files.afu.se/Downloads/Transcripts/0%20-%20Government/USA%20-%20NASA/"/>
    <hyperlink ref="C4810" r:id="rId4810" display="https://youtu.be/K__IO9atbVI"/>
    <hyperlink ref="F4810" r:id="rId2" display="https://files.afu.se/Downloads/Transcripts/0%20-%20Government/USA%20-%20NASA/"/>
    <hyperlink ref="C4811" r:id="rId4811" display="https://youtu.be/kCIH0Zdvfac"/>
    <hyperlink ref="F4811" r:id="rId2" display="https://files.afu.se/Downloads/Transcripts/0%20-%20Government/USA%20-%20NASA/"/>
    <hyperlink ref="C4812" r:id="rId4812" display="https://youtu.be/HUpjCRk93Ac"/>
    <hyperlink ref="F4812" r:id="rId2" display="https://files.afu.se/Downloads/Transcripts/0%20-%20Government/USA%20-%20NASA/"/>
    <hyperlink ref="C4813" r:id="rId4813" display="https://youtu.be/FZMmNJ6ItwU"/>
    <hyperlink ref="F4813" r:id="rId2" display="https://files.afu.se/Downloads/Transcripts/0%20-%20Government/USA%20-%20NASA/"/>
    <hyperlink ref="C4814" r:id="rId4814" display="https://youtu.be/y-1iF-aEUxA"/>
    <hyperlink ref="F4814" r:id="rId2" display="https://files.afu.se/Downloads/Transcripts/0%20-%20Government/USA%20-%20NASA/"/>
    <hyperlink ref="C4815" r:id="rId4815" display="https://youtu.be/ug5UeLJSs9k"/>
    <hyperlink ref="F4815" r:id="rId2" display="https://files.afu.se/Downloads/Transcripts/0%20-%20Government/USA%20-%20NASA/"/>
    <hyperlink ref="C4816" r:id="rId4816" display="https://youtu.be/vnN4sjhdjhQ"/>
    <hyperlink ref="F4816" r:id="rId2" display="https://files.afu.se/Downloads/Transcripts/0%20-%20Government/USA%20-%20NASA/"/>
    <hyperlink ref="C4817" r:id="rId4817" display="https://youtu.be/o4JIMdUbA8c"/>
    <hyperlink ref="F4817" r:id="rId2" display="https://files.afu.se/Downloads/Transcripts/0%20-%20Government/USA%20-%20NASA/"/>
    <hyperlink ref="C4818" r:id="rId4818" display="https://youtu.be/pb8Er9noHTI"/>
    <hyperlink ref="F4818" r:id="rId2" display="https://files.afu.se/Downloads/Transcripts/0%20-%20Government/USA%20-%20NASA/"/>
    <hyperlink ref="C4819" r:id="rId4819" display="https://youtu.be/6X8b_j9RONQ"/>
    <hyperlink ref="F4819" r:id="rId2" display="https://files.afu.se/Downloads/Transcripts/0%20-%20Government/USA%20-%20NASA/"/>
    <hyperlink ref="C4820" r:id="rId4820" display="https://youtu.be/uWSCKHr9bEY"/>
    <hyperlink ref="F4820" r:id="rId2" display="https://files.afu.se/Downloads/Transcripts/0%20-%20Government/USA%20-%20NASA/"/>
    <hyperlink ref="C4821" r:id="rId4821" display="https://youtu.be/AZvKBAaHnsQ"/>
    <hyperlink ref="F4821" r:id="rId2" display="https://files.afu.se/Downloads/Transcripts/0%20-%20Government/USA%20-%20NASA/"/>
    <hyperlink ref="C4822" r:id="rId4822" display="https://youtu.be/wbC7YtC-eAo"/>
    <hyperlink ref="F4822" r:id="rId2" display="https://files.afu.se/Downloads/Transcripts/0%20-%20Government/USA%20-%20NASA/"/>
    <hyperlink ref="C4823" r:id="rId4823" display="https://youtu.be/9-8gIMIjCCk"/>
    <hyperlink ref="F4823" r:id="rId2" display="https://files.afu.se/Downloads/Transcripts/0%20-%20Government/USA%20-%20NASA/"/>
    <hyperlink ref="C4824" r:id="rId4824" display="https://youtu.be/pfF32oTEW5s"/>
    <hyperlink ref="F4824" r:id="rId2" display="https://files.afu.se/Downloads/Transcripts/0%20-%20Government/USA%20-%20NASA/"/>
    <hyperlink ref="C4825" r:id="rId4825" display="https://youtu.be/8F3OSLuP010"/>
    <hyperlink ref="F4825" r:id="rId2" display="https://files.afu.se/Downloads/Transcripts/0%20-%20Government/USA%20-%20NASA/"/>
    <hyperlink ref="C4826" r:id="rId4826" display="https://youtu.be/XR_met6iavw"/>
    <hyperlink ref="F4826" r:id="rId2" display="https://files.afu.se/Downloads/Transcripts/0%20-%20Government/USA%20-%20NASA/"/>
    <hyperlink ref="C4827" r:id="rId4827" display="https://youtu.be/Dlo0x8aFjTk"/>
    <hyperlink ref="F4827" r:id="rId2" display="https://files.afu.se/Downloads/Transcripts/0%20-%20Government/USA%20-%20NASA/"/>
    <hyperlink ref="C4828" r:id="rId4828" display="https://youtu.be/W6dazVnt-HQ"/>
    <hyperlink ref="F4828" r:id="rId2" display="https://files.afu.se/Downloads/Transcripts/0%20-%20Government/USA%20-%20NASA/"/>
    <hyperlink ref="C4829" r:id="rId4829" display="https://youtu.be/o6M7hGidWE8"/>
    <hyperlink ref="F4829" r:id="rId2" display="https://files.afu.se/Downloads/Transcripts/0%20-%20Government/USA%20-%20NASA/"/>
    <hyperlink ref="C4830" r:id="rId4830" display="https://youtu.be/RFZx_V7UtU8"/>
    <hyperlink ref="F4830" r:id="rId2" display="https://files.afu.se/Downloads/Transcripts/0%20-%20Government/USA%20-%20NASA/"/>
    <hyperlink ref="C4831" r:id="rId4831" display="https://youtu.be/pjckTbBEsno"/>
    <hyperlink ref="F4831" r:id="rId2" display="https://files.afu.se/Downloads/Transcripts/0%20-%20Government/USA%20-%20NASA/"/>
    <hyperlink ref="C4832" r:id="rId4832" display="https://youtu.be/Co6mzeL23dg"/>
    <hyperlink ref="F4832" r:id="rId2" display="https://files.afu.se/Downloads/Transcripts/0%20-%20Government/USA%20-%20NASA/"/>
    <hyperlink ref="C4833" r:id="rId4833" display="https://youtu.be/kbfJfbgIsFo"/>
    <hyperlink ref="F4833" r:id="rId2" display="https://files.afu.se/Downloads/Transcripts/0%20-%20Government/USA%20-%20NASA/"/>
    <hyperlink ref="C4834" r:id="rId4834" display="https://youtu.be/qjob5B7nLe8"/>
    <hyperlink ref="F4834" r:id="rId2" display="https://files.afu.se/Downloads/Transcripts/0%20-%20Government/USA%20-%20NASA/"/>
    <hyperlink ref="C4835" r:id="rId4835" display="https://youtu.be/9h9u2QfIf3M"/>
    <hyperlink ref="F4835" r:id="rId2" display="https://files.afu.se/Downloads/Transcripts/0%20-%20Government/USA%20-%20NASA/"/>
    <hyperlink ref="C4836" r:id="rId4836" display="https://youtu.be/Hr6px1r41Nc"/>
    <hyperlink ref="F4836" r:id="rId2" display="https://files.afu.se/Downloads/Transcripts/0%20-%20Government/USA%20-%20NASA/"/>
    <hyperlink ref="C4837" r:id="rId4837" display="https://youtu.be/Kxz8U_NZi5Q"/>
    <hyperlink ref="F4837" r:id="rId2" display="https://files.afu.se/Downloads/Transcripts/0%20-%20Government/USA%20-%20NASA/"/>
    <hyperlink ref="C4838" r:id="rId4838" display="https://youtu.be/4Cerl9GxYnQ"/>
    <hyperlink ref="F4838" r:id="rId2" display="https://files.afu.se/Downloads/Transcripts/0%20-%20Government/USA%20-%20NASA/"/>
    <hyperlink ref="C4839" r:id="rId4839" display="https://youtu.be/eZYYE8E8Ye8"/>
    <hyperlink ref="F4839" r:id="rId2" display="https://files.afu.se/Downloads/Transcripts/0%20-%20Government/USA%20-%20NASA/"/>
    <hyperlink ref="C4840" r:id="rId4840" display="https://youtu.be/5oM862gQY00"/>
    <hyperlink ref="F4840" r:id="rId2" display="https://files.afu.se/Downloads/Transcripts/0%20-%20Government/USA%20-%20NASA/"/>
    <hyperlink ref="C4841" r:id="rId4841" display="https://youtu.be/LAjfLAd3yl8"/>
    <hyperlink ref="F4841" r:id="rId2" display="https://files.afu.se/Downloads/Transcripts/0%20-%20Government/USA%20-%20NASA/"/>
    <hyperlink ref="C4842" r:id="rId4842" display="https://youtu.be/cT6cDLTAvaY"/>
    <hyperlink ref="F4842" r:id="rId2" display="https://files.afu.se/Downloads/Transcripts/0%20-%20Government/USA%20-%20NASA/"/>
    <hyperlink ref="C4843" r:id="rId4843" display="https://youtu.be/o5pWUCQKtvU"/>
    <hyperlink ref="F4843" r:id="rId2" display="https://files.afu.se/Downloads/Transcripts/0%20-%20Government/USA%20-%20NASA/"/>
    <hyperlink ref="C4844" r:id="rId4844" display="https://youtu.be/3Du2D2CuaRw"/>
    <hyperlink ref="F4844" r:id="rId2" display="https://files.afu.se/Downloads/Transcripts/0%20-%20Government/USA%20-%20NASA/"/>
    <hyperlink ref="C4845" r:id="rId4845" display="https://youtu.be/cHoI1FA_n88"/>
    <hyperlink ref="F4845" r:id="rId2" display="https://files.afu.se/Downloads/Transcripts/0%20-%20Government/USA%20-%20NASA/"/>
    <hyperlink ref="C4846" r:id="rId4846" display="https://youtu.be/ptF6lxJ9guI"/>
    <hyperlink ref="F4846" r:id="rId2" display="https://files.afu.se/Downloads/Transcripts/0%20-%20Government/USA%20-%20NASA/"/>
    <hyperlink ref="C4847" r:id="rId4847" display="https://youtu.be/6hqoBx6haUc"/>
    <hyperlink ref="F4847" r:id="rId2" display="https://files.afu.se/Downloads/Transcripts/0%20-%20Government/USA%20-%20NASA/"/>
    <hyperlink ref="C4848" r:id="rId4848" display="https://youtu.be/y61L6usYGJc"/>
    <hyperlink ref="F4848" r:id="rId2" display="https://files.afu.se/Downloads/Transcripts/0%20-%20Government/USA%20-%20NASA/"/>
    <hyperlink ref="C4849" r:id="rId4849" display="https://youtu.be/i2hcDmA-GcQ"/>
    <hyperlink ref="F4849" r:id="rId2" display="https://files.afu.se/Downloads/Transcripts/0%20-%20Government/USA%20-%20NASA/"/>
    <hyperlink ref="C4850" r:id="rId4850" display="https://youtu.be/FtcypzKWI8o"/>
    <hyperlink ref="F4850" r:id="rId2" display="https://files.afu.se/Downloads/Transcripts/0%20-%20Government/USA%20-%20NASA/"/>
    <hyperlink ref="C4851" r:id="rId4851" display="https://youtu.be/f5qh13Xp-_0"/>
    <hyperlink ref="F4851" r:id="rId2" display="https://files.afu.se/Downloads/Transcripts/0%20-%20Government/USA%20-%20NASA/"/>
    <hyperlink ref="C4852" r:id="rId4852" display="https://youtu.be/0D726gnLQ7I"/>
    <hyperlink ref="F4852" r:id="rId2" display="https://files.afu.se/Downloads/Transcripts/0%20-%20Government/USA%20-%20NASA/"/>
    <hyperlink ref="C4853" r:id="rId4853" display="https://youtu.be/IViqvMrhf9Q"/>
    <hyperlink ref="F4853" r:id="rId2" display="https://files.afu.se/Downloads/Transcripts/0%20-%20Government/USA%20-%20NASA/"/>
    <hyperlink ref="C4854" r:id="rId4854" display="https://youtu.be/-4xBVuxxiFM"/>
    <hyperlink ref="F4854" r:id="rId2" display="https://files.afu.se/Downloads/Transcripts/0%20-%20Government/USA%20-%20NASA/"/>
    <hyperlink ref="C4855" r:id="rId4855" display="https://youtu.be/IzC9FiJh2sk"/>
    <hyperlink ref="F4855" r:id="rId2" display="https://files.afu.se/Downloads/Transcripts/0%20-%20Government/USA%20-%20NASA/"/>
    <hyperlink ref="C4856" r:id="rId4856" display="https://youtu.be/RzJpWhuY-YE"/>
    <hyperlink ref="F4856" r:id="rId2" display="https://files.afu.se/Downloads/Transcripts/0%20-%20Government/USA%20-%20NASA/"/>
    <hyperlink ref="C4857" r:id="rId4857" display="https://youtu.be/n9JKcB4M31w"/>
    <hyperlink ref="F4857" r:id="rId2" display="https://files.afu.se/Downloads/Transcripts/0%20-%20Government/USA%20-%20NASA/"/>
    <hyperlink ref="C4858" r:id="rId4858" display="https://youtu.be/2T5f9iMQ7lY"/>
    <hyperlink ref="F4858" r:id="rId2" display="https://files.afu.se/Downloads/Transcripts/0%20-%20Government/USA%20-%20NASA/"/>
    <hyperlink ref="C4859" r:id="rId4859" display="https://youtu.be/AU6jndd5vKs"/>
    <hyperlink ref="F4859" r:id="rId2" display="https://files.afu.se/Downloads/Transcripts/0%20-%20Government/USA%20-%20NASA/"/>
    <hyperlink ref="C4860" r:id="rId4860" display="https://youtu.be/PKSkX-jQhRQ"/>
    <hyperlink ref="F4860" r:id="rId2" display="https://files.afu.se/Downloads/Transcripts/0%20-%20Government/USA%20-%20NASA/"/>
    <hyperlink ref="C4861" r:id="rId4861" display="https://youtu.be/qJ_t_4WbGW8"/>
    <hyperlink ref="F4861" r:id="rId2" display="https://files.afu.se/Downloads/Transcripts/0%20-%20Government/USA%20-%20NASA/"/>
    <hyperlink ref="C4862" r:id="rId4862" display="https://youtu.be/bWm5bjjaxwc"/>
    <hyperlink ref="F4862" r:id="rId2" display="https://files.afu.se/Downloads/Transcripts/0%20-%20Government/USA%20-%20NASA/"/>
    <hyperlink ref="C4863" r:id="rId4863" display="https://youtu.be/czDwthupW8c"/>
    <hyperlink ref="F4863" r:id="rId2" display="https://files.afu.se/Downloads/Transcripts/0%20-%20Government/USA%20-%20NASA/"/>
    <hyperlink ref="C4864" r:id="rId4864" display="https://youtu.be/3RMPxt-R_XU"/>
    <hyperlink ref="F4864" r:id="rId2" display="https://files.afu.se/Downloads/Transcripts/0%20-%20Government/USA%20-%20NASA/"/>
    <hyperlink ref="C4865" r:id="rId4865" display="https://youtu.be/m1wwzwvfsC0"/>
    <hyperlink ref="F4865" r:id="rId2" display="https://files.afu.se/Downloads/Transcripts/0%20-%20Government/USA%20-%20NASA/"/>
    <hyperlink ref="C4866" r:id="rId4866" display="https://youtu.be/a6aQ64Mn96Q"/>
    <hyperlink ref="F4866" r:id="rId2" display="https://files.afu.se/Downloads/Transcripts/0%20-%20Government/USA%20-%20NASA/"/>
    <hyperlink ref="C4867" r:id="rId4867" display="https://youtu.be/RR6zecKg6_I"/>
    <hyperlink ref="F4867" r:id="rId2" display="https://files.afu.se/Downloads/Transcripts/0%20-%20Government/USA%20-%20NASA/"/>
    <hyperlink ref="C4868" r:id="rId4868" display="https://youtu.be/_bNcVUOniDU"/>
    <hyperlink ref="F4868" r:id="rId2" display="https://files.afu.se/Downloads/Transcripts/0%20-%20Government/USA%20-%20NASA/"/>
    <hyperlink ref="C4869" r:id="rId4869" display="https://youtu.be/BJororoKuls"/>
    <hyperlink ref="F4869" r:id="rId2" display="https://files.afu.se/Downloads/Transcripts/0%20-%20Government/USA%20-%20NASA/"/>
    <hyperlink ref="C4870" r:id="rId4870" display="https://youtu.be/cNi0sDkx1qw"/>
    <hyperlink ref="F4870" r:id="rId2" display="https://files.afu.se/Downloads/Transcripts/0%20-%20Government/USA%20-%20NASA/"/>
    <hyperlink ref="C4871" r:id="rId4871" display="https://youtu.be/hmwkcxkP9EI"/>
    <hyperlink ref="F4871" r:id="rId2" display="https://files.afu.se/Downloads/Transcripts/0%20-%20Government/USA%20-%20NASA/"/>
    <hyperlink ref="C4872" r:id="rId4872" display="https://youtu.be/4zSgR_WVhP0"/>
    <hyperlink ref="F4872" r:id="rId2" display="https://files.afu.se/Downloads/Transcripts/0%20-%20Government/USA%20-%20NASA/"/>
    <hyperlink ref="C4873" r:id="rId4873" display="https://youtu.be/4CEFHvFT59Y"/>
    <hyperlink ref="F4873" r:id="rId2" display="https://files.afu.se/Downloads/Transcripts/0%20-%20Government/USA%20-%20NASA/"/>
    <hyperlink ref="C4874" r:id="rId4874" display="https://youtu.be/9E6mbXqCA0U"/>
    <hyperlink ref="F4874" r:id="rId2" display="https://files.afu.se/Downloads/Transcripts/0%20-%20Government/USA%20-%20NASA/"/>
    <hyperlink ref="C4875" r:id="rId4875" display="https://youtu.be/SCZlaJznx3E"/>
    <hyperlink ref="F4875" r:id="rId2" display="https://files.afu.se/Downloads/Transcripts/0%20-%20Government/USA%20-%20NASA/"/>
    <hyperlink ref="C4876" r:id="rId4876" display="https://youtu.be/fJmADQkhUeo"/>
    <hyperlink ref="F4876" r:id="rId2" display="https://files.afu.se/Downloads/Transcripts/0%20-%20Government/USA%20-%20NASA/"/>
    <hyperlink ref="C4877" r:id="rId4877" display="https://youtu.be/hqgc0a5e64Y"/>
    <hyperlink ref="F4877" r:id="rId2" display="https://files.afu.se/Downloads/Transcripts/0%20-%20Government/USA%20-%20NASA/"/>
    <hyperlink ref="C4878" r:id="rId4878" display="https://youtu.be/cgcyJxk017M"/>
    <hyperlink ref="F4878" r:id="rId2" display="https://files.afu.se/Downloads/Transcripts/0%20-%20Government/USA%20-%20NASA/"/>
    <hyperlink ref="C4879" r:id="rId4879" display="https://youtu.be/8v_ZLc3ApuY"/>
    <hyperlink ref="F4879" r:id="rId2" display="https://files.afu.se/Downloads/Transcripts/0%20-%20Government/USA%20-%20NASA/"/>
    <hyperlink ref="C4880" r:id="rId4880" display="https://youtu.be/U6B2SfRLCTI"/>
    <hyperlink ref="F4880" r:id="rId2" display="https://files.afu.se/Downloads/Transcripts/0%20-%20Government/USA%20-%20NASA/"/>
    <hyperlink ref="C4881" r:id="rId4881" display="https://youtu.be/MuKiaw-t-LM"/>
    <hyperlink ref="F4881" r:id="rId2" display="https://files.afu.se/Downloads/Transcripts/0%20-%20Government/USA%20-%20NASA/"/>
    <hyperlink ref="C4882" r:id="rId4882" display="https://youtu.be/22-Ji8_kDwg"/>
    <hyperlink ref="F4882" r:id="rId2" display="https://files.afu.se/Downloads/Transcripts/0%20-%20Government/USA%20-%20NASA/"/>
    <hyperlink ref="C4883" r:id="rId4883" display="https://youtu.be/0RVXBP3r8XA"/>
    <hyperlink ref="F4883" r:id="rId2" display="https://files.afu.se/Downloads/Transcripts/0%20-%20Government/USA%20-%20NASA/"/>
    <hyperlink ref="C4884" r:id="rId4884" display="https://youtu.be/9_xOXvjBUbM"/>
    <hyperlink ref="F4884" r:id="rId2" display="https://files.afu.se/Downloads/Transcripts/0%20-%20Government/USA%20-%20NASA/"/>
    <hyperlink ref="C4885" r:id="rId4885" display="https://youtu.be/dU0hlMXIGl8"/>
    <hyperlink ref="F4885" r:id="rId2" display="https://files.afu.se/Downloads/Transcripts/0%20-%20Government/USA%20-%20NASA/"/>
    <hyperlink ref="C4886" r:id="rId4886" display="https://youtu.be/gp19XonIWr0"/>
    <hyperlink ref="F4886" r:id="rId2" display="https://files.afu.se/Downloads/Transcripts/0%20-%20Government/USA%20-%20NASA/"/>
    <hyperlink ref="C4887" r:id="rId4887" display="https://youtu.be/8Fiz8737i1o"/>
    <hyperlink ref="F4887" r:id="rId2" display="https://files.afu.se/Downloads/Transcripts/0%20-%20Government/USA%20-%20NASA/"/>
    <hyperlink ref="C4888" r:id="rId4888" display="https://youtu.be/5Kk2YiemdBY"/>
    <hyperlink ref="F4888" r:id="rId2" display="https://files.afu.se/Downloads/Transcripts/0%20-%20Government/USA%20-%20NASA/"/>
    <hyperlink ref="C4889" r:id="rId4889" display="https://youtu.be/GWtofoEqDhk"/>
    <hyperlink ref="F4889" r:id="rId2" display="https://files.afu.se/Downloads/Transcripts/0%20-%20Government/USA%20-%20NASA/"/>
    <hyperlink ref="C4890" r:id="rId4890" display="https://youtu.be/Wz4oADqQdmc"/>
    <hyperlink ref="F4890" r:id="rId2" display="https://files.afu.se/Downloads/Transcripts/0%20-%20Government/USA%20-%20NASA/"/>
    <hyperlink ref="C4891" r:id="rId4891" display="https://youtu.be/KNQ6o_iWlyM"/>
    <hyperlink ref="F4891" r:id="rId2" display="https://files.afu.se/Downloads/Transcripts/0%20-%20Government/USA%20-%20NASA/"/>
    <hyperlink ref="C4892" r:id="rId4892" display="https://youtu.be/7T84BBLi-GQ"/>
    <hyperlink ref="F4892" r:id="rId2" display="https://files.afu.se/Downloads/Transcripts/0%20-%20Government/USA%20-%20NASA/"/>
    <hyperlink ref="C4893" r:id="rId4893" display="https://youtu.be/kRgzdOjBoAU"/>
    <hyperlink ref="F4893" r:id="rId2" display="https://files.afu.se/Downloads/Transcripts/0%20-%20Government/USA%20-%20NASA/"/>
    <hyperlink ref="C4894" r:id="rId4894" display="https://youtu.be/OTotzOtUANw"/>
    <hyperlink ref="F4894" r:id="rId2" display="https://files.afu.se/Downloads/Transcripts/0%20-%20Government/USA%20-%20NASA/"/>
    <hyperlink ref="C4895" r:id="rId4895" display="https://youtu.be/9WeCUJHwaB0"/>
    <hyperlink ref="F4895" r:id="rId2" display="https://files.afu.se/Downloads/Transcripts/0%20-%20Government/USA%20-%20NASA/"/>
    <hyperlink ref="C4896" r:id="rId4896" display="https://youtu.be/is_6crooDG0"/>
    <hyperlink ref="F4896" r:id="rId2" display="https://files.afu.se/Downloads/Transcripts/0%20-%20Government/USA%20-%20NASA/"/>
    <hyperlink ref="C4897" r:id="rId4897" display="https://youtu.be/MOIKfHWAUmw"/>
    <hyperlink ref="F4897" r:id="rId2" display="https://files.afu.se/Downloads/Transcripts/0%20-%20Government/USA%20-%20NASA/"/>
    <hyperlink ref="C4898" r:id="rId4898" display="https://youtu.be/7VAPO276VEE"/>
    <hyperlink ref="F4898" r:id="rId2" display="https://files.afu.se/Downloads/Transcripts/0%20-%20Government/USA%20-%20NASA/"/>
    <hyperlink ref="C4899" r:id="rId4899" display="https://youtu.be/TmxagW97EHc"/>
    <hyperlink ref="F4899" r:id="rId2" display="https://files.afu.se/Downloads/Transcripts/0%20-%20Government/USA%20-%20NASA/"/>
    <hyperlink ref="C4900" r:id="rId4900" display="https://youtu.be/3rNn_cUrlmE"/>
    <hyperlink ref="F4900" r:id="rId2" display="https://files.afu.se/Downloads/Transcripts/0%20-%20Government/USA%20-%20NASA/"/>
    <hyperlink ref="C4901" r:id="rId4901" display="https://youtu.be/DiS4m7MX9bg"/>
    <hyperlink ref="F4901" r:id="rId2" display="https://files.afu.se/Downloads/Transcripts/0%20-%20Government/USA%20-%20NASA/"/>
    <hyperlink ref="C4902" r:id="rId4902" display="https://youtu.be/pbMvnppbVYo"/>
    <hyperlink ref="F4902" r:id="rId2" display="https://files.afu.se/Downloads/Transcripts/0%20-%20Government/USA%20-%20NASA/"/>
    <hyperlink ref="C4903" r:id="rId4903" display="https://youtu.be/hVS8mjLiP90"/>
    <hyperlink ref="F4903" r:id="rId2" display="https://files.afu.se/Downloads/Transcripts/0%20-%20Government/USA%20-%20NASA/"/>
    <hyperlink ref="C4904" r:id="rId4904" display="https://youtu.be/kUQksM2OAaY"/>
    <hyperlink ref="F4904" r:id="rId2" display="https://files.afu.se/Downloads/Transcripts/0%20-%20Government/USA%20-%20NASA/"/>
    <hyperlink ref="C4905" r:id="rId4905" display="https://youtu.be/hEL5-AprbtA"/>
    <hyperlink ref="F4905" r:id="rId2" display="https://files.afu.se/Downloads/Transcripts/0%20-%20Government/USA%20-%20NASA/"/>
    <hyperlink ref="C4906" r:id="rId4906" display="https://youtu.be/dDjoD_rK-oY"/>
    <hyperlink ref="F4906" r:id="rId2" display="https://files.afu.se/Downloads/Transcripts/0%20-%20Government/USA%20-%20NASA/"/>
    <hyperlink ref="C4907" r:id="rId4907" display="https://youtu.be/L6vuOx7AN4w"/>
    <hyperlink ref="F4907" r:id="rId2" display="https://files.afu.se/Downloads/Transcripts/0%20-%20Government/USA%20-%20NASA/"/>
    <hyperlink ref="C4908" r:id="rId4908" display="https://youtu.be/zsF3WHWGuoE"/>
    <hyperlink ref="F4908" r:id="rId2" display="https://files.afu.se/Downloads/Transcripts/0%20-%20Government/USA%20-%20NASA/"/>
    <hyperlink ref="C4909" r:id="rId4909" display="https://youtu.be/8DDaWb-xUEs"/>
    <hyperlink ref="F4909" r:id="rId2" display="https://files.afu.se/Downloads/Transcripts/0%20-%20Government/USA%20-%20NASA/"/>
    <hyperlink ref="C4910" r:id="rId4910" display="https://youtu.be/wQUB_KveKxE"/>
    <hyperlink ref="F4910" r:id="rId2" display="https://files.afu.se/Downloads/Transcripts/0%20-%20Government/USA%20-%20NASA/"/>
    <hyperlink ref="C4911" r:id="rId4911" display="https://youtu.be/Ca0Mjoo-eGE"/>
    <hyperlink ref="F4911" r:id="rId2" display="https://files.afu.se/Downloads/Transcripts/0%20-%20Government/USA%20-%20NASA/"/>
    <hyperlink ref="C4912" r:id="rId4912" display="https://youtu.be/rCn5TqEPXLs"/>
    <hyperlink ref="F4912" r:id="rId2" display="https://files.afu.se/Downloads/Transcripts/0%20-%20Government/USA%20-%20NASA/"/>
    <hyperlink ref="C4913" r:id="rId4913" display="https://youtu.be/uftxel9ue3Y"/>
    <hyperlink ref="F4913" r:id="rId2" display="https://files.afu.se/Downloads/Transcripts/0%20-%20Government/USA%20-%20NASA/"/>
    <hyperlink ref="C4914" r:id="rId4914" display="https://youtu.be/tu0b2zEHiuk"/>
    <hyperlink ref="F4914" r:id="rId2" display="https://files.afu.se/Downloads/Transcripts/0%20-%20Government/USA%20-%20NASA/"/>
    <hyperlink ref="C4915" r:id="rId4915" display="https://youtu.be/Ftwromsqui8"/>
    <hyperlink ref="F4915" r:id="rId2" display="https://files.afu.se/Downloads/Transcripts/0%20-%20Government/USA%20-%20NASA/"/>
    <hyperlink ref="C4916" r:id="rId4916" display="https://youtu.be/GZerpR-poSA"/>
    <hyperlink ref="F4916" r:id="rId2" display="https://files.afu.se/Downloads/Transcripts/0%20-%20Government/USA%20-%20NASA/"/>
    <hyperlink ref="C4917" r:id="rId4917" display="https://youtu.be/Iokt2j7KcGw"/>
    <hyperlink ref="F4917" r:id="rId2" display="https://files.afu.se/Downloads/Transcripts/0%20-%20Government/USA%20-%20NASA/"/>
    <hyperlink ref="C4918" r:id="rId4918" display="https://youtu.be/HF-Nx_ESe5o"/>
    <hyperlink ref="F4918" r:id="rId2" display="https://files.afu.se/Downloads/Transcripts/0%20-%20Government/USA%20-%20NASA/"/>
    <hyperlink ref="C4919" r:id="rId4919" display="https://youtu.be/J-CwYzo2tVE"/>
    <hyperlink ref="F4919" r:id="rId2" display="https://files.afu.se/Downloads/Transcripts/0%20-%20Government/USA%20-%20NASA/"/>
    <hyperlink ref="C4920" r:id="rId4920" display="https://youtu.be/f9zIwdur1ns"/>
    <hyperlink ref="F4920" r:id="rId2" display="https://files.afu.se/Downloads/Transcripts/0%20-%20Government/USA%20-%20NASA/"/>
    <hyperlink ref="C4921" r:id="rId4921" display="https://youtu.be/Vq3ciWeixlc"/>
    <hyperlink ref="F4921" r:id="rId2" display="https://files.afu.se/Downloads/Transcripts/0%20-%20Government/USA%20-%20NASA/"/>
    <hyperlink ref="C4922" r:id="rId4922" display="https://youtu.be/xrDiyL-EnF4"/>
    <hyperlink ref="F4922" r:id="rId2" display="https://files.afu.se/Downloads/Transcripts/0%20-%20Government/USA%20-%20NASA/"/>
    <hyperlink ref="C4923" r:id="rId4923" display="https://youtu.be/INvGFsDt2_0"/>
    <hyperlink ref="F4923" r:id="rId2" display="https://files.afu.se/Downloads/Transcripts/0%20-%20Government/USA%20-%20NASA/"/>
    <hyperlink ref="C4924" r:id="rId4924" display="https://youtu.be/-n-y1eiLJcM"/>
    <hyperlink ref="F4924" r:id="rId2" display="https://files.afu.se/Downloads/Transcripts/0%20-%20Government/USA%20-%20NASA/"/>
    <hyperlink ref="C4925" r:id="rId4925" display="https://youtu.be/pF4GMHTZNSI"/>
    <hyperlink ref="F4925" r:id="rId2" display="https://files.afu.se/Downloads/Transcripts/0%20-%20Government/USA%20-%20NASA/"/>
    <hyperlink ref="C4926" r:id="rId4926" display="https://youtu.be/816Y-FhplW8"/>
    <hyperlink ref="F4926" r:id="rId2" display="https://files.afu.se/Downloads/Transcripts/0%20-%20Government/USA%20-%20NASA/"/>
    <hyperlink ref="C4927" r:id="rId4927" display="https://youtu.be/OX4bLGfl8k8"/>
    <hyperlink ref="F4927" r:id="rId2" display="https://files.afu.se/Downloads/Transcripts/0%20-%20Government/USA%20-%20NASA/"/>
    <hyperlink ref="C4928" r:id="rId4928" display="https://youtu.be/qWJoIsBVTp4"/>
    <hyperlink ref="F4928" r:id="rId2" display="https://files.afu.se/Downloads/Transcripts/0%20-%20Government/USA%20-%20NASA/"/>
    <hyperlink ref="C4929" r:id="rId4929" display="https://youtu.be/3i0oRu9dHoA"/>
    <hyperlink ref="F4929" r:id="rId2" display="https://files.afu.se/Downloads/Transcripts/0%20-%20Government/USA%20-%20NASA/"/>
    <hyperlink ref="C4930" r:id="rId4930" display="https://youtu.be/GHz2B_4g2tM"/>
    <hyperlink ref="F4930" r:id="rId2" display="https://files.afu.se/Downloads/Transcripts/0%20-%20Government/USA%20-%20NASA/"/>
    <hyperlink ref="C4931" r:id="rId4931" display="https://youtu.be/-daDU6xe7Ks"/>
    <hyperlink ref="F4931" r:id="rId2" display="https://files.afu.se/Downloads/Transcripts/0%20-%20Government/USA%20-%20NASA/"/>
    <hyperlink ref="C4932" r:id="rId4932" display="https://youtu.be/vO5dAouznCg"/>
    <hyperlink ref="F4932" r:id="rId2" display="https://files.afu.se/Downloads/Transcripts/0%20-%20Government/USA%20-%20NASA/"/>
    <hyperlink ref="C4933" r:id="rId4933" display="https://youtu.be/8FDs9rxFrJ0"/>
    <hyperlink ref="F4933" r:id="rId2" display="https://files.afu.se/Downloads/Transcripts/0%20-%20Government/USA%20-%20NASA/"/>
    <hyperlink ref="C4934" r:id="rId4934" display="https://youtu.be/G8-w8lpba24"/>
    <hyperlink ref="F4934" r:id="rId2" display="https://files.afu.se/Downloads/Transcripts/0%20-%20Government/USA%20-%20NASA/"/>
    <hyperlink ref="C4935" r:id="rId4935" display="https://youtu.be/OcJnIuUFEfk"/>
    <hyperlink ref="F4935" r:id="rId2" display="https://files.afu.se/Downloads/Transcripts/0%20-%20Government/USA%20-%20NASA/"/>
    <hyperlink ref="C4936" r:id="rId4936" display="https://youtu.be/TvZH-nhuxgo"/>
    <hyperlink ref="F4936" r:id="rId2" display="https://files.afu.se/Downloads/Transcripts/0%20-%20Government/USA%20-%20NASA/"/>
    <hyperlink ref="C4937" r:id="rId4937" display="https://youtu.be/hJhsi1AcD1k"/>
    <hyperlink ref="F4937" r:id="rId2" display="https://files.afu.se/Downloads/Transcripts/0%20-%20Government/USA%20-%20NASA/"/>
    <hyperlink ref="C4938" r:id="rId4938" display="https://youtu.be/9x6j2IAJAQs"/>
    <hyperlink ref="F4938" r:id="rId2" display="https://files.afu.se/Downloads/Transcripts/0%20-%20Government/USA%20-%20NASA/"/>
    <hyperlink ref="C4939" r:id="rId4939" display="https://youtu.be/I4S3xp_j0uQ"/>
    <hyperlink ref="F4939" r:id="rId2" display="https://files.afu.se/Downloads/Transcripts/0%20-%20Government/USA%20-%20NASA/"/>
    <hyperlink ref="C4940" r:id="rId4940" display="https://youtu.be/0oboXn_Pi08"/>
    <hyperlink ref="F4940" r:id="rId2" display="https://files.afu.se/Downloads/Transcripts/0%20-%20Government/USA%20-%20NASA/"/>
    <hyperlink ref="C4941" r:id="rId4941" display="https://youtu.be/GuhzvAlUehU"/>
    <hyperlink ref="F4941" r:id="rId2" display="https://files.afu.se/Downloads/Transcripts/0%20-%20Government/USA%20-%20NASA/"/>
    <hyperlink ref="C4942" r:id="rId4942" display="https://youtu.be/X8ojgOGtqfY"/>
    <hyperlink ref="F4942" r:id="rId2" display="https://files.afu.se/Downloads/Transcripts/0%20-%20Government/USA%20-%20NASA/"/>
    <hyperlink ref="C4943" r:id="rId4943" display="https://youtu.be/2csADJ2sbIA"/>
    <hyperlink ref="F4943" r:id="rId2" display="https://files.afu.se/Downloads/Transcripts/0%20-%20Government/USA%20-%20NASA/"/>
    <hyperlink ref="C4944" r:id="rId4944" display="https://youtu.be/NtJOH-aKEVY"/>
    <hyperlink ref="F4944" r:id="rId2" display="https://files.afu.se/Downloads/Transcripts/0%20-%20Government/USA%20-%20NASA/"/>
    <hyperlink ref="C4945" r:id="rId4945" display="https://youtu.be/jvW0clxVlZA"/>
    <hyperlink ref="F4945" r:id="rId2" display="https://files.afu.se/Downloads/Transcripts/0%20-%20Government/USA%20-%20NASA/"/>
    <hyperlink ref="C4946" r:id="rId4946" display="https://youtu.be/fd-BukUph9Q"/>
    <hyperlink ref="F4946" r:id="rId2" display="https://files.afu.se/Downloads/Transcripts/0%20-%20Government/USA%20-%20NASA/"/>
    <hyperlink ref="C4947" r:id="rId4947" display="https://youtu.be/ONvJ0xXT2xY"/>
    <hyperlink ref="F4947" r:id="rId2" display="https://files.afu.se/Downloads/Transcripts/0%20-%20Government/USA%20-%20NASA/"/>
    <hyperlink ref="C4948" r:id="rId4948" display="https://youtu.be/Y00heegJEHA"/>
    <hyperlink ref="F4948" r:id="rId2" display="https://files.afu.se/Downloads/Transcripts/0%20-%20Government/USA%20-%20NASA/"/>
    <hyperlink ref="C4949" r:id="rId4949" display="https://youtu.be/31oNIKmQwOA"/>
    <hyperlink ref="F4949" r:id="rId2" display="https://files.afu.se/Downloads/Transcripts/0%20-%20Government/USA%20-%20NASA/"/>
    <hyperlink ref="C4950" r:id="rId4950" display="https://youtu.be/JHklvHMJ7Tw"/>
    <hyperlink ref="F4950" r:id="rId2" display="https://files.afu.se/Downloads/Transcripts/0%20-%20Government/USA%20-%20NASA/"/>
    <hyperlink ref="C4951" r:id="rId4951" display="https://youtu.be/vOKkv2piOkw"/>
    <hyperlink ref="F4951" r:id="rId2" display="https://files.afu.se/Downloads/Transcripts/0%20-%20Government/USA%20-%20NASA/"/>
    <hyperlink ref="C4952" r:id="rId4952" display="https://youtu.be/ogVIo38PdcM"/>
    <hyperlink ref="F4952" r:id="rId2" display="https://files.afu.se/Downloads/Transcripts/0%20-%20Government/USA%20-%20NASA/"/>
    <hyperlink ref="C4953" r:id="rId4953" display="https://youtu.be/G0N_K6LxSFc"/>
    <hyperlink ref="F4953" r:id="rId2" display="https://files.afu.se/Downloads/Transcripts/0%20-%20Government/USA%20-%20NASA/"/>
    <hyperlink ref="C4954" r:id="rId4954" display="https://youtu.be/VMAwgdKfb0o"/>
    <hyperlink ref="F4954" r:id="rId2" display="https://files.afu.se/Downloads/Transcripts/0%20-%20Government/USA%20-%20NASA/"/>
    <hyperlink ref="C4955" r:id="rId4955" display="https://youtu.be/j2cVZM7n3JM"/>
    <hyperlink ref="F4955" r:id="rId2" display="https://files.afu.se/Downloads/Transcripts/0%20-%20Government/USA%20-%20NASA/"/>
    <hyperlink ref="C4956" r:id="rId4956" display="https://youtu.be/buuIe5koJ3g"/>
    <hyperlink ref="F4956" r:id="rId2" display="https://files.afu.se/Downloads/Transcripts/0%20-%20Government/USA%20-%20NASA/"/>
    <hyperlink ref="C4957" r:id="rId4957" display="https://youtu.be/b1FftFdZjN4"/>
    <hyperlink ref="F4957" r:id="rId2" display="https://files.afu.se/Downloads/Transcripts/0%20-%20Government/USA%20-%20NASA/"/>
    <hyperlink ref="C4958" r:id="rId4958" display="https://youtu.be/FD4o18HOzrE"/>
    <hyperlink ref="F4958" r:id="rId2" display="https://files.afu.se/Downloads/Transcripts/0%20-%20Government/USA%20-%20NASA/"/>
    <hyperlink ref="C4959" r:id="rId4959" display="https://youtu.be/PxZWnzmaJ2o"/>
    <hyperlink ref="F4959" r:id="rId2" display="https://files.afu.se/Downloads/Transcripts/0%20-%20Government/USA%20-%20NASA/"/>
    <hyperlink ref="C4960" r:id="rId4960" display="https://youtu.be/48J5FJ12et8"/>
    <hyperlink ref="F4960" r:id="rId2" display="https://files.afu.se/Downloads/Transcripts/0%20-%20Government/USA%20-%20NASA/"/>
    <hyperlink ref="C4961" r:id="rId4961" display="https://youtu.be/gdSpKjkcbro"/>
    <hyperlink ref="F4961" r:id="rId2" display="https://files.afu.se/Downloads/Transcripts/0%20-%20Government/USA%20-%20NASA/"/>
    <hyperlink ref="C4962" r:id="rId4962" display="https://youtu.be/BETvz98MPWU"/>
    <hyperlink ref="F4962" r:id="rId2" display="https://files.afu.se/Downloads/Transcripts/0%20-%20Government/USA%20-%20NASA/"/>
    <hyperlink ref="C4963" r:id="rId4963" display="https://youtu.be/FhQIrEQEfD8"/>
    <hyperlink ref="F4963" r:id="rId2" display="https://files.afu.se/Downloads/Transcripts/0%20-%20Government/USA%20-%20NASA/"/>
    <hyperlink ref="C4964" r:id="rId4964" display="https://youtu.be/q6mujJfFYrA"/>
    <hyperlink ref="F4964" r:id="rId2" display="https://files.afu.se/Downloads/Transcripts/0%20-%20Government/USA%20-%20NASA/"/>
    <hyperlink ref="C4965" r:id="rId4965" display="https://youtu.be/SaSBOS47J-Y"/>
    <hyperlink ref="F4965" r:id="rId2" display="https://files.afu.se/Downloads/Transcripts/0%20-%20Government/USA%20-%20NASA/"/>
    <hyperlink ref="C4966" r:id="rId4966" display="https://youtu.be/xaykOzlXdRg"/>
    <hyperlink ref="F4966" r:id="rId2" display="https://files.afu.se/Downloads/Transcripts/0%20-%20Government/USA%20-%20NASA/"/>
    <hyperlink ref="C4967" r:id="rId4967" display="https://youtu.be/x5DJZyXQvT4"/>
    <hyperlink ref="F4967" r:id="rId2" display="https://files.afu.se/Downloads/Transcripts/0%20-%20Government/USA%20-%20NASA/"/>
    <hyperlink ref="C4968" r:id="rId4968" display="https://youtu.be/rij7fUe3Njg"/>
    <hyperlink ref="F4968" r:id="rId2" display="https://files.afu.se/Downloads/Transcripts/0%20-%20Government/USA%20-%20NASA/"/>
    <hyperlink ref="C4969" r:id="rId4969" display="https://youtu.be/C5l671TErCQ"/>
    <hyperlink ref="F4969" r:id="rId2" display="https://files.afu.se/Downloads/Transcripts/0%20-%20Government/USA%20-%20NASA/"/>
    <hyperlink ref="C4970" r:id="rId4970" display="https://youtu.be/3JC42BaPg5A"/>
    <hyperlink ref="F4970" r:id="rId2" display="https://files.afu.se/Downloads/Transcripts/0%20-%20Government/USA%20-%20NASA/"/>
    <hyperlink ref="C4971" r:id="rId4971" display="https://youtu.be/XrPvsbZoHtE"/>
    <hyperlink ref="F4971" r:id="rId2" display="https://files.afu.se/Downloads/Transcripts/0%20-%20Government/USA%20-%20NASA/"/>
    <hyperlink ref="C4972" r:id="rId4972" display="https://youtu.be/8qSTcXDApas"/>
    <hyperlink ref="F4972" r:id="rId2" display="https://files.afu.se/Downloads/Transcripts/0%20-%20Government/USA%20-%20NASA/"/>
    <hyperlink ref="C4973" r:id="rId4973" display="https://youtu.be/yp3GCw_F25I"/>
    <hyperlink ref="F4973" r:id="rId2" display="https://files.afu.se/Downloads/Transcripts/0%20-%20Government/USA%20-%20NASA/"/>
    <hyperlink ref="C4974" r:id="rId4974" display="https://youtu.be/14YCj1SYX60"/>
    <hyperlink ref="F4974" r:id="rId2" display="https://files.afu.se/Downloads/Transcripts/0%20-%20Government/USA%20-%20NASA/"/>
    <hyperlink ref="C4975" r:id="rId4975" display="https://youtu.be/Kr80vrFe3Bw"/>
    <hyperlink ref="F4975" r:id="rId2" display="https://files.afu.se/Downloads/Transcripts/0%20-%20Government/USA%20-%20NASA/"/>
    <hyperlink ref="C4976" r:id="rId4976" display="https://youtu.be/1v_oXMC6Hq0"/>
    <hyperlink ref="F4976" r:id="rId2" display="https://files.afu.se/Downloads/Transcripts/0%20-%20Government/USA%20-%20NASA/"/>
    <hyperlink ref="C4977" r:id="rId4977" display="https://youtu.be/kHaj6EbxIuI"/>
    <hyperlink ref="F4977" r:id="rId2" display="https://files.afu.se/Downloads/Transcripts/0%20-%20Government/USA%20-%20NASA/"/>
    <hyperlink ref="C4978" r:id="rId4978" display="https://youtu.be/aA6iy0qtpD8"/>
    <hyperlink ref="F4978" r:id="rId2" display="https://files.afu.se/Downloads/Transcripts/0%20-%20Government/USA%20-%20NASA/"/>
    <hyperlink ref="C4979" r:id="rId4979" display="https://youtu.be/6L61bY7ZZas"/>
    <hyperlink ref="F4979" r:id="rId2" display="https://files.afu.se/Downloads/Transcripts/0%20-%20Government/USA%20-%20NASA/"/>
    <hyperlink ref="C4980" r:id="rId4980" display="https://youtu.be/GPvxOWOSZCE"/>
    <hyperlink ref="F4980" r:id="rId2" display="https://files.afu.se/Downloads/Transcripts/0%20-%20Government/USA%20-%20NASA/"/>
    <hyperlink ref="C4981" r:id="rId4981" display="https://youtu.be/TkRvWoBDO_0"/>
    <hyperlink ref="F4981" r:id="rId2" display="https://files.afu.se/Downloads/Transcripts/0%20-%20Government/USA%20-%20NASA/"/>
    <hyperlink ref="C4982" r:id="rId4982" display="https://youtu.be/3OmVZTxfrNQ"/>
    <hyperlink ref="F4982" r:id="rId2" display="https://files.afu.se/Downloads/Transcripts/0%20-%20Government/USA%20-%20NASA/"/>
    <hyperlink ref="C4983" r:id="rId4983" display="https://youtu.be/K0NgxjHBzmM"/>
    <hyperlink ref="F4983" r:id="rId2" display="https://files.afu.se/Downloads/Transcripts/0%20-%20Government/USA%20-%20NASA/"/>
    <hyperlink ref="C4984" r:id="rId4984" display="https://youtu.be/2baY3ofzk6Y"/>
    <hyperlink ref="F4984" r:id="rId2" display="https://files.afu.se/Downloads/Transcripts/0%20-%20Government/USA%20-%20NASA/"/>
    <hyperlink ref="C4985" r:id="rId4985" display="https://youtu.be/ZKIMBunPKQ4"/>
    <hyperlink ref="F4985" r:id="rId2" display="https://files.afu.se/Downloads/Transcripts/0%20-%20Government/USA%20-%20NASA/"/>
    <hyperlink ref="C4986" r:id="rId4986" display="https://youtu.be/HY7F7Y0B4dY"/>
    <hyperlink ref="F4986" r:id="rId2" display="https://files.afu.se/Downloads/Transcripts/0%20-%20Government/USA%20-%20NASA/"/>
    <hyperlink ref="C4987" r:id="rId4987" display="https://youtu.be/sEhi7NdFrag"/>
    <hyperlink ref="F4987" r:id="rId2" display="https://files.afu.se/Downloads/Transcripts/0%20-%20Government/USA%20-%20NASA/"/>
    <hyperlink ref="C4988" r:id="rId4988" display="https://youtu.be/LbVQgqCzXLk"/>
    <hyperlink ref="F4988" r:id="rId2" display="https://files.afu.se/Downloads/Transcripts/0%20-%20Government/USA%20-%20NASA/"/>
    <hyperlink ref="C4989" r:id="rId4989" display="https://youtu.be/GTLgdfojl2w"/>
    <hyperlink ref="F4989" r:id="rId2" display="https://files.afu.se/Downloads/Transcripts/0%20-%20Government/USA%20-%20NASA/"/>
    <hyperlink ref="C4990" r:id="rId4990" display="https://youtu.be/4UnIBnKNuB4"/>
    <hyperlink ref="F4990" r:id="rId2" display="https://files.afu.se/Downloads/Transcripts/0%20-%20Government/USA%20-%20NASA/"/>
    <hyperlink ref="C4991" r:id="rId4991" display="https://youtu.be/YaMC3JwUfTI"/>
    <hyperlink ref="F4991" r:id="rId2" display="https://files.afu.se/Downloads/Transcripts/0%20-%20Government/USA%20-%20NASA/"/>
    <hyperlink ref="C4992" r:id="rId4992" display="https://youtu.be/owLGXHOWS8A"/>
    <hyperlink ref="F4992" r:id="rId2" display="https://files.afu.se/Downloads/Transcripts/0%20-%20Government/USA%20-%20NASA/"/>
    <hyperlink ref="C4993" r:id="rId4993" display="https://youtu.be/5yA5htCJsfQ"/>
    <hyperlink ref="F4993" r:id="rId2" display="https://files.afu.se/Downloads/Transcripts/0%20-%20Government/USA%20-%20NASA/"/>
    <hyperlink ref="C4994" r:id="rId4994" display="https://youtu.be/ebB9Hkj4j_s"/>
    <hyperlink ref="F4994" r:id="rId2" display="https://files.afu.se/Downloads/Transcripts/0%20-%20Government/USA%20-%20NASA/"/>
    <hyperlink ref="C4995" r:id="rId4995" display="https://youtu.be/qk7VrKDu11Y"/>
    <hyperlink ref="F4995" r:id="rId2" display="https://files.afu.se/Downloads/Transcripts/0%20-%20Government/USA%20-%20NASA/"/>
    <hyperlink ref="C4996" r:id="rId4996" display="https://youtu.be/ubWZOiEA5vE"/>
    <hyperlink ref="F4996" r:id="rId2" display="https://files.afu.se/Downloads/Transcripts/0%20-%20Government/USA%20-%20NASA/"/>
    <hyperlink ref="C4997" r:id="rId4997" display="https://youtu.be/f7eRoxJvPIQ"/>
    <hyperlink ref="F4997" r:id="rId2" display="https://files.afu.se/Downloads/Transcripts/0%20-%20Government/USA%20-%20NASA/"/>
    <hyperlink ref="C4998" r:id="rId4998" display="https://youtu.be/YBTy_lUjIu0"/>
    <hyperlink ref="F4998" r:id="rId2" display="https://files.afu.se/Downloads/Transcripts/0%20-%20Government/USA%20-%20NASA/"/>
    <hyperlink ref="C4999" r:id="rId4999" display="https://youtu.be/FQVA1e9RJzM"/>
    <hyperlink ref="F4999" r:id="rId2" display="https://files.afu.se/Downloads/Transcripts/0%20-%20Government/USA%20-%20NASA/"/>
    <hyperlink ref="C5000" r:id="rId5000" display="https://youtu.be/e2ByHhf9fOU"/>
    <hyperlink ref="F5000" r:id="rId2" display="https://files.afu.se/Downloads/Transcripts/0%20-%20Government/USA%20-%20NASA/"/>
    <hyperlink ref="C5001" r:id="rId5001" display="https://youtu.be/rfwqLSHvu3E"/>
    <hyperlink ref="F5001" r:id="rId2" display="https://files.afu.se/Downloads/Transcripts/0%20-%20Government/USA%20-%20NASA/"/>
    <hyperlink ref="C5002" r:id="rId5002" display="https://youtu.be/B8fzZtfu8kk"/>
    <hyperlink ref="F5002" r:id="rId2" display="https://files.afu.se/Downloads/Transcripts/0%20-%20Government/USA%20-%20NASA/"/>
    <hyperlink ref="C5003" r:id="rId5003" display="https://youtu.be/9lI6TajJRek"/>
    <hyperlink ref="F5003" r:id="rId2" display="https://files.afu.se/Downloads/Transcripts/0%20-%20Government/USA%20-%20NASA/"/>
    <hyperlink ref="C5004" r:id="rId5004" display="https://youtu.be/Kkuih2XVa4c"/>
    <hyperlink ref="F5004" r:id="rId2" display="https://files.afu.se/Downloads/Transcripts/0%20-%20Government/USA%20-%20NASA/"/>
    <hyperlink ref="C5005" r:id="rId5005" display="https://youtu.be/Ot-SeKrPOXk"/>
    <hyperlink ref="F5005" r:id="rId2" display="https://files.afu.se/Downloads/Transcripts/0%20-%20Government/USA%20-%20NASA/"/>
    <hyperlink ref="C5006" r:id="rId5006" display="https://youtu.be/_J56-WRfBFk"/>
    <hyperlink ref="F5006" r:id="rId2" display="https://files.afu.se/Downloads/Transcripts/0%20-%20Government/USA%20-%20NASA/"/>
    <hyperlink ref="C5007" r:id="rId5007" display="https://youtu.be/bumZc8M08Lc"/>
    <hyperlink ref="F5007" r:id="rId2" display="https://files.afu.se/Downloads/Transcripts/0%20-%20Government/USA%20-%20NASA/"/>
    <hyperlink ref="C5008" r:id="rId5008" display="https://youtu.be/e2dJiFv-R28"/>
    <hyperlink ref="F5008" r:id="rId2" display="https://files.afu.se/Downloads/Transcripts/0%20-%20Government/USA%20-%20NASA/"/>
    <hyperlink ref="C5009" r:id="rId5009" display="https://youtu.be/YJaI45wksTk"/>
    <hyperlink ref="F5009" r:id="rId2" display="https://files.afu.se/Downloads/Transcripts/0%20-%20Government/USA%20-%20NASA/"/>
    <hyperlink ref="C5010" r:id="rId5010" display="https://youtu.be/XY3U5U-gO6A"/>
    <hyperlink ref="F5010" r:id="rId2" display="https://files.afu.se/Downloads/Transcripts/0%20-%20Government/USA%20-%20NASA/"/>
    <hyperlink ref="C5011" r:id="rId5011" display="https://youtu.be/grJYTWXddto"/>
    <hyperlink ref="F5011" r:id="rId2" display="https://files.afu.se/Downloads/Transcripts/0%20-%20Government/USA%20-%20NASA/"/>
    <hyperlink ref="C5012" r:id="rId5012" display="https://youtu.be/rVRNLXx_b9U"/>
    <hyperlink ref="F5012" r:id="rId2" display="https://files.afu.se/Downloads/Transcripts/0%20-%20Government/USA%20-%20NASA/"/>
    <hyperlink ref="C5013" r:id="rId5013" display="https://youtu.be/aWdjte5Ttko"/>
    <hyperlink ref="F5013" r:id="rId2" display="https://files.afu.se/Downloads/Transcripts/0%20-%20Government/USA%20-%20NASA/"/>
    <hyperlink ref="C5014" r:id="rId5014" display="https://youtu.be/0jMCh5l0hE8"/>
    <hyperlink ref="F5014" r:id="rId2" display="https://files.afu.se/Downloads/Transcripts/0%20-%20Government/USA%20-%20NASA/"/>
    <hyperlink ref="C5015" r:id="rId5015" display="https://youtu.be/MwVD7xAbX_M"/>
    <hyperlink ref="F5015" r:id="rId2" display="https://files.afu.se/Downloads/Transcripts/0%20-%20Government/USA%20-%20NASA/"/>
    <hyperlink ref="C5016" r:id="rId5016" display="https://youtu.be/0j4aB02DsNg"/>
    <hyperlink ref="F5016" r:id="rId2" display="https://files.afu.se/Downloads/Transcripts/0%20-%20Government/USA%20-%20NASA/"/>
    <hyperlink ref="C5017" r:id="rId5017" display="https://youtu.be/uvLkNmu01HU"/>
    <hyperlink ref="F5017" r:id="rId2" display="https://files.afu.se/Downloads/Transcripts/0%20-%20Government/USA%20-%20NASA/"/>
    <hyperlink ref="C5018" r:id="rId5018" display="https://youtu.be/0elUguk05b8"/>
    <hyperlink ref="F5018" r:id="rId2" display="https://files.afu.se/Downloads/Transcripts/0%20-%20Government/USA%20-%20NASA/"/>
    <hyperlink ref="C5019" r:id="rId5019" display="https://youtu.be/Eusgq99qGLM"/>
    <hyperlink ref="F5019" r:id="rId2" display="https://files.afu.se/Downloads/Transcripts/0%20-%20Government/USA%20-%20NASA/"/>
    <hyperlink ref="C5020" r:id="rId5020" display="https://youtu.be/rVx5MDCstJ0"/>
    <hyperlink ref="F5020" r:id="rId2" display="https://files.afu.se/Downloads/Transcripts/0%20-%20Government/USA%20-%20NASA/"/>
    <hyperlink ref="C5021" r:id="rId5021" display="https://youtu.be/dzC9ZigQWqk"/>
    <hyperlink ref="F5021" r:id="rId2" display="https://files.afu.se/Downloads/Transcripts/0%20-%20Government/USA%20-%20NASA/"/>
    <hyperlink ref="C5022" r:id="rId5022" display="https://youtu.be/wPPLobVBG8g"/>
    <hyperlink ref="F5022" r:id="rId2" display="https://files.afu.se/Downloads/Transcripts/0%20-%20Government/USA%20-%20NASA/"/>
    <hyperlink ref="C5023" r:id="rId5023" display="https://youtu.be/rO45KoVPsxk"/>
    <hyperlink ref="F5023" r:id="rId2" display="https://files.afu.se/Downloads/Transcripts/0%20-%20Government/USA%20-%20NASA/"/>
    <hyperlink ref="C5024" r:id="rId5024" display="https://youtu.be/IGt-UkL05HA"/>
    <hyperlink ref="F5024" r:id="rId2" display="https://files.afu.se/Downloads/Transcripts/0%20-%20Government/USA%20-%20NASA/"/>
    <hyperlink ref="C5025" r:id="rId5025" display="https://youtu.be/xCNpFNi8IMU"/>
    <hyperlink ref="F5025" r:id="rId2" display="https://files.afu.se/Downloads/Transcripts/0%20-%20Government/USA%20-%20NASA/"/>
    <hyperlink ref="C5026" r:id="rId5026" display="https://youtu.be/hOI0pYlYihc"/>
    <hyperlink ref="F5026" r:id="rId2" display="https://files.afu.se/Downloads/Transcripts/0%20-%20Government/USA%20-%20NASA/"/>
    <hyperlink ref="C5027" r:id="rId5027" display="https://youtu.be/32MRnh9dsv0"/>
    <hyperlink ref="F5027" r:id="rId2" display="https://files.afu.se/Downloads/Transcripts/0%20-%20Government/USA%20-%20NASA/"/>
    <hyperlink ref="C5028" r:id="rId5028" display="https://youtu.be/S2XwN_oQ_Yo"/>
    <hyperlink ref="F5028" r:id="rId2" display="https://files.afu.se/Downloads/Transcripts/0%20-%20Government/USA%20-%20NASA/"/>
    <hyperlink ref="C5029" r:id="rId5029" display="https://youtu.be/NSPPFxbPi0c"/>
    <hyperlink ref="F5029" r:id="rId2" display="https://files.afu.se/Downloads/Transcripts/0%20-%20Government/USA%20-%20NASA/"/>
    <hyperlink ref="C5030" r:id="rId5030" display="https://youtu.be/wtear4aJvLw"/>
    <hyperlink ref="F5030" r:id="rId2" display="https://files.afu.se/Downloads/Transcripts/0%20-%20Government/USA%20-%20NASA/"/>
    <hyperlink ref="C5031" r:id="rId5031" display="https://youtu.be/KKqsJixa5UM"/>
    <hyperlink ref="F5031" r:id="rId2" display="https://files.afu.se/Downloads/Transcripts/0%20-%20Government/USA%20-%20NASA/"/>
    <hyperlink ref="C5032" r:id="rId5032" display="https://youtu.be/ErqMNOz3bvM"/>
    <hyperlink ref="F5032" r:id="rId2" display="https://files.afu.se/Downloads/Transcripts/0%20-%20Government/USA%20-%20NASA/"/>
    <hyperlink ref="C5033" r:id="rId5033" display="https://youtu.be/ZVcYL_UVqno"/>
    <hyperlink ref="F5033" r:id="rId2" display="https://files.afu.se/Downloads/Transcripts/0%20-%20Government/USA%20-%20NASA/"/>
    <hyperlink ref="C5034" r:id="rId5034" display="https://youtu.be/I0ZpOPjjDkM"/>
    <hyperlink ref="F5034" r:id="rId2" display="https://files.afu.se/Downloads/Transcripts/0%20-%20Government/USA%20-%20NASA/"/>
    <hyperlink ref="C5035" r:id="rId5035" display="https://youtu.be/hYN-7G7mMXE"/>
    <hyperlink ref="F5035" r:id="rId2" display="https://files.afu.se/Downloads/Transcripts/0%20-%20Government/USA%20-%20NASA/"/>
    <hyperlink ref="C5036" r:id="rId5036" display="https://youtu.be/UK6BJORv0zE"/>
    <hyperlink ref="F5036" r:id="rId2" display="https://files.afu.se/Downloads/Transcripts/0%20-%20Government/USA%20-%20NASA/"/>
    <hyperlink ref="C5037" r:id="rId5037" display="https://youtu.be/7H-d9ZyTLyU"/>
    <hyperlink ref="F5037" r:id="rId2" display="https://files.afu.se/Downloads/Transcripts/0%20-%20Government/USA%20-%20NASA/"/>
    <hyperlink ref="C5038" r:id="rId5038" display="https://youtu.be/8Lh-BGOl5Ps"/>
    <hyperlink ref="F5038" r:id="rId2" display="https://files.afu.se/Downloads/Transcripts/0%20-%20Government/USA%20-%20NASA/"/>
    <hyperlink ref="C5039" r:id="rId5039" display="https://youtu.be/PmWvZ1kyKwQ"/>
    <hyperlink ref="F5039" r:id="rId2" display="https://files.afu.se/Downloads/Transcripts/0%20-%20Government/USA%20-%20NASA/"/>
    <hyperlink ref="C5040" r:id="rId5040" display="https://youtu.be/QGw07D0aI8k"/>
    <hyperlink ref="F5040" r:id="rId2" display="https://files.afu.se/Downloads/Transcripts/0%20-%20Government/USA%20-%20NASA/"/>
    <hyperlink ref="C5041" r:id="rId5041" display="https://youtu.be/vd4-Q-G5ke8"/>
    <hyperlink ref="F5041" r:id="rId2" display="https://files.afu.se/Downloads/Transcripts/0%20-%20Government/USA%20-%20NASA/"/>
    <hyperlink ref="C5042" r:id="rId5042" display="https://youtu.be/gblxIAW7BDw"/>
    <hyperlink ref="F5042" r:id="rId2" display="https://files.afu.se/Downloads/Transcripts/0%20-%20Government/USA%20-%20NASA/"/>
    <hyperlink ref="C5043" r:id="rId5043" display="https://youtu.be/-b7ftih04C4"/>
    <hyperlink ref="F5043" r:id="rId2" display="https://files.afu.se/Downloads/Transcripts/0%20-%20Government/USA%20-%20NASA/"/>
    <hyperlink ref="C5044" r:id="rId5044" display="https://youtu.be/ORR_ppabVUY"/>
    <hyperlink ref="F5044" r:id="rId2" display="https://files.afu.se/Downloads/Transcripts/0%20-%20Government/USA%20-%20NASA/"/>
    <hyperlink ref="C5045" r:id="rId5045" display="https://youtu.be/ZfxV_fH_TSo"/>
    <hyperlink ref="F5045" r:id="rId2" display="https://files.afu.se/Downloads/Transcripts/0%20-%20Government/USA%20-%20NASA/"/>
    <hyperlink ref="C5046" r:id="rId5046" display="https://youtu.be/01zDCRnMWuo"/>
    <hyperlink ref="F5046" r:id="rId2" display="https://files.afu.se/Downloads/Transcripts/0%20-%20Government/USA%20-%20NASA/"/>
    <hyperlink ref="C5047" r:id="rId5047" display="https://youtu.be/POMFrN3_BCc"/>
    <hyperlink ref="F5047" r:id="rId2" display="https://files.afu.se/Downloads/Transcripts/0%20-%20Government/USA%20-%20NASA/"/>
    <hyperlink ref="C5048" r:id="rId5048" display="https://youtu.be/50g_BGMqMdg"/>
    <hyperlink ref="F5048" r:id="rId2" display="https://files.afu.se/Downloads/Transcripts/0%20-%20Government/USA%20-%20NASA/"/>
    <hyperlink ref="C5049" r:id="rId5049" display="https://youtu.be/wdnxze8f7xU"/>
    <hyperlink ref="F5049" r:id="rId2" display="https://files.afu.se/Downloads/Transcripts/0%20-%20Government/USA%20-%20NASA/"/>
    <hyperlink ref="C5050" r:id="rId5050" display="https://youtu.be/keEoobGLC1M"/>
    <hyperlink ref="F5050" r:id="rId2" display="https://files.afu.se/Downloads/Transcripts/0%20-%20Government/USA%20-%20NASA/"/>
    <hyperlink ref="C5051" r:id="rId5051" display="https://youtu.be/1w1YPhSVVcY"/>
    <hyperlink ref="F5051" r:id="rId2" display="https://files.afu.se/Downloads/Transcripts/0%20-%20Government/USA%20-%20NASA/"/>
    <hyperlink ref="C5052" r:id="rId5052" display="https://youtu.be/789JQPh3-o8"/>
    <hyperlink ref="F5052" r:id="rId2" display="https://files.afu.se/Downloads/Transcripts/0%20-%20Government/USA%20-%20NASA/"/>
    <hyperlink ref="C5053" r:id="rId5053" display="https://youtu.be/UP_KySLxq6Y"/>
    <hyperlink ref="F5053" r:id="rId2" display="https://files.afu.se/Downloads/Transcripts/0%20-%20Government/USA%20-%20NASA/"/>
    <hyperlink ref="C5054" r:id="rId5054" display="https://youtu.be/eQz_XsV8e3s"/>
    <hyperlink ref="F5054" r:id="rId2" display="https://files.afu.se/Downloads/Transcripts/0%20-%20Government/USA%20-%20NASA/"/>
    <hyperlink ref="C5055" r:id="rId5055" display="https://youtu.be/CqV7LE-rM9U"/>
    <hyperlink ref="F5055" r:id="rId2" display="https://files.afu.se/Downloads/Transcripts/0%20-%20Government/USA%20-%20NASA/"/>
    <hyperlink ref="C5056" r:id="rId5056" display="https://youtu.be/KJbwru8RAMQ"/>
    <hyperlink ref="F5056" r:id="rId2" display="https://files.afu.se/Downloads/Transcripts/0%20-%20Government/USA%20-%20NASA/"/>
    <hyperlink ref="C5057" r:id="rId5057" display="https://youtu.be/FMVlmTrzaos"/>
    <hyperlink ref="F5057" r:id="rId2" display="https://files.afu.se/Downloads/Transcripts/0%20-%20Government/USA%20-%20NASA/"/>
    <hyperlink ref="C5058" r:id="rId5058" display="https://youtu.be/W-aDSv494v4"/>
    <hyperlink ref="F5058" r:id="rId2" display="https://files.afu.se/Downloads/Transcripts/0%20-%20Government/USA%20-%20NASA/"/>
    <hyperlink ref="C5059" r:id="rId5059" display="https://youtu.be/oFklGdM7cK0"/>
    <hyperlink ref="F5059" r:id="rId2" display="https://files.afu.se/Downloads/Transcripts/0%20-%20Government/USA%20-%20NASA/"/>
    <hyperlink ref="C5060" r:id="rId5060" display="https://youtu.be/lsHKfWmfBig"/>
    <hyperlink ref="F5060" r:id="rId2" display="https://files.afu.se/Downloads/Transcripts/0%20-%20Government/USA%20-%20NASA/"/>
    <hyperlink ref="C5061" r:id="rId5061" display="https://youtu.be/cdfcYjpR7bE"/>
    <hyperlink ref="F5061" r:id="rId2" display="https://files.afu.se/Downloads/Transcripts/0%20-%20Government/USA%20-%20NASA/"/>
    <hyperlink ref="C5062" r:id="rId5062" display="https://youtu.be/lfYD3MAAa0Y"/>
    <hyperlink ref="F5062" r:id="rId2" display="https://files.afu.se/Downloads/Transcripts/0%20-%20Government/USA%20-%20NASA/"/>
    <hyperlink ref="C5063" r:id="rId5063" display="https://youtu.be/coFgBbaFOog"/>
    <hyperlink ref="F5063" r:id="rId2" display="https://files.afu.se/Downloads/Transcripts/0%20-%20Government/USA%20-%20NASA/"/>
    <hyperlink ref="C5064" r:id="rId5064" display="https://youtu.be/8R9OUmuAY7o"/>
    <hyperlink ref="F5064" r:id="rId2" display="https://files.afu.se/Downloads/Transcripts/0%20-%20Government/USA%20-%20NASA/"/>
    <hyperlink ref="C5065" r:id="rId5065" display="https://youtu.be/SMlCj6og5JA"/>
    <hyperlink ref="F5065" r:id="rId2" display="https://files.afu.se/Downloads/Transcripts/0%20-%20Government/USA%20-%20NASA/"/>
    <hyperlink ref="C5066" r:id="rId5066" display="https://youtu.be/0rFbcJy7ItQ"/>
    <hyperlink ref="F5066" r:id="rId2" display="https://files.afu.se/Downloads/Transcripts/0%20-%20Government/USA%20-%20NASA/"/>
    <hyperlink ref="C5067" r:id="rId5067" display="https://youtu.be/e9YvIESqDUk"/>
    <hyperlink ref="F5067" r:id="rId2" display="https://files.afu.se/Downloads/Transcripts/0%20-%20Government/USA%20-%20NASA/"/>
    <hyperlink ref="C5068" r:id="rId5068" display="https://youtu.be/fmsJamYFeLg"/>
    <hyperlink ref="F5068" r:id="rId2" display="https://files.afu.se/Downloads/Transcripts/0%20-%20Government/USA%20-%20NASA/"/>
    <hyperlink ref="C5069" r:id="rId5069" display="https://youtu.be/rPQ6LoX8MhQ"/>
    <hyperlink ref="F5069" r:id="rId2" display="https://files.afu.se/Downloads/Transcripts/0%20-%20Government/USA%20-%20NASA/"/>
    <hyperlink ref="C5070" r:id="rId5070" display="https://youtu.be/TamYPxZqIuI"/>
    <hyperlink ref="F5070" r:id="rId2" display="https://files.afu.se/Downloads/Transcripts/0%20-%20Government/USA%20-%20NASA/"/>
    <hyperlink ref="C5071" r:id="rId5071" display="https://youtu.be/cL9C9TzsZaw"/>
    <hyperlink ref="F5071" r:id="rId2" display="https://files.afu.se/Downloads/Transcripts/0%20-%20Government/USA%20-%20NASA/"/>
    <hyperlink ref="C5072" r:id="rId5072" display="https://youtu.be/B2j0pBVkvqw"/>
    <hyperlink ref="F5072" r:id="rId2" display="https://files.afu.se/Downloads/Transcripts/0%20-%20Government/USA%20-%20NASA/"/>
    <hyperlink ref="C5073" r:id="rId5073" display="https://youtu.be/eW3BHibc49o"/>
    <hyperlink ref="F5073" r:id="rId2" display="https://files.afu.se/Downloads/Transcripts/0%20-%20Government/USA%20-%20NASA/"/>
    <hyperlink ref="C5074" r:id="rId5074" display="https://youtu.be/Y0rEEPibKV4"/>
    <hyperlink ref="F5074" r:id="rId2" display="https://files.afu.se/Downloads/Transcripts/0%20-%20Government/USA%20-%20NASA/"/>
    <hyperlink ref="C5075" r:id="rId5075" display="https://youtu.be/UNr27umchN4"/>
    <hyperlink ref="F5075" r:id="rId2" display="https://files.afu.se/Downloads/Transcripts/0%20-%20Government/USA%20-%20NASA/"/>
    <hyperlink ref="C5076" r:id="rId5076" display="https://youtu.be/VTy4wrioFMQ"/>
    <hyperlink ref="F5076" r:id="rId2" display="https://files.afu.se/Downloads/Transcripts/0%20-%20Government/USA%20-%20NASA/"/>
    <hyperlink ref="C5077" r:id="rId5077" display="https://youtu.be/KzhCGzNbyd8"/>
    <hyperlink ref="F5077" r:id="rId2" display="https://files.afu.se/Downloads/Transcripts/0%20-%20Government/USA%20-%20NASA/"/>
    <hyperlink ref="C5078" r:id="rId5078" display="https://youtu.be/uB8CpstmAus"/>
    <hyperlink ref="F5078" r:id="rId2" display="https://files.afu.se/Downloads/Transcripts/0%20-%20Government/USA%20-%20NASA/"/>
    <hyperlink ref="C5079" r:id="rId5079" display="https://youtu.be/1RfPVmSCKc0"/>
    <hyperlink ref="F5079" r:id="rId2" display="https://files.afu.se/Downloads/Transcripts/0%20-%20Government/USA%20-%20NASA/"/>
    <hyperlink ref="C5080" r:id="rId5080" display="https://youtu.be/SmzJeIUIvv4"/>
    <hyperlink ref="F5080" r:id="rId2" display="https://files.afu.se/Downloads/Transcripts/0%20-%20Government/USA%20-%20NASA/"/>
    <hyperlink ref="C5081" r:id="rId5081" display="https://youtu.be/w3GyeeOgMa0"/>
    <hyperlink ref="F5081" r:id="rId2" display="https://files.afu.se/Downloads/Transcripts/0%20-%20Government/USA%20-%20NASA/"/>
    <hyperlink ref="C5082" r:id="rId5082" display="https://youtu.be/wXzw5LqK5Yg"/>
    <hyperlink ref="F5082" r:id="rId2" display="https://files.afu.se/Downloads/Transcripts/0%20-%20Government/USA%20-%20NASA/"/>
    <hyperlink ref="C5083" r:id="rId5083" display="https://youtu.be/KCJPZIWm_Ow"/>
    <hyperlink ref="F5083" r:id="rId2" display="https://files.afu.se/Downloads/Transcripts/0%20-%20Government/USA%20-%20NASA/"/>
    <hyperlink ref="C5084" r:id="rId5084" display="https://youtu.be/QZl3IBIHy1c"/>
    <hyperlink ref="F5084" r:id="rId2" display="https://files.afu.se/Downloads/Transcripts/0%20-%20Government/USA%20-%20NASA/"/>
    <hyperlink ref="C5085" r:id="rId5085" display="https://youtu.be/tJmwXDxZ6j4"/>
    <hyperlink ref="F5085" r:id="rId2" display="https://files.afu.se/Downloads/Transcripts/0%20-%20Government/USA%20-%20NASA/"/>
    <hyperlink ref="C5086" r:id="rId5086" display="https://youtu.be/MLWnaDpYaZ8"/>
    <hyperlink ref="F5086" r:id="rId2" display="https://files.afu.se/Downloads/Transcripts/0%20-%20Government/USA%20-%20NASA/"/>
    <hyperlink ref="C5087" r:id="rId5087" display="https://youtu.be/HCNdP_zHDNA"/>
    <hyperlink ref="F5087" r:id="rId2" display="https://files.afu.se/Downloads/Transcripts/0%20-%20Government/USA%20-%20NASA/"/>
    <hyperlink ref="C5088" r:id="rId5088" display="https://youtu.be/5egbt5ToIVk"/>
    <hyperlink ref="F5088" r:id="rId2" display="https://files.afu.se/Downloads/Transcripts/0%20-%20Government/USA%20-%20NASA/"/>
    <hyperlink ref="C5089" r:id="rId5089" display="https://youtu.be/4Fn7zNeOras"/>
    <hyperlink ref="F5089" r:id="rId2" display="https://files.afu.se/Downloads/Transcripts/0%20-%20Government/USA%20-%20NASA/"/>
    <hyperlink ref="C5090" r:id="rId5090" display="https://youtu.be/181SD3jY82Q"/>
    <hyperlink ref="F5090" r:id="rId2" display="https://files.afu.se/Downloads/Transcripts/0%20-%20Government/USA%20-%20NASA/"/>
    <hyperlink ref="C5091" r:id="rId5091" display="https://youtu.be/g8NNzyh2pK0"/>
    <hyperlink ref="F5091" r:id="rId2" display="https://files.afu.se/Downloads/Transcripts/0%20-%20Government/USA%20-%20NASA/"/>
    <hyperlink ref="C5092" r:id="rId5092" display="https://youtu.be/4fQkUCHHHt0"/>
    <hyperlink ref="F5092" r:id="rId2" display="https://files.afu.se/Downloads/Transcripts/0%20-%20Government/USA%20-%20NASA/"/>
    <hyperlink ref="C5093" r:id="rId5093" display="https://youtu.be/x7LHk4TcT3s"/>
    <hyperlink ref="F5093" r:id="rId2" display="https://files.afu.se/Downloads/Transcripts/0%20-%20Government/USA%20-%20NASA/"/>
    <hyperlink ref="C5094" r:id="rId5094" display="https://youtu.be/ND9_Uzv7dOk"/>
    <hyperlink ref="F5094" r:id="rId2" display="https://files.afu.se/Downloads/Transcripts/0%20-%20Government/USA%20-%20NASA/"/>
    <hyperlink ref="C5095" r:id="rId5095" display="https://youtu.be/poBj2O4EYQw"/>
    <hyperlink ref="F5095" r:id="rId2" display="https://files.afu.se/Downloads/Transcripts/0%20-%20Government/USA%20-%20NASA/"/>
    <hyperlink ref="C5096" r:id="rId5096" display="https://youtu.be/Nt-FFV9TJnc"/>
    <hyperlink ref="F5096" r:id="rId2" display="https://files.afu.se/Downloads/Transcripts/0%20-%20Government/USA%20-%20NASA/"/>
    <hyperlink ref="C5097" r:id="rId5097" display="https://youtu.be/XXK17hLMPMQ"/>
    <hyperlink ref="F5097" r:id="rId2" display="https://files.afu.se/Downloads/Transcripts/0%20-%20Government/USA%20-%20NASA/"/>
    <hyperlink ref="C5098" r:id="rId5098" display="https://youtu.be/KhK-opi7g_E"/>
    <hyperlink ref="F5098" r:id="rId2" display="https://files.afu.se/Downloads/Transcripts/0%20-%20Government/USA%20-%20NASA/"/>
    <hyperlink ref="C5099" r:id="rId5099" display="https://youtu.be/Rm-BtDKXM-0"/>
    <hyperlink ref="F5099" r:id="rId2" display="https://files.afu.se/Downloads/Transcripts/0%20-%20Government/USA%20-%20NASA/"/>
    <hyperlink ref="C5100" r:id="rId5100" display="https://youtu.be/AOo30B8exyA"/>
    <hyperlink ref="F5100" r:id="rId2" display="https://files.afu.se/Downloads/Transcripts/0%20-%20Government/USA%20-%20NASA/"/>
    <hyperlink ref="C5101" r:id="rId5101" display="https://youtu.be/oWk1szuV9RA"/>
    <hyperlink ref="F5101" r:id="rId2" display="https://files.afu.se/Downloads/Transcripts/0%20-%20Government/USA%20-%20NASA/"/>
    <hyperlink ref="C5102" r:id="rId5102" display="https://youtu.be/0BTg-epGt1M"/>
    <hyperlink ref="F5102" r:id="rId2" display="https://files.afu.se/Downloads/Transcripts/0%20-%20Government/USA%20-%20NASA/"/>
    <hyperlink ref="C5103" r:id="rId5103" display="https://youtu.be/yRIKIjohCCk"/>
    <hyperlink ref="F5103" r:id="rId2" display="https://files.afu.se/Downloads/Transcripts/0%20-%20Government/USA%20-%20NASA/"/>
    <hyperlink ref="C5104" r:id="rId5104" display="https://youtu.be/M0nEs69ZW90"/>
    <hyperlink ref="F5104" r:id="rId2" display="https://files.afu.se/Downloads/Transcripts/0%20-%20Government/USA%20-%20NASA/"/>
    <hyperlink ref="C5105" r:id="rId5105" display="https://youtu.be/Gfl48eMPFiA"/>
    <hyperlink ref="F5105" r:id="rId2" display="https://files.afu.se/Downloads/Transcripts/0%20-%20Government/USA%20-%20NASA/"/>
    <hyperlink ref="C5106" r:id="rId5106" display="https://youtu.be/CYyi93QOtO0"/>
    <hyperlink ref="F5106" r:id="rId2" display="https://files.afu.se/Downloads/Transcripts/0%20-%20Government/USA%20-%20NASA/"/>
    <hyperlink ref="C5107" r:id="rId5107" display="https://youtu.be/3iXQSnwLqMA"/>
    <hyperlink ref="F5107" r:id="rId2" display="https://files.afu.se/Downloads/Transcripts/0%20-%20Government/USA%20-%20NASA/"/>
    <hyperlink ref="C5108" r:id="rId5108" display="https://youtu.be/RE11Om4lgms"/>
    <hyperlink ref="F5108" r:id="rId2" display="https://files.afu.se/Downloads/Transcripts/0%20-%20Government/USA%20-%20NASA/"/>
    <hyperlink ref="C5109" r:id="rId5109" display="https://youtu.be/qxFErjGc60E"/>
    <hyperlink ref="F5109" r:id="rId2" display="https://files.afu.se/Downloads/Transcripts/0%20-%20Government/USA%20-%20NASA/"/>
    <hyperlink ref="C5110" r:id="rId5110" display="https://youtu.be/lyYgi_BfHz8"/>
    <hyperlink ref="F5110" r:id="rId2" display="https://files.afu.se/Downloads/Transcripts/0%20-%20Government/USA%20-%20NASA/"/>
    <hyperlink ref="C5111" r:id="rId5111" display="https://youtu.be/lqDQXiSxuQY"/>
    <hyperlink ref="F5111" r:id="rId2" display="https://files.afu.se/Downloads/Transcripts/0%20-%20Government/USA%20-%20NASA/"/>
    <hyperlink ref="C5112" r:id="rId5112" display="https://youtu.be/Ln92K3eeUaw"/>
    <hyperlink ref="F5112" r:id="rId2" display="https://files.afu.se/Downloads/Transcripts/0%20-%20Government/USA%20-%20NASA/"/>
    <hyperlink ref="C5113" r:id="rId5113" display="https://youtu.be/bHYmhLnotRk"/>
    <hyperlink ref="F5113" r:id="rId2" display="https://files.afu.se/Downloads/Transcripts/0%20-%20Government/USA%20-%20NASA/"/>
    <hyperlink ref="C5114" r:id="rId5114" display="https://youtu.be/E3St_RRXZLU"/>
    <hyperlink ref="F5114" r:id="rId2" display="https://files.afu.se/Downloads/Transcripts/0%20-%20Government/USA%20-%20NASA/"/>
    <hyperlink ref="C5115" r:id="rId5115" display="https://youtu.be/fMXZvUabLDs"/>
    <hyperlink ref="F5115" r:id="rId2" display="https://files.afu.se/Downloads/Transcripts/0%20-%20Government/USA%20-%20NASA/"/>
    <hyperlink ref="C5116" r:id="rId5116" display="https://youtu.be/J8CdtDSztFA"/>
    <hyperlink ref="F5116" r:id="rId2" display="https://files.afu.se/Downloads/Transcripts/0%20-%20Government/USA%20-%20NASA/"/>
    <hyperlink ref="C5117" r:id="rId5117" display="https://youtu.be/64m9xAzIhtU"/>
    <hyperlink ref="F5117" r:id="rId2" display="https://files.afu.se/Downloads/Transcripts/0%20-%20Government/USA%20-%20NASA/"/>
    <hyperlink ref="C5118" r:id="rId5118" display="https://youtu.be/mSca7luw9Uo"/>
    <hyperlink ref="F5118" r:id="rId2" display="https://files.afu.se/Downloads/Transcripts/0%20-%20Government/USA%20-%20NASA/"/>
    <hyperlink ref="C5119" r:id="rId5119" display="https://youtu.be/UjExJGhUbkI"/>
    <hyperlink ref="F5119" r:id="rId2" display="https://files.afu.se/Downloads/Transcripts/0%20-%20Government/USA%20-%20NASA/"/>
    <hyperlink ref="C5120" r:id="rId5120" display="https://youtu.be/EUqhhiGtyUU"/>
    <hyperlink ref="F5120" r:id="rId2" display="https://files.afu.se/Downloads/Transcripts/0%20-%20Government/USA%20-%20NASA/"/>
    <hyperlink ref="C5121" r:id="rId5121" display="https://youtu.be/CYrgbqUWeZM"/>
    <hyperlink ref="F5121" r:id="rId2" display="https://files.afu.se/Downloads/Transcripts/0%20-%20Government/USA%20-%20NASA/"/>
    <hyperlink ref="C5122" r:id="rId5122" display="https://youtu.be/vg4A_McYCYk"/>
    <hyperlink ref="F5122" r:id="rId2" display="https://files.afu.se/Downloads/Transcripts/0%20-%20Government/USA%20-%20NASA/"/>
    <hyperlink ref="C5123" r:id="rId5123" display="https://youtu.be/QowJhdRf5dU"/>
    <hyperlink ref="F5123" r:id="rId2" display="https://files.afu.se/Downloads/Transcripts/0%20-%20Government/USA%20-%20NASA/"/>
    <hyperlink ref="C5124" r:id="rId5124" display="https://youtu.be/y_bTY57xTmg"/>
    <hyperlink ref="F5124" r:id="rId2" display="https://files.afu.se/Downloads/Transcripts/0%20-%20Government/USA%20-%20NASA/"/>
    <hyperlink ref="C5125" r:id="rId5125" display="https://youtu.be/93p8zpghB5k"/>
    <hyperlink ref="F5125" r:id="rId2" display="https://files.afu.se/Downloads/Transcripts/0%20-%20Government/USA%20-%20NASA/"/>
    <hyperlink ref="C5126" r:id="rId5126" display="https://youtu.be/oxXHb-SIN_I"/>
    <hyperlink ref="F5126" r:id="rId2" display="https://files.afu.se/Downloads/Transcripts/0%20-%20Government/USA%20-%20NASA/"/>
    <hyperlink ref="C5127" r:id="rId5127" display="https://youtu.be/tNIfETPTXxM"/>
    <hyperlink ref="F5127" r:id="rId2" display="https://files.afu.se/Downloads/Transcripts/0%20-%20Government/USA%20-%20NASA/"/>
    <hyperlink ref="C5128" r:id="rId5128" display="https://youtu.be/h0VCPu84WU8"/>
    <hyperlink ref="F5128" r:id="rId2" display="https://files.afu.se/Downloads/Transcripts/0%20-%20Government/USA%20-%20NASA/"/>
    <hyperlink ref="C5129" r:id="rId5129" display="https://youtu.be/FRJSE3LmVAI"/>
    <hyperlink ref="F5129" r:id="rId2" display="https://files.afu.se/Downloads/Transcripts/0%20-%20Government/USA%20-%20NASA/"/>
    <hyperlink ref="C5130" r:id="rId5130" display="https://youtu.be/LEcvTuSih2A"/>
    <hyperlink ref="F5130" r:id="rId2" display="https://files.afu.se/Downloads/Transcripts/0%20-%20Government/USA%20-%20NASA/"/>
    <hyperlink ref="C5131" r:id="rId5131" display="https://youtu.be/NSG21JmpeqQ"/>
    <hyperlink ref="F5131" r:id="rId2" display="https://files.afu.se/Downloads/Transcripts/0%20-%20Government/USA%20-%20NASA/"/>
    <hyperlink ref="C5132" r:id="rId5132" display="https://youtu.be/Lb_TEqtmeLU"/>
    <hyperlink ref="F5132" r:id="rId2" display="https://files.afu.se/Downloads/Transcripts/0%20-%20Government/USA%20-%20NASA/"/>
    <hyperlink ref="C5133" r:id="rId5133" display="https://youtu.be/45NAENHol24"/>
    <hyperlink ref="F5133" r:id="rId2" display="https://files.afu.se/Downloads/Transcripts/0%20-%20Government/USA%20-%20NASA/"/>
    <hyperlink ref="C5134" r:id="rId5134" display="https://youtu.be/nWdXcpCqbtI"/>
    <hyperlink ref="F5134" r:id="rId2" display="https://files.afu.se/Downloads/Transcripts/0%20-%20Government/USA%20-%20NASA/"/>
    <hyperlink ref="C5135" r:id="rId5135" display="https://youtu.be/FIUyKf08CRQ"/>
    <hyperlink ref="F5135" r:id="rId2" display="https://files.afu.se/Downloads/Transcripts/0%20-%20Government/USA%20-%20NASA/"/>
    <hyperlink ref="C5136" r:id="rId5136" display="https://youtu.be/gtxPyaUbljo"/>
    <hyperlink ref="F5136" r:id="rId2" display="https://files.afu.se/Downloads/Transcripts/0%20-%20Government/USA%20-%20NASA/"/>
    <hyperlink ref="C5137" r:id="rId5137" display="https://youtu.be/6L_LkrHG6Nk"/>
    <hyperlink ref="F5137" r:id="rId2" display="https://files.afu.se/Downloads/Transcripts/0%20-%20Government/USA%20-%20NASA/"/>
    <hyperlink ref="C5138" r:id="rId5138" display="https://youtu.be/7rfmb3uuLE8"/>
    <hyperlink ref="F5138" r:id="rId2" display="https://files.afu.se/Downloads/Transcripts/0%20-%20Government/USA%20-%20NASA/"/>
    <hyperlink ref="C5139" r:id="rId5139" display="https://youtu.be/iSEeaLb705A"/>
    <hyperlink ref="F5139" r:id="rId2" display="https://files.afu.se/Downloads/Transcripts/0%20-%20Government/USA%20-%20NASA/"/>
    <hyperlink ref="C5140" r:id="rId5140" display="https://youtu.be/kxmr-0kbMkM"/>
    <hyperlink ref="F5140" r:id="rId2" display="https://files.afu.se/Downloads/Transcripts/0%20-%20Government/USA%20-%20NASA/"/>
    <hyperlink ref="C5141" r:id="rId5141" display="https://youtu.be/SEilwepb4hw"/>
    <hyperlink ref="F5141" r:id="rId2" display="https://files.afu.se/Downloads/Transcripts/0%20-%20Government/USA%20-%20NASA/"/>
    <hyperlink ref="C5142" r:id="rId5142" display="https://youtu.be/dKx8AQc4rFI"/>
    <hyperlink ref="F5142" r:id="rId2" display="https://files.afu.se/Downloads/Transcripts/0%20-%20Government/USA%20-%20NASA/"/>
    <hyperlink ref="C5143" r:id="rId5143" display="https://youtu.be/DWT66OtVKuk"/>
    <hyperlink ref="F5143" r:id="rId2" display="https://files.afu.se/Downloads/Transcripts/0%20-%20Government/USA%20-%20NASA/"/>
    <hyperlink ref="C5144" r:id="rId5144" display="https://youtu.be/wFd-SfZN1X0"/>
    <hyperlink ref="F5144" r:id="rId2" display="https://files.afu.se/Downloads/Transcripts/0%20-%20Government/USA%20-%20NASA/"/>
    <hyperlink ref="C5145" r:id="rId5145" display="https://youtu.be/vnHLHOqdgWQ"/>
    <hyperlink ref="F5145" r:id="rId2" display="https://files.afu.se/Downloads/Transcripts/0%20-%20Government/USA%20-%20NASA/"/>
    <hyperlink ref="C5146" r:id="rId5146" display="https://youtu.be/BqcWnKkEOLs"/>
    <hyperlink ref="F5146" r:id="rId2" display="https://files.afu.se/Downloads/Transcripts/0%20-%20Government/USA%20-%20NASA/"/>
    <hyperlink ref="C5147" r:id="rId5147" display="https://youtu.be/6Yxilm4PmdM"/>
    <hyperlink ref="F5147" r:id="rId2" display="https://files.afu.se/Downloads/Transcripts/0%20-%20Government/USA%20-%20NASA/"/>
    <hyperlink ref="C5148" r:id="rId5148" display="https://youtu.be/zsJpUCWfyPE"/>
    <hyperlink ref="F5148" r:id="rId2" display="https://files.afu.se/Downloads/Transcripts/0%20-%20Government/USA%20-%20NASA/"/>
    <hyperlink ref="C5149" r:id="rId5149" display="https://youtu.be/BqUcK8omedU"/>
    <hyperlink ref="F5149" r:id="rId2" display="https://files.afu.se/Downloads/Transcripts/0%20-%20Government/USA%20-%20NASA/"/>
    <hyperlink ref="C5150" r:id="rId5150" display="https://youtu.be/VvkGSpB5i08"/>
    <hyperlink ref="F5150" r:id="rId2" display="https://files.afu.se/Downloads/Transcripts/0%20-%20Government/USA%20-%20NASA/"/>
    <hyperlink ref="C5151" r:id="rId5151" display="https://youtu.be/mTnwjd8CF1c"/>
    <hyperlink ref="F5151" r:id="rId2" display="https://files.afu.se/Downloads/Transcripts/0%20-%20Government/USA%20-%20NASA/"/>
    <hyperlink ref="C5152" r:id="rId5152" display="https://youtu.be/sugWiV9Slis"/>
    <hyperlink ref="F5152" r:id="rId2" display="https://files.afu.se/Downloads/Transcripts/0%20-%20Government/USA%20-%20NASA/"/>
    <hyperlink ref="C5153" r:id="rId5153" display="https://youtu.be/b650wG8xPS4"/>
    <hyperlink ref="F5153" r:id="rId2" display="https://files.afu.se/Downloads/Transcripts/0%20-%20Government/USA%20-%20NASA/"/>
    <hyperlink ref="C5154" r:id="rId5154" display="https://youtu.be/MEV4IoUh_Gk"/>
    <hyperlink ref="F5154" r:id="rId2" display="https://files.afu.se/Downloads/Transcripts/0%20-%20Government/USA%20-%20NASA/"/>
    <hyperlink ref="C5155" r:id="rId5155" display="https://youtu.be/VVYKjR1sJY4"/>
    <hyperlink ref="F5155" r:id="rId2" display="https://files.afu.se/Downloads/Transcripts/0%20-%20Government/USA%20-%20NASA/"/>
    <hyperlink ref="C5156" r:id="rId5156" display="https://youtu.be/eG0APKeWjIA"/>
    <hyperlink ref="F5156" r:id="rId2" display="https://files.afu.se/Downloads/Transcripts/0%20-%20Government/USA%20-%20NASA/"/>
    <hyperlink ref="C5157" r:id="rId5157" display="https://youtu.be/iWhFMFi1KXM"/>
    <hyperlink ref="F5157" r:id="rId2" display="https://files.afu.se/Downloads/Transcripts/0%20-%20Government/USA%20-%20NASA/"/>
    <hyperlink ref="C5158" r:id="rId5158" display="https://youtu.be/JSgtXggeUKA"/>
    <hyperlink ref="F5158" r:id="rId2" display="https://files.afu.se/Downloads/Transcripts/0%20-%20Government/USA%20-%20NASA/"/>
    <hyperlink ref="C5159" r:id="rId5159" display="https://youtu.be/Cqv5gH5Y5P8"/>
    <hyperlink ref="F5159" r:id="rId2" display="https://files.afu.se/Downloads/Transcripts/0%20-%20Government/USA%20-%20NASA/"/>
    <hyperlink ref="C5160" r:id="rId5160" display="https://youtu.be/je0FviGlBz8"/>
    <hyperlink ref="F5160" r:id="rId2" display="https://files.afu.se/Downloads/Transcripts/0%20-%20Government/USA%20-%20NASA/"/>
    <hyperlink ref="C5161" r:id="rId5161" display="https://youtu.be/LTfJOa9BLak"/>
    <hyperlink ref="F5161" r:id="rId2" display="https://files.afu.se/Downloads/Transcripts/0%20-%20Government/USA%20-%20NASA/"/>
    <hyperlink ref="C5162" r:id="rId5162" display="https://youtu.be/gm9TS-Qy8aE"/>
    <hyperlink ref="F5162" r:id="rId2" display="https://files.afu.se/Downloads/Transcripts/0%20-%20Government/USA%20-%20NASA/"/>
    <hyperlink ref="C5163" r:id="rId5163" display="https://youtu.be/oqfAyAVSFJI"/>
    <hyperlink ref="F5163" r:id="rId2" display="https://files.afu.se/Downloads/Transcripts/0%20-%20Government/USA%20-%20NASA/"/>
    <hyperlink ref="C5164" r:id="rId5164" display="https://youtu.be/eqwREzgsDBA"/>
    <hyperlink ref="F5164" r:id="rId2" display="https://files.afu.se/Downloads/Transcripts/0%20-%20Government/USA%20-%20NASA/"/>
    <hyperlink ref="C5165" r:id="rId5165" display="https://youtu.be/7CRVdsVIKnY"/>
    <hyperlink ref="F5165" r:id="rId2" display="https://files.afu.se/Downloads/Transcripts/0%20-%20Government/USA%20-%20NASA/"/>
    <hyperlink ref="C5166" r:id="rId5166" display="https://youtu.be/V53LU_IWgqo"/>
    <hyperlink ref="F5166" r:id="rId2" display="https://files.afu.se/Downloads/Transcripts/0%20-%20Government/USA%20-%20NASA/"/>
    <hyperlink ref="C5167" r:id="rId5167" display="https://youtu.be/Y9RAWPBoi3I"/>
    <hyperlink ref="F5167" r:id="rId2" display="https://files.afu.se/Downloads/Transcripts/0%20-%20Government/USA%20-%20NASA/"/>
    <hyperlink ref="C5168" r:id="rId5168" display="https://youtu.be/DdkIN944Y98"/>
    <hyperlink ref="F5168" r:id="rId2" display="https://files.afu.se/Downloads/Transcripts/0%20-%20Government/USA%20-%20NASA/"/>
    <hyperlink ref="C5169" r:id="rId5169" display="https://youtu.be/ZUl5oMfjq0A"/>
    <hyperlink ref="F5169" r:id="rId2" display="https://files.afu.se/Downloads/Transcripts/0%20-%20Government/USA%20-%20NASA/"/>
    <hyperlink ref="C5170" r:id="rId5170" display="https://youtu.be/1j3nQv-LSOc"/>
    <hyperlink ref="F5170" r:id="rId2" display="https://files.afu.se/Downloads/Transcripts/0%20-%20Government/USA%20-%20NASA/"/>
    <hyperlink ref="C5171" r:id="rId5171" display="https://youtu.be/m3cu-NsfX2A"/>
    <hyperlink ref="F5171" r:id="rId2" display="https://files.afu.se/Downloads/Transcripts/0%20-%20Government/USA%20-%20NASA/"/>
    <hyperlink ref="C5172" r:id="rId5172" display="https://youtu.be/KBLPkxhSGlM"/>
    <hyperlink ref="F5172" r:id="rId2" display="https://files.afu.se/Downloads/Transcripts/0%20-%20Government/USA%20-%20NASA/"/>
    <hyperlink ref="C5173" r:id="rId5173" display="https://youtu.be/5Tnq4TJYN7A"/>
    <hyperlink ref="F5173" r:id="rId2" display="https://files.afu.se/Downloads/Transcripts/0%20-%20Government/USA%20-%20NASA/"/>
    <hyperlink ref="C5174" r:id="rId5174" display="https://youtu.be/1-ibOQM7Ua0"/>
    <hyperlink ref="F5174" r:id="rId2" display="https://files.afu.se/Downloads/Transcripts/0%20-%20Government/USA%20-%20NASA/"/>
    <hyperlink ref="C5175" r:id="rId5175" display="https://youtu.be/5VH3Y-OfHnI"/>
    <hyperlink ref="F5175" r:id="rId2" display="https://files.afu.se/Downloads/Transcripts/0%20-%20Government/USA%20-%20NASA/"/>
    <hyperlink ref="C5176" r:id="rId5176" display="https://youtu.be/mTDYHbW8DdI"/>
    <hyperlink ref="F5176" r:id="rId2" display="https://files.afu.se/Downloads/Transcripts/0%20-%20Government/USA%20-%20NASA/"/>
    <hyperlink ref="C5177" r:id="rId5177" display="https://youtu.be/dLQsQUopFfA"/>
    <hyperlink ref="F5177" r:id="rId2" display="https://files.afu.se/Downloads/Transcripts/0%20-%20Government/USA%20-%20NASA/"/>
    <hyperlink ref="C5178" r:id="rId5178" display="https://youtu.be/pJmCEVA1UUk"/>
    <hyperlink ref="F5178" r:id="rId2" display="https://files.afu.se/Downloads/Transcripts/0%20-%20Government/USA%20-%20NASA/"/>
    <hyperlink ref="C5179" r:id="rId5179" display="https://youtu.be/Maic3IzHSew"/>
    <hyperlink ref="F5179" r:id="rId2" display="https://files.afu.se/Downloads/Transcripts/0%20-%20Government/USA%20-%20NASA/"/>
    <hyperlink ref="C5180" r:id="rId5180" display="https://youtu.be/eJlIzRzaJec"/>
    <hyperlink ref="F5180" r:id="rId2" display="https://files.afu.se/Downloads/Transcripts/0%20-%20Government/USA%20-%20NASA/"/>
    <hyperlink ref="C5181" r:id="rId5181" display="https://youtu.be/0UWTynMJdvw"/>
    <hyperlink ref="F5181" r:id="rId2" display="https://files.afu.se/Downloads/Transcripts/0%20-%20Government/USA%20-%20NASA/"/>
    <hyperlink ref="C5182" r:id="rId5182" display="https://youtu.be/4A8BEIVa1rM"/>
    <hyperlink ref="F5182" r:id="rId2" display="https://files.afu.se/Downloads/Transcripts/0%20-%20Government/USA%20-%20NASA/"/>
    <hyperlink ref="C5183" r:id="rId5183" display="https://youtu.be/n8OCTq_D4KU"/>
    <hyperlink ref="F5183" r:id="rId2" display="https://files.afu.se/Downloads/Transcripts/0%20-%20Government/USA%20-%20NASA/"/>
    <hyperlink ref="C5184" r:id="rId5184" display="https://youtu.be/rIvn_CCG9hc"/>
    <hyperlink ref="F5184" r:id="rId2" display="https://files.afu.se/Downloads/Transcripts/0%20-%20Government/USA%20-%20NASA/"/>
    <hyperlink ref="C5185" r:id="rId5185" display="https://youtu.be/0o5V6wjuYE0"/>
    <hyperlink ref="F5185" r:id="rId2" display="https://files.afu.se/Downloads/Transcripts/0%20-%20Government/USA%20-%20NASA/"/>
    <hyperlink ref="C5186" r:id="rId5186" display="https://youtu.be/8DNljVcs6Dc"/>
    <hyperlink ref="F5186" r:id="rId2" display="https://files.afu.se/Downloads/Transcripts/0%20-%20Government/USA%20-%20NASA/"/>
    <hyperlink ref="C5187" r:id="rId5187" display="https://youtu.be/FYHY_BVj1Xo"/>
    <hyperlink ref="F5187" r:id="rId2" display="https://files.afu.se/Downloads/Transcripts/0%20-%20Government/USA%20-%20NASA/"/>
    <hyperlink ref="C5188" r:id="rId5188" display="https://youtu.be/ozn53xl-dQA"/>
    <hyperlink ref="F5188" r:id="rId2" display="https://files.afu.se/Downloads/Transcripts/0%20-%20Government/USA%20-%20NASA/"/>
    <hyperlink ref="C5189" r:id="rId5189" display="https://youtu.be/0cEtEJoLfdQ"/>
    <hyperlink ref="F5189" r:id="rId2" display="https://files.afu.se/Downloads/Transcripts/0%20-%20Government/USA%20-%20NASA/"/>
    <hyperlink ref="C5190" r:id="rId5190" display="https://youtu.be/j7ZcB2UcpHY"/>
    <hyperlink ref="F5190" r:id="rId2" display="https://files.afu.se/Downloads/Transcripts/0%20-%20Government/USA%20-%20NASA/"/>
    <hyperlink ref="C5191" r:id="rId5191" display="https://youtu.be/bho9AaNABrs"/>
    <hyperlink ref="F5191" r:id="rId2" display="https://files.afu.se/Downloads/Transcripts/0%20-%20Government/USA%20-%20NASA/"/>
    <hyperlink ref="C5192" r:id="rId5192" display="https://youtu.be/-1OTSbIzcwI"/>
    <hyperlink ref="F5192" r:id="rId2" display="https://files.afu.se/Downloads/Transcripts/0%20-%20Government/USA%20-%20NASA/"/>
    <hyperlink ref="C5193" r:id="rId5193" display="https://youtu.be/fe8gMRfLRVU"/>
    <hyperlink ref="F5193" r:id="rId2" display="https://files.afu.se/Downloads/Transcripts/0%20-%20Government/USA%20-%20NASA/"/>
    <hyperlink ref="C5194" r:id="rId5194" display="https://youtu.be/zY1vN_DgD0o"/>
    <hyperlink ref="F5194" r:id="rId2" display="https://files.afu.se/Downloads/Transcripts/0%20-%20Government/USA%20-%20NASA/"/>
    <hyperlink ref="C5195" r:id="rId5195" display="https://youtu.be/iYwJuyxrqa8"/>
    <hyperlink ref="F5195" r:id="rId2" display="https://files.afu.se/Downloads/Transcripts/0%20-%20Government/USA%20-%20NASA/"/>
    <hyperlink ref="C5196" r:id="rId5196" display="https://youtu.be/XC4aOSDkk84"/>
    <hyperlink ref="F5196" r:id="rId2" display="https://files.afu.se/Downloads/Transcripts/0%20-%20Government/USA%20-%20NASA/"/>
    <hyperlink ref="C5197" r:id="rId5197" display="https://youtu.be/IfLJvV1ples"/>
    <hyperlink ref="F5197" r:id="rId2" display="https://files.afu.se/Downloads/Transcripts/0%20-%20Government/USA%20-%20NASA/"/>
    <hyperlink ref="C5198" r:id="rId5198" display="https://youtu.be/j-5t4de6jjI"/>
    <hyperlink ref="F5198" r:id="rId2" display="https://files.afu.se/Downloads/Transcripts/0%20-%20Government/USA%20-%20NASA/"/>
    <hyperlink ref="C5199" r:id="rId5199" display="https://youtu.be/GdpYodE0Bms"/>
    <hyperlink ref="F5199" r:id="rId2" display="https://files.afu.se/Downloads/Transcripts/0%20-%20Government/USA%20-%20NASA/"/>
    <hyperlink ref="C5200" r:id="rId5200" display="https://youtu.be/C5324Ihupko"/>
    <hyperlink ref="F5200" r:id="rId2" display="https://files.afu.se/Downloads/Transcripts/0%20-%20Government/USA%20-%20NASA/"/>
    <hyperlink ref="C5201" r:id="rId5201" display="https://youtu.be/Z4t8LrUSTMo"/>
    <hyperlink ref="F5201" r:id="rId2" display="https://files.afu.se/Downloads/Transcripts/0%20-%20Government/USA%20-%20NASA/"/>
    <hyperlink ref="C5202" r:id="rId5202" display="https://youtu.be/yruN1iqeorw"/>
    <hyperlink ref="F5202" r:id="rId2" display="https://files.afu.se/Downloads/Transcripts/0%20-%20Government/USA%20-%20NASA/"/>
    <hyperlink ref="C5203" r:id="rId5203" display="https://youtu.be/qmHIOPUGTLE"/>
    <hyperlink ref="F5203" r:id="rId2" display="https://files.afu.se/Downloads/Transcripts/0%20-%20Government/USA%20-%20NASA/"/>
    <hyperlink ref="C5204" r:id="rId5204" display="https://youtu.be/Or2zd5R1iMA"/>
    <hyperlink ref="F5204" r:id="rId2" display="https://files.afu.se/Downloads/Transcripts/0%20-%20Government/USA%20-%20NASA/"/>
    <hyperlink ref="C5205" r:id="rId5205" display="https://youtu.be/N1WvVRavXsI"/>
    <hyperlink ref="F5205" r:id="rId2" display="https://files.afu.se/Downloads/Transcripts/0%20-%20Government/USA%20-%20NASA/"/>
    <hyperlink ref="C5206" r:id="rId5206" display="https://youtu.be/Csxx3xtfXQM"/>
    <hyperlink ref="F5206" r:id="rId2" display="https://files.afu.se/Downloads/Transcripts/0%20-%20Government/USA%20-%20NASA/"/>
    <hyperlink ref="C5207" r:id="rId5207" display="https://youtu.be/liNoFnp62eI"/>
    <hyperlink ref="F5207" r:id="rId2" display="https://files.afu.se/Downloads/Transcripts/0%20-%20Government/USA%20-%20NASA/"/>
    <hyperlink ref="C5208" r:id="rId5208" display="https://youtu.be/QvEU2XRwlCw"/>
    <hyperlink ref="F5208" r:id="rId2" display="https://files.afu.se/Downloads/Transcripts/0%20-%20Government/USA%20-%20NASA/"/>
    <hyperlink ref="C5209" r:id="rId5209" display="https://youtu.be/n1MGVpJjnk0"/>
    <hyperlink ref="F5209" r:id="rId2" display="https://files.afu.se/Downloads/Transcripts/0%20-%20Government/USA%20-%20NASA/"/>
    <hyperlink ref="C5210" r:id="rId5210" display="https://youtu.be/JhkVEBUwqgo"/>
    <hyperlink ref="F5210" r:id="rId2" display="https://files.afu.se/Downloads/Transcripts/0%20-%20Government/USA%20-%20NASA/"/>
    <hyperlink ref="C5211" r:id="rId5211" display="https://youtu.be/sc1Fug8l4g8"/>
    <hyperlink ref="F5211" r:id="rId2" display="https://files.afu.se/Downloads/Transcripts/0%20-%20Government/USA%20-%20NASA/"/>
    <hyperlink ref="C5212" r:id="rId5212" display="https://youtu.be/OG8QaJiyH_A"/>
    <hyperlink ref="F5212" r:id="rId2" display="https://files.afu.se/Downloads/Transcripts/0%20-%20Government/USA%20-%20NASA/"/>
    <hyperlink ref="C5213" r:id="rId5213" display="https://youtu.be/cWYJY7ls4Jc"/>
    <hyperlink ref="F5213" r:id="rId2" display="https://files.afu.se/Downloads/Transcripts/0%20-%20Government/USA%20-%20NASA/"/>
    <hyperlink ref="C5214" r:id="rId5214" display="https://youtu.be/rNGjNsYuP6E"/>
    <hyperlink ref="F5214" r:id="rId2" display="https://files.afu.se/Downloads/Transcripts/0%20-%20Government/USA%20-%20NASA/"/>
    <hyperlink ref="C5215" r:id="rId5215" display="https://youtu.be/J5pB5rTYUAg"/>
    <hyperlink ref="F5215" r:id="rId2" display="https://files.afu.se/Downloads/Transcripts/0%20-%20Government/USA%20-%20NASA/"/>
    <hyperlink ref="C5216" r:id="rId5216" display="https://youtu.be/_WUpjXHo-O4"/>
    <hyperlink ref="F5216" r:id="rId2" display="https://files.afu.se/Downloads/Transcripts/0%20-%20Government/USA%20-%20NASA/"/>
    <hyperlink ref="C5217" r:id="rId5217" display="https://youtu.be/gpcTbgxkOks"/>
    <hyperlink ref="F5217" r:id="rId2" display="https://files.afu.se/Downloads/Transcripts/0%20-%20Government/USA%20-%20NASA/"/>
    <hyperlink ref="C5218" r:id="rId5218" display="https://youtu.be/TFK3-SYs4B0"/>
    <hyperlink ref="F5218" r:id="rId2" display="https://files.afu.se/Downloads/Transcripts/0%20-%20Government/USA%20-%20NASA/"/>
    <hyperlink ref="C5219" r:id="rId5219" display="https://youtu.be/Lj2qqoZzZ3M"/>
    <hyperlink ref="F5219" r:id="rId2" display="https://files.afu.se/Downloads/Transcripts/0%20-%20Government/USA%20-%20NASA/"/>
    <hyperlink ref="C5220" r:id="rId5220" display="https://youtu.be/LGtKXqd3M0k"/>
    <hyperlink ref="F5220" r:id="rId2" display="https://files.afu.se/Downloads/Transcripts/0%20-%20Government/USA%20-%20NASA/"/>
    <hyperlink ref="C5221" r:id="rId5221" display="https://youtu.be/tPR36FI4oGU"/>
    <hyperlink ref="F5221" r:id="rId2" display="https://files.afu.se/Downloads/Transcripts/0%20-%20Government/USA%20-%20NASA/"/>
    <hyperlink ref="C5222" r:id="rId5222" display="https://youtu.be/CMU-9T_xWUo"/>
    <hyperlink ref="F5222" r:id="rId2" display="https://files.afu.se/Downloads/Transcripts/0%20-%20Government/USA%20-%20NASA/"/>
    <hyperlink ref="C5223" r:id="rId5223" display="https://youtu.be/8aLeIGCOF7Q"/>
    <hyperlink ref="F5223" r:id="rId2" display="https://files.afu.se/Downloads/Transcripts/0%20-%20Government/USA%20-%20NASA/"/>
    <hyperlink ref="C5224" r:id="rId5224" display="https://youtu.be/fz7bsINLUuc"/>
    <hyperlink ref="F5224" r:id="rId2" display="https://files.afu.se/Downloads/Transcripts/0%20-%20Government/USA%20-%20NASA/"/>
    <hyperlink ref="C5225" r:id="rId5225" display="https://youtu.be/xIQ1RTIasEs"/>
    <hyperlink ref="F5225" r:id="rId2" display="https://files.afu.se/Downloads/Transcripts/0%20-%20Government/USA%20-%20NASA/"/>
    <hyperlink ref="C5226" r:id="rId5226" display="https://youtu.be/ttCZlybmUI0"/>
    <hyperlink ref="F5226" r:id="rId2" display="https://files.afu.se/Downloads/Transcripts/0%20-%20Government/USA%20-%20NASA/"/>
    <hyperlink ref="C5227" r:id="rId5227" display="https://youtu.be/jU-KlHN6sKM"/>
    <hyperlink ref="F5227" r:id="rId2" display="https://files.afu.se/Downloads/Transcripts/0%20-%20Government/USA%20-%20NASA/"/>
    <hyperlink ref="C5228" r:id="rId5228" display="https://youtu.be/_c0ezaOWv1o"/>
    <hyperlink ref="F5228" r:id="rId2" display="https://files.afu.se/Downloads/Transcripts/0%20-%20Government/USA%20-%20NASA/"/>
    <hyperlink ref="C5229" r:id="rId5229" display="https://youtu.be/bXNH7whveGk"/>
    <hyperlink ref="F5229" r:id="rId2" display="https://files.afu.se/Downloads/Transcripts/0%20-%20Government/USA%20-%20NASA/"/>
    <hyperlink ref="C5230" r:id="rId5230" display="https://youtu.be/2Ola15rwl8w"/>
    <hyperlink ref="F5230" r:id="rId2" display="https://files.afu.se/Downloads/Transcripts/0%20-%20Government/USA%20-%20NASA/"/>
    <hyperlink ref="C5231" r:id="rId5231" display="https://youtu.be/6P0aWsZIGi0"/>
    <hyperlink ref="F5231" r:id="rId2" display="https://files.afu.se/Downloads/Transcripts/0%20-%20Government/USA%20-%20NASA/"/>
    <hyperlink ref="C5232" r:id="rId5232" display="https://youtu.be/l9yHBjynPIQ"/>
    <hyperlink ref="F5232" r:id="rId2" display="https://files.afu.se/Downloads/Transcripts/0%20-%20Government/USA%20-%20NASA/"/>
    <hyperlink ref="C5233" r:id="rId5233" display="https://youtu.be/hLmKAK9u_mM"/>
    <hyperlink ref="F5233" r:id="rId2" display="https://files.afu.se/Downloads/Transcripts/0%20-%20Government/USA%20-%20NASA/"/>
    <hyperlink ref="C5234" r:id="rId5234" display="https://youtu.be/J6gZ-OdgQHk"/>
    <hyperlink ref="F5234" r:id="rId2" display="https://files.afu.se/Downloads/Transcripts/0%20-%20Government/USA%20-%20NASA/"/>
    <hyperlink ref="C5235" r:id="rId5235" display="https://youtu.be/mJhlsDihga0"/>
    <hyperlink ref="F5235" r:id="rId2" display="https://files.afu.se/Downloads/Transcripts/0%20-%20Government/USA%20-%20NASA/"/>
    <hyperlink ref="C5236" r:id="rId5236" display="https://youtu.be/am6apAFLhbM"/>
    <hyperlink ref="F5236" r:id="rId2" display="https://files.afu.se/Downloads/Transcripts/0%20-%20Government/USA%20-%20NASA/"/>
    <hyperlink ref="C5237" r:id="rId5237" display="https://youtu.be/epF788YoiNQ"/>
    <hyperlink ref="F5237" r:id="rId2" display="https://files.afu.se/Downloads/Transcripts/0%20-%20Government/USA%20-%20NASA/"/>
    <hyperlink ref="C5238" r:id="rId5238" display="https://youtu.be/X2YeIjoIEgw"/>
    <hyperlink ref="F5238" r:id="rId2" display="https://files.afu.se/Downloads/Transcripts/0%20-%20Government/USA%20-%20NASA/"/>
    <hyperlink ref="C5239" r:id="rId5239" display="https://youtu.be/D78zIB6Vf6Y"/>
    <hyperlink ref="F5239" r:id="rId2" display="https://files.afu.se/Downloads/Transcripts/0%20-%20Government/USA%20-%20NASA/"/>
    <hyperlink ref="C5240" r:id="rId5240" display="https://youtu.be/NN18JukIWsA"/>
    <hyperlink ref="F5240" r:id="rId2" display="https://files.afu.se/Downloads/Transcripts/0%20-%20Government/USA%20-%20NASA/"/>
    <hyperlink ref="C5241" r:id="rId5241" display="https://youtu.be/A1pKRoUk-A4"/>
    <hyperlink ref="F5241" r:id="rId2" display="https://files.afu.se/Downloads/Transcripts/0%20-%20Government/USA%20-%20NASA/"/>
    <hyperlink ref="C5242" r:id="rId5242" display="https://youtu.be/UYx-Tue1ofs"/>
    <hyperlink ref="F5242" r:id="rId2" display="https://files.afu.se/Downloads/Transcripts/0%20-%20Government/USA%20-%20NASA/"/>
    <hyperlink ref="C5243" r:id="rId5243" display="https://youtu.be/46aNzm8NudA"/>
    <hyperlink ref="F5243" r:id="rId2" display="https://files.afu.se/Downloads/Transcripts/0%20-%20Government/USA%20-%20NASA/"/>
    <hyperlink ref="C5244" r:id="rId5244" display="https://youtu.be/8PzPWvRMnoU"/>
    <hyperlink ref="F5244" r:id="rId2" display="https://files.afu.se/Downloads/Transcripts/0%20-%20Government/USA%20-%20NASA/"/>
    <hyperlink ref="C5245" r:id="rId5245" display="https://youtu.be/4O9ONOOiyJ4"/>
    <hyperlink ref="F5245" r:id="rId2" display="https://files.afu.se/Downloads/Transcripts/0%20-%20Government/USA%20-%20NASA/"/>
    <hyperlink ref="C5246" r:id="rId5246" display="https://youtu.be/ptb11d0WJAs"/>
    <hyperlink ref="F5246" r:id="rId2" display="https://files.afu.se/Downloads/Transcripts/0%20-%20Government/USA%20-%20NASA/"/>
    <hyperlink ref="C5247" r:id="rId5247" display="https://youtu.be/J3dq45ODHts"/>
    <hyperlink ref="F5247" r:id="rId2" display="https://files.afu.se/Downloads/Transcripts/0%20-%20Government/USA%20-%20NASA/"/>
    <hyperlink ref="C5248" r:id="rId5248" display="https://youtu.be/Hpy4qfV5Iqw"/>
    <hyperlink ref="F5248" r:id="rId2" display="https://files.afu.se/Downloads/Transcripts/0%20-%20Government/USA%20-%20NASA/"/>
    <hyperlink ref="C5249" r:id="rId5249" display="https://youtu.be/MdodLNvlo4M"/>
    <hyperlink ref="F5249" r:id="rId2" display="https://files.afu.se/Downloads/Transcripts/0%20-%20Government/USA%20-%20NASA/"/>
    <hyperlink ref="C5250" r:id="rId5250" display="https://youtu.be/pOGVRrfIWP0"/>
    <hyperlink ref="F5250" r:id="rId2" display="https://files.afu.se/Downloads/Transcripts/0%20-%20Government/USA%20-%20NASA/"/>
    <hyperlink ref="C5251" r:id="rId5251" display="https://youtu.be/__Kf5Ddw_CY"/>
    <hyperlink ref="F5251" r:id="rId2" display="https://files.afu.se/Downloads/Transcripts/0%20-%20Government/USA%20-%20NASA/"/>
    <hyperlink ref="C5252" r:id="rId5252" display="https://youtu.be/VVnL851PJuU"/>
    <hyperlink ref="F5252" r:id="rId2" display="https://files.afu.se/Downloads/Transcripts/0%20-%20Government/USA%20-%20NASA/"/>
    <hyperlink ref="C5253" r:id="rId5253" display="https://youtu.be/GoY3CPAlNWo"/>
    <hyperlink ref="F5253" r:id="rId2" display="https://files.afu.se/Downloads/Transcripts/0%20-%20Government/USA%20-%20NASA/"/>
    <hyperlink ref="C5254" r:id="rId5254" display="https://youtu.be/rf96QRkuvvk"/>
    <hyperlink ref="F5254" r:id="rId2" display="https://files.afu.se/Downloads/Transcripts/0%20-%20Government/USA%20-%20NASA/"/>
    <hyperlink ref="C5255" r:id="rId5255" display="https://youtu.be/OKvSprDt1Nc"/>
    <hyperlink ref="F5255" r:id="rId2" display="https://files.afu.se/Downloads/Transcripts/0%20-%20Government/USA%20-%20NASA/"/>
    <hyperlink ref="C5256" r:id="rId5256" display="https://youtu.be/g19t5UokBp4"/>
    <hyperlink ref="F5256" r:id="rId2" display="https://files.afu.se/Downloads/Transcripts/0%20-%20Government/USA%20-%20NASA/"/>
    <hyperlink ref="C5257" r:id="rId5257" display="https://youtu.be/tkAvr0_ifXQ"/>
    <hyperlink ref="F5257" r:id="rId2" display="https://files.afu.se/Downloads/Transcripts/0%20-%20Government/USA%20-%20NASA/"/>
    <hyperlink ref="C5258" r:id="rId5258" display="https://youtu.be/XysjKLYgdeg"/>
    <hyperlink ref="F5258" r:id="rId2" display="https://files.afu.se/Downloads/Transcripts/0%20-%20Government/USA%20-%20NASA/"/>
    <hyperlink ref="C5259" r:id="rId5259" display="https://youtu.be/6QV8qwNW6bg"/>
    <hyperlink ref="F5259" r:id="rId2" display="https://files.afu.se/Downloads/Transcripts/0%20-%20Government/USA%20-%20NASA/"/>
    <hyperlink ref="C5260" r:id="rId5260" display="https://youtu.be/0DgBW0nAkWE"/>
    <hyperlink ref="F5260" r:id="rId2" display="https://files.afu.se/Downloads/Transcripts/0%20-%20Government/USA%20-%20NASA/"/>
    <hyperlink ref="C5261" r:id="rId5261" display="https://youtu.be/4oRA0uNGfKg"/>
    <hyperlink ref="F5261" r:id="rId2" display="https://files.afu.se/Downloads/Transcripts/0%20-%20Government/USA%20-%20NASA/"/>
    <hyperlink ref="C5262" r:id="rId5262" display="https://youtu.be/-hqlzaf9uno"/>
    <hyperlink ref="F5262" r:id="rId2" display="https://files.afu.se/Downloads/Transcripts/0%20-%20Government/USA%20-%20NASA/"/>
    <hyperlink ref="C5263" r:id="rId5263" display="https://youtu.be/lswCuvcA7YQ"/>
    <hyperlink ref="F5263" r:id="rId2" display="https://files.afu.se/Downloads/Transcripts/0%20-%20Government/USA%20-%20NASA/"/>
    <hyperlink ref="C5264" r:id="rId5264" display="https://youtu.be/srQdr6kGii4"/>
    <hyperlink ref="F5264" r:id="rId2" display="https://files.afu.se/Downloads/Transcripts/0%20-%20Government/USA%20-%20NASA/"/>
    <hyperlink ref="C5265" r:id="rId5265" display="https://youtu.be/F-yIqxoMBVU"/>
    <hyperlink ref="F5265" r:id="rId2" display="https://files.afu.se/Downloads/Transcripts/0%20-%20Government/USA%20-%20NASA/"/>
    <hyperlink ref="C5266" r:id="rId5266" display="https://youtu.be/JgBgmw-2U8c"/>
    <hyperlink ref="F5266" r:id="rId2" display="https://files.afu.se/Downloads/Transcripts/0%20-%20Government/USA%20-%20NASA/"/>
    <hyperlink ref="C5267" r:id="rId5267" display="https://youtu.be/yYZ2pGkvBi0"/>
    <hyperlink ref="F5267" r:id="rId2" display="https://files.afu.se/Downloads/Transcripts/0%20-%20Government/USA%20-%20NASA/"/>
    <hyperlink ref="C5268" r:id="rId5268" display="https://youtu.be/o16hvHORjWI"/>
    <hyperlink ref="F5268" r:id="rId2" display="https://files.afu.se/Downloads/Transcripts/0%20-%20Government/USA%20-%20NASA/"/>
    <hyperlink ref="C5269" r:id="rId5269" display="https://youtu.be/8u6gNH6xIfc"/>
    <hyperlink ref="F5269" r:id="rId2" display="https://files.afu.se/Downloads/Transcripts/0%20-%20Government/USA%20-%20NASA/"/>
    <hyperlink ref="C5270" r:id="rId5270" display="https://youtu.be/td2TkWIPi_o"/>
    <hyperlink ref="F5270" r:id="rId2" display="https://files.afu.se/Downloads/Transcripts/0%20-%20Government/USA%20-%20NASA/"/>
    <hyperlink ref="C5271" r:id="rId5271" display="https://youtu.be/3cyE_5_Q_3I"/>
    <hyperlink ref="F5271" r:id="rId2" display="https://files.afu.se/Downloads/Transcripts/0%20-%20Government/USA%20-%20NASA/"/>
    <hyperlink ref="C5272" r:id="rId5272" display="https://youtu.be/GKSP51-Uo2A"/>
    <hyperlink ref="F5272" r:id="rId2" display="https://files.afu.se/Downloads/Transcripts/0%20-%20Government/USA%20-%20NASA/"/>
    <hyperlink ref="C5273" r:id="rId5273" display="https://youtu.be/RzMoFUorKCY"/>
    <hyperlink ref="F5273" r:id="rId2" display="https://files.afu.se/Downloads/Transcripts/0%20-%20Government/USA%20-%20NASA/"/>
    <hyperlink ref="C5274" r:id="rId5274" display="https://youtu.be/IFLe1KWGuek"/>
    <hyperlink ref="F5274" r:id="rId2" display="https://files.afu.se/Downloads/Transcripts/0%20-%20Government/USA%20-%20NASA/"/>
    <hyperlink ref="C5275" r:id="rId5275" display="https://youtu.be/y_Db6z7BVAs"/>
    <hyperlink ref="F5275" r:id="rId2" display="https://files.afu.se/Downloads/Transcripts/0%20-%20Government/USA%20-%20NASA/"/>
    <hyperlink ref="C5276" r:id="rId5276" display="https://youtu.be/lgl7QDMP6G0"/>
    <hyperlink ref="F5276" r:id="rId2" display="https://files.afu.se/Downloads/Transcripts/0%20-%20Government/USA%20-%20NASA/"/>
    <hyperlink ref="C5277" r:id="rId5277" display="https://youtu.be/_JDWqRkh-oU"/>
    <hyperlink ref="F5277" r:id="rId2" display="https://files.afu.se/Downloads/Transcripts/0%20-%20Government/USA%20-%20NASA/"/>
    <hyperlink ref="C5278" r:id="rId5278" display="https://youtu.be/k9pSxADfP54"/>
    <hyperlink ref="F5278" r:id="rId2" display="https://files.afu.se/Downloads/Transcripts/0%20-%20Government/USA%20-%20NASA/"/>
    <hyperlink ref="C5279" r:id="rId5279" display="https://youtu.be/lxWBlJ1kB7Q"/>
    <hyperlink ref="F5279" r:id="rId2" display="https://files.afu.se/Downloads/Transcripts/0%20-%20Government/USA%20-%20NASA/"/>
    <hyperlink ref="C5280" r:id="rId5280" display="https://youtu.be/tIkxWytRIj4"/>
    <hyperlink ref="F5280" r:id="rId2" display="https://files.afu.se/Downloads/Transcripts/0%20-%20Government/USA%20-%20NASA/"/>
    <hyperlink ref="C5281" r:id="rId5281" display="https://youtu.be/MMBhGwqno4c"/>
    <hyperlink ref="F5281" r:id="rId2" display="https://files.afu.se/Downloads/Transcripts/0%20-%20Government/USA%20-%20NASA/"/>
    <hyperlink ref="C5282" r:id="rId5282" display="https://youtu.be/3gMe3Xh3OnY"/>
    <hyperlink ref="F5282" r:id="rId2" display="https://files.afu.se/Downloads/Transcripts/0%20-%20Government/USA%20-%20NASA/"/>
    <hyperlink ref="C5283" r:id="rId5283" display="https://youtu.be/JV8pjpb2IFI"/>
    <hyperlink ref="F5283" r:id="rId2" display="https://files.afu.se/Downloads/Transcripts/0%20-%20Government/USA%20-%20NASA/"/>
    <hyperlink ref="C5284" r:id="rId5284" display="https://youtu.be/yLLF13IuAMI"/>
    <hyperlink ref="F5284" r:id="rId2" display="https://files.afu.se/Downloads/Transcripts/0%20-%20Government/USA%20-%20NASA/"/>
    <hyperlink ref="C5285" r:id="rId5285" display="https://youtu.be/GfmdRfUS1ew"/>
    <hyperlink ref="F5285" r:id="rId2" display="https://files.afu.se/Downloads/Transcripts/0%20-%20Government/USA%20-%20NASA/"/>
    <hyperlink ref="C5286" r:id="rId5286" display="https://youtu.be/sgQ1SiUtHTQ"/>
    <hyperlink ref="F5286" r:id="rId2" display="https://files.afu.se/Downloads/Transcripts/0%20-%20Government/USA%20-%20NASA/"/>
    <hyperlink ref="C5287" r:id="rId5287" display="https://youtu.be/RtmaQuXfN3I"/>
    <hyperlink ref="F5287" r:id="rId2" display="https://files.afu.se/Downloads/Transcripts/0%20-%20Government/USA%20-%20NASA/"/>
    <hyperlink ref="C5288" r:id="rId5288" display="https://youtu.be/yeIJt_Uy__s"/>
    <hyperlink ref="F5288" r:id="rId2" display="https://files.afu.se/Downloads/Transcripts/0%20-%20Government/USA%20-%20NASA/"/>
    <hyperlink ref="C5289" r:id="rId5289" display="https://youtu.be/0E0S07VMSYI"/>
    <hyperlink ref="F5289" r:id="rId2" display="https://files.afu.se/Downloads/Transcripts/0%20-%20Government/USA%20-%20NASA/"/>
    <hyperlink ref="C5290" r:id="rId5290" display="https://youtu.be/GiBU41klg_M"/>
    <hyperlink ref="F5290" r:id="rId2" display="https://files.afu.se/Downloads/Transcripts/0%20-%20Government/USA%20-%20NASA/"/>
    <hyperlink ref="C5291" r:id="rId5291" display="https://youtu.be/Mv9zcxs90z0"/>
    <hyperlink ref="F5291" r:id="rId2" display="https://files.afu.se/Downloads/Transcripts/0%20-%20Government/USA%20-%20NASA/"/>
    <hyperlink ref="C5292" r:id="rId5292" display="https://youtu.be/xzEJi_Q11-k"/>
    <hyperlink ref="F5292" r:id="rId2" display="https://files.afu.se/Downloads/Transcripts/0%20-%20Government/USA%20-%20NASA/"/>
    <hyperlink ref="C5293" r:id="rId5293" display="https://youtu.be/Zbg6jvLrDD8"/>
    <hyperlink ref="F5293" r:id="rId2" display="https://files.afu.se/Downloads/Transcripts/0%20-%20Government/USA%20-%20NASA/"/>
    <hyperlink ref="C5294" r:id="rId5294" display="https://youtu.be/I-39k0yp0jQ"/>
    <hyperlink ref="F5294" r:id="rId2" display="https://files.afu.se/Downloads/Transcripts/0%20-%20Government/USA%20-%20NASA/"/>
    <hyperlink ref="C5295" r:id="rId5295" display="https://youtu.be/EjBujhivtXY"/>
    <hyperlink ref="F5295" r:id="rId2" display="https://files.afu.se/Downloads/Transcripts/0%20-%20Government/USA%20-%20NASA/"/>
    <hyperlink ref="C5296" r:id="rId5296" display="https://youtu.be/NdyHlPj3s88"/>
    <hyperlink ref="F5296" r:id="rId2" display="https://files.afu.se/Downloads/Transcripts/0%20-%20Government/USA%20-%20NASA/"/>
    <hyperlink ref="C5297" r:id="rId5297" display="https://youtu.be/fWBi44bQsSg"/>
    <hyperlink ref="F5297" r:id="rId2" display="https://files.afu.se/Downloads/Transcripts/0%20-%20Government/USA%20-%20NASA/"/>
    <hyperlink ref="C5298" r:id="rId5298" display="https://youtu.be/tbD5qInlxV4"/>
    <hyperlink ref="F5298" r:id="rId2" display="https://files.afu.se/Downloads/Transcripts/0%20-%20Government/USA%20-%20NASA/"/>
    <hyperlink ref="C5299" r:id="rId5299" display="https://youtu.be/FzXa5r2A3TM"/>
    <hyperlink ref="F5299" r:id="rId2" display="https://files.afu.se/Downloads/Transcripts/0%20-%20Government/USA%20-%20NASA/"/>
    <hyperlink ref="C5300" r:id="rId5300" display="https://youtu.be/4xJEPM05uRg"/>
    <hyperlink ref="F5300" r:id="rId2" display="https://files.afu.se/Downloads/Transcripts/0%20-%20Government/USA%20-%20NASA/"/>
    <hyperlink ref="C5301" r:id="rId5301" display="https://youtu.be/d9t5JWoNVbs"/>
    <hyperlink ref="F5301" r:id="rId2" display="https://files.afu.se/Downloads/Transcripts/0%20-%20Government/USA%20-%20NASA/"/>
    <hyperlink ref="C5302" r:id="rId5302" display="https://youtu.be/46uxTc43XuA"/>
    <hyperlink ref="F5302" r:id="rId2" display="https://files.afu.se/Downloads/Transcripts/0%20-%20Government/USA%20-%20NASA/"/>
    <hyperlink ref="C5303" r:id="rId5303" display="https://youtu.be/P3oPd0J7b1k"/>
    <hyperlink ref="F5303" r:id="rId2" display="https://files.afu.se/Downloads/Transcripts/0%20-%20Government/USA%20-%20NASA/"/>
    <hyperlink ref="C5304" r:id="rId5304" display="https://youtu.be/rfqld3cUUJE"/>
    <hyperlink ref="F5304" r:id="rId2" display="https://files.afu.se/Downloads/Transcripts/0%20-%20Government/USA%20-%20NASA/"/>
    <hyperlink ref="C5305" r:id="rId5305" display="https://youtu.be/r3mI_aT94KA"/>
    <hyperlink ref="F5305" r:id="rId2" display="https://files.afu.se/Downloads/Transcripts/0%20-%20Government/USA%20-%20NASA/"/>
    <hyperlink ref="C5306" r:id="rId5306" display="https://youtu.be/cwnMKslBAMM"/>
    <hyperlink ref="F5306" r:id="rId2" display="https://files.afu.se/Downloads/Transcripts/0%20-%20Government/USA%20-%20NASA/"/>
    <hyperlink ref="C5307" r:id="rId5307" display="https://youtu.be/vQPO_xfFKuM"/>
    <hyperlink ref="F5307" r:id="rId2" display="https://files.afu.se/Downloads/Transcripts/0%20-%20Government/USA%20-%20NASA/"/>
    <hyperlink ref="C5308" r:id="rId5308" display="https://youtu.be/b_BuNSpjUuU"/>
    <hyperlink ref="F5308" r:id="rId2" display="https://files.afu.se/Downloads/Transcripts/0%20-%20Government/USA%20-%20NASA/"/>
    <hyperlink ref="C5309" r:id="rId5309" display="https://youtu.be/AmbA-oDkHZ4"/>
    <hyperlink ref="F5309" r:id="rId2" display="https://files.afu.se/Downloads/Transcripts/0%20-%20Government/USA%20-%20NASA/"/>
    <hyperlink ref="C5310" r:id="rId5310" display="https://youtu.be/WFnHU_PJ_oA"/>
    <hyperlink ref="F5310" r:id="rId2" display="https://files.afu.se/Downloads/Transcripts/0%20-%20Government/USA%20-%20NASA/"/>
    <hyperlink ref="C5311" r:id="rId5311" display="https://youtu.be/J4qlZcWWWL0"/>
    <hyperlink ref="F5311" r:id="rId2" display="https://files.afu.se/Downloads/Transcripts/0%20-%20Government/USA%20-%20NASA/"/>
    <hyperlink ref="C5312" r:id="rId5312" display="https://youtu.be/UyoGXVRmwSA"/>
    <hyperlink ref="F5312" r:id="rId2" display="https://files.afu.se/Downloads/Transcripts/0%20-%20Government/USA%20-%20NASA/"/>
    <hyperlink ref="C5313" r:id="rId5313" display="https://youtu.be/-3xGjrUZp6M"/>
    <hyperlink ref="F5313" r:id="rId2" display="https://files.afu.se/Downloads/Transcripts/0%20-%20Government/USA%20-%20NASA/"/>
    <hyperlink ref="C5314" r:id="rId5314" display="https://youtu.be/VXnvXIahPVg"/>
    <hyperlink ref="F5314" r:id="rId2" display="https://files.afu.se/Downloads/Transcripts/0%20-%20Government/USA%20-%20NASA/"/>
    <hyperlink ref="C5315" r:id="rId5315" display="https://youtu.be/fbK69YQ6cgE"/>
    <hyperlink ref="F5315" r:id="rId2" display="https://files.afu.se/Downloads/Transcripts/0%20-%20Government/USA%20-%20NASA/"/>
    <hyperlink ref="C5316" r:id="rId5316" display="https://youtu.be/DB6huN3xM94"/>
    <hyperlink ref="F5316" r:id="rId2" display="https://files.afu.se/Downloads/Transcripts/0%20-%20Government/USA%20-%20NASA/"/>
    <hyperlink ref="C5317" r:id="rId5317" display="https://youtu.be/GrmeKh65XEo"/>
    <hyperlink ref="F5317" r:id="rId2" display="https://files.afu.se/Downloads/Transcripts/0%20-%20Government/USA%20-%20NASA/"/>
    <hyperlink ref="C5318" r:id="rId5318" display="https://youtu.be/UPs7BSDNTk4"/>
    <hyperlink ref="F5318" r:id="rId2" display="https://files.afu.se/Downloads/Transcripts/0%20-%20Government/USA%20-%20NASA/"/>
    <hyperlink ref="C5319" r:id="rId5319" display="https://youtu.be/3PCAGm5a1r8"/>
    <hyperlink ref="F5319" r:id="rId2" display="https://files.afu.se/Downloads/Transcripts/0%20-%20Government/USA%20-%20NASA/"/>
    <hyperlink ref="C5320" r:id="rId5320" display="https://youtu.be/BoKv9EIFjDE"/>
    <hyperlink ref="F5320" r:id="rId2" display="https://files.afu.se/Downloads/Transcripts/0%20-%20Government/USA%20-%20NASA/"/>
    <hyperlink ref="C5321" r:id="rId5321" display="https://youtu.be/IcuqlIOrt1M"/>
    <hyperlink ref="F5321" r:id="rId2" display="https://files.afu.se/Downloads/Transcripts/0%20-%20Government/USA%20-%20NASA/"/>
    <hyperlink ref="C5322" r:id="rId5322" display="https://youtu.be/0FfkHRgycEk"/>
    <hyperlink ref="F5322" r:id="rId2" display="https://files.afu.se/Downloads/Transcripts/0%20-%20Government/USA%20-%20NASA/"/>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2023-06-28T08:13:00Z</dcterms:created>
  <dcterms:modified xsi:type="dcterms:W3CDTF">2023-06-28T10:27:39Z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1B4C5AB98FB0497F9DA713BA03222C36</vt:lpwstr>
  </property>
  <property fmtid="{D5CDD505-2E9C-101B-9397-08002B2CF9AE}" pid="3" name="KSOProductBuildVer">
    <vt:lpwstr>2057-11.2.0.11417</vt:lpwstr>
  </property>
</Properties>
</file>